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  <sheet state="visible" name="Client" sheetId="20" r:id="rId22"/>
    <sheet state="visible" name="ClientHistoric" sheetId="21" r:id="rId23"/>
    <sheet state="hidden" name="Boubou" sheetId="22" r:id="rId24"/>
    <sheet state="hidden" name="Paclone" sheetId="23" r:id="rId25"/>
    <sheet state="hidden" name="Philo" sheetId="24" r:id="rId26"/>
    <sheet state="hidden" name="ClientModel" sheetId="25" r:id="rId27"/>
  </sheets>
  <definedNames>
    <definedName hidden="1" localSheetId="10" name="_xlnm._FilterDatabase">Historic!$A$1:$J$1019</definedName>
    <definedName hidden="1" localSheetId="15" name="_xlnm._FilterDatabase">ExpensesHistoric!$A$1:$D$513</definedName>
    <definedName hidden="1" localSheetId="20" name="_xlnm._FilterDatabase">ClientHistoric!$A$1:$C$28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29">
      <text>
        <t xml:space="preserve">Sum own by / due to others</t>
      </text>
    </comment>
    <comment authorId="0" ref="A35">
      <text>
        <t xml:space="preserve">"Valeur des titres" DEGIRO</t>
      </text>
    </comment>
    <comment authorId="0" ref="A36">
      <text>
        <t xml:space="preserve">"Fond Monétaires EUR" DEGIRO</t>
      </text>
    </comment>
    <comment authorId="0" ref="A37">
      <text>
        <t xml:space="preserve">"Total portefeuille" DEGIRO</t>
      </text>
    </comment>
    <comment authorId="0" ref="A38">
      <text>
        <t xml:space="preserve">"Variation cumulée" DEGIRO</t>
      </text>
    </comment>
    <comment authorId="0" ref="A48">
      <text>
        <t xml:space="preserve">Earn / Loss from past performances (without current portfolio)</t>
      </text>
    </comment>
    <comment authorId="0" ref="A51">
      <text>
        <t xml:space="preserve">"Espace libre" DEGIRO</t>
      </text>
    </comment>
    <comment authorId="0" ref="A56">
      <text>
        <t xml:space="preserve">EONIA+1.25%</t>
      </text>
    </comment>
    <comment authorId="0" ref="A58">
      <text>
        <t xml:space="preserve">Money left that can be invested</t>
      </text>
    </comment>
    <comment authorId="0" ref="B70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69">
      <text>
        <t xml:space="preserve">Use to adjust "Current portfolio cash"</t>
      </text>
    </comment>
    <comment authorId="0" ref="G189">
      <text>
        <t xml:space="preserve">Use to adjust "Current portfolio total profit"</t>
      </text>
    </comment>
    <comment authorId="0" ref="G190">
      <text>
        <t xml:space="preserve">Use to adjust "Current portfolio total profit"</t>
      </text>
    </comment>
    <comment authorId="0" ref="G886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B1">
      <text>
        <t xml:space="preserve">Set a value if the movement is recurrent (happening every month), can only be negative (withdraw)</t>
      </text>
    </comment>
    <comment authorId="0" ref="C1">
      <text>
        <t xml:space="preserve">Money collected for charity</t>
      </text>
    </comment>
    <comment authorId="0" ref="D1">
      <text>
        <t xml:space="preserve">Money donated to charity</t>
      </text>
    </comment>
    <comment authorId="0" ref="E1">
      <text>
        <t xml:space="preserve">Time since first investment</t>
      </text>
    </comment>
    <comment authorId="0" ref="H1">
      <text>
        <t xml:space="preserve">Cumulated gain since the beginning of saving</t>
      </text>
    </comment>
    <comment authorId="0" ref="I1">
      <text>
        <t xml:space="preserve">The cumulated rate adjusted to one year</t>
      </text>
    </comment>
    <comment authorId="0" ref="J1">
      <text>
        <t xml:space="preserve">Total amount saved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WARNING : Should be the same as the spreadsheet name with account data historic</t>
      </text>
    </comment>
    <comment authorId="0" ref="C1">
      <text>
        <t xml:space="preserve">Amount added/withdrawed by the client (positive if added, negative if withdrawed)</t>
      </text>
    </comment>
    <comment authorId="0" ref="C5">
      <text>
        <t xml:space="preserve">Chèque Robot</t>
      </text>
    </comment>
    <comment authorId="0" ref="C6">
      <text>
        <t xml:space="preserve">Inclus dans -1000 car 700 de crédit</t>
      </text>
    </comment>
    <comment authorId="0" ref="C10">
      <text>
        <t xml:space="preserve">Inclus dans -1000 car 700 de crédit</t>
      </text>
    </comment>
    <comment authorId="0" ref="C19">
      <text>
        <t xml:space="preserve">Non paiement du crédit</t>
      </text>
    </comment>
    <comment authorId="0" ref="C20">
      <text>
        <t xml:space="preserve">Inclus dans -13600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Amount not added because the money has not been invested</t>
      </text>
    </comment>
    <comment authorId="0" ref="D1">
      <text>
        <t xml:space="preserve">Money really invested (movement - rejected)</t>
      </text>
    </comment>
    <comment authorId="0" ref="E1">
      <text>
        <t xml:space="preserve">Cumulated amount without interest</t>
      </text>
    </comment>
    <comment authorId="0" ref="F1">
      <text>
        <t xml:space="preserve">The monthly rate from which calculate interests</t>
      </text>
    </comment>
    <comment authorId="0" ref="G1">
      <text>
        <t xml:space="preserve">The cumulated rate since the beginning of savings</t>
      </text>
    </comment>
    <comment authorId="0" ref="H1">
      <text>
        <t xml:space="preserve">The cumulated rate adjusted to one year</t>
      </text>
    </comment>
    <comment authorId="0" ref="I1">
      <text>
        <t xml:space="preserve">Current gain (= Current Value * Rate / 12)</t>
      </text>
    </comment>
    <comment authorId="0" ref="J1">
      <text>
        <t xml:space="preserve">Cumulated gain since the beginning of saving</t>
      </text>
    </comment>
    <comment authorId="0" ref="K1">
      <text>
        <t xml:space="preserve">Money that goes to charity (5.5% of the gain)</t>
      </text>
    </comment>
    <comment authorId="0" ref="L1">
      <text>
        <t xml:space="preserve">Minimum guaranteed in case of negative rate</t>
      </text>
    </comment>
    <comment authorId="0" ref="M1">
      <text>
        <t xml:space="preserve">Total of value and gain cumulated</t>
      </text>
    </comment>
    <comment authorId="0" ref="N1">
      <text>
        <t xml:space="preserve">Total cumulated amount (= Cumul Value + Cumul Gain) with minimum in case of negative rate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Amount not added because the money has not been invested</t>
      </text>
    </comment>
    <comment authorId="0" ref="D1">
      <text>
        <t xml:space="preserve">Money really invested (movement - rejected)</t>
      </text>
    </comment>
    <comment authorId="0" ref="E1">
      <text>
        <t xml:space="preserve">Cumulated amount without interest</t>
      </text>
    </comment>
    <comment authorId="0" ref="F1">
      <text>
        <t xml:space="preserve">The monthly rate from which calculate interests</t>
      </text>
    </comment>
    <comment authorId="0" ref="G1">
      <text>
        <t xml:space="preserve">The cumulated rate since the beginning of savings</t>
      </text>
    </comment>
    <comment authorId="0" ref="H1">
      <text>
        <t xml:space="preserve">The cumulated rate adjusted to one year</t>
      </text>
    </comment>
    <comment authorId="0" ref="I1">
      <text>
        <t xml:space="preserve">Current gain (= Current Value * Rate / 12)</t>
      </text>
    </comment>
    <comment authorId="0" ref="J1">
      <text>
        <t xml:space="preserve">Cumulated gain since the beginning of saving</t>
      </text>
    </comment>
    <comment authorId="0" ref="K1">
      <text>
        <t xml:space="preserve">Money that goes to charity (5.5% of the gain)</t>
      </text>
    </comment>
    <comment authorId="0" ref="L1">
      <text>
        <t xml:space="preserve">Minimum guaranteed in case of negative rate</t>
      </text>
    </comment>
    <comment authorId="0" ref="M1">
      <text>
        <t xml:space="preserve">Total of value and gain cumulated</t>
      </text>
    </comment>
    <comment authorId="0" ref="N1">
      <text>
        <t xml:space="preserve">Total cumulated amount (= Cumul Value + Cumul Gain) with minimum in case of negative rate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Amount not added because the money has not been invested</t>
      </text>
    </comment>
    <comment authorId="0" ref="D1">
      <text>
        <t xml:space="preserve">Money really invested (movement - rejected)</t>
      </text>
    </comment>
    <comment authorId="0" ref="E1">
      <text>
        <t xml:space="preserve">Cumulated amount without interest</t>
      </text>
    </comment>
    <comment authorId="0" ref="F1">
      <text>
        <t xml:space="preserve">The monthly rate from which calculate interests</t>
      </text>
    </comment>
    <comment authorId="0" ref="G1">
      <text>
        <t xml:space="preserve">The cumulated rate since the beginning of savings</t>
      </text>
    </comment>
    <comment authorId="0" ref="H1">
      <text>
        <t xml:space="preserve">The cumulated rate adjusted to one year</t>
      </text>
    </comment>
    <comment authorId="0" ref="I1">
      <text>
        <t xml:space="preserve">Current gain (= Current Value * Rate / 12)</t>
      </text>
    </comment>
    <comment authorId="0" ref="J1">
      <text>
        <t xml:space="preserve">Cumulated gain since the beginning of saving</t>
      </text>
    </comment>
    <comment authorId="0" ref="K1">
      <text>
        <t xml:space="preserve">Money that goes to charity (5.5% of the gain)</t>
      </text>
    </comment>
    <comment authorId="0" ref="L1">
      <text>
        <t xml:space="preserve">Minimum guaranteed in case of negative rate</t>
      </text>
    </comment>
    <comment authorId="0" ref="M1">
      <text>
        <t xml:space="preserve">Total of value and gain cumulated</t>
      </text>
    </comment>
    <comment authorId="0" ref="N1">
      <text>
        <t xml:space="preserve">Total cumulated amount (= Cumul Value + Cumul Gain) with minimum in case of negative rate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Amount not added because the money has not been invested</t>
      </text>
    </comment>
    <comment authorId="0" ref="D1">
      <text>
        <t xml:space="preserve">Money really invested (movement - rejected)</t>
      </text>
    </comment>
    <comment authorId="0" ref="E1">
      <text>
        <t xml:space="preserve">Cumulated amount without interest</t>
      </text>
    </comment>
    <comment authorId="0" ref="F1">
      <text>
        <t xml:space="preserve">The monthly rate from which calculate interests</t>
      </text>
    </comment>
    <comment authorId="0" ref="G1">
      <text>
        <t xml:space="preserve">The cumulated rate since the beginning of savings</t>
      </text>
    </comment>
    <comment authorId="0" ref="H1">
      <text>
        <t xml:space="preserve">The cumulated rate adjusted to one year</t>
      </text>
    </comment>
    <comment authorId="0" ref="I1">
      <text>
        <t xml:space="preserve">Current gain (= Current Value * Rate / 12)</t>
      </text>
    </comment>
    <comment authorId="0" ref="J1">
      <text>
        <t xml:space="preserve">Cumulated gain since the beginning of saving</t>
      </text>
    </comment>
    <comment authorId="0" ref="K1">
      <text>
        <t xml:space="preserve">Money that goes to charity (5.5% of the gain)</t>
      </text>
    </comment>
    <comment authorId="0" ref="L1">
      <text>
        <t xml:space="preserve">Minimum guaranteed in case of negative rate</t>
      </text>
    </comment>
    <comment authorId="0" ref="M1">
      <text>
        <t xml:space="preserve">Total of value and gain cumulated</t>
      </text>
    </comment>
    <comment authorId="0" ref="N1">
      <text>
        <t xml:space="preserve">Total cumulated amount (= Cumul Value + Cumul Gain) with minimum in case of negative rate</t>
      </text>
    </comment>
  </commentList>
</comments>
</file>

<file path=xl/sharedStrings.xml><?xml version="1.0" encoding="utf-8"?>
<sst xmlns="http://schemas.openxmlformats.org/spreadsheetml/2006/main" count="5181" uniqueCount="1581">
  <si>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</si>
  <si>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</si>
  <si>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</si>
  <si>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</si>
  <si>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</si>
  <si>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</si>
  <si>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</si>
  <si>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</si>
  <si>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</si>
  <si>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</si>
  <si>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</si>
  <si>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</si>
  <si>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</si>
  <si>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</si>
  <si>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</si>
  <si>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</si>
  <si>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</si>
  <si>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</si>
  <si>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</si>
  <si>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</si>
  <si>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</si>
  <si>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</si>
  <si>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</si>
  <si>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</si>
  <si>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</si>
  <si>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</si>
  <si>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</si>
  <si>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</si>
  <si>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</si>
  <si>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</si>
  <si>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</si>
  <si>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</si>
  <si>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</si>
  <si>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</si>
  <si>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</si>
  <si>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</si>
  <si>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</si>
  <si>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</si>
  <si>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</si>
  <si>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</si>
  <si>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</si>
  <si>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</si>
  <si>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</si>
  <si>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</si>
  <si>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</si>
  <si>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</si>
  <si>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</si>
  <si>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</si>
  <si>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</si>
  <si>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</si>
  <si>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</si>
  <si>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</si>
  <si>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</si>
  <si>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</si>
  <si>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</si>
  <si>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</si>
  <si>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</si>
  <si>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</si>
  <si>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</si>
  <si>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</si>
  <si>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</si>
  <si>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</si>
  <si>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</si>
  <si>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</si>
  <si>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</si>
  <si>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</si>
  <si>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</si>
  <si>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</si>
  <si>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</si>
  <si>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</si>
  <si>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</si>
  <si>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09-10-2020</t>
  </si>
  <si>
    <t>15:32</t>
  </si>
  <si>
    <t>ISHARES $ TREASURY BOND 20+YR UCITS E...</t>
  </si>
  <si>
    <t>IE00BSKRJZ44</t>
  </si>
  <si>
    <t>Frais de courtage</t>
  </si>
  <si>
    <t>EUR</t>
  </si>
  <si>
    <t>-29,68</t>
  </si>
  <si>
    <t>-811329,54</t>
  </si>
  <si>
    <t>d0641884-2ab7-4ee6-b288-92333c2bca8b</t>
  </si>
  <si>
    <t>Achat 29 395 iShares $ Treasury Bond 20+yr UCITS ETF USD (Dist)@5,049 EUR (IE00BSKRJZ44)</t>
  </si>
  <si>
    <t>-148415,36</t>
  </si>
  <si>
    <t>-811299,86</t>
  </si>
  <si>
    <t>-2,00</t>
  </si>
  <si>
    <t>-662884,50</t>
  </si>
  <si>
    <t>-20,32</t>
  </si>
  <si>
    <t>-662882,50</t>
  </si>
  <si>
    <t>Achat 20 119 iShares $ Treasury Bond 20+yr UCITS ETF USD (Dist)@5,049 EUR (IE00BSKRJZ44)</t>
  </si>
  <si>
    <t>-101580,83</t>
  </si>
  <si>
    <t>-662862,18</t>
  </si>
  <si>
    <t>12:10</t>
  </si>
  <si>
    <t>ISHARES US T 7-10</t>
  </si>
  <si>
    <t>IE00B1FZS798</t>
  </si>
  <si>
    <t>Achat 9 ISHARES US T 7-10@188,55 EUR (IE00B1FZS798)</t>
  </si>
  <si>
    <t>-1696,95</t>
  </si>
  <si>
    <t>-561281,35</t>
  </si>
  <si>
    <t>2e9db5ad-cae4-44d9-887d-f95c0b43b8d8</t>
  </si>
  <si>
    <t>08-10-2020</t>
  </si>
  <si>
    <t>14:14</t>
  </si>
  <si>
    <t>30-09-2020</t>
  </si>
  <si>
    <t>Intérêts débiteurs mensuels (Débit Argent)</t>
  </si>
  <si>
    <t>-729,38</t>
  </si>
  <si>
    <t>-559584,40</t>
  </si>
  <si>
    <t>14:13</t>
  </si>
  <si>
    <t>Achat 7 ISHARES US T 7-10@189 EUR (IE00B1FZS798)</t>
  </si>
  <si>
    <t>-1323,00</t>
  </si>
  <si>
    <t>-558855,02</t>
  </si>
  <si>
    <t>8622e711-1a70-4221-963d-d2fe671d2cf3</t>
  </si>
  <si>
    <t>08:40</t>
  </si>
  <si>
    <t>07-10-2020</t>
  </si>
  <si>
    <t>Opération de change - Débit</t>
  </si>
  <si>
    <t>1424,14</t>
  </si>
  <si>
    <t>-557532,02</t>
  </si>
  <si>
    <t>1,1776</t>
  </si>
  <si>
    <t>USD</t>
  </si>
  <si>
    <t>-1677,14</t>
  </si>
  <si>
    <t>0,00</t>
  </si>
  <si>
    <t>08:05</t>
  </si>
  <si>
    <t>VANGUARD S&amp;P500</t>
  </si>
  <si>
    <t>IE00B3XXRP09</t>
  </si>
  <si>
    <t>Dividende</t>
  </si>
  <si>
    <t>1677,14</t>
  </si>
  <si>
    <t>05-10-2020</t>
  </si>
  <si>
    <t>18:20</t>
  </si>
  <si>
    <t>06-10-2020</t>
  </si>
  <si>
    <t>Processed Flatex Withdrawal</t>
  </si>
  <si>
    <t>1000,00</t>
  </si>
  <si>
    <t>-558956,16</t>
  </si>
  <si>
    <t>Retrait flatex</t>
  </si>
  <si>
    <t>-1000,00</t>
  </si>
  <si>
    <t>-559956,16</t>
  </si>
  <si>
    <t>10:15</t>
  </si>
  <si>
    <t>Virement vers votre Compte Espèces à la Flatex Bank: 1 000 EUR</t>
  </si>
  <si>
    <t>02-10-2020</t>
  </si>
  <si>
    <t>15:44</t>
  </si>
  <si>
    <t>13:15</t>
  </si>
  <si>
    <t>Virement vers votre Compte Espèces à la Flatex Bank: 0,82 EUR</t>
  </si>
  <si>
    <t>-557956,16</t>
  </si>
  <si>
    <t>01-10-2020</t>
  </si>
  <si>
    <t>11:16</t>
  </si>
  <si>
    <t>Achat 10 ISHARES US T 7-10@190,55 EUR (IE00B1FZS798)</t>
  </si>
  <si>
    <t>-1905,50</t>
  </si>
  <si>
    <t>387cf089-aadb-4ae9-b215-56594377356b</t>
  </si>
  <si>
    <t>06:40</t>
  </si>
  <si>
    <t>Flatex Interest</t>
  </si>
  <si>
    <t>-0,82</t>
  </si>
  <si>
    <t>-556050,66</t>
  </si>
  <si>
    <t>16:10</t>
  </si>
  <si>
    <t>Achat 50 ISHARES US T 7-10@191,16 EUR (IE00B1FZS798)</t>
  </si>
  <si>
    <t>-9558,00</t>
  </si>
  <si>
    <t>-556049,84</t>
  </si>
  <si>
    <t>3f3b6cd3-1c2d-4c7a-8656-7229005c0296</t>
  </si>
  <si>
    <t>23-09-2020</t>
  </si>
  <si>
    <t>11:45</t>
  </si>
  <si>
    <t>Virement depuis votre Compte Espèces à la Flatex Bank: 40 000 EUR</t>
  </si>
  <si>
    <t>-546491,84</t>
  </si>
  <si>
    <t>22-09-2020</t>
  </si>
  <si>
    <t>14:50</t>
  </si>
  <si>
    <t>Dépôt flatex</t>
  </si>
  <si>
    <t>40000,00</t>
  </si>
  <si>
    <t>15-09-2020</t>
  </si>
  <si>
    <t>18:10</t>
  </si>
  <si>
    <t>16-09-2020</t>
  </si>
  <si>
    <t>1500,00</t>
  </si>
  <si>
    <t>-586491,84</t>
  </si>
  <si>
    <t>-1500,00</t>
  </si>
  <si>
    <t>-587991,84</t>
  </si>
  <si>
    <t>10-09-2020</t>
  </si>
  <si>
    <t>16:50</t>
  </si>
  <si>
    <t>11-09-2020</t>
  </si>
  <si>
    <t>-587491,84</t>
  </si>
  <si>
    <t>12:45</t>
  </si>
  <si>
    <t>09-09-2020</t>
  </si>
  <si>
    <t>13:31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</si>
  <si>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</si>
  <si>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</si>
  <si>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</si>
  <si>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</si>
  <si>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</si>
  <si>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</si>
  <si>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</si>
  <si>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JE00B1VS3770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</si>
  <si>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</si>
  <si>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</si>
  <si>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</si>
  <si>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</si>
  <si>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</si>
  <si>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</si>
  <si>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</si>
  <si>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</si>
  <si>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</si>
  <si>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</si>
  <si>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</si>
  <si>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</si>
  <si>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</si>
  <si>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</si>
  <si>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</si>
  <si>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</si>
  <si>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</si>
  <si>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</si>
  <si>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</si>
  <si>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</si>
  <si>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</si>
  <si>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</si>
  <si>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</si>
  <si>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</si>
  <si>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</si>
  <si>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</si>
  <si>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</si>
  <si>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</si>
  <si>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</si>
  <si>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</si>
  <si>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</si>
  <si>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</si>
  <si>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</si>
  <si>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</si>
  <si>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</si>
  <si>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</si>
  <si>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</si>
  <si>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</si>
  <si>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</si>
  <si>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</si>
  <si>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</si>
  <si>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</si>
  <si>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</si>
  <si>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</si>
  <si>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</si>
  <si>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</si>
  <si>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</si>
  <si>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</si>
  <si>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</si>
  <si>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</si>
  <si>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</si>
  <si>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</si>
  <si>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</si>
  <si>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</si>
  <si>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</si>
  <si>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</si>
  <si>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</si>
  <si>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</si>
  <si>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</si>
  <si>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</si>
  <si>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</si>
  <si>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</si>
  <si>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</si>
  <si>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</si>
  <si>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</si>
  <si>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</si>
  <si>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</si>
  <si>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</si>
  <si>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</si>
  <si>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</si>
  <si>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</si>
  <si>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</si>
  <si>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</si>
  <si>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</si>
  <si>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</si>
  <si>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</si>
  <si>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</si>
  <si>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</si>
  <si>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</si>
  <si>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</si>
  <si>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</si>
  <si>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</si>
  <si>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</si>
  <si>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</si>
  <si>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</si>
  <si>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</si>
  <si>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</si>
  <si>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</si>
  <si>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</si>
  <si>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</si>
  <si>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</si>
  <si>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</si>
  <si>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</si>
  <si>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</si>
  <si>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</si>
  <si>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</si>
  <si>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</si>
  <si>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</si>
  <si>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</si>
  <si>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</si>
  <si>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</si>
  <si>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</si>
  <si>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</si>
  <si>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</si>
  <si>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</si>
  <si>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</si>
  <si>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</si>
  <si>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</si>
  <si>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</si>
  <si>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</si>
  <si>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</si>
  <si>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</si>
  <si>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</si>
  <si>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</si>
  <si>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</si>
  <si>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</si>
  <si>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</si>
  <si>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</si>
  <si>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</si>
  <si>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</si>
  <si>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</si>
  <si>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</si>
  <si>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</si>
  <si>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</si>
  <si>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</si>
  <si>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</si>
  <si>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</si>
  <si>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</si>
  <si>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</si>
  <si>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</si>
  <si>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</si>
  <si>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</si>
  <si>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</si>
  <si>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</si>
  <si>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</si>
  <si>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</si>
  <si>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</si>
  <si>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</si>
  <si>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</si>
  <si>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</si>
  <si>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</si>
  <si>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</si>
  <si>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iShares Treasury Bond 20+ UCITS@BUY@49514@-249996.19</t>
  </si>
  <si>
    <t>COST</t>
  </si>
  <si>
    <t>iShares Treasury Bond 20+ UCITS@COST@@-52</t>
  </si>
  <si>
    <t>iShares Treasury Bond 7-10 UCITS@BUY@9@-1696.95</t>
  </si>
  <si>
    <t>iShares Treasury Bond 7-10 UCITS@BUY@7@-1323</t>
  </si>
  <si>
    <t>DIVIDEND</t>
  </si>
  <si>
    <t>Vanguard S&amp;P 500 UCITS@DIVIDEND@@1677.14</t>
  </si>
  <si>
    <t>Vanguard S&amp;P 500 UCITS@DIVIDEND@@-253</t>
  </si>
  <si>
    <t>APPROVISIONNEMENT</t>
  </si>
  <si>
    <t>@APPROVISIONNEMENT@@-1000</t>
  </si>
  <si>
    <t>iShares Treasury Bond 7-10 UCITS@BUY@10@-1905.5</t>
  </si>
  <si>
    <t>@COST@@-729.38</t>
  </si>
  <si>
    <t>@COST@@-0.82</t>
  </si>
  <si>
    <t>iShares Treasury Bond 7-10 UCITS@BUY@50@-9558</t>
  </si>
  <si>
    <t>@APPROVISIONNEMENT@@40000</t>
  </si>
  <si>
    <t>@APPROVISIONNEMENT@@-1500</t>
  </si>
  <si>
    <t>Vanguard S&amp;P 500 UCITS@SELL@-2048@117555.2</t>
  </si>
  <si>
    <t>iShares Treasury Bond 7-10 UCITS@BUY@6@-1130.22</t>
  </si>
  <si>
    <t>iShares Treasury Bond 7-10 UCITS@BUY@6@-1115.4</t>
  </si>
  <si>
    <t>@COST@@-680.17</t>
  </si>
  <si>
    <t>iShares Treasury Bond 7-10 UCITS@BUY@10@-1868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</si>
  <si>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</si>
  <si>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</si>
  <si>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</si>
  <si>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</si>
  <si>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</si>
  <si>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</si>
  <si>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</si>
  <si>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</si>
  <si>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</si>
  <si>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</si>
  <si>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</si>
  <si>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</si>
  <si>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</si>
  <si>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</si>
  <si>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</si>
  <si>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</si>
  <si>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</si>
  <si>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</si>
  <si>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</si>
  <si>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</si>
  <si>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</si>
  <si>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</si>
  <si>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</si>
  <si>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</si>
  <si>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</si>
  <si>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</si>
  <si>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</si>
  <si>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</si>
  <si>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</si>
  <si>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</si>
  <si>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</si>
  <si>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</si>
  <si>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</si>
  <si>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</si>
  <si>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</si>
  <si>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</si>
  <si>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</si>
  <si>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</si>
  <si>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</si>
  <si>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</si>
  <si>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</si>
  <si>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</si>
  <si>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</si>
  <si>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</si>
  <si>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</si>
  <si>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</si>
  <si>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</si>
  <si>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</si>
  <si>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</si>
  <si>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</si>
  <si>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</si>
  <si>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</si>
  <si>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</si>
  <si>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</si>
  <si>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</si>
  <si>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</si>
  <si>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</si>
  <si>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</si>
  <si>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</si>
  <si>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</si>
  <si>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</si>
  <si>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</si>
  <si>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</si>
  <si>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</si>
  <si>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</si>
  <si>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</si>
  <si>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</si>
  <si>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</si>
  <si>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</si>
  <si>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</si>
  <si>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</si>
  <si>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</si>
  <si>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</si>
  <si>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</si>
  <si>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</si>
  <si>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</si>
  <si>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</si>
  <si>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</si>
  <si>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</si>
  <si>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</si>
  <si>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</si>
  <si>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</si>
  <si>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</si>
  <si>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</si>
  <si>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</si>
  <si>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</si>
  <si>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</si>
  <si>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</si>
  <si>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</si>
  <si>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</si>
  <si>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</si>
  <si>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</si>
  <si>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</si>
  <si>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</si>
  <si>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</si>
  <si>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</si>
  <si>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</si>
  <si>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</si>
  <si>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</si>
  <si>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</si>
  <si>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</si>
  <si>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</si>
  <si>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</si>
  <si>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</si>
  <si>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</si>
  <si>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</si>
  <si>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</si>
  <si>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</si>
  <si>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</si>
  <si>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</si>
  <si>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</si>
  <si>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</si>
  <si>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</si>
  <si>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</si>
  <si>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</si>
  <si>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</si>
  <si>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</si>
  <si>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</si>
  <si>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</si>
  <si>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</si>
  <si>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</si>
  <si>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</si>
  <si>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</si>
  <si>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</si>
  <si>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</si>
  <si>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</si>
  <si>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</si>
  <si>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</si>
  <si>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</si>
  <si>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</si>
  <si>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</si>
  <si>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</si>
  <si>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</si>
  <si>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</si>
  <si>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</si>
  <si>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</si>
  <si>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</si>
  <si>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@COST@@565.72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</si>
  <si>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</si>
  <si>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</si>
  <si>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</si>
  <si>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</si>
  <si>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</si>
  <si>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UCITS@COST@@-204.49</t>
  </si>
  <si>
    <t>iShares Treasury Bond 20+ UCITS@DIVIDEND@@326.97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</si>
  <si>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</si>
  <si>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</si>
  <si>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</si>
  <si>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</si>
  <si>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</si>
  <si>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</si>
  <si>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</si>
  <si>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</si>
  <si>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</si>
  <si>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</si>
  <si>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@COST@@507.90</t>
  </si>
  <si>
    <t>@APPROVISIONNEMENT@@-507.90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</si>
  <si>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</si>
  <si>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</si>
  <si>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</si>
  <si>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</si>
  <si>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</si>
  <si>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</si>
  <si>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</si>
  <si>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</si>
  <si>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</si>
  <si>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</si>
  <si>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</si>
  <si>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</si>
  <si>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</si>
  <si>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</si>
  <si>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</si>
  <si>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</si>
  <si>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</si>
  <si>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</si>
  <si>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</si>
  <si>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</si>
  <si>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</si>
  <si>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</si>
  <si>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</si>
  <si>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</si>
  <si>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</si>
  <si>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</si>
  <si>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</si>
  <si>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</si>
  <si>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</si>
  <si>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</si>
  <si>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</si>
  <si>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</si>
  <si>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</si>
  <si>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</si>
  <si>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</si>
  <si>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</si>
  <si>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</si>
  <si>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</si>
  <si>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</si>
  <si>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</si>
  <si>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</si>
  <si>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</si>
  <si>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</si>
  <si>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</si>
  <si>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</si>
  <si>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</si>
  <si>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</si>
  <si>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</si>
  <si>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</si>
  <si>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</si>
  <si>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</si>
  <si>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</si>
  <si>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</si>
  <si>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</si>
  <si>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</si>
  <si>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</si>
  <si>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</si>
  <si>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</si>
  <si>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</si>
  <si>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</si>
  <si>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</si>
  <si>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</si>
  <si>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</si>
  <si>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</si>
  <si>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</si>
  <si>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</si>
  <si>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</si>
  <si>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</si>
  <si>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</si>
  <si>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</si>
  <si>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</si>
  <si>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</si>
  <si>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</si>
  <si>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</si>
  <si>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</si>
  <si>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</si>
  <si>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</si>
  <si>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</si>
  <si>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</si>
  <si>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</si>
  <si>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</si>
  <si>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</si>
  <si>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</si>
  <si>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</si>
  <si>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</si>
  <si>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</si>
  <si>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</si>
  <si>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</si>
  <si>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</si>
  <si>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</si>
  <si>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</si>
  <si>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</si>
  <si>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</si>
  <si>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</si>
  <si>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</si>
  <si>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</si>
  <si>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</si>
  <si>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</si>
  <si>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</si>
  <si>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</si>
  <si>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</si>
  <si>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</si>
  <si>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</si>
  <si>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</si>
  <si>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</si>
  <si>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</si>
  <si>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</si>
  <si>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</si>
  <si>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</si>
  <si>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</si>
  <si>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</si>
  <si>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</si>
  <si>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</si>
  <si>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</si>
  <si>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</si>
  <si>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</si>
  <si>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</si>
  <si>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</si>
  <si>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</si>
  <si>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</si>
  <si>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</si>
  <si>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</si>
  <si>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</si>
  <si>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</si>
  <si>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</si>
  <si>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</si>
  <si>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</si>
  <si>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</si>
  <si>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</si>
  <si>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</si>
  <si>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</si>
  <si>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</si>
  <si>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</si>
  <si>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</si>
  <si>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</si>
  <si>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</si>
  <si>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</si>
  <si>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</si>
  <si>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</si>
  <si>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</si>
  <si>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</si>
  <si>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</si>
  <si>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</si>
  <si>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</si>
  <si>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</si>
  <si>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</si>
  <si>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</si>
  <si>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</si>
  <si>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</si>
  <si>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</si>
  <si>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</si>
  <si>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</si>
  <si>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</si>
  <si>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</si>
  <si>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</si>
  <si>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UCITS@COST@@33.70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</si>
  <si>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</si>
  <si>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</si>
  <si>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</si>
  <si>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</si>
  <si>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</si>
  <si>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</si>
  <si>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</si>
  <si>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</si>
  <si>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</si>
  <si>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</si>
  <si>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</si>
  <si>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</si>
  <si>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</si>
  <si>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</si>
  <si>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</si>
  <si>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</si>
  <si>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</si>
  <si>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</si>
  <si>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</si>
  <si>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</si>
  <si>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</si>
  <si>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</si>
  <si>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</si>
  <si>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</si>
  <si>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</si>
  <si>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</si>
  <si>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</si>
  <si>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</si>
  <si>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</si>
  <si>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</si>
  <si>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</si>
  <si>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</si>
  <si>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</si>
  <si>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</si>
  <si>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</si>
  <si>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</si>
  <si>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</si>
  <si>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</si>
  <si>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</si>
  <si>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</si>
  <si>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</si>
  <si>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</si>
  <si>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</si>
  <si>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</si>
  <si>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</si>
  <si>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</si>
  <si>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</si>
  <si>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</si>
  <si>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</si>
  <si>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</si>
  <si>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</si>
  <si>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</si>
  <si>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</si>
  <si>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</si>
  <si>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</si>
  <si>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</si>
  <si>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</si>
  <si>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</si>
  <si>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</si>
  <si>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</si>
  <si>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</si>
  <si>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</si>
  <si>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</si>
  <si>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</si>
  <si>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</si>
  <si>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</si>
  <si>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</si>
  <si>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</si>
  <si>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</si>
  <si>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</si>
  <si>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</si>
  <si>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</si>
  <si>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</si>
  <si>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</si>
  <si>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</si>
  <si>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</si>
  <si>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</si>
  <si>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</si>
  <si>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</si>
  <si>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</si>
  <si>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</si>
  <si>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</si>
  <si>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</si>
  <si>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</si>
  <si>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</si>
  <si>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</si>
  <si>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</si>
  <si>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</si>
  <si>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</si>
  <si>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</si>
  <si>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</si>
  <si>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</si>
  <si>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</si>
  <si>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</si>
  <si>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</si>
  <si>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</si>
  <si>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</si>
  <si>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</si>
  <si>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</si>
  <si>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</si>
  <si>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</si>
  <si>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</si>
  <si>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</si>
  <si>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</si>
  <si>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</si>
  <si>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</si>
  <si>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</si>
  <si>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</si>
  <si>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</si>
  <si>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</si>
  <si>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</si>
  <si>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</si>
  <si>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</si>
  <si>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</si>
  <si>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</si>
  <si>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</si>
  <si>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</si>
  <si>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</si>
  <si>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</si>
  <si>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</si>
  <si>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</si>
  <si>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</si>
  <si>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</si>
  <si>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</si>
  <si>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</si>
  <si>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</si>
  <si>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</si>
  <si>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</si>
  <si>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</si>
  <si>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</si>
  <si>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</si>
  <si>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</si>
  <si>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</si>
  <si>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</si>
  <si>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</si>
  <si>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</si>
  <si>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</si>
  <si>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</si>
  <si>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</si>
  <si>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</si>
  <si>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</si>
  <si>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</si>
  <si>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</si>
  <si>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</si>
  <si>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</si>
  <si>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</si>
  <si>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</si>
  <si>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</si>
  <si>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</si>
  <si>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</si>
  <si>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</si>
  <si>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</si>
  <si>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</si>
  <si>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</si>
  <si>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</si>
  <si>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</si>
  <si>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</si>
  <si>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</si>
  <si>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</si>
  <si>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</si>
  <si>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</si>
  <si>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</si>
  <si>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</si>
  <si>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</si>
  <si>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</si>
  <si>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</si>
  <si>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</si>
  <si>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</si>
  <si>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</si>
  <si>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</si>
  <si>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</si>
  <si>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</si>
  <si>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</si>
  <si>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</si>
  <si>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</si>
  <si>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</si>
  <si>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</si>
  <si>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</si>
  <si>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</si>
  <si>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</si>
  <si>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</si>
  <si>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</si>
  <si>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</si>
  <si>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</si>
  <si>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</si>
  <si>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</si>
  <si>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</si>
  <si>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</si>
  <si>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</si>
  <si>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</si>
  <si>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</si>
  <si>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</si>
  <si>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</si>
  <si>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</si>
  <si>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</si>
  <si>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</si>
  <si>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</si>
  <si>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</si>
  <si>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</si>
  <si>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</si>
  <si>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</si>
  <si>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</si>
  <si>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</si>
  <si>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</si>
  <si>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</si>
  <si>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</si>
  <si>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</si>
  <si>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</si>
  <si>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</si>
  <si>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</si>
  <si>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</si>
  <si>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</si>
  <si>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</si>
  <si>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</si>
  <si>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</si>
  <si>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</si>
  <si>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</si>
  <si>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</si>
  <si>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</si>
  <si>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</si>
  <si>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</si>
  <si>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</si>
  <si>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</si>
  <si>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</si>
  <si>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</si>
  <si>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</si>
  <si>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</si>
  <si>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</si>
  <si>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</si>
  <si>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</si>
  <si>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</si>
  <si>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</si>
  <si>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</si>
  <si>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</si>
  <si>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</si>
  <si>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</si>
  <si>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</si>
  <si>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</si>
  <si>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</si>
  <si>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</si>
  <si>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</si>
  <si>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</si>
  <si>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</si>
  <si>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</si>
  <si>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</si>
  <si>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</si>
  <si>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</si>
  <si>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</si>
  <si>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</si>
  <si>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</si>
  <si>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</si>
  <si>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</si>
  <si>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</si>
  <si>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</si>
  <si>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</si>
  <si>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</si>
  <si>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</si>
  <si>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</si>
  <si>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</si>
  <si>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</si>
  <si>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</si>
  <si>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</si>
  <si>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</si>
  <si>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</si>
  <si>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</si>
  <si>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</si>
  <si>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</si>
  <si>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</si>
  <si>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</si>
  <si>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</si>
  <si>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</si>
  <si>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</si>
  <si>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</si>
  <si>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</si>
  <si>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</si>
  <si>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</si>
  <si>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</si>
  <si>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</si>
  <si>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</si>
  <si>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</si>
  <si>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</si>
  <si>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</si>
  <si>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</si>
  <si>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</si>
  <si>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</si>
  <si>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</si>
  <si>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</si>
  <si>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</si>
  <si>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</si>
  <si>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</si>
  <si>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</si>
  <si>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</si>
  <si>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</si>
  <si>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</si>
  <si>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</si>
  <si>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</si>
  <si>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</si>
  <si>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</si>
  <si>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</si>
  <si>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</si>
  <si>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</si>
  <si>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</si>
  <si>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</si>
  <si>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</si>
  <si>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</si>
  <si>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</si>
  <si>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</si>
  <si>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</si>
  <si>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</si>
  <si>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</si>
  <si>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</si>
  <si>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</si>
  <si>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</si>
  <si>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</si>
  <si>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</si>
  <si>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</si>
  <si>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</si>
  <si>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</si>
  <si>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</si>
  <si>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</si>
  <si>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</si>
  <si>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</si>
  <si>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</si>
  <si>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</si>
  <si>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</si>
  <si>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</si>
  <si>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</si>
  <si>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</si>
  <si>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</si>
  <si>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</si>
  <si>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</si>
  <si>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</si>
  <si>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</si>
  <si>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</si>
  <si>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</si>
  <si>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</si>
  <si>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</si>
  <si>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</si>
  <si>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</si>
  <si>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</si>
  <si>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</si>
  <si>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</si>
  <si>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</si>
  <si>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</si>
  <si>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</si>
  <si>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</si>
  <si>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</si>
  <si>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</si>
  <si>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</si>
  <si>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</si>
  <si>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</si>
  <si>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</si>
  <si>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</si>
  <si>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</si>
  <si>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</si>
  <si>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</si>
  <si>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</si>
  <si>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</si>
  <si>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</si>
  <si>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</si>
  <si>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</si>
  <si>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</si>
  <si>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</si>
  <si>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</si>
  <si>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</si>
  <si>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</si>
  <si>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</si>
  <si>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</si>
  <si>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</si>
  <si>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</si>
  <si>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</si>
  <si>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</si>
  <si>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</si>
  <si>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</si>
  <si>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</si>
  <si>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</si>
  <si>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</si>
  <si>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</si>
  <si>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</si>
  <si>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</si>
  <si>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</si>
  <si>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</si>
  <si>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</si>
  <si>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</si>
  <si>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</si>
  <si>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</si>
  <si>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</si>
  <si>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</si>
  <si>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</si>
  <si>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</si>
  <si>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</si>
  <si>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</si>
  <si>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</si>
  <si>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</si>
  <si>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</si>
  <si>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</si>
  <si>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</si>
  <si>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</si>
  <si>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</si>
  <si>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</si>
  <si>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</si>
  <si>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</si>
  <si>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</si>
  <si>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</si>
  <si>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</si>
  <si>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</si>
  <si>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</si>
  <si>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</si>
  <si>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</si>
  <si>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</si>
  <si>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</si>
  <si>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</si>
  <si>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</si>
  <si>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</si>
  <si>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</si>
  <si>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</si>
  <si>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</si>
  <si>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</si>
  <si>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</si>
  <si>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</si>
  <si>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</si>
  <si>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</si>
  <si>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</si>
  <si>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</si>
  <si>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</si>
  <si>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</si>
  <si>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</si>
  <si>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</si>
  <si>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</si>
  <si>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</si>
  <si>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</si>
  <si>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</si>
  <si>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</si>
  <si>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</si>
  <si>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</si>
  <si>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</si>
  <si>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</si>
  <si>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</si>
  <si>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</si>
  <si>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</si>
  <si>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</si>
  <si>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</si>
  <si>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</si>
  <si>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</si>
  <si>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</si>
  <si>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</si>
  <si>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</si>
  <si>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</si>
  <si>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</si>
  <si>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</si>
  <si>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</si>
  <si>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</si>
  <si>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</si>
  <si>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</si>
  <si>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</si>
  <si>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</si>
  <si>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</si>
  <si>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</si>
  <si>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</si>
  <si>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</si>
  <si>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</si>
  <si>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</si>
  <si>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</si>
  <si>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</si>
  <si>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</si>
  <si>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</si>
  <si>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</si>
  <si>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</si>
  <si>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</si>
  <si>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</si>
  <si>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</si>
  <si>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</si>
  <si>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</si>
  <si>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</si>
  <si>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</si>
  <si>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</si>
  <si>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</si>
  <si>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</si>
  <si>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</si>
  <si>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</si>
  <si>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</si>
  <si>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</si>
  <si>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</si>
  <si>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</si>
  <si>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</si>
  <si>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</si>
  <si>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</si>
  <si>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</si>
  <si>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</si>
  <si>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</si>
  <si>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</si>
  <si>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</si>
  <si>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</si>
  <si>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</si>
  <si>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</si>
  <si>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</si>
  <si>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</si>
  <si>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</si>
  <si>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</si>
  <si>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</si>
  <si>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</si>
  <si>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</si>
  <si>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</si>
  <si>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</si>
  <si>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</si>
  <si>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</si>
  <si>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</si>
  <si>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</si>
  <si>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</si>
  <si>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</si>
  <si>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</si>
  <si>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</si>
  <si>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</si>
  <si>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</si>
  <si>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</si>
  <si>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</si>
  <si>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</si>
  <si>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</si>
  <si>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</si>
  <si>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</si>
  <si>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</si>
  <si>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</si>
  <si>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</si>
  <si>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</si>
  <si>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</si>
  <si>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</si>
  <si>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</si>
  <si>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</si>
  <si>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</si>
  <si>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</si>
  <si>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</si>
  <si>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</si>
  <si>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</si>
  <si>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</si>
  <si>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</si>
  <si>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</si>
  <si>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</si>
  <si>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</si>
  <si>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</si>
  <si>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</si>
  <si>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</si>
  <si>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</si>
  <si>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</si>
  <si>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</si>
  <si>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</si>
  <si>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</si>
  <si>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</si>
  <si>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</si>
  <si>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</si>
  <si>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</si>
  <si>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</si>
  <si>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</si>
  <si>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</si>
  <si>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</si>
  <si>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</si>
  <si>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</si>
  <si>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</si>
  <si>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</si>
  <si>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</si>
  <si>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</si>
  <si>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</si>
  <si>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</si>
  <si>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</si>
  <si>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</si>
  <si>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</si>
  <si>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</si>
  <si>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</si>
  <si>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</si>
  <si>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</si>
  <si>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</si>
  <si>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</si>
  <si>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</si>
  <si>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</si>
  <si>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</si>
  <si>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</si>
  <si>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</si>
  <si>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</si>
  <si>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</si>
  <si>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</si>
  <si>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</si>
  <si>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</si>
  <si>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</si>
  <si>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</si>
  <si>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</si>
  <si>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</si>
  <si>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</si>
  <si>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</si>
  <si>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</si>
  <si>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</si>
  <si>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</si>
  <si>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</si>
  <si>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</si>
  <si>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</si>
  <si>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</si>
  <si>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</si>
  <si>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</si>
  <si>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</si>
  <si>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</si>
  <si>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</si>
  <si>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</si>
  <si>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</si>
  <si>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</si>
  <si>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</si>
  <si>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</si>
  <si>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</si>
  <si>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</si>
  <si>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</si>
  <si>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</si>
  <si>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</si>
  <si>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</si>
  <si>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</si>
  <si>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</si>
  <si>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</si>
  <si>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</si>
  <si>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</si>
  <si>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</si>
  <si>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</si>
  <si>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</si>
  <si>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</si>
  <si>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</si>
  <si>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</si>
  <si>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</si>
  <si>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</si>
  <si>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</si>
  <si>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</si>
  <si>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</si>
  <si>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</si>
  <si>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</si>
  <si>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</si>
  <si>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</si>
  <si>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</si>
  <si>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</si>
  <si>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</si>
  <si>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</si>
  <si>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</si>
  <si>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</si>
  <si>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</si>
  <si>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</si>
  <si>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</si>
  <si>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</si>
  <si>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</si>
  <si>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</si>
  <si>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</si>
  <si>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</si>
  <si>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</si>
  <si>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</si>
  <si>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</si>
  <si>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</si>
  <si>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</si>
  <si>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*INTERETS DEBITEURS AU 30/09/20</t>
  </si>
  <si>
    <t>CARTE 04/10/20 Patreon* Membersh CB*7911</t>
  </si>
  <si>
    <t>*CION CB OP. ETR Patreon* Membership</t>
  </si>
  <si>
    <t>VIR SEPA FLORIAN HENRI OLIVIER Defrocour</t>
  </si>
  <si>
    <t>VIR SEPA M LORTHIOIS BRUNO</t>
  </si>
  <si>
    <t>PRLV SEPA MINT ENERGIE</t>
  </si>
  <si>
    <t>CARTE 01/10/20 74 DOMOMAT CB*7911</t>
  </si>
  <si>
    <t>PRLV SEPA AVANSSUR</t>
  </si>
  <si>
    <t>CARTE 22/09/20 75 AMAZON PAYMENT CB*7911</t>
  </si>
  <si>
    <t>VIR SEPA DEFROCOURT Florian</t>
  </si>
  <si>
    <t>VIR SEPA DEREGEL</t>
  </si>
  <si>
    <t>VIR SEPA MME CAPELLE PATRICIA</t>
  </si>
  <si>
    <t>VIR Virement de Monsieur Florian DEFROC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</si>
  <si>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</si>
  <si>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</si>
  <si>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</si>
  <si>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</si>
  <si>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</si>
  <si>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</si>
  <si>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</si>
  <si>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</si>
  <si>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</si>
  <si>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</si>
  <si>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</si>
  <si>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</si>
  <si>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</si>
  <si>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</si>
  <si>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</si>
  <si>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</si>
  <si>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</si>
  <si>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</si>
  <si>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</si>
  <si>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</si>
  <si>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</si>
  <si>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</si>
  <si>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</si>
  <si>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Virement de Mademoiselle Isabell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</si>
  <si>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</si>
  <si>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</si>
  <si>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</si>
  <si>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</si>
  <si>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</si>
  <si>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</si>
  <si>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</si>
  <si>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</si>
  <si>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</si>
  <si>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</si>
  <si>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</si>
  <si>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</si>
  <si>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</si>
  <si>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</si>
  <si>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</si>
  <si>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</si>
  <si>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</si>
  <si>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</si>
  <si>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</si>
  <si>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</si>
  <si>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</si>
  <si>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</si>
  <si>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</si>
  <si>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</si>
  <si>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</si>
  <si>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</si>
  <si>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</si>
  <si>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</si>
  <si>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</si>
  <si>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</si>
  <si>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</si>
  <si>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</si>
  <si>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</si>
  <si>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</si>
  <si>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</si>
  <si>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</si>
  <si>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</si>
  <si>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</si>
  <si>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</si>
  <si>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</si>
  <si>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</si>
  <si>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</si>
  <si>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</si>
  <si>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</si>
  <si>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</si>
  <si>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</si>
  <si>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</si>
  <si>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</si>
  <si>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</si>
  <si>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</si>
  <si>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</si>
  <si>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</si>
  <si>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</si>
  <si>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</si>
  <si>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</si>
  <si>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</si>
  <si>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</si>
  <si>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</si>
  <si>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</si>
  <si>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</si>
  <si>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</si>
  <si>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</si>
  <si>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</si>
  <si>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</si>
  <si>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</si>
  <si>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</si>
  <si>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</si>
  <si>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</si>
  <si>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</si>
  <si>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</si>
  <si>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</si>
  <si>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</si>
  <si>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</si>
  <si>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</si>
  <si>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</si>
  <si>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</si>
  <si>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</si>
  <si>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</si>
  <si>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</si>
  <si>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</si>
  <si>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</si>
  <si>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</si>
  <si>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</si>
  <si>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</si>
  <si>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</si>
  <si>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</si>
  <si>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</si>
  <si>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</si>
  <si>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</si>
  <si>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</si>
  <si>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</si>
  <si>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</si>
  <si>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</si>
  <si>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</si>
  <si>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</si>
  <si>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</si>
  <si>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</si>
  <si>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</si>
  <si>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</si>
  <si>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</si>
  <si>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</si>
  <si>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</si>
  <si>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</si>
  <si>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</si>
  <si>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</si>
  <si>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</si>
  <si>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</si>
  <si>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</si>
  <si>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</si>
  <si>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</si>
  <si>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</si>
  <si>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</si>
  <si>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</si>
  <si>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</si>
  <si>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</si>
  <si>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</si>
  <si>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</si>
  <si>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</si>
  <si>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</si>
  <si>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</si>
  <si>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</si>
  <si>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</si>
  <si>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</si>
  <si>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</si>
  <si>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</si>
  <si>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</si>
  <si>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</si>
  <si>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</si>
  <si>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</si>
  <si>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</si>
  <si>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</si>
  <si>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</si>
  <si>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</si>
  <si>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</si>
  <si>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</si>
  <si>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</si>
  <si>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</si>
  <si>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</si>
  <si>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</si>
  <si>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</si>
  <si>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</si>
  <si>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</si>
  <si>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</si>
  <si>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</si>
  <si>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</si>
  <si>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</si>
  <si>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</si>
  <si>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</si>
  <si>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</si>
  <si>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</si>
  <si>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</si>
  <si>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</si>
  <si>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</si>
  <si>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</si>
  <si>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</si>
  <si>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</si>
  <si>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</si>
  <si>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</si>
  <si>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</si>
  <si>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</si>
  <si>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</si>
  <si>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</si>
  <si>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</si>
  <si>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</si>
  <si>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</si>
  <si>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</si>
  <si>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</si>
  <si>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</si>
  <si>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</si>
  <si>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</si>
  <si>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</si>
  <si>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</si>
  <si>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</si>
  <si>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</si>
  <si>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</si>
  <si>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</si>
  <si>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</si>
  <si>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Faux frais</t>
  </si>
  <si>
    <t>PE</t>
  </si>
  <si>
    <t>Bruno's tractor</t>
  </si>
  <si>
    <t>Recurrent</t>
  </si>
  <si>
    <t>Charity</t>
  </si>
  <si>
    <t>Donated</t>
  </si>
  <si>
    <t>Duration</t>
  </si>
  <si>
    <t>Deposit</t>
  </si>
  <si>
    <t>Withdraw</t>
  </si>
  <si>
    <t>Cumul gain</t>
  </si>
  <si>
    <t>Yearly rate</t>
  </si>
  <si>
    <t>Email</t>
  </si>
  <si>
    <t>First Name</t>
  </si>
  <si>
    <t>Family Name</t>
  </si>
  <si>
    <t>Birth date</t>
  </si>
  <si>
    <t>Birth city</t>
  </si>
  <si>
    <t>Adress</t>
  </si>
  <si>
    <t>Postal Code</t>
  </si>
  <si>
    <t>City</t>
  </si>
  <si>
    <t>IBAN</t>
  </si>
  <si>
    <t>Bank</t>
  </si>
  <si>
    <t>Association</t>
  </si>
  <si>
    <t>Web page</t>
  </si>
  <si>
    <t>Boubou</t>
  </si>
  <si>
    <t>isadeloenzien@gmail.com</t>
  </si>
  <si>
    <t>Isabelle</t>
  </si>
  <si>
    <t>De Loenzien</t>
  </si>
  <si>
    <t>Chateaudun (27)</t>
  </si>
  <si>
    <t>5 route de Pentrez</t>
  </si>
  <si>
    <t>Saint-Nic</t>
  </si>
  <si>
    <t>FR7640618803040004040757207</t>
  </si>
  <si>
    <t>Boursorama Banque</t>
  </si>
  <si>
    <t>Les Restos du Coeur</t>
  </si>
  <si>
    <t>https://dons.restosducoeur.org/particulier/~mon-don</t>
  </si>
  <si>
    <t>Paclone</t>
  </si>
  <si>
    <t>paclone@free.fr</t>
  </si>
  <si>
    <t>Patricia</t>
  </si>
  <si>
    <t>Capelle</t>
  </si>
  <si>
    <t>Alger (Algérie)</t>
  </si>
  <si>
    <t>2 route de la rosière</t>
  </si>
  <si>
    <t>Laveline-devant-Bruyères</t>
  </si>
  <si>
    <t>Philo</t>
  </si>
  <si>
    <t>philippe.deregel@live.fr</t>
  </si>
  <si>
    <t>Philippe</t>
  </si>
  <si>
    <t>Derégel</t>
  </si>
  <si>
    <t>10 avenue de Prédecelle</t>
  </si>
  <si>
    <t>Limours</t>
  </si>
  <si>
    <t>FR3930002076610000002257Z37</t>
  </si>
  <si>
    <t>LCL - Le Crédit Lyonnais</t>
  </si>
  <si>
    <t>Les tout petits</t>
  </si>
  <si>
    <t>https://association-les-tout-petits.org/faire-un-don/</t>
  </si>
  <si>
    <t>Movement</t>
  </si>
  <si>
    <t>Rejected</t>
  </si>
  <si>
    <t>Input</t>
  </si>
  <si>
    <t>Cumul value</t>
  </si>
  <si>
    <t>Monthly rate</t>
  </si>
  <si>
    <t>Cumul rate</t>
  </si>
  <si>
    <t>Monthly gain</t>
  </si>
  <si>
    <t>Minimum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</si>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</sst>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31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  <font>
      <b/>
      <sz val="10.0"/>
    </font>
    <font>
      <u/>
      <color rgb="FF0000FF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5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5" fillId="7" fontId="8" numFmtId="0" xfId="0" applyAlignment="1" applyBorder="1" applyFont="1">
      <alignment readingOrder="0" shrinkToFit="0" wrapText="1"/>
    </xf>
    <xf borderId="5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5" fillId="8" fontId="8" numFmtId="0" xfId="0" applyAlignment="1" applyBorder="1" applyFont="1">
      <alignment readingOrder="0" shrinkToFit="0" wrapText="1"/>
    </xf>
    <xf borderId="5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5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6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6" fillId="8" fontId="15" numFmtId="167" xfId="0" applyAlignment="1" applyBorder="1" applyFont="1" applyNumberFormat="1">
      <alignment horizontal="center" shrinkToFit="0" vertical="bottom" wrapText="1"/>
    </xf>
    <xf borderId="6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2" numFmtId="165" xfId="0" applyAlignment="1" applyFont="1" applyNumberFormat="1">
      <alignment shrinkToFit="0" wrapText="0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0" fontId="2" numFmtId="165" xfId="0" applyAlignment="1" applyBorder="1" applyFont="1" applyNumberFormat="1">
      <alignment readingOrder="0" shrinkToFit="0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2" fillId="0" fontId="1" numFmtId="165" xfId="0" applyAlignment="1" applyBorder="1" applyFont="1" applyNumberFormat="1">
      <alignment shrinkToFit="0" wrapText="1"/>
    </xf>
    <xf borderId="0" fillId="0" fontId="1" numFmtId="167" xfId="0" applyAlignment="1" applyFont="1" applyNumberFormat="1">
      <alignment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  <xf borderId="4" fillId="14" fontId="4" numFmtId="167" xfId="0" applyAlignment="1" applyBorder="1" applyFont="1" applyNumberFormat="1">
      <alignment horizontal="center" readingOrder="0" shrinkToFit="0" wrapText="1"/>
    </xf>
    <xf borderId="0" fillId="14" fontId="4" numFmtId="169" xfId="0" applyAlignment="1" applyFont="1" applyNumberFormat="1">
      <alignment horizontal="center" readingOrder="0" shrinkToFit="0" wrapText="1"/>
    </xf>
    <xf borderId="0" fillId="0" fontId="16" numFmtId="10" xfId="0" applyAlignment="1" applyFont="1" applyNumberFormat="1">
      <alignment readingOrder="0" shrinkToFit="0" wrapText="1"/>
    </xf>
    <xf borderId="0" fillId="0" fontId="28" numFmtId="165" xfId="0" applyAlignment="1" applyFont="1" applyNumberFormat="1">
      <alignment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0" fillId="3" fontId="6" numFmtId="176" xfId="0" applyAlignment="1" applyFont="1" applyNumberFormat="1">
      <alignment horizontal="center" readingOrder="0" shrinkToFit="0" vertical="bottom" wrapText="1"/>
    </xf>
    <xf borderId="0" fillId="0" fontId="29" numFmtId="0" xfId="0" applyAlignment="1" applyFont="1">
      <alignment horizontal="center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0" fontId="30" numFmtId="0" xfId="0" applyAlignment="1" applyFont="1">
      <alignment readingOrder="0" shrinkToFit="0" wrapText="1"/>
    </xf>
    <xf borderId="0" fillId="0" fontId="6" numFmtId="176" xfId="0" applyAlignment="1" applyFont="1" applyNumberFormat="1">
      <alignment horizontal="center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s://dons.restosducoeur.org/particulier/~mon-don" TargetMode="External"/><Relationship Id="rId3" Type="http://schemas.openxmlformats.org/officeDocument/2006/relationships/hyperlink" Target="https://association-les-tout-petits.org/faire-un-don/" TargetMode="External"/><Relationship Id="rId4" Type="http://schemas.openxmlformats.org/officeDocument/2006/relationships/drawing" Target="../drawings/drawing20.xml"/><Relationship Id="rId5" Type="http://schemas.openxmlformats.org/officeDocument/2006/relationships/vmlDrawing" Target="../drawings/vmlDrawing10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11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12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3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4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30</v>
      </c>
      <c r="E10" s="8">
        <f>MATCH(E1,Dashboard!$A:$A,0)</f>
        <v>31</v>
      </c>
      <c r="F10" s="8">
        <f>MATCH(F1,Dashboard!$A:$A,0)</f>
        <v>32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57</v>
      </c>
    </row>
    <row r="12" hidden="1">
      <c r="A12" s="3" t="str">
        <f t="shared" si="1"/>
        <v>Account</v>
      </c>
      <c r="B12" s="8">
        <f>MATCH(B3,Dashboard!$A:$A,0)</f>
        <v>46</v>
      </c>
      <c r="C12" s="8">
        <f>MATCH(C3,Dashboard!$A:$A,0)</f>
        <v>48</v>
      </c>
      <c r="D12" s="8">
        <f>MATCH(D3,Dashboard!$A:$A,0)</f>
        <v>47</v>
      </c>
      <c r="E12" s="8">
        <f>MATCH(E3,Dashboard!$A:$A,0)</f>
        <v>59</v>
      </c>
      <c r="F12" s="8">
        <f>MATCH(F3,Dashboard!$A:$A,0)</f>
        <v>60</v>
      </c>
    </row>
    <row r="13" hidden="1">
      <c r="A13" s="3" t="str">
        <f t="shared" si="1"/>
        <v>Portfolio</v>
      </c>
      <c r="B13" s="8">
        <f>MATCH(B4,Dashboard!$A:$A,0)</f>
        <v>35</v>
      </c>
      <c r="C13" s="8">
        <f>MATCH(C4,Dashboard!$A:$A,0)</f>
        <v>36</v>
      </c>
      <c r="D13" s="8">
        <f>MATCH(D4,Dashboard!$A:$A,0)</f>
        <v>37</v>
      </c>
      <c r="E13" s="8">
        <f>MATCH(E4,Dashboard!$A:$A,0)</f>
        <v>38</v>
      </c>
      <c r="F13" s="8">
        <f>MATCH(F4,Dashboard!$A:$A,0)</f>
        <v>39</v>
      </c>
    </row>
    <row r="14" hidden="1">
      <c r="A14" s="3" t="str">
        <f t="shared" si="1"/>
        <v>Allocations</v>
      </c>
      <c r="B14" s="8">
        <f>MATCH(B5,Dashboard!$A:$A,0)</f>
        <v>49</v>
      </c>
      <c r="C14" s="8">
        <f>MATCH(C5,Dashboard!$A:$A,0)</f>
        <v>51</v>
      </c>
      <c r="D14" s="8">
        <f>MATCH(D5,Dashboard!$A:$A,0)</f>
        <v>52</v>
      </c>
      <c r="E14" s="8">
        <f>MATCH(E5,Dashboard!$A:$A,0)</f>
        <v>50</v>
      </c>
      <c r="F14" s="8">
        <f>MATCH(F5,Dashboard!$A:$A,0)</f>
        <v>56</v>
      </c>
    </row>
    <row r="15" hidden="1">
      <c r="A15" s="3" t="str">
        <f t="shared" si="1"/>
        <v>Performances</v>
      </c>
      <c r="B15" s="8">
        <f>MATCH(B6,Dashboard!$A:$A,0)</f>
        <v>62</v>
      </c>
      <c r="C15" s="8">
        <f>MATCH(C6,Dashboard!$A:$A,0)</f>
        <v>61</v>
      </c>
      <c r="D15" s="8">
        <f>MATCH(D6,Dashboard!$A:$A,0)</f>
        <v>63</v>
      </c>
      <c r="E15" s="8">
        <f>MATCH(E6,Dashboard!$A:$A,0)</f>
        <v>21</v>
      </c>
      <c r="F15" s="8">
        <f>MATCH(F6,Dashboard!$A:$A,0)</f>
        <v>64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26</v>
      </c>
      <c r="E16" s="8">
        <f>MATCH(E7,Dashboard!$A:$A,0)</f>
        <v>27</v>
      </c>
      <c r="F16" s="8">
        <f>MATCH(F7,Dashboard!$A:$A,0)</f>
        <v>28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51</v>
      </c>
      <c r="B18" s="8">
        <f>MATCH(B9,Dashboard!$A:$A,0)</f>
        <v>35</v>
      </c>
      <c r="C18" s="8">
        <f>MATCH(C9,Dashboard!$A:$A,0)</f>
        <v>36</v>
      </c>
      <c r="D18" s="8">
        <f>MATCH(D9,Dashboard!$A:$A,0)</f>
        <v>37</v>
      </c>
      <c r="E18" s="8">
        <f>MATCH(E9,Dashboard!$A:$A,0)</f>
        <v>38</v>
      </c>
      <c r="F18" s="8">
        <f>MATCH(F9,Dashboard!$A:$A,0)</f>
        <v>59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44105</v>
      </c>
      <c r="B2" s="15">
        <f>IF($A2,-SUMIFS(Historic!$G:$G,Historic!$H:$H,"&lt;&gt;XXXXXX",Historic!$A:$A,"&lt;="&amp;$A2),)</f>
        <v>557956.97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-19.523</v>
      </c>
      <c r="H2" s="18">
        <f>IF($A2,Dashboard!$B$49,)</f>
        <v>556000</v>
      </c>
      <c r="I2" s="18">
        <f t="shared" ref="I2:I24" si="5">IF(AND($H2&lt;&gt;"",$B2-$H2&gt;0),ROUNDUP($B2-$H2),"")</f>
        <v>1957</v>
      </c>
      <c r="J2" s="15">
        <f t="shared" ref="J2:J24" si="6">IFS(ROW()=2,$G2,$A2,$G2+$J1,$A2="","")</f>
        <v>-19.523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44106</v>
      </c>
      <c r="B3" s="15">
        <f>IF($A3,-SUMIFS(Historic!$G:$G,Historic!$H:$H,"&lt;&gt;XXXXXX",Historic!$A:$A,"&lt;="&amp;$A3),)</f>
        <v>557956.97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3</v>
      </c>
      <c r="G3" s="15">
        <f t="shared" si="4"/>
        <v>-58.569</v>
      </c>
      <c r="H3" s="18">
        <f>IF($A3,Dashboard!$B$49,)</f>
        <v>556000</v>
      </c>
      <c r="I3" s="18">
        <f t="shared" si="5"/>
        <v>1957</v>
      </c>
      <c r="J3" s="15">
        <f t="shared" si="6"/>
        <v>-78.092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44109</v>
      </c>
      <c r="B4" s="15">
        <f>IF($A4,-SUMIFS(Historic!$G:$G,Historic!$H:$H,"&lt;&gt;XXXXXX",Historic!$A:$A,"&lt;="&amp;$A4),)</f>
        <v>557956.97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-19.523</v>
      </c>
      <c r="H4" s="18">
        <f>IF($A4,Dashboard!$B$49,)</f>
        <v>556000</v>
      </c>
      <c r="I4" s="18">
        <f t="shared" si="5"/>
        <v>1957</v>
      </c>
      <c r="J4" s="15">
        <f t="shared" si="6"/>
        <v>-97.615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44110</v>
      </c>
      <c r="B5" s="15">
        <f>IF($A5,-SUMIFS(Historic!$G:$G,Historic!$H:$H,"&lt;&gt;XXXXXX",Historic!$A:$A,"&lt;="&amp;$A5),)</f>
        <v>558956.97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1</v>
      </c>
      <c r="G5" s="15">
        <f t="shared" si="4"/>
        <v>-19.63411111</v>
      </c>
      <c r="H5" s="18">
        <f>IF($A5,Dashboard!$B$49,)</f>
        <v>556000</v>
      </c>
      <c r="I5" s="18">
        <f t="shared" si="5"/>
        <v>2957</v>
      </c>
      <c r="J5" s="15">
        <f t="shared" si="6"/>
        <v>-117.2491111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44111</v>
      </c>
      <c r="B6" s="15">
        <f>IF($A6,-SUMIFS(Historic!$G:$G,Historic!$H:$H,"&lt;&gt;XXXXXX",Historic!$A:$A,"&lt;="&amp;$A6),)</f>
        <v>557532.83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-19.47588889</v>
      </c>
      <c r="H6" s="18">
        <f>IF($A6,Dashboard!$B$49,)</f>
        <v>556000</v>
      </c>
      <c r="I6" s="18">
        <f t="shared" si="5"/>
        <v>1533</v>
      </c>
      <c r="J6" s="15">
        <f t="shared" si="6"/>
        <v>-136.725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44112</v>
      </c>
      <c r="B7" s="15">
        <f>IF($A7,-SUMIFS(Historic!$G:$G,Historic!$H:$H,"&lt;&gt;XXXXXX",Historic!$A:$A,"&lt;="&amp;$A7),)</f>
        <v>558855.83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-19.62288889</v>
      </c>
      <c r="H7" s="18">
        <f>IF($A7,Dashboard!$B$49,)</f>
        <v>556000</v>
      </c>
      <c r="I7" s="18">
        <f t="shared" si="5"/>
        <v>2856</v>
      </c>
      <c r="J7" s="15">
        <f t="shared" si="6"/>
        <v>-156.3478889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44113</v>
      </c>
      <c r="B8" s="15">
        <f>IF($A8,-SUMIFS(Historic!$G:$G,Historic!$H:$H,"&lt;&gt;XXXXXX",Historic!$A:$A,"&lt;="&amp;$A8),)</f>
        <v>810600.97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3</v>
      </c>
      <c r="G8" s="15">
        <f t="shared" si="4"/>
        <v>-142.7836667</v>
      </c>
      <c r="H8" s="18">
        <f>IF($A8,Dashboard!$B$49,)</f>
        <v>556000</v>
      </c>
      <c r="I8" s="18">
        <f t="shared" si="5"/>
        <v>254601</v>
      </c>
      <c r="J8" s="15">
        <f t="shared" si="6"/>
        <v>-299.1315556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44116</v>
      </c>
      <c r="B9" s="15">
        <f>IF($A9,-SUMIFS(Historic!$G:$G,Historic!$H:$H,"&lt;&gt;XXXXXX",Historic!$A:$A,"&lt;="&amp;$A9),)</f>
        <v>810600.97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-47.59455556</v>
      </c>
      <c r="H9" s="18">
        <f>IF($A9,Dashboard!$B$49,)</f>
        <v>556000</v>
      </c>
      <c r="I9" s="18">
        <f t="shared" si="5"/>
        <v>254601</v>
      </c>
      <c r="J9" s="15">
        <f t="shared" si="6"/>
        <v>-346.7261111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44117</v>
      </c>
      <c r="B10" s="15">
        <f>IF($A10,-SUMIFS(Historic!$G:$G,Historic!$H:$H,"&lt;&gt;XXXXXX",Historic!$A:$A,"&lt;="&amp;$A10),)</f>
        <v>810600.97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1</v>
      </c>
      <c r="G10" s="15">
        <f t="shared" si="4"/>
        <v>-47.59455556</v>
      </c>
      <c r="H10" s="18">
        <f>IF($A10,Dashboard!$B$49,)</f>
        <v>556000</v>
      </c>
      <c r="I10" s="18">
        <f t="shared" si="5"/>
        <v>254601</v>
      </c>
      <c r="J10" s="15">
        <f t="shared" si="6"/>
        <v>-394.3206667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44118</v>
      </c>
      <c r="B11" s="15">
        <f>IF($A11,-SUMIFS(Historic!$G:$G,Historic!$H:$H,"&lt;&gt;XXXXXX",Historic!$A:$A,"&lt;="&amp;$A11),)</f>
        <v>810600.97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-47.59455556</v>
      </c>
      <c r="H11" s="18">
        <f>IF($A11,Dashboard!$B$49,)</f>
        <v>556000</v>
      </c>
      <c r="I11" s="18">
        <f t="shared" si="5"/>
        <v>254601</v>
      </c>
      <c r="J11" s="15">
        <f t="shared" si="6"/>
        <v>-441.9152222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44119</v>
      </c>
      <c r="B12" s="15">
        <f>IF($A12,-SUMIFS(Historic!$G:$G,Historic!$H:$H,"&lt;&gt;XXXXXX",Historic!$A:$A,"&lt;="&amp;$A12),)</f>
        <v>810600.97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-47.59455556</v>
      </c>
      <c r="H12" s="18">
        <f>IF($A12,Dashboard!$B$49,)</f>
        <v>556000</v>
      </c>
      <c r="I12" s="18">
        <f t="shared" si="5"/>
        <v>254601</v>
      </c>
      <c r="J12" s="15">
        <f t="shared" si="6"/>
        <v>-489.5097778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44120</v>
      </c>
      <c r="B13" s="15">
        <f>IF($A13,-SUMIFS(Historic!$G:$G,Historic!$H:$H,"&lt;&gt;XXXXXX",Historic!$A:$A,"&lt;="&amp;$A13),)</f>
        <v>810600.97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3</v>
      </c>
      <c r="G13" s="15">
        <f t="shared" si="4"/>
        <v>-142.7836667</v>
      </c>
      <c r="H13" s="18">
        <f>IF($A13,Dashboard!$B$49,)</f>
        <v>556000</v>
      </c>
      <c r="I13" s="18">
        <f t="shared" si="5"/>
        <v>254601</v>
      </c>
      <c r="J13" s="15">
        <f t="shared" si="6"/>
        <v>-632.2934444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44123</v>
      </c>
      <c r="B14" s="15">
        <f>IF($A14,-SUMIFS(Historic!$G:$G,Historic!$H:$H,"&lt;&gt;XXXXXX",Historic!$A:$A,"&lt;="&amp;$A14),)</f>
        <v>810600.97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-47.59455556</v>
      </c>
      <c r="H14" s="18">
        <f>IF($A14,Dashboard!$B$49,)</f>
        <v>556000</v>
      </c>
      <c r="I14" s="18">
        <f t="shared" si="5"/>
        <v>254601</v>
      </c>
      <c r="J14" s="15">
        <f t="shared" si="6"/>
        <v>-679.888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44124</v>
      </c>
      <c r="B15" s="15">
        <f>IF($A15,-SUMIFS(Historic!$G:$G,Historic!$H:$H,"&lt;&gt;XXXXXX",Historic!$A:$A,"&lt;="&amp;$A15),)</f>
        <v>810600.97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1</v>
      </c>
      <c r="G15" s="15">
        <f t="shared" si="4"/>
        <v>-47.59455556</v>
      </c>
      <c r="H15" s="18">
        <f>IF($A15,Dashboard!$B$49,)</f>
        <v>556000</v>
      </c>
      <c r="I15" s="18">
        <f t="shared" si="5"/>
        <v>254601</v>
      </c>
      <c r="J15" s="15">
        <f t="shared" si="6"/>
        <v>-727.4825556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44125</v>
      </c>
      <c r="B16" s="15">
        <f>IF($A16,-SUMIFS(Historic!$G:$G,Historic!$H:$H,"&lt;&gt;XXXXXX",Historic!$A:$A,"&lt;="&amp;$A16),)</f>
        <v>810600.97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-47.59455556</v>
      </c>
      <c r="H16" s="18">
        <f>IF($A16,Dashboard!$B$49,)</f>
        <v>556000</v>
      </c>
      <c r="I16" s="18">
        <f t="shared" si="5"/>
        <v>254601</v>
      </c>
      <c r="J16" s="15">
        <f t="shared" si="6"/>
        <v>-775.0771111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44126</v>
      </c>
      <c r="B17" s="15">
        <f>IF($A17,-SUMIFS(Historic!$G:$G,Historic!$H:$H,"&lt;&gt;XXXXXX",Historic!$A:$A,"&lt;="&amp;$A17),)</f>
        <v>810600.97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-47.59455556</v>
      </c>
      <c r="H17" s="18">
        <f>IF($A17,Dashboard!$B$49,)</f>
        <v>556000</v>
      </c>
      <c r="I17" s="18">
        <f t="shared" si="5"/>
        <v>254601</v>
      </c>
      <c r="J17" s="15">
        <f t="shared" si="6"/>
        <v>-822.6716667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44127</v>
      </c>
      <c r="B18" s="15">
        <f>IF($A18,-SUMIFS(Historic!$G:$G,Historic!$H:$H,"&lt;&gt;XXXXXX",Historic!$A:$A,"&lt;="&amp;$A18),)</f>
        <v>810600.97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3</v>
      </c>
      <c r="G18" s="15">
        <f t="shared" si="4"/>
        <v>-142.7836667</v>
      </c>
      <c r="H18" s="18">
        <f>IF($A18,Dashboard!$B$49,)</f>
        <v>556000</v>
      </c>
      <c r="I18" s="18">
        <f t="shared" si="5"/>
        <v>254601</v>
      </c>
      <c r="J18" s="15">
        <f t="shared" si="6"/>
        <v>-965.4553333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44130</v>
      </c>
      <c r="B19" s="15">
        <f>IF($A19,-SUMIFS(Historic!$G:$G,Historic!$H:$H,"&lt;&gt;XXXXXX",Historic!$A:$A,"&lt;="&amp;$A19),)</f>
        <v>810600.97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-47.59455556</v>
      </c>
      <c r="H19" s="18">
        <f>IF($A19,Dashboard!$B$49,)</f>
        <v>556000</v>
      </c>
      <c r="I19" s="18">
        <f t="shared" si="5"/>
        <v>254601</v>
      </c>
      <c r="J19" s="15">
        <f t="shared" si="6"/>
        <v>-1013.049889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44131</v>
      </c>
      <c r="B20" s="15">
        <f>IF($A20,-SUMIFS(Historic!$G:$G,Historic!$H:$H,"&lt;&gt;XXXXXX",Historic!$A:$A,"&lt;="&amp;$A20),)</f>
        <v>810600.97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1</v>
      </c>
      <c r="G20" s="15">
        <f t="shared" si="4"/>
        <v>-47.59455556</v>
      </c>
      <c r="H20" s="18">
        <f>IF($A20,Dashboard!$B$49,)</f>
        <v>556000</v>
      </c>
      <c r="I20" s="18">
        <f t="shared" si="5"/>
        <v>254601</v>
      </c>
      <c r="J20" s="15">
        <f t="shared" si="6"/>
        <v>-1060.644444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44132</v>
      </c>
      <c r="B21" s="15">
        <f>IF($A21,-SUMIFS(Historic!$G:$G,Historic!$H:$H,"&lt;&gt;XXXXXX",Historic!$A:$A,"&lt;="&amp;$A21),)</f>
        <v>810600.97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-47.59455556</v>
      </c>
      <c r="H21" s="18">
        <f>IF($A21,Dashboard!$B$49,)</f>
        <v>556000</v>
      </c>
      <c r="I21" s="18">
        <f t="shared" si="5"/>
        <v>254601</v>
      </c>
      <c r="J21" s="15">
        <f t="shared" si="6"/>
        <v>-1108.239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44133</v>
      </c>
      <c r="B22" s="15">
        <f>IF($A22,-SUMIFS(Historic!$G:$G,Historic!$H:$H,"&lt;&gt;XXXXXX",Historic!$A:$A,"&lt;="&amp;$A22),)</f>
        <v>810600.97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-47.59455556</v>
      </c>
      <c r="H22" s="18">
        <f>IF($A22,Dashboard!$B$49,)</f>
        <v>556000</v>
      </c>
      <c r="I22" s="18">
        <f t="shared" si="5"/>
        <v>254601</v>
      </c>
      <c r="J22" s="15">
        <f t="shared" si="6"/>
        <v>-1155.833556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44134</v>
      </c>
      <c r="B23" s="15">
        <f>IF($A23,-SUMIFS(Historic!$G:$G,Historic!$H:$H,"&lt;&gt;XXXXXX",Historic!$A:$A,"&lt;="&amp;$A23),)</f>
        <v>810600.97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3</v>
      </c>
      <c r="G23" s="15">
        <f t="shared" si="4"/>
        <v>-142.7836667</v>
      </c>
      <c r="H23" s="18">
        <f>IF($A23,Dashboard!$B$49,)</f>
        <v>556000</v>
      </c>
      <c r="I23" s="18">
        <f t="shared" si="5"/>
        <v>254601</v>
      </c>
      <c r="J23" s="15">
        <f t="shared" si="6"/>
        <v>-1298.617222</v>
      </c>
    </row>
    <row r="24">
      <c r="A24" s="14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5" t="str">
        <f>IF($A24,-SUMIFS(Historic!$G:$G,Historic!$H:$H,"&lt;&gt;XXXXXX",Historic!$A:$A,"&lt;="&amp;$A24),)</f>
        <v/>
      </c>
      <c r="C24" s="16" t="str">
        <f t="shared" si="1"/>
        <v/>
      </c>
      <c r="D24" s="16"/>
      <c r="E24" s="16" t="str">
        <f t="shared" si="2"/>
        <v/>
      </c>
      <c r="F24" s="17" t="str">
        <f t="shared" si="3"/>
        <v/>
      </c>
      <c r="G24" s="19" t="str">
        <f t="shared" si="4"/>
        <v/>
      </c>
      <c r="H24" s="18" t="str">
        <f>IF($A24,Dashboard!$B$49,)</f>
        <v/>
      </c>
      <c r="I24" s="18" t="str">
        <f t="shared" si="5"/>
        <v/>
      </c>
      <c r="J24" s="15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2.57"/>
    <col customWidth="1" min="7" max="7" width="6.86"/>
    <col customWidth="1" min="8" max="8" width="11.71"/>
    <col customWidth="1" min="9" max="9" width="10.57"/>
    <col customWidth="1" min="10" max="10" width="5.86"/>
    <col customWidth="1" min="11" max="11" width="10.86"/>
    <col customWidth="1" min="12" max="12" width="11.0"/>
    <col customWidth="1" min="13" max="13" width="5.29"/>
    <col customWidth="1" min="14" max="14" width="10.0"/>
    <col customWidth="1" min="15" max="15" width="18.14"/>
    <col customWidth="1" min="16" max="16" width="10.43"/>
    <col customWidth="1" min="17" max="17" width="29.71"/>
    <col customWidth="1" min="18" max="18" width="36.14"/>
    <col customWidth="1" min="19" max="19" width="21.71"/>
    <col customWidth="1" min="20" max="20" width="11.57"/>
    <col customWidth="1" min="21" max="21" width="8.57"/>
    <col customWidth="1" min="22" max="22" width="10.0"/>
    <col customWidth="1" min="23" max="27" width="9.57"/>
    <col customWidth="1" min="28" max="28" width="10.43"/>
    <col customWidth="1" min="29" max="37" width="9.57"/>
  </cols>
  <sheetData>
    <row r="1">
      <c r="A1" s="20" t="s">
        <v>46</v>
      </c>
      <c r="B1" s="20" t="s">
        <v>56</v>
      </c>
      <c r="C1" s="20" t="s">
        <v>57</v>
      </c>
      <c r="D1" s="20" t="s">
        <v>58</v>
      </c>
      <c r="E1" s="20" t="s">
        <v>59</v>
      </c>
      <c r="F1" s="21" t="s">
        <v>60</v>
      </c>
      <c r="G1" s="20" t="s">
        <v>61</v>
      </c>
      <c r="H1" s="20" t="s">
        <v>62</v>
      </c>
      <c r="I1" s="20"/>
      <c r="J1" s="20" t="s">
        <v>63</v>
      </c>
      <c r="K1" s="20"/>
      <c r="L1" s="21" t="s">
        <v>64</v>
      </c>
      <c r="M1" s="22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3"/>
      <c r="O1" s="24"/>
      <c r="P1" s="25" t="s">
        <v>46</v>
      </c>
      <c r="Q1" s="26" t="s">
        <v>65</v>
      </c>
      <c r="R1" s="27" t="s">
        <v>66</v>
      </c>
      <c r="S1" s="26" t="s">
        <v>67</v>
      </c>
      <c r="T1" s="26" t="s">
        <v>68</v>
      </c>
      <c r="U1" s="28" t="s">
        <v>69</v>
      </c>
      <c r="V1" s="29" t="s">
        <v>70</v>
      </c>
      <c r="W1" s="30"/>
      <c r="X1" s="31"/>
      <c r="Y1" s="31"/>
      <c r="Z1" s="30"/>
      <c r="AA1" s="31"/>
      <c r="AB1" s="30"/>
      <c r="AC1" s="32"/>
      <c r="AD1" s="32"/>
      <c r="AE1" s="32"/>
      <c r="AF1" s="32"/>
      <c r="AG1" s="32"/>
      <c r="AH1" s="32"/>
      <c r="AI1" s="32"/>
      <c r="AJ1" s="32"/>
      <c r="AK1" s="32"/>
    </row>
    <row r="2">
      <c r="A2" s="20" t="s">
        <v>71</v>
      </c>
      <c r="B2" s="20" t="s">
        <v>72</v>
      </c>
      <c r="C2" s="20" t="s">
        <v>71</v>
      </c>
      <c r="D2" s="20" t="s">
        <v>73</v>
      </c>
      <c r="E2" s="20" t="s">
        <v>74</v>
      </c>
      <c r="F2" s="21" t="s">
        <v>75</v>
      </c>
      <c r="G2" s="20"/>
      <c r="H2" s="20" t="s">
        <v>76</v>
      </c>
      <c r="I2" s="20" t="s">
        <v>77</v>
      </c>
      <c r="J2" s="20" t="s">
        <v>76</v>
      </c>
      <c r="K2" s="20" t="s">
        <v>78</v>
      </c>
      <c r="L2" s="21" t="s">
        <v>79</v>
      </c>
      <c r="M2" s="33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4">
        <f>IFERROR(__xludf.DUMMYFUNCTION("IF(Account!$F2&lt;&gt;"""", VALUE(REGEXREPLACE($I2, ""\,"", ""."")), """")"),-29.68)</f>
        <v>-29.68</v>
      </c>
      <c r="O2" s="35">
        <f>IF(Account!$F2&lt;&gt;"", DATEVALUE(MID($A2,4,3) &amp; LEFT($A2,3) &amp; RIGHT($A2,4)) + TIMEVALUE($B2), "")</f>
        <v>44113.64722</v>
      </c>
      <c r="P2" s="36">
        <f>IF(Account!$F2&lt;&gt;"", DATEVALUE(MID($C2,4,3) &amp; LEFT($C2,3) &amp; RIGHT($C2,4)), "")</f>
        <v>44113</v>
      </c>
      <c r="Q2" s="37" t="str">
        <f t="array" ref="Q2">IF($R2&lt;&gt;"",IFERROR(INDEX(ISIN!$B:$B,MATCH($R2,ISIN!$C:$C,0))),)</f>
        <v>Long term US bonds (20-25 year)</v>
      </c>
      <c r="R2" s="38" t="str">
        <f t="array" ref="R2">IF($E2&lt;&gt;"",IFERROR(INDEX(ISIN!$C:$C,MATCH($E2,ISIN!$A:$A,0)),IFERROR(INDEX($R3:$R1200,MATCH($K2,$K3:$K1200,0)))),IF(AND($Y2="change",$H2="EUR"),IF($O2=$O3,$R3,IF($O2=$O1,$R1)),IFERROR(INDEX($R3:$R1200,MATCH(SUBSTITUTE($I2,"-","",1),$K3:$K1200,0)))))</f>
        <v>iShares Treasury Bond 20+ UCITS</v>
      </c>
      <c r="S2" s="37" t="str">
        <f t="shared" ref="S2:S1200" si="1">IFS(P2="","",OR(W2="Versement",W2="Dépôt",W2="Retrait"),"APPROVISIONNEMENT",OR(W2="Frais",Y2="Argent",W2="Distribution",W2="Conversion",R2="",AND(M2=0,ABS(N2)&lt;10)),"COST",T2="","DIVIDEND",T2&gt;0,"BUY",T2&lt;0,"SELL")</f>
        <v>COST</v>
      </c>
      <c r="T2" s="39" t="str">
        <f t="shared" ref="T2:T1200" si="2">IF(AND(OR($W2="Achat",$W2="Vente", $Y2="change"),OR(M2&lt;&gt;0,ABS(N2)&gt;=10),E2&lt;&gt;""),IF(SUMIFS(M:M,O:O,O2,R:R,R2)&lt;&gt;0,SUMIFS(M:M,O:O,O2,R:R,R2),""),"")</f>
        <v/>
      </c>
      <c r="U2" s="40" t="str">
        <f t="shared" ref="U2:U1200" si="3">IF(AND(T2&lt;&gt;0,T2&lt;&gt;""),-V2/T2,"")</f>
        <v/>
      </c>
      <c r="V2" s="34">
        <f t="shared" ref="V2:V1200" si="4"> IF(AND($F2&lt;&gt;"",$W2&lt;&gt;"Processed"),IF(R2&lt;&gt;"",SUMIFS(N:N,O:O,O2,S:S,S2,R:R,R2),SUMIFS(N:N,O:O,O2,S:S,S2,R:R,"=")),"")</f>
        <v>-52</v>
      </c>
      <c r="W2" s="41" t="str">
        <f>IFERROR(__xludf.DUMMYFUNCTION(" IF(Account!$F2&lt;&gt;"""", SPLIT(Account!$F2, "" ""), """")"),"Frais")</f>
        <v>Frais</v>
      </c>
      <c r="X2" s="42" t="str">
        <f>IFERROR(__xludf.DUMMYFUNCTION("""COMPUTED_VALUE"""),"de")</f>
        <v>de</v>
      </c>
      <c r="Y2" s="43" t="str">
        <f>IFERROR(__xludf.DUMMYFUNCTION("""COMPUTED_VALUE"""),"courtage")</f>
        <v>courtage</v>
      </c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>
      <c r="A3" s="20" t="s">
        <v>71</v>
      </c>
      <c r="B3" s="20" t="s">
        <v>72</v>
      </c>
      <c r="C3" s="20" t="s">
        <v>71</v>
      </c>
      <c r="D3" s="20" t="s">
        <v>73</v>
      </c>
      <c r="E3" s="20" t="s">
        <v>74</v>
      </c>
      <c r="F3" s="21" t="s">
        <v>80</v>
      </c>
      <c r="G3" s="20"/>
      <c r="H3" s="20" t="s">
        <v>76</v>
      </c>
      <c r="I3" s="20" t="s">
        <v>81</v>
      </c>
      <c r="J3" s="20" t="s">
        <v>76</v>
      </c>
      <c r="K3" s="20" t="s">
        <v>82</v>
      </c>
      <c r="L3" s="21" t="s">
        <v>79</v>
      </c>
      <c r="M3" s="33">
        <f>IFERROR(__xludf.DUMMYFUNCTION("IFS(W3=""Achat"",IFERROR(VALUE(X3),VALUE(REGEXREPLACE(T(X3),""[^0-9]"",""""))),W3=""Vente"",-IFERROR(VALUE(X3),VALUE(REGEXREPLACE(T(X3),""[^0-9]"",""""))),Y3=""Change"",0,Y3&lt;&gt;""Change"","""")"),29395.0)</f>
        <v>29395</v>
      </c>
      <c r="N3" s="34">
        <f>IFERROR(__xludf.DUMMYFUNCTION("IF(Account!$F3&lt;&gt;"""", VALUE(REGEXREPLACE($I3, ""\,"", ""."")), """")"),-148415.36)</f>
        <v>-148415.36</v>
      </c>
      <c r="O3" s="35">
        <f>IF(Account!$F3&lt;&gt;"", DATEVALUE(MID($A3,4,3) &amp; LEFT($A3,3) &amp; RIGHT($A3,4)) + TIMEVALUE($B3), "")</f>
        <v>44113.64722</v>
      </c>
      <c r="P3" s="36">
        <f>IF(Account!$F3&lt;&gt;"", DATEVALUE(MID($C3,4,3) &amp; LEFT($C3,3) &amp; RIGHT($C3,4)), "")</f>
        <v>44113</v>
      </c>
      <c r="Q3" s="37" t="str">
        <f t="array" ref="Q3">IF($R3&lt;&gt;"",IFERROR(INDEX(ISIN!$B:$B,MATCH($R3,ISIN!$C:$C,0))),)</f>
        <v>Long term US bonds (20-25 year)</v>
      </c>
      <c r="R3" s="38" t="str">
        <f t="array" ref="R3">IF($E3&lt;&gt;"",IFERROR(INDEX(ISIN!$C:$C,MATCH($E3,ISIN!$A:$A,0)),IFERROR(INDEX($R4:$R1200,MATCH($K3,$K4:$K1200,0)))),IF(AND($Y3="change",$H3="EUR"),IF($O3=$O4,$R4,IF($O3=$O2,$R2)),IFERROR(INDEX($R4:$R1200,MATCH(SUBSTITUTE($I3,"-","",1),$K4:$K1200,0)))))</f>
        <v>iShares Treasury Bond 20+ UCITS</v>
      </c>
      <c r="S3" s="37" t="str">
        <f t="shared" si="1"/>
        <v>BUY</v>
      </c>
      <c r="T3" s="39">
        <f t="shared" si="2"/>
        <v>49514</v>
      </c>
      <c r="U3" s="40">
        <f t="shared" si="3"/>
        <v>5.049000081</v>
      </c>
      <c r="V3" s="34">
        <f t="shared" si="4"/>
        <v>-249996.19</v>
      </c>
      <c r="W3" s="41" t="str">
        <f>IFERROR(__xludf.DUMMYFUNCTION(" IF(Account!$F3&lt;&gt;"""", SPLIT(Account!$F3, "" ""), """")"),"Achat")</f>
        <v>Achat</v>
      </c>
      <c r="X3" s="42" t="str">
        <f>IFERROR(__xludf.DUMMYFUNCTION("""COMPUTED_VALUE"""),"29 395")</f>
        <v>29 395</v>
      </c>
      <c r="Y3" s="43" t="str">
        <f>IFERROR(__xludf.DUMMYFUNCTION("""COMPUTED_VALUE"""),"iShares")</f>
        <v>iShares</v>
      </c>
      <c r="Z3" s="43" t="str">
        <f>IFERROR(__xludf.DUMMYFUNCTION("""COMPUTED_VALUE"""),"$")</f>
        <v>$</v>
      </c>
      <c r="AA3" s="43" t="str">
        <f>IFERROR(__xludf.DUMMYFUNCTION("""COMPUTED_VALUE"""),"Treasury")</f>
        <v>Treasury</v>
      </c>
      <c r="AB3" s="43" t="str">
        <f>IFERROR(__xludf.DUMMYFUNCTION("""COMPUTED_VALUE"""),"Bond")</f>
        <v>Bond</v>
      </c>
      <c r="AC3" s="43" t="str">
        <f>IFERROR(__xludf.DUMMYFUNCTION("""COMPUTED_VALUE"""),"20+yr")</f>
        <v>20+yr</v>
      </c>
      <c r="AD3" s="43" t="str">
        <f>IFERROR(__xludf.DUMMYFUNCTION("""COMPUTED_VALUE"""),"UCITS")</f>
        <v>UCITS</v>
      </c>
      <c r="AE3" s="43" t="str">
        <f>IFERROR(__xludf.DUMMYFUNCTION("""COMPUTED_VALUE"""),"ETF")</f>
        <v>ETF</v>
      </c>
      <c r="AF3" s="43" t="str">
        <f>IFERROR(__xludf.DUMMYFUNCTION("""COMPUTED_VALUE"""),"USD")</f>
        <v>USD</v>
      </c>
      <c r="AG3" s="43" t="str">
        <f>IFERROR(__xludf.DUMMYFUNCTION("""COMPUTED_VALUE"""),"(Dist)@5,049")</f>
        <v>(Dist)@5,049</v>
      </c>
      <c r="AH3" s="43" t="str">
        <f>IFERROR(__xludf.DUMMYFUNCTION("""COMPUTED_VALUE"""),"EUR")</f>
        <v>EUR</v>
      </c>
      <c r="AI3" s="43" t="str">
        <f>IFERROR(__xludf.DUMMYFUNCTION("""COMPUTED_VALUE"""),"(IE00BSKRJZ44)")</f>
        <v>(IE00BSKRJZ44)</v>
      </c>
      <c r="AJ3" s="43"/>
      <c r="AK3" s="43"/>
    </row>
    <row r="4">
      <c r="A4" s="20" t="s">
        <v>71</v>
      </c>
      <c r="B4" s="20" t="s">
        <v>72</v>
      </c>
      <c r="C4" s="20" t="s">
        <v>71</v>
      </c>
      <c r="D4" s="20" t="s">
        <v>73</v>
      </c>
      <c r="E4" s="20" t="s">
        <v>74</v>
      </c>
      <c r="F4" s="21" t="s">
        <v>75</v>
      </c>
      <c r="G4" s="20"/>
      <c r="H4" s="20" t="s">
        <v>76</v>
      </c>
      <c r="I4" s="20" t="s">
        <v>83</v>
      </c>
      <c r="J4" s="20" t="s">
        <v>76</v>
      </c>
      <c r="K4" s="20" t="s">
        <v>84</v>
      </c>
      <c r="L4" s="21" t="s">
        <v>79</v>
      </c>
      <c r="M4" s="33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4">
        <f>IFERROR(__xludf.DUMMYFUNCTION("IF(Account!$F4&lt;&gt;"""", VALUE(REGEXREPLACE($I4, ""\,"", ""."")), """")"),-2.0)</f>
        <v>-2</v>
      </c>
      <c r="O4" s="35">
        <f>IF(Account!$F4&lt;&gt;"", DATEVALUE(MID($A4,4,3) &amp; LEFT($A4,3) &amp; RIGHT($A4,4)) + TIMEVALUE($B4), "")</f>
        <v>44113.64722</v>
      </c>
      <c r="P4" s="36">
        <f>IF(Account!$F4&lt;&gt;"", DATEVALUE(MID($C4,4,3) &amp; LEFT($C4,3) &amp; RIGHT($C4,4)), "")</f>
        <v>44113</v>
      </c>
      <c r="Q4" s="37" t="str">
        <f t="array" ref="Q4">IF($R4&lt;&gt;"",IFERROR(INDEX(ISIN!$B:$B,MATCH($R4,ISIN!$C:$C,0))),)</f>
        <v>Long term US bonds (20-25 year)</v>
      </c>
      <c r="R4" s="38" t="str">
        <f t="array" ref="R4">IF($E4&lt;&gt;"",IFERROR(INDEX(ISIN!$C:$C,MATCH($E4,ISIN!$A:$A,0)),IFERROR(INDEX($R5:$R1200,MATCH($K4,$K5:$K1200,0)))),IF(AND($Y4="change",$H4="EUR"),IF($O4=$O5,$R5,IF($O4=$O3,$R3)),IFERROR(INDEX($R5:$R1200,MATCH(SUBSTITUTE($I4,"-","",1),$K5:$K1200,0)))))</f>
        <v>iShares Treasury Bond 20+ UCITS</v>
      </c>
      <c r="S4" s="37" t="str">
        <f t="shared" si="1"/>
        <v>COST</v>
      </c>
      <c r="T4" s="39" t="str">
        <f t="shared" si="2"/>
        <v/>
      </c>
      <c r="U4" s="40" t="str">
        <f t="shared" si="3"/>
        <v/>
      </c>
      <c r="V4" s="34">
        <f t="shared" si="4"/>
        <v>-52</v>
      </c>
      <c r="W4" s="41" t="str">
        <f>IFERROR(__xludf.DUMMYFUNCTION(" IF(Account!$F4&lt;&gt;"""", SPLIT(Account!$F4, "" ""), """")"),"Frais")</f>
        <v>Frais</v>
      </c>
      <c r="X4" s="44" t="str">
        <f>IFERROR(__xludf.DUMMYFUNCTION("""COMPUTED_VALUE"""),"de")</f>
        <v>de</v>
      </c>
      <c r="Y4" s="44" t="str">
        <f>IFERROR(__xludf.DUMMYFUNCTION("""COMPUTED_VALUE"""),"courtage")</f>
        <v>courtage</v>
      </c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</row>
    <row r="5">
      <c r="A5" s="20" t="s">
        <v>71</v>
      </c>
      <c r="B5" s="20" t="s">
        <v>72</v>
      </c>
      <c r="C5" s="20" t="s">
        <v>71</v>
      </c>
      <c r="D5" s="20" t="s">
        <v>73</v>
      </c>
      <c r="E5" s="20" t="s">
        <v>74</v>
      </c>
      <c r="F5" s="21" t="s">
        <v>75</v>
      </c>
      <c r="G5" s="20"/>
      <c r="H5" s="20" t="s">
        <v>76</v>
      </c>
      <c r="I5" s="20" t="s">
        <v>85</v>
      </c>
      <c r="J5" s="20" t="s">
        <v>76</v>
      </c>
      <c r="K5" s="20" t="s">
        <v>86</v>
      </c>
      <c r="L5" s="21" t="s">
        <v>79</v>
      </c>
      <c r="M5" s="33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4">
        <f>IFERROR(__xludf.DUMMYFUNCTION("IF(Account!$F5&lt;&gt;"""", VALUE(REGEXREPLACE($I5, ""\,"", ""."")), """")"),-20.32)</f>
        <v>-20.32</v>
      </c>
      <c r="O5" s="35">
        <f>IF(Account!$F5&lt;&gt;"", DATEVALUE(MID($A5,4,3) &amp; LEFT($A5,3) &amp; RIGHT($A5,4)) + TIMEVALUE($B5), "")</f>
        <v>44113.64722</v>
      </c>
      <c r="P5" s="36">
        <f>IF(Account!$F5&lt;&gt;"", DATEVALUE(MID($C5,4,3) &amp; LEFT($C5,3) &amp; RIGHT($C5,4)), "")</f>
        <v>44113</v>
      </c>
      <c r="Q5" s="37" t="str">
        <f t="array" ref="Q5">IF($R5&lt;&gt;"",IFERROR(INDEX(ISIN!$B:$B,MATCH($R5,ISIN!$C:$C,0))),)</f>
        <v>Long term US bonds (20-25 year)</v>
      </c>
      <c r="R5" s="38" t="str">
        <f t="array" ref="R5">IF($E5&lt;&gt;"",IFERROR(INDEX(ISIN!$C:$C,MATCH($E5,ISIN!$A:$A,0)),IFERROR(INDEX($R6:$R1200,MATCH($K5,$K6:$K1200,0)))),IF(AND($Y5="change",$H5="EUR"),IF($O5=$O6,$R6,IF($O5=$O4,$R4)),IFERROR(INDEX($R6:$R1200,MATCH(SUBSTITUTE($I5,"-","",1),$K6:$K1200,0)))))</f>
        <v>iShares Treasury Bond 20+ UCITS</v>
      </c>
      <c r="S5" s="37" t="str">
        <f t="shared" si="1"/>
        <v>COST</v>
      </c>
      <c r="T5" s="39" t="str">
        <f t="shared" si="2"/>
        <v/>
      </c>
      <c r="U5" s="40" t="str">
        <f t="shared" si="3"/>
        <v/>
      </c>
      <c r="V5" s="34">
        <f t="shared" si="4"/>
        <v>-52</v>
      </c>
      <c r="W5" s="41" t="str">
        <f>IFERROR(__xludf.DUMMYFUNCTION(" IF(Account!$F5&lt;&gt;"""", SPLIT(Account!$F5, "" ""), """")"),"Frais")</f>
        <v>Frais</v>
      </c>
      <c r="X5" s="44" t="str">
        <f>IFERROR(__xludf.DUMMYFUNCTION("""COMPUTED_VALUE"""),"de")</f>
        <v>de</v>
      </c>
      <c r="Y5" s="44" t="str">
        <f>IFERROR(__xludf.DUMMYFUNCTION("""COMPUTED_VALUE"""),"courtage")</f>
        <v>courtage</v>
      </c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>
      <c r="A6" s="20" t="s">
        <v>71</v>
      </c>
      <c r="B6" s="20" t="s">
        <v>72</v>
      </c>
      <c r="C6" s="20" t="s">
        <v>71</v>
      </c>
      <c r="D6" s="20" t="s">
        <v>73</v>
      </c>
      <c r="E6" s="20" t="s">
        <v>74</v>
      </c>
      <c r="F6" s="21" t="s">
        <v>87</v>
      </c>
      <c r="G6" s="20"/>
      <c r="H6" s="20" t="s">
        <v>76</v>
      </c>
      <c r="I6" s="20" t="s">
        <v>88</v>
      </c>
      <c r="J6" s="20" t="s">
        <v>76</v>
      </c>
      <c r="K6" s="20" t="s">
        <v>89</v>
      </c>
      <c r="L6" s="21" t="s">
        <v>79</v>
      </c>
      <c r="M6" s="33">
        <f>IFERROR(__xludf.DUMMYFUNCTION("IFS(W6=""Achat"",IFERROR(VALUE(X6),VALUE(REGEXREPLACE(T(X6),""[^0-9]"",""""))),W6=""Vente"",-IFERROR(VALUE(X6),VALUE(REGEXREPLACE(T(X6),""[^0-9]"",""""))),Y6=""Change"",0,Y6&lt;&gt;""Change"","""")"),20119.0)</f>
        <v>20119</v>
      </c>
      <c r="N6" s="34">
        <f>IFERROR(__xludf.DUMMYFUNCTION("IF(Account!$F6&lt;&gt;"""", VALUE(REGEXREPLACE($I6, ""\,"", ""."")), """")"),-101580.83)</f>
        <v>-101580.83</v>
      </c>
      <c r="O6" s="35">
        <f>IF(Account!$F6&lt;&gt;"", DATEVALUE(MID($A6,4,3) &amp; LEFT($A6,3) &amp; RIGHT($A6,4)) + TIMEVALUE($B6), "")</f>
        <v>44113.64722</v>
      </c>
      <c r="P6" s="36">
        <f>IF(Account!$F6&lt;&gt;"", DATEVALUE(MID($C6,4,3) &amp; LEFT($C6,3) &amp; RIGHT($C6,4)), "")</f>
        <v>44113</v>
      </c>
      <c r="Q6" s="37" t="str">
        <f t="array" ref="Q6">IF($R6&lt;&gt;"",IFERROR(INDEX(ISIN!$B:$B,MATCH($R6,ISIN!$C:$C,0))),)</f>
        <v>Long term US bonds (20-25 year)</v>
      </c>
      <c r="R6" s="38" t="str">
        <f t="array" ref="R6">IF($E6&lt;&gt;"",IFERROR(INDEX(ISIN!$C:$C,MATCH($E6,ISIN!$A:$A,0)),IFERROR(INDEX($R7:$R1200,MATCH($K6,$K7:$K1200,0)))),IF(AND($Y6="change",$H6="EUR"),IF($O6=$O7,$R7,IF($O6=$O5,$R5)),IFERROR(INDEX($R7:$R1200,MATCH(SUBSTITUTE($I6,"-","",1),$K7:$K1200,0)))))</f>
        <v>iShares Treasury Bond 20+ UCITS</v>
      </c>
      <c r="S6" s="37" t="str">
        <f t="shared" si="1"/>
        <v>BUY</v>
      </c>
      <c r="T6" s="39">
        <f t="shared" si="2"/>
        <v>49514</v>
      </c>
      <c r="U6" s="40">
        <f t="shared" si="3"/>
        <v>5.049000081</v>
      </c>
      <c r="V6" s="34">
        <f t="shared" si="4"/>
        <v>-249996.19</v>
      </c>
      <c r="W6" s="41" t="str">
        <f>IFERROR(__xludf.DUMMYFUNCTION(" IF(Account!$F6&lt;&gt;"""", SPLIT(Account!$F6, "" ""), """")"),"Achat")</f>
        <v>Achat</v>
      </c>
      <c r="X6" s="44" t="str">
        <f>IFERROR(__xludf.DUMMYFUNCTION("""COMPUTED_VALUE"""),"20 119")</f>
        <v>20 119</v>
      </c>
      <c r="Y6" s="44" t="str">
        <f>IFERROR(__xludf.DUMMYFUNCTION("""COMPUTED_VALUE"""),"iShares")</f>
        <v>iShares</v>
      </c>
      <c r="Z6" s="44" t="str">
        <f>IFERROR(__xludf.DUMMYFUNCTION("""COMPUTED_VALUE"""),"$")</f>
        <v>$</v>
      </c>
      <c r="AA6" s="44" t="str">
        <f>IFERROR(__xludf.DUMMYFUNCTION("""COMPUTED_VALUE"""),"Treasury")</f>
        <v>Treasury</v>
      </c>
      <c r="AB6" s="44" t="str">
        <f>IFERROR(__xludf.DUMMYFUNCTION("""COMPUTED_VALUE"""),"Bond")</f>
        <v>Bond</v>
      </c>
      <c r="AC6" s="44" t="str">
        <f>IFERROR(__xludf.DUMMYFUNCTION("""COMPUTED_VALUE"""),"20+yr")</f>
        <v>20+yr</v>
      </c>
      <c r="AD6" s="44" t="str">
        <f>IFERROR(__xludf.DUMMYFUNCTION("""COMPUTED_VALUE"""),"UCITS")</f>
        <v>UCITS</v>
      </c>
      <c r="AE6" s="44" t="str">
        <f>IFERROR(__xludf.DUMMYFUNCTION("""COMPUTED_VALUE"""),"ETF")</f>
        <v>ETF</v>
      </c>
      <c r="AF6" s="44" t="str">
        <f>IFERROR(__xludf.DUMMYFUNCTION("""COMPUTED_VALUE"""),"USD")</f>
        <v>USD</v>
      </c>
      <c r="AG6" s="44" t="str">
        <f>IFERROR(__xludf.DUMMYFUNCTION("""COMPUTED_VALUE"""),"(Dist)@5,049")</f>
        <v>(Dist)@5,049</v>
      </c>
      <c r="AH6" s="44" t="str">
        <f>IFERROR(__xludf.DUMMYFUNCTION("""COMPUTED_VALUE"""),"EUR")</f>
        <v>EUR</v>
      </c>
      <c r="AI6" s="44" t="str">
        <f>IFERROR(__xludf.DUMMYFUNCTION("""COMPUTED_VALUE"""),"(IE00BSKRJZ44)")</f>
        <v>(IE00BSKRJZ44)</v>
      </c>
      <c r="AJ6" s="44"/>
      <c r="AK6" s="44"/>
    </row>
    <row r="7">
      <c r="A7" s="20" t="s">
        <v>71</v>
      </c>
      <c r="B7" s="20" t="s">
        <v>90</v>
      </c>
      <c r="C7" s="20" t="s">
        <v>71</v>
      </c>
      <c r="D7" s="20" t="s">
        <v>91</v>
      </c>
      <c r="E7" s="20" t="s">
        <v>92</v>
      </c>
      <c r="F7" s="21" t="s">
        <v>93</v>
      </c>
      <c r="G7" s="20"/>
      <c r="H7" s="20" t="s">
        <v>76</v>
      </c>
      <c r="I7" s="20" t="s">
        <v>94</v>
      </c>
      <c r="J7" s="20" t="s">
        <v>76</v>
      </c>
      <c r="K7" s="20" t="s">
        <v>95</v>
      </c>
      <c r="L7" s="21" t="s">
        <v>96</v>
      </c>
      <c r="M7" s="33">
        <f>IFERROR(__xludf.DUMMYFUNCTION("IFS(W7=""Achat"",IFERROR(VALUE(X7),VALUE(REGEXREPLACE(T(X7),""[^0-9]"",""""))),W7=""Vente"",-IFERROR(VALUE(X7),VALUE(REGEXREPLACE(T(X7),""[^0-9]"",""""))),Y7=""Change"",0,Y7&lt;&gt;""Change"","""")"),9.0)</f>
        <v>9</v>
      </c>
      <c r="N7" s="34">
        <f>IFERROR(__xludf.DUMMYFUNCTION("IF(Account!$F7&lt;&gt;"""", VALUE(REGEXREPLACE($I7, ""\,"", ""."")), """")"),-1696.95)</f>
        <v>-1696.95</v>
      </c>
      <c r="O7" s="35">
        <f>IF(Account!$F7&lt;&gt;"", DATEVALUE(MID($A7,4,3) &amp; LEFT($A7,3) &amp; RIGHT($A7,4)) + TIMEVALUE($B7), "")</f>
        <v>44113.50694</v>
      </c>
      <c r="P7" s="36">
        <f>IF(Account!$F7&lt;&gt;"", DATEVALUE(MID($C7,4,3) &amp; LEFT($C7,3) &amp; RIGHT($C7,4)), "")</f>
        <v>44113</v>
      </c>
      <c r="Q7" s="37" t="str">
        <f t="array" ref="Q7">IF($R7&lt;&gt;"",IFERROR(INDEX(ISIN!$B:$B,MATCH($R7,ISIN!$C:$C,0))),)</f>
        <v>Intermediate US bonds (7-10 year)</v>
      </c>
      <c r="R7" s="38" t="str">
        <f t="array" ref="R7">IF($E7&lt;&gt;"",IFERROR(INDEX(ISIN!$C:$C,MATCH($E7,ISIN!$A:$A,0)),IFERROR(INDEX($R8:$R1200,MATCH($K7,$K8:$K1200,0)))),IF(AND($Y7="change",$H7="EUR"),IF($O7=$O8,$R8,IF($O7=$O6,$R6)),IFERROR(INDEX($R8:$R1200,MATCH(SUBSTITUTE($I7,"-","",1),$K8:$K1200,0)))))</f>
        <v>iShares Treasury Bond 7-10 UCITS</v>
      </c>
      <c r="S7" s="37" t="str">
        <f t="shared" si="1"/>
        <v>BUY</v>
      </c>
      <c r="T7" s="39">
        <f t="shared" si="2"/>
        <v>9</v>
      </c>
      <c r="U7" s="40">
        <f t="shared" si="3"/>
        <v>188.55</v>
      </c>
      <c r="V7" s="34">
        <f t="shared" si="4"/>
        <v>-1696.95</v>
      </c>
      <c r="W7" s="41" t="str">
        <f>IFERROR(__xludf.DUMMYFUNCTION(" IF(Account!$F7&lt;&gt;"""", SPLIT(Account!$F7, "" ""), """")"),"Achat")</f>
        <v>Achat</v>
      </c>
      <c r="X7" s="44">
        <f>IFERROR(__xludf.DUMMYFUNCTION("""COMPUTED_VALUE"""),9.0)</f>
        <v>9</v>
      </c>
      <c r="Y7" s="44" t="str">
        <f>IFERROR(__xludf.DUMMYFUNCTION("""COMPUTED_VALUE"""),"ISHARES")</f>
        <v>ISHARES</v>
      </c>
      <c r="Z7" s="44" t="str">
        <f>IFERROR(__xludf.DUMMYFUNCTION("""COMPUTED_VALUE"""),"US")</f>
        <v>US</v>
      </c>
      <c r="AA7" s="44" t="str">
        <f>IFERROR(__xludf.DUMMYFUNCTION("""COMPUTED_VALUE"""),"T")</f>
        <v>T</v>
      </c>
      <c r="AB7" s="44" t="str">
        <f>IFERROR(__xludf.DUMMYFUNCTION("""COMPUTED_VALUE"""),"7-10@188,55")</f>
        <v>7-10@188,55</v>
      </c>
      <c r="AC7" s="44" t="str">
        <f>IFERROR(__xludf.DUMMYFUNCTION("""COMPUTED_VALUE"""),"EUR")</f>
        <v>EUR</v>
      </c>
      <c r="AD7" s="44" t="str">
        <f>IFERROR(__xludf.DUMMYFUNCTION("""COMPUTED_VALUE"""),"(IE00B1FZS798)")</f>
        <v>(IE00B1FZS798)</v>
      </c>
      <c r="AE7" s="44"/>
      <c r="AF7" s="44"/>
      <c r="AG7" s="44"/>
      <c r="AH7" s="44"/>
      <c r="AI7" s="44"/>
      <c r="AJ7" s="44"/>
      <c r="AK7" s="44"/>
    </row>
    <row r="8">
      <c r="A8" s="20" t="s">
        <v>97</v>
      </c>
      <c r="B8" s="20" t="s">
        <v>98</v>
      </c>
      <c r="C8" s="20" t="s">
        <v>99</v>
      </c>
      <c r="D8" s="20"/>
      <c r="E8" s="20"/>
      <c r="F8" s="21" t="s">
        <v>100</v>
      </c>
      <c r="G8" s="20"/>
      <c r="H8" s="20" t="s">
        <v>76</v>
      </c>
      <c r="I8" s="20" t="s">
        <v>101</v>
      </c>
      <c r="J8" s="20" t="s">
        <v>76</v>
      </c>
      <c r="K8" s="20" t="s">
        <v>102</v>
      </c>
      <c r="L8" s="21"/>
      <c r="M8" s="33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4">
        <f>IFERROR(__xludf.DUMMYFUNCTION("IF(Account!$F8&lt;&gt;"""", VALUE(REGEXREPLACE($I8, ""\,"", ""."")), """")"),-729.38)</f>
        <v>-729.38</v>
      </c>
      <c r="O8" s="35">
        <f>IF(Account!$F8&lt;&gt;"", DATEVALUE(MID($A8,4,3) &amp; LEFT($A8,3) &amp; RIGHT($A8,4)) + TIMEVALUE($B8), "")</f>
        <v>44112.59306</v>
      </c>
      <c r="P8" s="36">
        <f>IF(Account!$F8&lt;&gt;"", DATEVALUE(MID($C8,4,3) &amp; LEFT($C8,3) &amp; RIGHT($C8,4)), "")</f>
        <v>44104</v>
      </c>
      <c r="Q8" s="37" t="str">
        <f t="array" ref="Q8">IF($R8&lt;&gt;"",IFERROR(INDEX(ISIN!$B:$B,MATCH($R8,ISIN!$C:$C,0))),)</f>
        <v/>
      </c>
      <c r="R8" s="38" t="str">
        <f t="array" ref="R8">IF($E8&lt;&gt;"",IFERROR(INDEX(ISIN!$C:$C,MATCH($E8,ISIN!$A:$A,0)),IFERROR(INDEX($R9:$R1200,MATCH($K8,$K9:$K1200,0)))),IF(AND($Y8="change",$H8="EUR"),IF($O8=$O9,$R9,IF($O8=$O7,$R7)),IFERROR(INDEX($R9:$R1200,MATCH(SUBSTITUTE($I8,"-","",1),$K9:$K1200,0)))))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7" t="str">
        <f t="shared" si="1"/>
        <v>COST</v>
      </c>
      <c r="T8" s="39" t="str">
        <f t="shared" si="2"/>
        <v/>
      </c>
      <c r="U8" s="40" t="str">
        <f t="shared" si="3"/>
        <v/>
      </c>
      <c r="V8" s="34">
        <f t="shared" si="4"/>
        <v>-729.38</v>
      </c>
      <c r="W8" s="41" t="str">
        <f>IFERROR(__xludf.DUMMYFUNCTION(" IF(Account!$F8&lt;&gt;"""", SPLIT(Account!$F8, "" ""), """")"),"Intérêts")</f>
        <v>Intérêts</v>
      </c>
      <c r="X8" s="44" t="str">
        <f>IFERROR(__xludf.DUMMYFUNCTION("""COMPUTED_VALUE"""),"débiteurs")</f>
        <v>débiteurs</v>
      </c>
      <c r="Y8" s="44" t="str">
        <f>IFERROR(__xludf.DUMMYFUNCTION("""COMPUTED_VALUE"""),"mensuels")</f>
        <v>mensuels</v>
      </c>
      <c r="Z8" s="44" t="str">
        <f>IFERROR(__xludf.DUMMYFUNCTION("""COMPUTED_VALUE"""),"(Débit")</f>
        <v>(Débit</v>
      </c>
      <c r="AA8" s="44" t="str">
        <f>IFERROR(__xludf.DUMMYFUNCTION("""COMPUTED_VALUE"""),"Argent)")</f>
        <v>Argent)</v>
      </c>
      <c r="AB8" s="44"/>
      <c r="AC8" s="44"/>
      <c r="AD8" s="44"/>
      <c r="AE8" s="44"/>
      <c r="AF8" s="44"/>
      <c r="AG8" s="44"/>
      <c r="AH8" s="44"/>
      <c r="AI8" s="44"/>
      <c r="AJ8" s="44"/>
      <c r="AK8" s="44"/>
    </row>
    <row r="9">
      <c r="A9" s="20" t="s">
        <v>97</v>
      </c>
      <c r="B9" s="20" t="s">
        <v>103</v>
      </c>
      <c r="C9" s="20" t="s">
        <v>97</v>
      </c>
      <c r="D9" s="20" t="s">
        <v>91</v>
      </c>
      <c r="E9" s="20" t="s">
        <v>92</v>
      </c>
      <c r="F9" s="21" t="s">
        <v>104</v>
      </c>
      <c r="G9" s="20"/>
      <c r="H9" s="20" t="s">
        <v>76</v>
      </c>
      <c r="I9" s="20" t="s">
        <v>105</v>
      </c>
      <c r="J9" s="20" t="s">
        <v>76</v>
      </c>
      <c r="K9" s="20" t="s">
        <v>106</v>
      </c>
      <c r="L9" s="21" t="s">
        <v>107</v>
      </c>
      <c r="M9" s="33">
        <f>IFERROR(__xludf.DUMMYFUNCTION("IFS(W9=""Achat"",IFERROR(VALUE(X9),VALUE(REGEXREPLACE(T(X9),""[^0-9]"",""""))),W9=""Vente"",-IFERROR(VALUE(X9),VALUE(REGEXREPLACE(T(X9),""[^0-9]"",""""))),Y9=""Change"",0,Y9&lt;&gt;""Change"","""")"),7.0)</f>
        <v>7</v>
      </c>
      <c r="N9" s="34">
        <f>IFERROR(__xludf.DUMMYFUNCTION("IF(Account!$F9&lt;&gt;"""", VALUE(REGEXREPLACE($I9, ""\,"", ""."")), """")"),-1323.0)</f>
        <v>-1323</v>
      </c>
      <c r="O9" s="35">
        <f>IF(Account!$F9&lt;&gt;"", DATEVALUE(MID($A9,4,3) &amp; LEFT($A9,3) &amp; RIGHT($A9,4)) + TIMEVALUE($B9), "")</f>
        <v>44112.59236</v>
      </c>
      <c r="P9" s="36">
        <f>IF(Account!$F9&lt;&gt;"", DATEVALUE(MID($C9,4,3) &amp; LEFT($C9,3) &amp; RIGHT($C9,4)), "")</f>
        <v>44112</v>
      </c>
      <c r="Q9" s="37" t="str">
        <f t="array" ref="Q9">IF($R9&lt;&gt;"",IFERROR(INDEX(ISIN!$B:$B,MATCH($R9,ISIN!$C:$C,0))),)</f>
        <v>Intermediate US bonds (7-10 year)</v>
      </c>
      <c r="R9" s="38" t="str">
        <f t="array" ref="R9">IF($E9&lt;&gt;"",IFERROR(INDEX(ISIN!$C:$C,MATCH($E9,ISIN!$A:$A,0)),IFERROR(INDEX($R10:$R1200,MATCH($K9,$K10:$K1200,0)))),IF(AND($Y9="change",$H9="EUR"),IF($O9=$O10,$R10,IF($O9=$O8,$R8)),IFERROR(INDEX($R10:$R1200,MATCH(SUBSTITUTE($I9,"-","",1),$K10:$K1200,0)))))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7-10 UCITS</v>
      </c>
      <c r="S9" s="37" t="str">
        <f t="shared" si="1"/>
        <v>BUY</v>
      </c>
      <c r="T9" s="39">
        <f t="shared" si="2"/>
        <v>7</v>
      </c>
      <c r="U9" s="40">
        <f t="shared" si="3"/>
        <v>189</v>
      </c>
      <c r="V9" s="34">
        <f t="shared" si="4"/>
        <v>-1323</v>
      </c>
      <c r="W9" s="41" t="str">
        <f>IFERROR(__xludf.DUMMYFUNCTION(" IF(Account!$F9&lt;&gt;"""", SPLIT(Account!$F9, "" ""), """")"),"Achat")</f>
        <v>Achat</v>
      </c>
      <c r="X9" s="44">
        <f>IFERROR(__xludf.DUMMYFUNCTION("""COMPUTED_VALUE"""),7.0)</f>
        <v>7</v>
      </c>
      <c r="Y9" s="44" t="str">
        <f>IFERROR(__xludf.DUMMYFUNCTION("""COMPUTED_VALUE"""),"ISHARES")</f>
        <v>ISHARES</v>
      </c>
      <c r="Z9" s="44" t="str">
        <f>IFERROR(__xludf.DUMMYFUNCTION("""COMPUTED_VALUE"""),"US")</f>
        <v>US</v>
      </c>
      <c r="AA9" s="44" t="str">
        <f>IFERROR(__xludf.DUMMYFUNCTION("""COMPUTED_VALUE"""),"T")</f>
        <v>T</v>
      </c>
      <c r="AB9" s="44" t="str">
        <f>IFERROR(__xludf.DUMMYFUNCTION("""COMPUTED_VALUE"""),"7-10@189")</f>
        <v>7-10@189</v>
      </c>
      <c r="AC9" s="44" t="str">
        <f>IFERROR(__xludf.DUMMYFUNCTION("""COMPUTED_VALUE"""),"EUR")</f>
        <v>EUR</v>
      </c>
      <c r="AD9" s="44" t="str">
        <f>IFERROR(__xludf.DUMMYFUNCTION("""COMPUTED_VALUE"""),"(IE00B1FZS798)")</f>
        <v>(IE00B1FZS798)</v>
      </c>
      <c r="AE9" s="44"/>
      <c r="AF9" s="44"/>
      <c r="AG9" s="44"/>
      <c r="AH9" s="44"/>
      <c r="AI9" s="44"/>
      <c r="AJ9" s="44"/>
      <c r="AK9" s="44"/>
    </row>
    <row r="10">
      <c r="A10" s="20" t="s">
        <v>97</v>
      </c>
      <c r="B10" s="20" t="s">
        <v>108</v>
      </c>
      <c r="C10" s="20" t="s">
        <v>109</v>
      </c>
      <c r="D10" s="20"/>
      <c r="E10" s="20"/>
      <c r="F10" s="21" t="s">
        <v>110</v>
      </c>
      <c r="G10" s="20"/>
      <c r="H10" s="20" t="s">
        <v>76</v>
      </c>
      <c r="I10" s="20" t="s">
        <v>111</v>
      </c>
      <c r="J10" s="20" t="s">
        <v>76</v>
      </c>
      <c r="K10" s="20" t="s">
        <v>112</v>
      </c>
      <c r="L10" s="21"/>
      <c r="M10" s="33">
        <f>IFERROR(__xludf.DUMMYFUNCTION("IFS(W10=""Achat"",IFERROR(VALUE(X10),VALUE(REGEXREPLACE(T(X10),""[^0-9]"",""""))),W10=""Vente"",-IFERROR(VALUE(X10),VALUE(REGEXREPLACE(T(X10),""[^0-9]"",""""))),Y10=""Change"",0,Y10&lt;&gt;""Change"","""")"),0.0)</f>
        <v>0</v>
      </c>
      <c r="N10" s="34">
        <f>IFERROR(__xludf.DUMMYFUNCTION("IF(Account!$F10&lt;&gt;"""", VALUE(REGEXREPLACE($I10, ""\,"", ""."")), """")"),1424.14)</f>
        <v>1424.14</v>
      </c>
      <c r="O10" s="35">
        <f>IF(Account!$F10&lt;&gt;"", DATEVALUE(MID($A10,4,3) &amp; LEFT($A10,3) &amp; RIGHT($A10,4)) + TIMEVALUE($B10), "")</f>
        <v>44112.36111</v>
      </c>
      <c r="P10" s="36">
        <f>IF(Account!$F10&lt;&gt;"", DATEVALUE(MID($C10,4,3) &amp; LEFT($C10,3) &amp; RIGHT($C10,4)), "")</f>
        <v>44111</v>
      </c>
      <c r="Q10" s="37" t="str">
        <f t="array" ref="Q10">IF($R10&lt;&gt;"",IFERROR(INDEX(ISIN!$B:$B,MATCH($R10,ISIN!$C:$C,0))),)</f>
        <v>Stocks</v>
      </c>
      <c r="R10" s="38" t="str">
        <f t="array" ref="R10">IF($E10&lt;&gt;"",IFERROR(INDEX(ISIN!$C:$C,MATCH($E10,ISIN!$A:$A,0)),IFERROR(INDEX($R11:$R1200,MATCH($K10,$K11:$K1200,0)))),IF(AND($Y10="change",$H10="EUR"),IF($O10=$O11,$R11,IF($O10=$O9,$R9)),IFERROR(INDEX($R11:$R1200,MATCH(SUBSTITUTE($I10,"-","",1),$K11:$K1200,0)))))</f>
        <v>Vanguard S&amp;P 500 UCITS</v>
      </c>
      <c r="S10" s="37" t="str">
        <f t="shared" si="1"/>
        <v>DIVIDEND</v>
      </c>
      <c r="T10" s="39" t="str">
        <f t="shared" si="2"/>
        <v/>
      </c>
      <c r="U10" s="40" t="str">
        <f t="shared" si="3"/>
        <v/>
      </c>
      <c r="V10" s="34">
        <f t="shared" si="4"/>
        <v>-253</v>
      </c>
      <c r="W10" s="41" t="str">
        <f>IFERROR(__xludf.DUMMYFUNCTION(" IF(Account!$F10&lt;&gt;"""", SPLIT(Account!$F10, "" ""), """")"),"Opération")</f>
        <v>Opération</v>
      </c>
      <c r="X10" s="44" t="str">
        <f>IFERROR(__xludf.DUMMYFUNCTION("""COMPUTED_VALUE"""),"de")</f>
        <v>de</v>
      </c>
      <c r="Y10" s="44" t="str">
        <f>IFERROR(__xludf.DUMMYFUNCTION("""COMPUTED_VALUE"""),"change")</f>
        <v>change</v>
      </c>
      <c r="Z10" s="44" t="str">
        <f>IFERROR(__xludf.DUMMYFUNCTION("""COMPUTED_VALUE"""),"-")</f>
        <v>-</v>
      </c>
      <c r="AA10" s="44" t="str">
        <f>IFERROR(__xludf.DUMMYFUNCTION("""COMPUTED_VALUE"""),"Débit")</f>
        <v>Débit</v>
      </c>
      <c r="AB10" s="44"/>
      <c r="AC10" s="44"/>
      <c r="AD10" s="44"/>
      <c r="AE10" s="44"/>
      <c r="AF10" s="44"/>
      <c r="AG10" s="44"/>
      <c r="AH10" s="44"/>
      <c r="AI10" s="44"/>
      <c r="AJ10" s="44"/>
      <c r="AK10" s="44"/>
    </row>
    <row r="11">
      <c r="A11" s="20" t="s">
        <v>97</v>
      </c>
      <c r="B11" s="20" t="s">
        <v>108</v>
      </c>
      <c r="C11" s="20" t="s">
        <v>109</v>
      </c>
      <c r="D11" s="20"/>
      <c r="E11" s="20"/>
      <c r="F11" s="21" t="s">
        <v>110</v>
      </c>
      <c r="G11" s="20" t="s">
        <v>113</v>
      </c>
      <c r="H11" s="20" t="s">
        <v>114</v>
      </c>
      <c r="I11" s="20" t="s">
        <v>115</v>
      </c>
      <c r="J11" s="20" t="s">
        <v>114</v>
      </c>
      <c r="K11" s="20" t="s">
        <v>116</v>
      </c>
      <c r="L11" s="21"/>
      <c r="M11" s="33">
        <f>IFERROR(__xludf.DUMMYFUNCTION("IFS(W11=""Achat"",IFERROR(VALUE(X11),VALUE(REGEXREPLACE(T(X11),""[^0-9]"",""""))),W11=""Vente"",-IFERROR(VALUE(X11),VALUE(REGEXREPLACE(T(X11),""[^0-9]"",""""))),Y11=""Change"",0,Y11&lt;&gt;""Change"","""")"),0.0)</f>
        <v>0</v>
      </c>
      <c r="N11" s="34">
        <f>IFERROR(__xludf.DUMMYFUNCTION("IF(Account!$F11&lt;&gt;"""", VALUE(REGEXREPLACE($I11, ""\,"", ""."")), """")"),-1677.14)</f>
        <v>-1677.14</v>
      </c>
      <c r="O11" s="35">
        <f>IF(Account!$F11&lt;&gt;"", DATEVALUE(MID($A11,4,3) &amp; LEFT($A11,3) &amp; RIGHT($A11,4)) + TIMEVALUE($B11), "")</f>
        <v>44112.36111</v>
      </c>
      <c r="P11" s="36">
        <f>IF(Account!$F11&lt;&gt;"", DATEVALUE(MID($C11,4,3) &amp; LEFT($C11,3) &amp; RIGHT($C11,4)), "")</f>
        <v>44111</v>
      </c>
      <c r="Q11" s="37" t="str">
        <f t="array" ref="Q11">IF($R11&lt;&gt;"",IFERROR(INDEX(ISIN!$B:$B,MATCH($R11,ISIN!$C:$C,0))),)</f>
        <v>Stocks</v>
      </c>
      <c r="R11" s="38" t="str">
        <f t="array" ref="R11">IF($E11&lt;&gt;"",IFERROR(INDEX(ISIN!$C:$C,MATCH($E11,ISIN!$A:$A,0)),IFERROR(INDEX($R12:$R1200,MATCH($K11,$K12:$K1200,0)))),IF(AND($Y11="change",$H11="EUR"),IF($O11=$O12,$R12,IF($O11=$O10,$R10)),IFERROR(INDEX($R12:$R1200,MATCH(SUBSTITUTE($I11,"-","",1),$K12:$K1200,0)))))</f>
        <v>Vanguard S&amp;P 500 UCITS</v>
      </c>
      <c r="S11" s="37" t="str">
        <f t="shared" si="1"/>
        <v>DIVIDEND</v>
      </c>
      <c r="T11" s="39" t="str">
        <f t="shared" si="2"/>
        <v/>
      </c>
      <c r="U11" s="40" t="str">
        <f t="shared" si="3"/>
        <v/>
      </c>
      <c r="V11" s="34">
        <f t="shared" si="4"/>
        <v>-253</v>
      </c>
      <c r="W11" s="41" t="str">
        <f>IFERROR(__xludf.DUMMYFUNCTION(" IF(Account!$F11&lt;&gt;"""", SPLIT(Account!$F11, "" ""), """")"),"Opération")</f>
        <v>Opération</v>
      </c>
      <c r="X11" s="44" t="str">
        <f>IFERROR(__xludf.DUMMYFUNCTION("""COMPUTED_VALUE"""),"de")</f>
        <v>de</v>
      </c>
      <c r="Y11" s="44" t="str">
        <f>IFERROR(__xludf.DUMMYFUNCTION("""COMPUTED_VALUE"""),"change")</f>
        <v>change</v>
      </c>
      <c r="Z11" s="44" t="str">
        <f>IFERROR(__xludf.DUMMYFUNCTION("""COMPUTED_VALUE"""),"-")</f>
        <v>-</v>
      </c>
      <c r="AA11" s="44" t="str">
        <f>IFERROR(__xludf.DUMMYFUNCTION("""COMPUTED_VALUE"""),"Débit")</f>
        <v>Débit</v>
      </c>
      <c r="AB11" s="44"/>
      <c r="AC11" s="44"/>
      <c r="AD11" s="44"/>
      <c r="AE11" s="44"/>
      <c r="AF11" s="44"/>
      <c r="AG11" s="44"/>
      <c r="AH11" s="44"/>
      <c r="AI11" s="44"/>
      <c r="AJ11" s="44"/>
      <c r="AK11" s="44"/>
    </row>
    <row r="12">
      <c r="A12" s="20" t="s">
        <v>109</v>
      </c>
      <c r="B12" s="20" t="s">
        <v>117</v>
      </c>
      <c r="C12" s="20" t="s">
        <v>109</v>
      </c>
      <c r="D12" s="20" t="s">
        <v>118</v>
      </c>
      <c r="E12" s="20" t="s">
        <v>119</v>
      </c>
      <c r="F12" s="21" t="s">
        <v>120</v>
      </c>
      <c r="G12" s="20"/>
      <c r="H12" s="20" t="s">
        <v>114</v>
      </c>
      <c r="I12" s="20" t="s">
        <v>121</v>
      </c>
      <c r="J12" s="20" t="s">
        <v>114</v>
      </c>
      <c r="K12" s="20" t="s">
        <v>121</v>
      </c>
      <c r="L12" s="21"/>
      <c r="M12" s="33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4">
        <f>IFERROR(__xludf.DUMMYFUNCTION("IF(Account!$F12&lt;&gt;"""", VALUE(REGEXREPLACE($I12, ""\,"", ""."")), """")"),1677.14)</f>
        <v>1677.14</v>
      </c>
      <c r="O12" s="35">
        <f>IF(Account!$F12&lt;&gt;"", DATEVALUE(MID($A12,4,3) &amp; LEFT($A12,3) &amp; RIGHT($A12,4)) + TIMEVALUE($B12), "")</f>
        <v>44111.33681</v>
      </c>
      <c r="P12" s="36">
        <f>IF(Account!$F12&lt;&gt;"", DATEVALUE(MID($C12,4,3) &amp; LEFT($C12,3) &amp; RIGHT($C12,4)), "")</f>
        <v>44111</v>
      </c>
      <c r="Q12" s="37" t="str">
        <f t="array" ref="Q12">IF($R12&lt;&gt;"",IFERROR(INDEX(ISIN!$B:$B,MATCH($R12,ISIN!$C:$C,0))),)</f>
        <v>Stocks</v>
      </c>
      <c r="R12" s="38" t="str">
        <f t="array" ref="R12">IF($E12&lt;&gt;"",IFERROR(INDEX(ISIN!$C:$C,MATCH($E12,ISIN!$A:$A,0)),IFERROR(INDEX($R13:$R1200,MATCH($K12,$K13:$K1200,0)))),IF(AND($Y12="change",$H12="EUR"),IF($O12=$O13,$R13,IF($O12=$O11,$R11)),IFERROR(INDEX($R13:$R1200,MATCH(SUBSTITUTE($I12,"-","",1),$K13:$K1200,0)))))</f>
        <v>Vanguard S&amp;P 500 UCITS</v>
      </c>
      <c r="S12" s="37" t="str">
        <f t="shared" si="1"/>
        <v>DIVIDEND</v>
      </c>
      <c r="T12" s="39" t="str">
        <f t="shared" si="2"/>
        <v/>
      </c>
      <c r="U12" s="40" t="str">
        <f t="shared" si="3"/>
        <v/>
      </c>
      <c r="V12" s="34">
        <f t="shared" si="4"/>
        <v>1677.14</v>
      </c>
      <c r="W12" s="41" t="str">
        <f>IFERROR(__xludf.DUMMYFUNCTION(" IF(Account!$F12&lt;&gt;"""", SPLIT(Account!$F12, "" ""), """")"),"Dividende")</f>
        <v>Dividende</v>
      </c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</row>
    <row r="13">
      <c r="A13" s="20" t="s">
        <v>122</v>
      </c>
      <c r="B13" s="20" t="s">
        <v>123</v>
      </c>
      <c r="C13" s="20" t="s">
        <v>124</v>
      </c>
      <c r="D13" s="20"/>
      <c r="E13" s="20"/>
      <c r="F13" s="21" t="s">
        <v>125</v>
      </c>
      <c r="G13" s="20"/>
      <c r="H13" s="20" t="s">
        <v>76</v>
      </c>
      <c r="I13" s="20" t="s">
        <v>126</v>
      </c>
      <c r="J13" s="20" t="s">
        <v>76</v>
      </c>
      <c r="K13" s="20" t="s">
        <v>127</v>
      </c>
      <c r="L13" s="21"/>
      <c r="M13" s="33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4">
        <f>IFERROR(__xludf.DUMMYFUNCTION("IF(Account!$F13&lt;&gt;"""", VALUE(REGEXREPLACE($I13, ""\,"", ""."")), """")"),1000.0)</f>
        <v>1000</v>
      </c>
      <c r="O13" s="35">
        <f>IF(Account!$F13&lt;&gt;"", DATEVALUE(MID($A13,4,3) &amp; LEFT($A13,3) &amp; RIGHT($A13,4)) + TIMEVALUE($B13), "")</f>
        <v>44109.76389</v>
      </c>
      <c r="P13" s="36">
        <f>IF(Account!$F13&lt;&gt;"", DATEVALUE(MID($C13,4,3) &amp; LEFT($C13,3) &amp; RIGHT($C13,4)), "")</f>
        <v>44110</v>
      </c>
      <c r="Q13" s="37" t="str">
        <f t="array" ref="Q13">IF($R13&lt;&gt;"",IFERROR(INDEX(ISIN!$B:$B,MATCH($R13,ISIN!$C:$C,0))),)</f>
        <v/>
      </c>
      <c r="R13" s="38" t="str">
        <f t="array" ref="R13">IF($E13&lt;&gt;"",IFERROR(INDEX(ISIN!$C:$C,MATCH($E13,ISIN!$A:$A,0)),IFERROR(INDEX($R14:$R1200,MATCH($K13,$K14:$K1200,0)))),IF(AND($Y13="change",$H13="EUR"),IF($O13=$O14,$R14,IF($O13=$O12,$R12)),IFERROR(INDEX($R14:$R1200,MATCH(SUBSTITUTE($I13,"-","",1),$K14:$K1200,0)))))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7" t="str">
        <f t="shared" si="1"/>
        <v>COST</v>
      </c>
      <c r="T13" s="39" t="str">
        <f t="shared" si="2"/>
        <v/>
      </c>
      <c r="U13" s="40" t="str">
        <f t="shared" si="3"/>
        <v/>
      </c>
      <c r="V13" s="34" t="str">
        <f t="shared" si="4"/>
        <v/>
      </c>
      <c r="W13" s="41" t="str">
        <f>IFERROR(__xludf.DUMMYFUNCTION(" IF(Account!$F13&lt;&gt;"""", SPLIT(Account!$F13, "" ""), """")"),"Processed")</f>
        <v>Processed</v>
      </c>
      <c r="X13" s="44" t="str">
        <f>IFERROR(__xludf.DUMMYFUNCTION("""COMPUTED_VALUE"""),"Flatex")</f>
        <v>Flatex</v>
      </c>
      <c r="Y13" s="44" t="str">
        <f>IFERROR(__xludf.DUMMYFUNCTION("""COMPUTED_VALUE"""),"Withdrawal")</f>
        <v>Withdrawal</v>
      </c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</row>
    <row r="14">
      <c r="A14" s="20" t="s">
        <v>122</v>
      </c>
      <c r="B14" s="20" t="s">
        <v>123</v>
      </c>
      <c r="C14" s="20" t="s">
        <v>124</v>
      </c>
      <c r="D14" s="20"/>
      <c r="E14" s="20"/>
      <c r="F14" s="21" t="s">
        <v>128</v>
      </c>
      <c r="G14" s="20"/>
      <c r="H14" s="20" t="s">
        <v>76</v>
      </c>
      <c r="I14" s="20" t="s">
        <v>129</v>
      </c>
      <c r="J14" s="20" t="s">
        <v>76</v>
      </c>
      <c r="K14" s="20" t="s">
        <v>130</v>
      </c>
      <c r="L14" s="21"/>
      <c r="M14" s="33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4">
        <f>IFERROR(__xludf.DUMMYFUNCTION("IF(Account!$F14&lt;&gt;"""", VALUE(REGEXREPLACE($I14, ""\,"", ""."")), """")"),-1000.0)</f>
        <v>-1000</v>
      </c>
      <c r="O14" s="35">
        <f>IF(Account!$F14&lt;&gt;"", DATEVALUE(MID($A14,4,3) &amp; LEFT($A14,3) &amp; RIGHT($A14,4)) + TIMEVALUE($B14), "")</f>
        <v>44109.76389</v>
      </c>
      <c r="P14" s="36">
        <f>IF(Account!$F14&lt;&gt;"", DATEVALUE(MID($C14,4,3) &amp; LEFT($C14,3) &amp; RIGHT($C14,4)), "")</f>
        <v>44110</v>
      </c>
      <c r="Q14" s="37" t="str">
        <f t="array" ref="Q14">IF($R14&lt;&gt;"",IFERROR(INDEX(ISIN!$B:$B,MATCH($R14,ISIN!$C:$C,0))),)</f>
        <v/>
      </c>
      <c r="R14" s="38" t="str">
        <f t="array" ref="R14">IF($E14&lt;&gt;"",IFERROR(INDEX(ISIN!$C:$C,MATCH($E14,ISIN!$A:$A,0)),IFERROR(INDEX($R15:$R1200,MATCH($K14,$K15:$K1200,0)))),IF(AND($Y14="change",$H14="EUR"),IF($O14=$O15,$R15,IF($O14=$O13,$R13)),IFERROR(INDEX($R15:$R1200,MATCH(SUBSTITUTE($I14,"-","",1),$K15:$K1200,0)))))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7" t="str">
        <f t="shared" si="1"/>
        <v>APPROVISIONNEMENT</v>
      </c>
      <c r="T14" s="39" t="str">
        <f t="shared" si="2"/>
        <v/>
      </c>
      <c r="U14" s="40" t="str">
        <f t="shared" si="3"/>
        <v/>
      </c>
      <c r="V14" s="34">
        <f t="shared" si="4"/>
        <v>-1000</v>
      </c>
      <c r="W14" s="41" t="str">
        <f>IFERROR(__xludf.DUMMYFUNCTION(" IF(Account!$F14&lt;&gt;"""", SPLIT(Account!$F14, "" ""), """")"),"Retrait")</f>
        <v>Retrait</v>
      </c>
      <c r="X14" s="44" t="str">
        <f>IFERROR(__xludf.DUMMYFUNCTION("""COMPUTED_VALUE"""),"flatex")</f>
        <v>flatex</v>
      </c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</row>
    <row r="15">
      <c r="A15" s="20" t="s">
        <v>122</v>
      </c>
      <c r="B15" s="20" t="s">
        <v>131</v>
      </c>
      <c r="C15" s="20" t="s">
        <v>122</v>
      </c>
      <c r="D15" s="20"/>
      <c r="E15" s="20"/>
      <c r="F15" s="21" t="s">
        <v>132</v>
      </c>
      <c r="G15" s="20"/>
      <c r="H15" s="20"/>
      <c r="I15" s="20"/>
      <c r="J15" s="20" t="s">
        <v>76</v>
      </c>
      <c r="K15" s="20" t="s">
        <v>127</v>
      </c>
      <c r="L15" s="21"/>
      <c r="M15" s="33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4">
        <f>IFERROR(__xludf.DUMMYFUNCTION("IF(Account!$F15&lt;&gt;"""", VALUE(REGEXREPLACE($I15, ""\,"", ""."")), """")"),0.0)</f>
        <v>0</v>
      </c>
      <c r="O15" s="35">
        <f>IF(Account!$F15&lt;&gt;"", DATEVALUE(MID($A15,4,3) &amp; LEFT($A15,3) &amp; RIGHT($A15,4)) + TIMEVALUE($B15), "")</f>
        <v>44109.42708</v>
      </c>
      <c r="P15" s="36">
        <f>IF(Account!$F15&lt;&gt;"", DATEVALUE(MID($C15,4,3) &amp; LEFT($C15,3) &amp; RIGHT($C15,4)), "")</f>
        <v>44109</v>
      </c>
      <c r="Q15" s="37" t="str">
        <f t="array" ref="Q15">IF($R15&lt;&gt;"",IFERROR(INDEX(ISIN!$B:$B,MATCH($R15,ISIN!$C:$C,0))),)</f>
        <v/>
      </c>
      <c r="R15" s="38" t="str">
        <f t="array" ref="R15">IF($E15&lt;&gt;"",IFERROR(INDEX(ISIN!$C:$C,MATCH($E15,ISIN!$A:$A,0)),IFERROR(INDEX($R16:$R1200,MATCH($K15,$K16:$K1200,0)))),IF(AND($Y15="change",$H15="EUR"),IF($O15=$O16,$R16,IF($O15=$O14,$R14)),IFERROR(INDEX($R16:$R1200,MATCH(SUBSTITUTE($I15,"-","",1),$K16:$K1200,0)))))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7" t="str">
        <f t="shared" si="1"/>
        <v>COST</v>
      </c>
      <c r="T15" s="39" t="str">
        <f t="shared" si="2"/>
        <v/>
      </c>
      <c r="U15" s="40" t="str">
        <f t="shared" si="3"/>
        <v/>
      </c>
      <c r="V15" s="34">
        <f t="shared" si="4"/>
        <v>0</v>
      </c>
      <c r="W15" s="41" t="str">
        <f>IFERROR(__xludf.DUMMYFUNCTION(" IF(Account!$F15&lt;&gt;"""", SPLIT(Account!$F15, "" ""), """")"),"Virement")</f>
        <v>Virement</v>
      </c>
      <c r="X15" s="44" t="str">
        <f>IFERROR(__xludf.DUMMYFUNCTION("""COMPUTED_VALUE"""),"vers")</f>
        <v>vers</v>
      </c>
      <c r="Y15" s="44" t="str">
        <f>IFERROR(__xludf.DUMMYFUNCTION("""COMPUTED_VALUE"""),"votre")</f>
        <v>votre</v>
      </c>
      <c r="Z15" s="44" t="str">
        <f>IFERROR(__xludf.DUMMYFUNCTION("""COMPUTED_VALUE"""),"Compte")</f>
        <v>Compte</v>
      </c>
      <c r="AA15" s="44" t="str">
        <f>IFERROR(__xludf.DUMMYFUNCTION("""COMPUTED_VALUE"""),"Espèces")</f>
        <v>Espèces</v>
      </c>
      <c r="AB15" s="44" t="str">
        <f>IFERROR(__xludf.DUMMYFUNCTION("""COMPUTED_VALUE"""),"à")</f>
        <v>à</v>
      </c>
      <c r="AC15" s="44" t="str">
        <f>IFERROR(__xludf.DUMMYFUNCTION("""COMPUTED_VALUE"""),"la")</f>
        <v>la</v>
      </c>
      <c r="AD15" s="44" t="str">
        <f>IFERROR(__xludf.DUMMYFUNCTION("""COMPUTED_VALUE"""),"Flatex")</f>
        <v>Flatex</v>
      </c>
      <c r="AE15" s="44" t="str">
        <f>IFERROR(__xludf.DUMMYFUNCTION("""COMPUTED_VALUE"""),"Bank:")</f>
        <v>Bank:</v>
      </c>
      <c r="AF15" s="44" t="str">
        <f>IFERROR(__xludf.DUMMYFUNCTION("""COMPUTED_VALUE"""),"1 000")</f>
        <v>1 000</v>
      </c>
      <c r="AG15" s="44" t="str">
        <f>IFERROR(__xludf.DUMMYFUNCTION("""COMPUTED_VALUE"""),"EUR")</f>
        <v>EUR</v>
      </c>
      <c r="AH15" s="44"/>
      <c r="AI15" s="44"/>
      <c r="AJ15" s="44"/>
      <c r="AK15" s="44"/>
    </row>
    <row r="16">
      <c r="A16" s="20" t="s">
        <v>133</v>
      </c>
      <c r="B16" s="20" t="s">
        <v>134</v>
      </c>
      <c r="C16" s="20" t="s">
        <v>133</v>
      </c>
      <c r="D16" s="20"/>
      <c r="E16" s="20"/>
      <c r="F16" s="21" t="s">
        <v>125</v>
      </c>
      <c r="G16" s="20"/>
      <c r="H16" s="20" t="s">
        <v>76</v>
      </c>
      <c r="I16" s="20" t="s">
        <v>129</v>
      </c>
      <c r="J16" s="20" t="s">
        <v>76</v>
      </c>
      <c r="K16" s="20" t="s">
        <v>127</v>
      </c>
      <c r="L16" s="21"/>
      <c r="M16" s="33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4">
        <f>IFERROR(__xludf.DUMMYFUNCTION("IF(Account!$F16&lt;&gt;"""", VALUE(REGEXREPLACE($I16, ""\,"", ""."")), """")"),-1000.0)</f>
        <v>-1000</v>
      </c>
      <c r="O16" s="35">
        <f>IF(Account!$F16&lt;&gt;"", DATEVALUE(MID($A16,4,3) &amp; LEFT($A16,3) &amp; RIGHT($A16,4)) + TIMEVALUE($B16), "")</f>
        <v>44106.65556</v>
      </c>
      <c r="P16" s="36">
        <f>IF(Account!$F16&lt;&gt;"", DATEVALUE(MID($C16,4,3) &amp; LEFT($C16,3) &amp; RIGHT($C16,4)), "")</f>
        <v>44106</v>
      </c>
      <c r="Q16" s="37" t="str">
        <f t="array" ref="Q16">IF($R16&lt;&gt;"",IFERROR(INDEX(ISIN!$B:$B,MATCH($R16,ISIN!$C:$C,0))),)</f>
        <v/>
      </c>
      <c r="R16" s="38" t="str">
        <f t="array" ref="R16">IF($E16&lt;&gt;"",IFERROR(INDEX(ISIN!$C:$C,MATCH($E16,ISIN!$A:$A,0)),IFERROR(INDEX($R17:$R1200,MATCH($K16,$K17:$K1200,0)))),IF(AND($Y16="change",$H16="EUR"),IF($O16=$O17,$R17,IF($O16=$O15,$R15)),IFERROR(INDEX($R17:$R1200,MATCH(SUBSTITUTE($I16,"-","",1),$K17:$K1200,0)))))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7" t="str">
        <f t="shared" si="1"/>
        <v>COST</v>
      </c>
      <c r="T16" s="39" t="str">
        <f t="shared" si="2"/>
        <v/>
      </c>
      <c r="U16" s="40" t="str">
        <f t="shared" si="3"/>
        <v/>
      </c>
      <c r="V16" s="34" t="str">
        <f t="shared" si="4"/>
        <v/>
      </c>
      <c r="W16" s="41" t="str">
        <f>IFERROR(__xludf.DUMMYFUNCTION(" IF(Account!$F16&lt;&gt;"""", SPLIT(Account!$F16, "" ""), """")"),"Processed")</f>
        <v>Processed</v>
      </c>
      <c r="X16" s="44" t="str">
        <f>IFERROR(__xludf.DUMMYFUNCTION("""COMPUTED_VALUE"""),"Flatex")</f>
        <v>Flatex</v>
      </c>
      <c r="Y16" s="44" t="str">
        <f>IFERROR(__xludf.DUMMYFUNCTION("""COMPUTED_VALUE"""),"Withdrawal")</f>
        <v>Withdrawal</v>
      </c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</row>
    <row r="17">
      <c r="A17" s="20" t="s">
        <v>133</v>
      </c>
      <c r="B17" s="20" t="s">
        <v>135</v>
      </c>
      <c r="C17" s="20" t="s">
        <v>133</v>
      </c>
      <c r="D17" s="20"/>
      <c r="E17" s="20"/>
      <c r="F17" s="21" t="s">
        <v>136</v>
      </c>
      <c r="G17" s="20"/>
      <c r="H17" s="20"/>
      <c r="I17" s="20"/>
      <c r="J17" s="20" t="s">
        <v>76</v>
      </c>
      <c r="K17" s="20" t="s">
        <v>137</v>
      </c>
      <c r="L17" s="21"/>
      <c r="M17" s="33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4">
        <f>IFERROR(__xludf.DUMMYFUNCTION("IF(Account!$F17&lt;&gt;"""", VALUE(REGEXREPLACE($I17, ""\,"", ""."")), """")"),0.0)</f>
        <v>0</v>
      </c>
      <c r="O17" s="35">
        <f>IF(Account!$F17&lt;&gt;"", DATEVALUE(MID($A17,4,3) &amp; LEFT($A17,3) &amp; RIGHT($A17,4)) + TIMEVALUE($B17), "")</f>
        <v>44106.55208</v>
      </c>
      <c r="P17" s="36">
        <f>IF(Account!$F17&lt;&gt;"", DATEVALUE(MID($C17,4,3) &amp; LEFT($C17,3) &amp; RIGHT($C17,4)), "")</f>
        <v>44106</v>
      </c>
      <c r="Q17" s="37" t="str">
        <f t="array" ref="Q17">IF($R17&lt;&gt;"",IFERROR(INDEX(ISIN!$B:$B,MATCH($R17,ISIN!$C:$C,0))),)</f>
        <v/>
      </c>
      <c r="R17" s="38" t="str">
        <f t="array" ref="R17">IF($E17&lt;&gt;"",IFERROR(INDEX(ISIN!$C:$C,MATCH($E17,ISIN!$A:$A,0)),IFERROR(INDEX($R18:$R1200,MATCH($K17,$K18:$K1200,0)))),IF(AND($Y17="change",$H17="EUR"),IF($O17=$O18,$R18,IF($O17=$O16,$R16)),IFERROR(INDEX($R18:$R1200,MATCH(SUBSTITUTE($I17,"-","",1),$K18:$K1200,0)))))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7" t="str">
        <f t="shared" si="1"/>
        <v>COST</v>
      </c>
      <c r="T17" s="39" t="str">
        <f t="shared" si="2"/>
        <v/>
      </c>
      <c r="U17" s="40" t="str">
        <f t="shared" si="3"/>
        <v/>
      </c>
      <c r="V17" s="34">
        <f t="shared" si="4"/>
        <v>0</v>
      </c>
      <c r="W17" s="41" t="str">
        <f>IFERROR(__xludf.DUMMYFUNCTION(" IF(Account!$F17&lt;&gt;"""", SPLIT(Account!$F17, "" ""), """")"),"Virement")</f>
        <v>Virement</v>
      </c>
      <c r="X17" s="44" t="str">
        <f>IFERROR(__xludf.DUMMYFUNCTION("""COMPUTED_VALUE"""),"vers")</f>
        <v>vers</v>
      </c>
      <c r="Y17" s="44" t="str">
        <f>IFERROR(__xludf.DUMMYFUNCTION("""COMPUTED_VALUE"""),"votre")</f>
        <v>votre</v>
      </c>
      <c r="Z17" s="44" t="str">
        <f>IFERROR(__xludf.DUMMYFUNCTION("""COMPUTED_VALUE"""),"Compte")</f>
        <v>Compte</v>
      </c>
      <c r="AA17" s="44" t="str">
        <f>IFERROR(__xludf.DUMMYFUNCTION("""COMPUTED_VALUE"""),"Espèces")</f>
        <v>Espèces</v>
      </c>
      <c r="AB17" s="44" t="str">
        <f>IFERROR(__xludf.DUMMYFUNCTION("""COMPUTED_VALUE"""),"à")</f>
        <v>à</v>
      </c>
      <c r="AC17" s="44" t="str">
        <f>IFERROR(__xludf.DUMMYFUNCTION("""COMPUTED_VALUE"""),"la")</f>
        <v>la</v>
      </c>
      <c r="AD17" s="44" t="str">
        <f>IFERROR(__xludf.DUMMYFUNCTION("""COMPUTED_VALUE"""),"Flatex")</f>
        <v>Flatex</v>
      </c>
      <c r="AE17" s="44" t="str">
        <f>IFERROR(__xludf.DUMMYFUNCTION("""COMPUTED_VALUE"""),"Bank:")</f>
        <v>Bank:</v>
      </c>
      <c r="AF17" s="44" t="str">
        <f>IFERROR(__xludf.DUMMYFUNCTION("""COMPUTED_VALUE"""),"0,82")</f>
        <v>0,82</v>
      </c>
      <c r="AG17" s="44" t="str">
        <f>IFERROR(__xludf.DUMMYFUNCTION("""COMPUTED_VALUE"""),"EUR")</f>
        <v>EUR</v>
      </c>
      <c r="AH17" s="44"/>
      <c r="AI17" s="44"/>
      <c r="AJ17" s="44"/>
      <c r="AK17" s="44"/>
    </row>
    <row r="18">
      <c r="A18" s="20" t="s">
        <v>138</v>
      </c>
      <c r="B18" s="20" t="s">
        <v>139</v>
      </c>
      <c r="C18" s="20" t="s">
        <v>138</v>
      </c>
      <c r="D18" s="20" t="s">
        <v>91</v>
      </c>
      <c r="E18" s="20" t="s">
        <v>92</v>
      </c>
      <c r="F18" s="21" t="s">
        <v>140</v>
      </c>
      <c r="G18" s="20"/>
      <c r="H18" s="20" t="s">
        <v>76</v>
      </c>
      <c r="I18" s="20" t="s">
        <v>141</v>
      </c>
      <c r="J18" s="20" t="s">
        <v>76</v>
      </c>
      <c r="K18" s="20" t="s">
        <v>137</v>
      </c>
      <c r="L18" s="21" t="s">
        <v>142</v>
      </c>
      <c r="M18" s="33">
        <f>IFERROR(__xludf.DUMMYFUNCTION("IFS(W18=""Achat"",IFERROR(VALUE(X18),VALUE(REGEXREPLACE(T(X18),""[^0-9]"",""""))),W18=""Vente"",-IFERROR(VALUE(X18),VALUE(REGEXREPLACE(T(X18),""[^0-9]"",""""))),Y18=""Change"",0,Y18&lt;&gt;""Change"","""")"),10.0)</f>
        <v>10</v>
      </c>
      <c r="N18" s="34">
        <f>IFERROR(__xludf.DUMMYFUNCTION("IF(Account!$F18&lt;&gt;"""", VALUE(REGEXREPLACE($I18, ""\,"", ""."")), """")"),-1905.5)</f>
        <v>-1905.5</v>
      </c>
      <c r="O18" s="35">
        <f>IF(Account!$F18&lt;&gt;"", DATEVALUE(MID($A18,4,3) &amp; LEFT($A18,3) &amp; RIGHT($A18,4)) + TIMEVALUE($B18), "")</f>
        <v>44105.46944</v>
      </c>
      <c r="P18" s="36">
        <f>IF(Account!$F18&lt;&gt;"", DATEVALUE(MID($C18,4,3) &amp; LEFT($C18,3) &amp; RIGHT($C18,4)), "")</f>
        <v>44105</v>
      </c>
      <c r="Q18" s="37" t="str">
        <f t="array" ref="Q18">IF($R18&lt;&gt;"",IFERROR(INDEX(ISIN!$B:$B,MATCH($R18,ISIN!$C:$C,0))),)</f>
        <v>Intermediate US bonds (7-10 year)</v>
      </c>
      <c r="R18" s="38" t="str">
        <f t="array" ref="R18">IF($E18&lt;&gt;"",IFERROR(INDEX(ISIN!$C:$C,MATCH($E18,ISIN!$A:$A,0)),IFERROR(INDEX($R19:$R1200,MATCH($K18,$K19:$K1200,0)))),IF(AND($Y18="change",$H18="EUR"),IF($O18=$O19,$R19,IF($O18=$O17,$R17)),IFERROR(INDEX($R19:$R1200,MATCH(SUBSTITUTE($I18,"-","",1),$K19:$K1200,0)))))</f>
        <v>iShares Treasury Bond 7-10 UCITS</v>
      </c>
      <c r="S18" s="37" t="str">
        <f t="shared" si="1"/>
        <v>BUY</v>
      </c>
      <c r="T18" s="39">
        <f t="shared" si="2"/>
        <v>10</v>
      </c>
      <c r="U18" s="40">
        <f t="shared" si="3"/>
        <v>190.55</v>
      </c>
      <c r="V18" s="34">
        <f t="shared" si="4"/>
        <v>-1905.5</v>
      </c>
      <c r="W18" s="41" t="str">
        <f>IFERROR(__xludf.DUMMYFUNCTION(" IF(Account!$F18&lt;&gt;"""", SPLIT(Account!$F18, "" ""), """")"),"Achat")</f>
        <v>Achat</v>
      </c>
      <c r="X18" s="44">
        <f>IFERROR(__xludf.DUMMYFUNCTION("""COMPUTED_VALUE"""),10.0)</f>
        <v>10</v>
      </c>
      <c r="Y18" s="44" t="str">
        <f>IFERROR(__xludf.DUMMYFUNCTION("""COMPUTED_VALUE"""),"ISHARES")</f>
        <v>ISHARES</v>
      </c>
      <c r="Z18" s="44" t="str">
        <f>IFERROR(__xludf.DUMMYFUNCTION("""COMPUTED_VALUE"""),"US")</f>
        <v>US</v>
      </c>
      <c r="AA18" s="44" t="str">
        <f>IFERROR(__xludf.DUMMYFUNCTION("""COMPUTED_VALUE"""),"T")</f>
        <v>T</v>
      </c>
      <c r="AB18" s="44" t="str">
        <f>IFERROR(__xludf.DUMMYFUNCTION("""COMPUTED_VALUE"""),"7-10@190,55")</f>
        <v>7-10@190,55</v>
      </c>
      <c r="AC18" s="44" t="str">
        <f>IFERROR(__xludf.DUMMYFUNCTION("""COMPUTED_VALUE"""),"EUR")</f>
        <v>EUR</v>
      </c>
      <c r="AD18" s="44" t="str">
        <f>IFERROR(__xludf.DUMMYFUNCTION("""COMPUTED_VALUE"""),"(IE00B1FZS798)")</f>
        <v>(IE00B1FZS798)</v>
      </c>
      <c r="AE18" s="44"/>
      <c r="AF18" s="44"/>
      <c r="AG18" s="44"/>
      <c r="AH18" s="44"/>
      <c r="AI18" s="44"/>
      <c r="AJ18" s="44"/>
      <c r="AK18" s="44"/>
    </row>
    <row r="19">
      <c r="A19" s="20" t="s">
        <v>138</v>
      </c>
      <c r="B19" s="20" t="s">
        <v>143</v>
      </c>
      <c r="C19" s="20" t="s">
        <v>99</v>
      </c>
      <c r="D19" s="20"/>
      <c r="E19" s="20"/>
      <c r="F19" s="21" t="s">
        <v>144</v>
      </c>
      <c r="G19" s="20"/>
      <c r="H19" s="20" t="s">
        <v>76</v>
      </c>
      <c r="I19" s="20" t="s">
        <v>145</v>
      </c>
      <c r="J19" s="20" t="s">
        <v>76</v>
      </c>
      <c r="K19" s="20" t="s">
        <v>146</v>
      </c>
      <c r="L19" s="21"/>
      <c r="M19" s="33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4">
        <f>IFERROR(__xludf.DUMMYFUNCTION("IF(Account!$F19&lt;&gt;"""", VALUE(REGEXREPLACE($I19, ""\,"", ""."")), """")"),-0.82)</f>
        <v>-0.82</v>
      </c>
      <c r="O19" s="35">
        <f>IF(Account!$F19&lt;&gt;"", DATEVALUE(MID($A19,4,3) &amp; LEFT($A19,3) &amp; RIGHT($A19,4)) + TIMEVALUE($B19), "")</f>
        <v>44105.27778</v>
      </c>
      <c r="P19" s="36">
        <f>IF(Account!$F19&lt;&gt;"", DATEVALUE(MID($C19,4,3) &amp; LEFT($C19,3) &amp; RIGHT($C19,4)), "")</f>
        <v>44104</v>
      </c>
      <c r="Q19" s="37" t="str">
        <f t="array" ref="Q19">IF($R19&lt;&gt;"",IFERROR(INDEX(ISIN!$B:$B,MATCH($R19,ISIN!$C:$C,0))),)</f>
        <v/>
      </c>
      <c r="R19" s="38" t="str">
        <f t="array" ref="R19">IF($E19&lt;&gt;"",IFERROR(INDEX(ISIN!$C:$C,MATCH($E19,ISIN!$A:$A,0)),IFERROR(INDEX($R20:$R1200,MATCH($K19,$K20:$K1200,0)))),IF(AND($Y19="change",$H19="EUR"),IF($O19=$O20,$R20,IF($O19=$O18,$R18)),IFERROR(INDEX($R20:$R1200,MATCH(SUBSTITUTE($I19,"-","",1),$K20:$K1200,0)))))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7" t="str">
        <f t="shared" si="1"/>
        <v>COST</v>
      </c>
      <c r="T19" s="39" t="str">
        <f t="shared" si="2"/>
        <v/>
      </c>
      <c r="U19" s="40" t="str">
        <f t="shared" si="3"/>
        <v/>
      </c>
      <c r="V19" s="34">
        <f t="shared" si="4"/>
        <v>-0.82</v>
      </c>
      <c r="W19" s="41" t="str">
        <f>IFERROR(__xludf.DUMMYFUNCTION(" IF(Account!$F19&lt;&gt;"""", SPLIT(Account!$F19, "" ""), """")"),"Flatex")</f>
        <v>Flatex</v>
      </c>
      <c r="X19" s="44" t="str">
        <f>IFERROR(__xludf.DUMMYFUNCTION("""COMPUTED_VALUE"""),"Interest")</f>
        <v>Interest</v>
      </c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</row>
    <row r="20">
      <c r="A20" s="20" t="s">
        <v>99</v>
      </c>
      <c r="B20" s="20" t="s">
        <v>147</v>
      </c>
      <c r="C20" s="20" t="s">
        <v>99</v>
      </c>
      <c r="D20" s="20" t="s">
        <v>91</v>
      </c>
      <c r="E20" s="20" t="s">
        <v>92</v>
      </c>
      <c r="F20" s="21" t="s">
        <v>148</v>
      </c>
      <c r="G20" s="20"/>
      <c r="H20" s="20" t="s">
        <v>76</v>
      </c>
      <c r="I20" s="20" t="s">
        <v>149</v>
      </c>
      <c r="J20" s="20" t="s">
        <v>76</v>
      </c>
      <c r="K20" s="20" t="s">
        <v>150</v>
      </c>
      <c r="L20" s="21" t="s">
        <v>151</v>
      </c>
      <c r="M20" s="33">
        <f>IFERROR(__xludf.DUMMYFUNCTION("IFS(W20=""Achat"",IFERROR(VALUE(X20),VALUE(REGEXREPLACE(T(X20),""[^0-9]"",""""))),W20=""Vente"",-IFERROR(VALUE(X20),VALUE(REGEXREPLACE(T(X20),""[^0-9]"",""""))),Y20=""Change"",0,Y20&lt;&gt;""Change"","""")"),50.0)</f>
        <v>50</v>
      </c>
      <c r="N20" s="34">
        <f>IFERROR(__xludf.DUMMYFUNCTION("IF(Account!$F20&lt;&gt;"""", VALUE(REGEXREPLACE($I20, ""\,"", ""."")), """")"),-9558.0)</f>
        <v>-9558</v>
      </c>
      <c r="O20" s="35">
        <f>IF(Account!$F20&lt;&gt;"", DATEVALUE(MID($A20,4,3) &amp; LEFT($A20,3) &amp; RIGHT($A20,4)) + TIMEVALUE($B20), "")</f>
        <v>44104.67361</v>
      </c>
      <c r="P20" s="36">
        <f>IF(Account!$F20&lt;&gt;"", DATEVALUE(MID($C20,4,3) &amp; LEFT($C20,3) &amp; RIGHT($C20,4)), "")</f>
        <v>44104</v>
      </c>
      <c r="Q20" s="37" t="str">
        <f t="array" ref="Q20">IF($R20&lt;&gt;"",IFERROR(INDEX(ISIN!$B:$B,MATCH($R20,ISIN!$C:$C,0))),)</f>
        <v>Intermediate US bonds (7-10 year)</v>
      </c>
      <c r="R20" s="38" t="str">
        <f t="array" ref="R20">IF($E20&lt;&gt;"",IFERROR(INDEX(ISIN!$C:$C,MATCH($E20,ISIN!$A:$A,0)),IFERROR(INDEX($R21:$R1200,MATCH($K20,$K21:$K1200,0)))),IF(AND($Y20="change",$H20="EUR"),IF($O20=$O21,$R21,IF($O20=$O19,$R19)),IFERROR(INDEX($R21:$R1200,MATCH(SUBSTITUTE($I20,"-","",1),$K21:$K1200,0)))))</f>
        <v>iShares Treasury Bond 7-10 UCITS</v>
      </c>
      <c r="S20" s="37" t="str">
        <f t="shared" si="1"/>
        <v>BUY</v>
      </c>
      <c r="T20" s="39">
        <f t="shared" si="2"/>
        <v>50</v>
      </c>
      <c r="U20" s="40">
        <f t="shared" si="3"/>
        <v>191.16</v>
      </c>
      <c r="V20" s="34">
        <f t="shared" si="4"/>
        <v>-9558</v>
      </c>
      <c r="W20" s="41" t="str">
        <f>IFERROR(__xludf.DUMMYFUNCTION(" IF(Account!$F20&lt;&gt;"""", SPLIT(Account!$F20, "" ""), """")"),"Achat")</f>
        <v>Achat</v>
      </c>
      <c r="X20" s="44">
        <f>IFERROR(__xludf.DUMMYFUNCTION("""COMPUTED_VALUE"""),50.0)</f>
        <v>50</v>
      </c>
      <c r="Y20" s="44" t="str">
        <f>IFERROR(__xludf.DUMMYFUNCTION("""COMPUTED_VALUE"""),"ISHARES")</f>
        <v>ISHARES</v>
      </c>
      <c r="Z20" s="44" t="str">
        <f>IFERROR(__xludf.DUMMYFUNCTION("""COMPUTED_VALUE"""),"US")</f>
        <v>US</v>
      </c>
      <c r="AA20" s="44" t="str">
        <f>IFERROR(__xludf.DUMMYFUNCTION("""COMPUTED_VALUE"""),"T")</f>
        <v>T</v>
      </c>
      <c r="AB20" s="44" t="str">
        <f>IFERROR(__xludf.DUMMYFUNCTION("""COMPUTED_VALUE"""),"7-10@191,16")</f>
        <v>7-10@191,16</v>
      </c>
      <c r="AC20" s="44" t="str">
        <f>IFERROR(__xludf.DUMMYFUNCTION("""COMPUTED_VALUE"""),"EUR")</f>
        <v>EUR</v>
      </c>
      <c r="AD20" s="44" t="str">
        <f>IFERROR(__xludf.DUMMYFUNCTION("""COMPUTED_VALUE"""),"(IE00B1FZS798)")</f>
        <v>(IE00B1FZS798)</v>
      </c>
      <c r="AE20" s="44"/>
      <c r="AF20" s="44"/>
      <c r="AG20" s="44"/>
      <c r="AH20" s="44"/>
      <c r="AI20" s="44"/>
      <c r="AJ20" s="44"/>
      <c r="AK20" s="44"/>
    </row>
    <row r="21">
      <c r="A21" s="20" t="s">
        <v>152</v>
      </c>
      <c r="B21" s="20" t="s">
        <v>153</v>
      </c>
      <c r="C21" s="20" t="s">
        <v>152</v>
      </c>
      <c r="D21" s="20"/>
      <c r="E21" s="20"/>
      <c r="F21" s="21" t="s">
        <v>154</v>
      </c>
      <c r="G21" s="20"/>
      <c r="H21" s="20"/>
      <c r="I21" s="20"/>
      <c r="J21" s="20" t="s">
        <v>76</v>
      </c>
      <c r="K21" s="20" t="s">
        <v>155</v>
      </c>
      <c r="L21" s="21"/>
      <c r="M21" s="33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4">
        <f>IFERROR(__xludf.DUMMYFUNCTION("IF(Account!$F21&lt;&gt;"""", VALUE(REGEXREPLACE($I21, ""\,"", ""."")), """")"),0.0)</f>
        <v>0</v>
      </c>
      <c r="O21" s="35">
        <f>IF(Account!$F21&lt;&gt;"", DATEVALUE(MID($A21,4,3) &amp; LEFT($A21,3) &amp; RIGHT($A21,4)) + TIMEVALUE($B21), "")</f>
        <v>44097.48958</v>
      </c>
      <c r="P21" s="36">
        <f>IF(Account!$F21&lt;&gt;"", DATEVALUE(MID($C21,4,3) &amp; LEFT($C21,3) &amp; RIGHT($C21,4)), "")</f>
        <v>44097</v>
      </c>
      <c r="Q21" s="37" t="str">
        <f t="array" ref="Q21">IF($R21&lt;&gt;"",IFERROR(INDEX(ISIN!$B:$B,MATCH($R21,ISIN!$C:$C,0))),)</f>
        <v/>
      </c>
      <c r="R21" s="38" t="str">
        <f t="array" ref="R21">IF($E21&lt;&gt;"",IFERROR(INDEX(ISIN!$C:$C,MATCH($E21,ISIN!$A:$A,0)),IFERROR(INDEX($R22:$R1200,MATCH($K21,$K22:$K1200,0)))),IF(AND($Y21="change",$H21="EUR"),IF($O21=$O22,$R22,IF($O21=$O20,$R20)),IFERROR(INDEX($R22:$R1200,MATCH(SUBSTITUTE($I21,"-","",1),$K22:$K1200,0)))))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7" t="str">
        <f t="shared" si="1"/>
        <v>COST</v>
      </c>
      <c r="T21" s="39" t="str">
        <f t="shared" si="2"/>
        <v/>
      </c>
      <c r="U21" s="40" t="str">
        <f t="shared" si="3"/>
        <v/>
      </c>
      <c r="V21" s="34">
        <f t="shared" si="4"/>
        <v>0</v>
      </c>
      <c r="W21" s="41" t="str">
        <f>IFERROR(__xludf.DUMMYFUNCTION(" IF(Account!$F21&lt;&gt;"""", SPLIT(Account!$F21, "" ""), """")"),"Virement")</f>
        <v>Virement</v>
      </c>
      <c r="X21" s="44" t="str">
        <f>IFERROR(__xludf.DUMMYFUNCTION("""COMPUTED_VALUE"""),"depuis")</f>
        <v>depuis</v>
      </c>
      <c r="Y21" s="44" t="str">
        <f>IFERROR(__xludf.DUMMYFUNCTION("""COMPUTED_VALUE"""),"votre")</f>
        <v>votre</v>
      </c>
      <c r="Z21" s="44" t="str">
        <f>IFERROR(__xludf.DUMMYFUNCTION("""COMPUTED_VALUE"""),"Compte")</f>
        <v>Compte</v>
      </c>
      <c r="AA21" s="44" t="str">
        <f>IFERROR(__xludf.DUMMYFUNCTION("""COMPUTED_VALUE"""),"Espèces")</f>
        <v>Espèces</v>
      </c>
      <c r="AB21" s="44" t="str">
        <f>IFERROR(__xludf.DUMMYFUNCTION("""COMPUTED_VALUE"""),"à")</f>
        <v>à</v>
      </c>
      <c r="AC21" s="44" t="str">
        <f>IFERROR(__xludf.DUMMYFUNCTION("""COMPUTED_VALUE"""),"la")</f>
        <v>la</v>
      </c>
      <c r="AD21" s="44" t="str">
        <f>IFERROR(__xludf.DUMMYFUNCTION("""COMPUTED_VALUE"""),"Flatex")</f>
        <v>Flatex</v>
      </c>
      <c r="AE21" s="44" t="str">
        <f>IFERROR(__xludf.DUMMYFUNCTION("""COMPUTED_VALUE"""),"Bank:")</f>
        <v>Bank:</v>
      </c>
      <c r="AF21" s="44" t="str">
        <f>IFERROR(__xludf.DUMMYFUNCTION("""COMPUTED_VALUE"""),"40 000")</f>
        <v>40 000</v>
      </c>
      <c r="AG21" s="44" t="str">
        <f>IFERROR(__xludf.DUMMYFUNCTION("""COMPUTED_VALUE"""),"EUR")</f>
        <v>EUR</v>
      </c>
      <c r="AH21" s="44"/>
      <c r="AI21" s="44"/>
      <c r="AJ21" s="44"/>
      <c r="AK21" s="44"/>
    </row>
    <row r="22">
      <c r="A22" s="20" t="s">
        <v>156</v>
      </c>
      <c r="B22" s="20" t="s">
        <v>157</v>
      </c>
      <c r="C22" s="20" t="s">
        <v>156</v>
      </c>
      <c r="D22" s="20"/>
      <c r="E22" s="20"/>
      <c r="F22" s="21" t="s">
        <v>158</v>
      </c>
      <c r="G22" s="20"/>
      <c r="H22" s="20" t="s">
        <v>76</v>
      </c>
      <c r="I22" s="20" t="s">
        <v>159</v>
      </c>
      <c r="J22" s="20" t="s">
        <v>76</v>
      </c>
      <c r="K22" s="20" t="s">
        <v>155</v>
      </c>
      <c r="L22" s="21"/>
      <c r="M22" s="33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4">
        <f>IFERROR(__xludf.DUMMYFUNCTION("IF(Account!$F22&lt;&gt;"""", VALUE(REGEXREPLACE($I22, ""\,"", ""."")), """")"),40000.0)</f>
        <v>40000</v>
      </c>
      <c r="O22" s="35">
        <f>IF(Account!$F22&lt;&gt;"", DATEVALUE(MID($A22,4,3) &amp; LEFT($A22,3) &amp; RIGHT($A22,4)) + TIMEVALUE($B22), "")</f>
        <v>44096.61806</v>
      </c>
      <c r="P22" s="36">
        <f>IF(Account!$F22&lt;&gt;"", DATEVALUE(MID($C22,4,3) &amp; LEFT($C22,3) &amp; RIGHT($C22,4)), "")</f>
        <v>44096</v>
      </c>
      <c r="Q22" s="37" t="str">
        <f t="array" ref="Q22">IF($R22&lt;&gt;"",IFERROR(INDEX(ISIN!$B:$B,MATCH($R22,ISIN!$C:$C,0))),)</f>
        <v/>
      </c>
      <c r="R22" s="38" t="str">
        <f t="array" ref="R22">IF($E22&lt;&gt;"",IFERROR(INDEX(ISIN!$C:$C,MATCH($E22,ISIN!$A:$A,0)),IFERROR(INDEX($R23:$R1200,MATCH($K22,$K23:$K1200,0)))),IF(AND($Y22="change",$H22="EUR"),IF($O22=$O23,$R23,IF($O22=$O21,$R21)),IFERROR(INDEX($R23:$R1200,MATCH(SUBSTITUTE($I22,"-","",1),$K23:$K1200,0)))))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7" t="str">
        <f t="shared" si="1"/>
        <v>APPROVISIONNEMENT</v>
      </c>
      <c r="T22" s="39" t="str">
        <f t="shared" si="2"/>
        <v/>
      </c>
      <c r="U22" s="40" t="str">
        <f t="shared" si="3"/>
        <v/>
      </c>
      <c r="V22" s="34">
        <f t="shared" si="4"/>
        <v>40000</v>
      </c>
      <c r="W22" s="41" t="str">
        <f>IFERROR(__xludf.DUMMYFUNCTION(" IF(Account!$F22&lt;&gt;"""", SPLIT(Account!$F22, "" ""), """")"),"Dépôt")</f>
        <v>Dépôt</v>
      </c>
      <c r="X22" s="44" t="str">
        <f>IFERROR(__xludf.DUMMYFUNCTION("""COMPUTED_VALUE"""),"flatex")</f>
        <v>flatex</v>
      </c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</row>
    <row r="23">
      <c r="A23" s="20" t="s">
        <v>160</v>
      </c>
      <c r="B23" s="20" t="s">
        <v>161</v>
      </c>
      <c r="C23" s="20" t="s">
        <v>162</v>
      </c>
      <c r="D23" s="20"/>
      <c r="E23" s="20"/>
      <c r="F23" s="21" t="s">
        <v>125</v>
      </c>
      <c r="G23" s="20"/>
      <c r="H23" s="20" t="s">
        <v>76</v>
      </c>
      <c r="I23" s="20" t="s">
        <v>163</v>
      </c>
      <c r="J23" s="20" t="s">
        <v>76</v>
      </c>
      <c r="K23" s="20" t="s">
        <v>164</v>
      </c>
      <c r="L23" s="21"/>
      <c r="M23" s="33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4">
        <f>IFERROR(__xludf.DUMMYFUNCTION("IF(Account!$F23&lt;&gt;"""", VALUE(REGEXREPLACE($I23, ""\,"", ""."")), """")"),1500.0)</f>
        <v>1500</v>
      </c>
      <c r="O23" s="35">
        <f>IF(Account!$F23&lt;&gt;"", DATEVALUE(MID($A23,4,3) &amp; LEFT($A23,3) &amp; RIGHT($A23,4)) + TIMEVALUE($B23), "")</f>
        <v>44089.75694</v>
      </c>
      <c r="P23" s="36">
        <f>IF(Account!$F23&lt;&gt;"", DATEVALUE(MID($C23,4,3) &amp; LEFT($C23,3) &amp; RIGHT($C23,4)), "")</f>
        <v>44090</v>
      </c>
      <c r="Q23" s="37" t="str">
        <f t="array" ref="Q23">IF($R23&lt;&gt;"",IFERROR(INDEX(ISIN!$B:$B,MATCH($R23,ISIN!$C:$C,0))),)</f>
        <v/>
      </c>
      <c r="R23" s="38" t="str">
        <f t="array" ref="R23">IF($E23&lt;&gt;"",IFERROR(INDEX(ISIN!$C:$C,MATCH($E23,ISIN!$A:$A,0)),IFERROR(INDEX($R24:$R1200,MATCH($K23,$K24:$K1200,0)))),IF(AND($Y23="change",$H23="EUR"),IF($O23=$O24,$R24,IF($O23=$O22,$R22)),IFERROR(INDEX($R24:$R1200,MATCH(SUBSTITUTE($I23,"-","",1),$K24:$K1200,0)))))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7" t="str">
        <f t="shared" si="1"/>
        <v>COST</v>
      </c>
      <c r="T23" s="39" t="str">
        <f t="shared" si="2"/>
        <v/>
      </c>
      <c r="U23" s="40" t="str">
        <f t="shared" si="3"/>
        <v/>
      </c>
      <c r="V23" s="34" t="str">
        <f t="shared" si="4"/>
        <v/>
      </c>
      <c r="W23" s="41" t="str">
        <f>IFERROR(__xludf.DUMMYFUNCTION(" IF(Account!$F23&lt;&gt;"""", SPLIT(Account!$F23, "" ""), """")"),"Processed")</f>
        <v>Processed</v>
      </c>
      <c r="X23" s="44" t="str">
        <f>IFERROR(__xludf.DUMMYFUNCTION("""COMPUTED_VALUE"""),"Flatex")</f>
        <v>Flatex</v>
      </c>
      <c r="Y23" s="44" t="str">
        <f>IFERROR(__xludf.DUMMYFUNCTION("""COMPUTED_VALUE"""),"Withdrawal")</f>
        <v>Withdrawal</v>
      </c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</row>
    <row r="24">
      <c r="A24" s="20" t="s">
        <v>160</v>
      </c>
      <c r="B24" s="20" t="s">
        <v>161</v>
      </c>
      <c r="C24" s="20" t="s">
        <v>162</v>
      </c>
      <c r="D24" s="20"/>
      <c r="E24" s="20"/>
      <c r="F24" s="21" t="s">
        <v>128</v>
      </c>
      <c r="G24" s="20"/>
      <c r="H24" s="20" t="s">
        <v>76</v>
      </c>
      <c r="I24" s="20" t="s">
        <v>165</v>
      </c>
      <c r="J24" s="20" t="s">
        <v>76</v>
      </c>
      <c r="K24" s="20" t="s">
        <v>166</v>
      </c>
      <c r="L24" s="21"/>
      <c r="M24" s="33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4">
        <f>IFERROR(__xludf.DUMMYFUNCTION("IF(Account!$F24&lt;&gt;"""", VALUE(REGEXREPLACE($I24, ""\,"", ""."")), """")"),-1500.0)</f>
        <v>-1500</v>
      </c>
      <c r="O24" s="35">
        <f>IF(Account!$F24&lt;&gt;"", DATEVALUE(MID($A24,4,3) &amp; LEFT($A24,3) &amp; RIGHT($A24,4)) + TIMEVALUE($B24), "")</f>
        <v>44089.75694</v>
      </c>
      <c r="P24" s="36">
        <f>IF(Account!$F24&lt;&gt;"", DATEVALUE(MID($C24,4,3) &amp; LEFT($C24,3) &amp; RIGHT($C24,4)), "")</f>
        <v>44090</v>
      </c>
      <c r="Q24" s="37" t="str">
        <f t="array" ref="Q24">IF($R24&lt;&gt;"",IFERROR(INDEX(ISIN!$B:$B,MATCH($R24,ISIN!$C:$C,0))),)</f>
        <v/>
      </c>
      <c r="R24" s="38" t="str">
        <f t="array" ref="R24">IF($E24&lt;&gt;"",IFERROR(INDEX(ISIN!$C:$C,MATCH($E24,ISIN!$A:$A,0)),IFERROR(INDEX($R25:$R1200,MATCH($K24,$K25:$K1200,0)))),IF(AND($Y24="change",$H24="EUR"),IF($O24=$O25,$R25,IF($O24=$O23,$R23)),IFERROR(INDEX($R25:$R1200,MATCH(SUBSTITUTE($I24,"-","",1),$K25:$K1200,0)))))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7" t="str">
        <f t="shared" si="1"/>
        <v>APPROVISIONNEMENT</v>
      </c>
      <c r="T24" s="39" t="str">
        <f t="shared" si="2"/>
        <v/>
      </c>
      <c r="U24" s="40" t="str">
        <f t="shared" si="3"/>
        <v/>
      </c>
      <c r="V24" s="34">
        <f t="shared" si="4"/>
        <v>-1500</v>
      </c>
      <c r="W24" s="41" t="str">
        <f>IFERROR(__xludf.DUMMYFUNCTION(" IF(Account!$F24&lt;&gt;"""", SPLIT(Account!$F24, "" ""), """")"),"Retrait")</f>
        <v>Retrait</v>
      </c>
      <c r="X24" s="44" t="str">
        <f>IFERROR(__xludf.DUMMYFUNCTION("""COMPUTED_VALUE"""),"flatex")</f>
        <v>flatex</v>
      </c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</row>
    <row r="25">
      <c r="A25" s="20" t="s">
        <v>167</v>
      </c>
      <c r="B25" s="20" t="s">
        <v>168</v>
      </c>
      <c r="C25" s="20" t="s">
        <v>169</v>
      </c>
      <c r="D25" s="20"/>
      <c r="E25" s="20"/>
      <c r="F25" s="21" t="s">
        <v>125</v>
      </c>
      <c r="G25" s="20"/>
      <c r="H25" s="20" t="s">
        <v>76</v>
      </c>
      <c r="I25" s="20" t="s">
        <v>126</v>
      </c>
      <c r="J25" s="20" t="s">
        <v>76</v>
      </c>
      <c r="K25" s="20" t="s">
        <v>164</v>
      </c>
      <c r="L25" s="21"/>
      <c r="M25" s="33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4">
        <f>IFERROR(__xludf.DUMMYFUNCTION("IF(Account!$F25&lt;&gt;"""", VALUE(REGEXREPLACE($I25, ""\,"", ""."")), """")"),1000.0)</f>
        <v>1000</v>
      </c>
      <c r="O25" s="35">
        <f>IF(Account!$F25&lt;&gt;"", DATEVALUE(MID($A25,4,3) &amp; LEFT($A25,3) &amp; RIGHT($A25,4)) + TIMEVALUE($B25), "")</f>
        <v>44084.70139</v>
      </c>
      <c r="P25" s="36">
        <f>IF(Account!$F25&lt;&gt;"", DATEVALUE(MID($C25,4,3) &amp; LEFT($C25,3) &amp; RIGHT($C25,4)), "")</f>
        <v>44085</v>
      </c>
      <c r="Q25" s="37" t="str">
        <f t="array" ref="Q25">IF($R25&lt;&gt;"",IFERROR(INDEX(ISIN!$B:$B,MATCH($R25,ISIN!$C:$C,0))),)</f>
        <v/>
      </c>
      <c r="R25" s="38" t="str">
        <f t="array" ref="R25">IF($E25&lt;&gt;"",IFERROR(INDEX(ISIN!$C:$C,MATCH($E25,ISIN!$A:$A,0)),IFERROR(INDEX($R26:$R1200,MATCH($K25,$K26:$K1200,0)))),IF(AND($Y25="change",$H25="EUR"),IF($O25=$O26,$R26,IF($O25=$O24,$R24)),IFERROR(INDEX($R26:$R1200,MATCH(SUBSTITUTE($I25,"-","",1),$K26:$K1200,0)))))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7" t="str">
        <f t="shared" si="1"/>
        <v>COST</v>
      </c>
      <c r="T25" s="39" t="str">
        <f t="shared" si="2"/>
        <v/>
      </c>
      <c r="U25" s="40" t="str">
        <f t="shared" si="3"/>
        <v/>
      </c>
      <c r="V25" s="34" t="str">
        <f t="shared" si="4"/>
        <v/>
      </c>
      <c r="W25" s="41" t="str">
        <f>IFERROR(__xludf.DUMMYFUNCTION(" IF(Account!$F25&lt;&gt;"""", SPLIT(Account!$F25, "" ""), """")"),"Processed")</f>
        <v>Processed</v>
      </c>
      <c r="X25" s="44" t="str">
        <f>IFERROR(__xludf.DUMMYFUNCTION("""COMPUTED_VALUE"""),"Flatex")</f>
        <v>Flatex</v>
      </c>
      <c r="Y25" s="44" t="str">
        <f>IFERROR(__xludf.DUMMYFUNCTION("""COMPUTED_VALUE"""),"Withdrawal")</f>
        <v>Withdrawal</v>
      </c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</row>
    <row r="26">
      <c r="A26" s="20" t="s">
        <v>167</v>
      </c>
      <c r="B26" s="20" t="s">
        <v>168</v>
      </c>
      <c r="C26" s="20" t="s">
        <v>169</v>
      </c>
      <c r="D26" s="20"/>
      <c r="E26" s="20"/>
      <c r="F26" s="21" t="s">
        <v>128</v>
      </c>
      <c r="G26" s="20"/>
      <c r="H26" s="20" t="s">
        <v>76</v>
      </c>
      <c r="I26" s="20" t="s">
        <v>129</v>
      </c>
      <c r="J26" s="20" t="s">
        <v>76</v>
      </c>
      <c r="K26" s="20" t="s">
        <v>170</v>
      </c>
      <c r="L26" s="21"/>
      <c r="M26" s="33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4">
        <f>IFERROR(__xludf.DUMMYFUNCTION("IF(Account!$F26&lt;&gt;"""", VALUE(REGEXREPLACE($I26, ""\,"", ""."")), """")"),-1000.0)</f>
        <v>-1000</v>
      </c>
      <c r="O26" s="35">
        <f>IF(Account!$F26&lt;&gt;"", DATEVALUE(MID($A26,4,3) &amp; LEFT($A26,3) &amp; RIGHT($A26,4)) + TIMEVALUE($B26), "")</f>
        <v>44084.70139</v>
      </c>
      <c r="P26" s="36">
        <f>IF(Account!$F26&lt;&gt;"", DATEVALUE(MID($C26,4,3) &amp; LEFT($C26,3) &amp; RIGHT($C26,4)), "")</f>
        <v>44085</v>
      </c>
      <c r="Q26" s="37" t="str">
        <f t="array" ref="Q26">IF($R26&lt;&gt;"",IFERROR(INDEX(ISIN!$B:$B,MATCH($R26,ISIN!$C:$C,0))),)</f>
        <v/>
      </c>
      <c r="R26" s="38" t="str">
        <f t="array" ref="R26">IF($E26&lt;&gt;"",IFERROR(INDEX(ISIN!$C:$C,MATCH($E26,ISIN!$A:$A,0)),IFERROR(INDEX($R27:$R1200,MATCH($K26,$K27:$K1200,0)))),IF(AND($Y26="change",$H26="EUR"),IF($O26=$O27,$R27,IF($O26=$O25,$R25)),IFERROR(INDEX($R27:$R1200,MATCH(SUBSTITUTE($I26,"-","",1),$K27:$K1200,0)))))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7" t="str">
        <f t="shared" si="1"/>
        <v>APPROVISIONNEMENT</v>
      </c>
      <c r="T26" s="39" t="str">
        <f t="shared" si="2"/>
        <v/>
      </c>
      <c r="U26" s="40" t="str">
        <f t="shared" si="3"/>
        <v/>
      </c>
      <c r="V26" s="34">
        <f t="shared" si="4"/>
        <v>-1000</v>
      </c>
      <c r="W26" s="41" t="str">
        <f>IFERROR(__xludf.DUMMYFUNCTION(" IF(Account!$F26&lt;&gt;"""", SPLIT(Account!$F26, "" ""), """")"),"Retrait")</f>
        <v>Retrait</v>
      </c>
      <c r="X26" s="44" t="str">
        <f>IFERROR(__xludf.DUMMYFUNCTION("""COMPUTED_VALUE"""),"flatex")</f>
        <v>flatex</v>
      </c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</row>
    <row r="27">
      <c r="A27" s="20" t="s">
        <v>167</v>
      </c>
      <c r="B27" s="20" t="s">
        <v>171</v>
      </c>
      <c r="C27" s="20" t="s">
        <v>167</v>
      </c>
      <c r="D27" s="20"/>
      <c r="E27" s="20"/>
      <c r="F27" s="21" t="s">
        <v>132</v>
      </c>
      <c r="G27" s="20"/>
      <c r="H27" s="20"/>
      <c r="I27" s="20"/>
      <c r="J27" s="20" t="s">
        <v>76</v>
      </c>
      <c r="K27" s="20" t="s">
        <v>164</v>
      </c>
      <c r="L27" s="21"/>
      <c r="M27" s="33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4">
        <f>IFERROR(__xludf.DUMMYFUNCTION("IF(Account!$F27&lt;&gt;"""", VALUE(REGEXREPLACE($I27, ""\,"", ""."")), """")"),0.0)</f>
        <v>0</v>
      </c>
      <c r="O27" s="35">
        <f>IF(Account!$F27&lt;&gt;"", DATEVALUE(MID($A27,4,3) &amp; LEFT($A27,3) &amp; RIGHT($A27,4)) + TIMEVALUE($B27), "")</f>
        <v>44084.53125</v>
      </c>
      <c r="P27" s="36">
        <f>IF(Account!$F27&lt;&gt;"", DATEVALUE(MID($C27,4,3) &amp; LEFT($C27,3) &amp; RIGHT($C27,4)), "")</f>
        <v>44084</v>
      </c>
      <c r="Q27" s="37" t="str">
        <f t="array" ref="Q27">IF($R27&lt;&gt;"",IFERROR(INDEX(ISIN!$B:$B,MATCH($R27,ISIN!$C:$C,0))),)</f>
        <v/>
      </c>
      <c r="R27" s="38" t="str">
        <f t="array" ref="R27">IF($E27&lt;&gt;"",IFERROR(INDEX(ISIN!$C:$C,MATCH($E27,ISIN!$A:$A,0)),IFERROR(INDEX($R28:$R1200,MATCH($K27,$K28:$K1200,0)))),IF(AND($Y27="change",$H27="EUR"),IF($O27=$O28,$R28,IF($O27=$O26,$R26)),IFERROR(INDEX($R28:$R1200,MATCH(SUBSTITUTE($I27,"-","",1),$K28:$K1200,0)))))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7" t="str">
        <f t="shared" si="1"/>
        <v>COST</v>
      </c>
      <c r="T27" s="39" t="str">
        <f t="shared" si="2"/>
        <v/>
      </c>
      <c r="U27" s="40" t="str">
        <f t="shared" si="3"/>
        <v/>
      </c>
      <c r="V27" s="34">
        <f t="shared" si="4"/>
        <v>0</v>
      </c>
      <c r="W27" s="41" t="str">
        <f>IFERROR(__xludf.DUMMYFUNCTION(" IF(Account!$F27&lt;&gt;"""", SPLIT(Account!$F27, "" ""), """")"),"Virement")</f>
        <v>Virement</v>
      </c>
      <c r="X27" s="44" t="str">
        <f>IFERROR(__xludf.DUMMYFUNCTION("""COMPUTED_VALUE"""),"vers")</f>
        <v>vers</v>
      </c>
      <c r="Y27" s="44" t="str">
        <f>IFERROR(__xludf.DUMMYFUNCTION("""COMPUTED_VALUE"""),"votre")</f>
        <v>votre</v>
      </c>
      <c r="Z27" s="44" t="str">
        <f>IFERROR(__xludf.DUMMYFUNCTION("""COMPUTED_VALUE"""),"Compte")</f>
        <v>Compte</v>
      </c>
      <c r="AA27" s="44" t="str">
        <f>IFERROR(__xludf.DUMMYFUNCTION("""COMPUTED_VALUE"""),"Espèces")</f>
        <v>Espèces</v>
      </c>
      <c r="AB27" s="44" t="str">
        <f>IFERROR(__xludf.DUMMYFUNCTION("""COMPUTED_VALUE"""),"à")</f>
        <v>à</v>
      </c>
      <c r="AC27" s="44" t="str">
        <f>IFERROR(__xludf.DUMMYFUNCTION("""COMPUTED_VALUE"""),"la")</f>
        <v>la</v>
      </c>
      <c r="AD27" s="44" t="str">
        <f>IFERROR(__xludf.DUMMYFUNCTION("""COMPUTED_VALUE"""),"Flatex")</f>
        <v>Flatex</v>
      </c>
      <c r="AE27" s="44" t="str">
        <f>IFERROR(__xludf.DUMMYFUNCTION("""COMPUTED_VALUE"""),"Bank:")</f>
        <v>Bank:</v>
      </c>
      <c r="AF27" s="44" t="str">
        <f>IFERROR(__xludf.DUMMYFUNCTION("""COMPUTED_VALUE"""),"1 000")</f>
        <v>1 000</v>
      </c>
      <c r="AG27" s="44" t="str">
        <f>IFERROR(__xludf.DUMMYFUNCTION("""COMPUTED_VALUE"""),"EUR")</f>
        <v>EUR</v>
      </c>
      <c r="AH27" s="44"/>
      <c r="AI27" s="44"/>
      <c r="AJ27" s="44"/>
      <c r="AK27" s="44"/>
    </row>
    <row r="28">
      <c r="A28" s="20" t="s">
        <v>172</v>
      </c>
      <c r="B28" s="20" t="s">
        <v>173</v>
      </c>
      <c r="C28" s="20" t="s">
        <v>172</v>
      </c>
      <c r="D28" s="20"/>
      <c r="E28" s="20"/>
      <c r="F28" s="21" t="s">
        <v>125</v>
      </c>
      <c r="G28" s="20"/>
      <c r="H28" s="20" t="s">
        <v>76</v>
      </c>
      <c r="I28" s="20" t="s">
        <v>129</v>
      </c>
      <c r="J28" s="20" t="s">
        <v>76</v>
      </c>
      <c r="K28" s="20" t="s">
        <v>164</v>
      </c>
      <c r="L28" s="21"/>
      <c r="M28" s="33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4">
        <f>IFERROR(__xludf.DUMMYFUNCTION("IF(Account!$F28&lt;&gt;"""", VALUE(REGEXREPLACE($I28, ""\,"", ""."")), """")"),-1000.0)</f>
        <v>-1000</v>
      </c>
      <c r="O28" s="35">
        <f>IF(Account!$F28&lt;&gt;"", DATEVALUE(MID($A28,4,3) &amp; LEFT($A28,3) &amp; RIGHT($A28,4)) + TIMEVALUE($B28), "")</f>
        <v>44083.56319</v>
      </c>
      <c r="P28" s="36">
        <f>IF(Account!$F28&lt;&gt;"", DATEVALUE(MID($C28,4,3) &amp; LEFT($C28,3) &amp; RIGHT($C28,4)), "")</f>
        <v>44083</v>
      </c>
      <c r="Q28" s="37" t="str">
        <f t="array" ref="Q28">IF($R28&lt;&gt;"",IFERROR(INDEX(ISIN!$B:$B,MATCH($R28,ISIN!$C:$C,0))),)</f>
        <v/>
      </c>
      <c r="R28" s="38" t="str">
        <f t="array" ref="R28">IF($E28&lt;&gt;"",IFERROR(INDEX(ISIN!$C:$C,MATCH($E28,ISIN!$A:$A,0)),IFERROR(INDEX($R29:$R1200,MATCH($K28,$K29:$K1200,0)))),IF(AND($Y28="change",$H28="EUR"),IF($O28=$O29,$R29,IF($O28=$O27,$R27)),IFERROR(INDEX($R29:$R1200,MATCH(SUBSTITUTE($I28,"-","",1),$K29:$K1200,0)))))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7" t="str">
        <f t="shared" si="1"/>
        <v>COST</v>
      </c>
      <c r="T28" s="39" t="str">
        <f t="shared" si="2"/>
        <v/>
      </c>
      <c r="U28" s="40" t="str">
        <f t="shared" si="3"/>
        <v/>
      </c>
      <c r="V28" s="34" t="str">
        <f t="shared" si="4"/>
        <v/>
      </c>
      <c r="W28" s="41" t="str">
        <f>IFERROR(__xludf.DUMMYFUNCTION(" IF(Account!$F28&lt;&gt;"""", SPLIT(Account!$F28, "" ""), """")"),"Processed")</f>
        <v>Processed</v>
      </c>
      <c r="X28" s="44" t="str">
        <f>IFERROR(__xludf.DUMMYFUNCTION("""COMPUTED_VALUE"""),"Flatex")</f>
        <v>Flatex</v>
      </c>
      <c r="Y28" s="44" t="str">
        <f>IFERROR(__xludf.DUMMYFUNCTION("""COMPUTED_VALUE"""),"Withdrawal")</f>
        <v>Withdrawal</v>
      </c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</row>
    <row r="29">
      <c r="A29" s="20"/>
      <c r="B29" s="20"/>
      <c r="C29" s="20"/>
      <c r="D29" s="20"/>
      <c r="E29" s="20"/>
      <c r="F29" s="21"/>
      <c r="G29" s="20"/>
      <c r="H29" s="20"/>
      <c r="I29" s="20"/>
      <c r="J29" s="20"/>
      <c r="K29" s="20"/>
      <c r="L29" s="21"/>
      <c r="M29" s="33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4" t="str">
        <f>IFERROR(__xludf.DUMMYFUNCTION("IF(Account!$F29&lt;&gt;"""", VALUE(REGEXREPLACE($I29, ""\,"", ""."")), """")"),"")</f>
        <v/>
      </c>
      <c r="O29" s="35" t="str">
        <f>IF(Account!$F29&lt;&gt;"", DATEVALUE(MID($A29,4,3) &amp; LEFT($A29,3) &amp; RIGHT($A29,4)) + TIMEVALUE($B29), "")</f>
        <v/>
      </c>
      <c r="P29" s="36" t="str">
        <f>IF(Account!$F29&lt;&gt;"", DATEVALUE(MID($C29,4,3) &amp; LEFT($C29,3) &amp; RIGHT($C29,4)), "")</f>
        <v/>
      </c>
      <c r="Q29" s="37" t="str">
        <f t="array" ref="Q29">IF($R29&lt;&gt;"",IFERROR(INDEX(ISIN!$B:$B,MATCH($R29,ISIN!$C:$C,0))),)</f>
        <v/>
      </c>
      <c r="R29" s="38" t="str">
        <f t="array" ref="R29">IF($E29&lt;&gt;"",IFERROR(INDEX(ISIN!$C:$C,MATCH($E29,ISIN!$A:$A,0)),IFERROR(INDEX($R30:$R1200,MATCH($K29,$K30:$K1200,0)))),IF(AND($Y29="change",$H29="EUR"),IF($O29=$O30,$R30,IF($O29=$O28,$R28)),IFERROR(INDEX($R30:$R1200,MATCH(SUBSTITUTE($I29,"-","",1),$K30:$K1200,0)))))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7" t="str">
        <f t="shared" si="1"/>
        <v/>
      </c>
      <c r="T29" s="39" t="str">
        <f t="shared" si="2"/>
        <v/>
      </c>
      <c r="U29" s="40" t="str">
        <f t="shared" si="3"/>
        <v/>
      </c>
      <c r="V29" s="34" t="str">
        <f t="shared" si="4"/>
        <v/>
      </c>
      <c r="W29" s="41" t="str">
        <f>IFERROR(__xludf.DUMMYFUNCTION(" IF(Account!$F29&lt;&gt;"""", SPLIT(Account!$F29, "" ""), """")"),"")</f>
        <v/>
      </c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</row>
    <row r="30">
      <c r="A30" s="20"/>
      <c r="B30" s="20"/>
      <c r="C30" s="20"/>
      <c r="D30" s="20"/>
      <c r="E30" s="20"/>
      <c r="F30" s="21"/>
      <c r="G30" s="20"/>
      <c r="H30" s="20"/>
      <c r="I30" s="20"/>
      <c r="J30" s="20"/>
      <c r="K30" s="20"/>
      <c r="L30" s="21"/>
      <c r="M30" s="33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4" t="str">
        <f>IFERROR(__xludf.DUMMYFUNCTION("IF(Account!$F30&lt;&gt;"""", VALUE(REGEXREPLACE($I30, ""\,"", ""."")), """")"),"")</f>
        <v/>
      </c>
      <c r="O30" s="35" t="str">
        <f>IF(Account!$F30&lt;&gt;"", DATEVALUE(MID($A30,4,3) &amp; LEFT($A30,3) &amp; RIGHT($A30,4)) + TIMEVALUE($B30), "")</f>
        <v/>
      </c>
      <c r="P30" s="36" t="str">
        <f>IF(Account!$F30&lt;&gt;"", DATEVALUE(MID($C30,4,3) &amp; LEFT($C30,3) &amp; RIGHT($C30,4)), "")</f>
        <v/>
      </c>
      <c r="Q30" s="37" t="str">
        <f t="array" ref="Q30">IF($R30&lt;&gt;"",IFERROR(INDEX(ISIN!$B:$B,MATCH($R30,ISIN!$C:$C,0))),)</f>
        <v/>
      </c>
      <c r="R30" s="38" t="str">
        <f t="array" ref="R30">IF($E30&lt;&gt;"",IFERROR(INDEX(ISIN!$C:$C,MATCH($E30,ISIN!$A:$A,0)),IFERROR(INDEX($R31:$R1200,MATCH($K30,$K31:$K1200,0)))),IF(AND($Y30="change",$H30="EUR"),IF($O30=$O31,$R31,IF($O30=$O29,$R29)),IFERROR(INDEX($R31:$R1200,MATCH(SUBSTITUTE($I30,"-","",1),$K31:$K1200,0)))))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7" t="str">
        <f t="shared" si="1"/>
        <v/>
      </c>
      <c r="T30" s="39" t="str">
        <f t="shared" si="2"/>
        <v/>
      </c>
      <c r="U30" s="40" t="str">
        <f t="shared" si="3"/>
        <v/>
      </c>
      <c r="V30" s="34" t="str">
        <f t="shared" si="4"/>
        <v/>
      </c>
      <c r="W30" s="41" t="str">
        <f>IFERROR(__xludf.DUMMYFUNCTION(" IF(Account!$F30&lt;&gt;"""", SPLIT(Account!$F30, "" ""), """")"),"")</f>
        <v/>
      </c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</row>
    <row r="31">
      <c r="A31" s="20"/>
      <c r="B31" s="20"/>
      <c r="C31" s="20"/>
      <c r="D31" s="20"/>
      <c r="E31" s="20"/>
      <c r="F31" s="21"/>
      <c r="G31" s="20"/>
      <c r="H31" s="20"/>
      <c r="I31" s="20"/>
      <c r="J31" s="20"/>
      <c r="K31" s="20"/>
      <c r="L31" s="21"/>
      <c r="M31" s="33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4" t="str">
        <f>IFERROR(__xludf.DUMMYFUNCTION("IF(Account!$F31&lt;&gt;"""", VALUE(REGEXREPLACE($I31, ""\,"", ""."")), """")"),"")</f>
        <v/>
      </c>
      <c r="O31" s="35" t="str">
        <f>IF(Account!$F31&lt;&gt;"", DATEVALUE(MID($A31,4,3) &amp; LEFT($A31,3) &amp; RIGHT($A31,4)) + TIMEVALUE($B31), "")</f>
        <v/>
      </c>
      <c r="P31" s="36" t="str">
        <f>IF(Account!$F31&lt;&gt;"", DATEVALUE(MID($C31,4,3) &amp; LEFT($C31,3) &amp; RIGHT($C31,4)), "")</f>
        <v/>
      </c>
      <c r="Q31" s="37" t="str">
        <f t="array" ref="Q31">IF($R31&lt;&gt;"",IFERROR(INDEX(ISIN!$B:$B,MATCH($R31,ISIN!$C:$C,0))),)</f>
        <v/>
      </c>
      <c r="R31" s="38" t="str">
        <f t="array" ref="R31">IF($E31&lt;&gt;"",IFERROR(INDEX(ISIN!$C:$C,MATCH($E31,ISIN!$A:$A,0)),IFERROR(INDEX($R32:$R1200,MATCH($K31,$K32:$K1200,0)))),IF(AND($Y31="change",$H31="EUR"),IF($O31=$O32,$R32,IF($O31=$O30,$R30)),IFERROR(INDEX($R32:$R1200,MATCH(SUBSTITUTE($I31,"-","",1),$K32:$K1200,0)))))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7" t="str">
        <f t="shared" si="1"/>
        <v/>
      </c>
      <c r="T31" s="39" t="str">
        <f t="shared" si="2"/>
        <v/>
      </c>
      <c r="U31" s="40" t="str">
        <f t="shared" si="3"/>
        <v/>
      </c>
      <c r="V31" s="34" t="str">
        <f t="shared" si="4"/>
        <v/>
      </c>
      <c r="W31" s="41" t="str">
        <f>IFERROR(__xludf.DUMMYFUNCTION(" IF(Account!$F31&lt;&gt;"""", SPLIT(Account!$F31, "" ""), """")"),"")</f>
        <v/>
      </c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</row>
    <row r="32">
      <c r="A32" s="20"/>
      <c r="B32" s="20"/>
      <c r="C32" s="20"/>
      <c r="D32" s="20"/>
      <c r="E32" s="20"/>
      <c r="F32" s="21"/>
      <c r="G32" s="20"/>
      <c r="H32" s="20"/>
      <c r="I32" s="20"/>
      <c r="J32" s="20"/>
      <c r="K32" s="20"/>
      <c r="L32" s="21"/>
      <c r="M32" s="33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4" t="str">
        <f>IFERROR(__xludf.DUMMYFUNCTION("IF(Account!$F32&lt;&gt;"""", VALUE(REGEXREPLACE($I32, ""\,"", ""."")), """")"),"")</f>
        <v/>
      </c>
      <c r="O32" s="35" t="str">
        <f>IF(Account!$F32&lt;&gt;"", DATEVALUE(MID($A32,4,3) &amp; LEFT($A32,3) &amp; RIGHT($A32,4)) + TIMEVALUE($B32), "")</f>
        <v/>
      </c>
      <c r="P32" s="36" t="str">
        <f>IF(Account!$F32&lt;&gt;"", DATEVALUE(MID($C32,4,3) &amp; LEFT($C32,3) &amp; RIGHT($C32,4)), "")</f>
        <v/>
      </c>
      <c r="Q32" s="37" t="str">
        <f t="array" ref="Q32">IF($R32&lt;&gt;"",IFERROR(INDEX(ISIN!$B:$B,MATCH($R32,ISIN!$C:$C,0))),)</f>
        <v/>
      </c>
      <c r="R32" s="38" t="str">
        <f t="array" ref="R32">IF($E32&lt;&gt;"",IFERROR(INDEX(ISIN!$C:$C,MATCH($E32,ISIN!$A:$A,0)),IFERROR(INDEX($R33:$R1200,MATCH($K32,$K33:$K1200,0)))),IF(AND($Y32="change",$H32="EUR"),IF($O32=$O33,$R33,IF($O32=$O31,$R31)),IFERROR(INDEX($R33:$R1200,MATCH(SUBSTITUTE($I32,"-","",1),$K33:$K1200,0)))))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7" t="str">
        <f t="shared" si="1"/>
        <v/>
      </c>
      <c r="T32" s="39" t="str">
        <f t="shared" si="2"/>
        <v/>
      </c>
      <c r="U32" s="40" t="str">
        <f t="shared" si="3"/>
        <v/>
      </c>
      <c r="V32" s="34" t="str">
        <f t="shared" si="4"/>
        <v/>
      </c>
      <c r="W32" s="41" t="str">
        <f>IFERROR(__xludf.DUMMYFUNCTION(" IF(Account!$F32&lt;&gt;"""", SPLIT(Account!$F32, "" ""), """")"),"")</f>
        <v/>
      </c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</row>
    <row r="33">
      <c r="A33" s="20"/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1"/>
      <c r="M33" s="33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4" t="str">
        <f>IFERROR(__xludf.DUMMYFUNCTION("IF(Account!$F33&lt;&gt;"""", VALUE(REGEXREPLACE($I33, ""\,"", ""."")), """")"),"")</f>
        <v/>
      </c>
      <c r="O33" s="35" t="str">
        <f>IF(Account!$F33&lt;&gt;"", DATEVALUE(MID($A33,4,3) &amp; LEFT($A33,3) &amp; RIGHT($A33,4)) + TIMEVALUE($B33), "")</f>
        <v/>
      </c>
      <c r="P33" s="36" t="str">
        <f>IF(Account!$F33&lt;&gt;"", DATEVALUE(MID($C33,4,3) &amp; LEFT($C33,3) &amp; RIGHT($C33,4)), "")</f>
        <v/>
      </c>
      <c r="Q33" s="37" t="str">
        <f t="array" ref="Q33">IF($R33&lt;&gt;"",IFERROR(INDEX(ISIN!$B:$B,MATCH($R33,ISIN!$C:$C,0))),)</f>
        <v/>
      </c>
      <c r="R33" s="38" t="str">
        <f t="array" ref="R33">IF($E33&lt;&gt;"",IFERROR(INDEX(ISIN!$C:$C,MATCH($E33,ISIN!$A:$A,0)),IFERROR(INDEX($R34:$R1200,MATCH($K33,$K34:$K1200,0)))),IF(AND($Y33="change",$H33="EUR"),IF($O33=$O34,$R34,IF($O33=$O32,$R32)),IFERROR(INDEX($R34:$R1200,MATCH(SUBSTITUTE($I33,"-","",1),$K34:$K1200,0)))))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7" t="str">
        <f t="shared" si="1"/>
        <v/>
      </c>
      <c r="T33" s="39" t="str">
        <f t="shared" si="2"/>
        <v/>
      </c>
      <c r="U33" s="40" t="str">
        <f t="shared" si="3"/>
        <v/>
      </c>
      <c r="V33" s="34" t="str">
        <f t="shared" si="4"/>
        <v/>
      </c>
      <c r="W33" s="41" t="str">
        <f>IFERROR(__xludf.DUMMYFUNCTION(" IF(Account!$F33&lt;&gt;"""", SPLIT(Account!$F33, "" ""), """")"),"")</f>
        <v/>
      </c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</row>
    <row r="34">
      <c r="A34" s="20"/>
      <c r="B34" s="20"/>
      <c r="C34" s="20"/>
      <c r="D34" s="20"/>
      <c r="E34" s="20"/>
      <c r="F34" s="21"/>
      <c r="G34" s="20"/>
      <c r="H34" s="20"/>
      <c r="I34" s="20"/>
      <c r="J34" s="20"/>
      <c r="K34" s="20"/>
      <c r="L34" s="21"/>
      <c r="M34" s="33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4" t="str">
        <f>IFERROR(__xludf.DUMMYFUNCTION("IF(Account!$F34&lt;&gt;"""", VALUE(REGEXREPLACE($I34, ""\,"", ""."")), """")"),"")</f>
        <v/>
      </c>
      <c r="O34" s="35" t="str">
        <f>IF(Account!$F34&lt;&gt;"", DATEVALUE(MID($A34,4,3) &amp; LEFT($A34,3) &amp; RIGHT($A34,4)) + TIMEVALUE($B34), "")</f>
        <v/>
      </c>
      <c r="P34" s="36" t="str">
        <f>IF(Account!$F34&lt;&gt;"", DATEVALUE(MID($C34,4,3) &amp; LEFT($C34,3) &amp; RIGHT($C34,4)), "")</f>
        <v/>
      </c>
      <c r="Q34" s="37" t="str">
        <f t="array" ref="Q34">IF($R34&lt;&gt;"",IFERROR(INDEX(ISIN!$B:$B,MATCH($R34,ISIN!$C:$C,0))),)</f>
        <v/>
      </c>
      <c r="R34" s="38" t="str">
        <f t="array" ref="R34">IF($E34&lt;&gt;"",IFERROR(INDEX(ISIN!$C:$C,MATCH($E34,ISIN!$A:$A,0)),IFERROR(INDEX($R35:$R1200,MATCH($K34,$K35:$K1200,0)))),IF(AND($Y34="change",$H34="EUR"),IF($O34=$O35,$R35,IF($O34=$O33,$R33)),IFERROR(INDEX($R35:$R1200,MATCH(SUBSTITUTE($I34,"-","",1),$K35:$K1200,0)))))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7" t="str">
        <f t="shared" si="1"/>
        <v/>
      </c>
      <c r="T34" s="39" t="str">
        <f t="shared" si="2"/>
        <v/>
      </c>
      <c r="U34" s="40" t="str">
        <f t="shared" si="3"/>
        <v/>
      </c>
      <c r="V34" s="34" t="str">
        <f t="shared" si="4"/>
        <v/>
      </c>
      <c r="W34" s="41" t="str">
        <f>IFERROR(__xludf.DUMMYFUNCTION(" IF(Account!$F34&lt;&gt;"""", SPLIT(Account!$F34, "" ""), """")"),"")</f>
        <v/>
      </c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</row>
    <row r="35">
      <c r="A35" s="20"/>
      <c r="B35" s="20"/>
      <c r="C35" s="20"/>
      <c r="D35" s="20"/>
      <c r="E35" s="20"/>
      <c r="F35" s="21"/>
      <c r="G35" s="20"/>
      <c r="H35" s="20"/>
      <c r="I35" s="20"/>
      <c r="J35" s="20"/>
      <c r="K35" s="20"/>
      <c r="L35" s="21"/>
      <c r="M35" s="33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4" t="str">
        <f>IFERROR(__xludf.DUMMYFUNCTION("IF(Account!$F35&lt;&gt;"""", VALUE(REGEXREPLACE($I35, ""\,"", ""."")), """")"),"")</f>
        <v/>
      </c>
      <c r="O35" s="35" t="str">
        <f>IF(Account!$F35&lt;&gt;"", DATEVALUE(MID($A35,4,3) &amp; LEFT($A35,3) &amp; RIGHT($A35,4)) + TIMEVALUE($B35), "")</f>
        <v/>
      </c>
      <c r="P35" s="36" t="str">
        <f>IF(Account!$F35&lt;&gt;"", DATEVALUE(MID($C35,4,3) &amp; LEFT($C35,3) &amp; RIGHT($C35,4)), "")</f>
        <v/>
      </c>
      <c r="Q35" s="37" t="str">
        <f t="array" ref="Q35">IF($R35&lt;&gt;"",IFERROR(INDEX(ISIN!$B:$B,MATCH($R35,ISIN!$C:$C,0))),)</f>
        <v/>
      </c>
      <c r="R35" s="38" t="str">
        <f t="array" ref="R35">IF($E35&lt;&gt;"",IFERROR(INDEX(ISIN!$C:$C,MATCH($E35,ISIN!$A:$A,0)),IFERROR(INDEX($R36:$R1200,MATCH($K35,$K36:$K1200,0)))),IF(AND($Y35="change",$H35="EUR"),IF($O35=$O36,$R36,IF($O35=$O34,$R34)),IFERROR(INDEX($R36:$R1200,MATCH(SUBSTITUTE($I35,"-","",1),$K36:$K1200,0)))))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7" t="str">
        <f t="shared" si="1"/>
        <v/>
      </c>
      <c r="T35" s="39" t="str">
        <f t="shared" si="2"/>
        <v/>
      </c>
      <c r="U35" s="40" t="str">
        <f t="shared" si="3"/>
        <v/>
      </c>
      <c r="V35" s="34" t="str">
        <f t="shared" si="4"/>
        <v/>
      </c>
      <c r="W35" s="41" t="str">
        <f>IFERROR(__xludf.DUMMYFUNCTION(" IF(Account!$F35&lt;&gt;"""", SPLIT(Account!$F35, "" ""), """")"),"")</f>
        <v/>
      </c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</row>
    <row r="36">
      <c r="A36" s="20"/>
      <c r="B36" s="20"/>
      <c r="C36" s="20"/>
      <c r="D36" s="20"/>
      <c r="E36" s="20"/>
      <c r="F36" s="21"/>
      <c r="G36" s="20"/>
      <c r="H36" s="20"/>
      <c r="I36" s="20"/>
      <c r="J36" s="20"/>
      <c r="K36" s="20"/>
      <c r="L36" s="21"/>
      <c r="M36" s="33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4" t="str">
        <f>IFERROR(__xludf.DUMMYFUNCTION("IF(Account!$F36&lt;&gt;"""", VALUE(REGEXREPLACE($I36, ""\,"", ""."")), """")"),"")</f>
        <v/>
      </c>
      <c r="O36" s="35" t="str">
        <f>IF(Account!$F36&lt;&gt;"", DATEVALUE(MID($A36,4,3) &amp; LEFT($A36,3) &amp; RIGHT($A36,4)) + TIMEVALUE($B36), "")</f>
        <v/>
      </c>
      <c r="P36" s="36" t="str">
        <f>IF(Account!$F36&lt;&gt;"", DATEVALUE(MID($C36,4,3) &amp; LEFT($C36,3) &amp; RIGHT($C36,4)), "")</f>
        <v/>
      </c>
      <c r="Q36" s="37" t="str">
        <f t="array" ref="Q36">IF($R36&lt;&gt;"",IFERROR(INDEX(ISIN!$B:$B,MATCH($R36,ISIN!$C:$C,0))),)</f>
        <v/>
      </c>
      <c r="R36" s="38" t="str">
        <f t="array" ref="R36">IF($E36&lt;&gt;"",IFERROR(INDEX(ISIN!$C:$C,MATCH($E36,ISIN!$A:$A,0)),IFERROR(INDEX($R37:$R1200,MATCH($K36,$K37:$K1200,0)))),IF(AND($Y36="change",$H36="EUR"),IF($O36=$O37,$R37,IF($O36=$O35,$R35)),IFERROR(INDEX($R37:$R1200,MATCH(SUBSTITUTE($I36,"-","",1),$K37:$K1200,0)))))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7" t="str">
        <f t="shared" si="1"/>
        <v/>
      </c>
      <c r="T36" s="39" t="str">
        <f t="shared" si="2"/>
        <v/>
      </c>
      <c r="U36" s="40" t="str">
        <f t="shared" si="3"/>
        <v/>
      </c>
      <c r="V36" s="34" t="str">
        <f t="shared" si="4"/>
        <v/>
      </c>
      <c r="W36" s="41" t="str">
        <f>IFERROR(__xludf.DUMMYFUNCTION(" IF(Account!$F36&lt;&gt;"""", SPLIT(Account!$F36, "" ""), """")"),"")</f>
        <v/>
      </c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</row>
    <row r="37">
      <c r="A37" s="20"/>
      <c r="B37" s="20"/>
      <c r="C37" s="20"/>
      <c r="D37" s="20"/>
      <c r="E37" s="20"/>
      <c r="F37" s="21"/>
      <c r="G37" s="20"/>
      <c r="H37" s="20"/>
      <c r="I37" s="20"/>
      <c r="J37" s="20"/>
      <c r="K37" s="20"/>
      <c r="L37" s="21"/>
      <c r="M37" s="33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4" t="str">
        <f>IFERROR(__xludf.DUMMYFUNCTION("IF(Account!$F37&lt;&gt;"""", VALUE(REGEXREPLACE($I37, ""\,"", ""."")), """")"),"")</f>
        <v/>
      </c>
      <c r="O37" s="35" t="str">
        <f>IF(Account!$F37&lt;&gt;"", DATEVALUE(MID($A37,4,3) &amp; LEFT($A37,3) &amp; RIGHT($A37,4)) + TIMEVALUE($B37), "")</f>
        <v/>
      </c>
      <c r="P37" s="36" t="str">
        <f>IF(Account!$F37&lt;&gt;"", DATEVALUE(MID($C37,4,3) &amp; LEFT($C37,3) &amp; RIGHT($C37,4)), "")</f>
        <v/>
      </c>
      <c r="Q37" s="37" t="str">
        <f t="array" ref="Q37">IF($R37&lt;&gt;"",IFERROR(INDEX(ISIN!$B:$B,MATCH($R37,ISIN!$C:$C,0))),)</f>
        <v/>
      </c>
      <c r="R37" s="38" t="str">
        <f t="array" ref="R37">IF($E37&lt;&gt;"",IFERROR(INDEX(ISIN!$C:$C,MATCH($E37,ISIN!$A:$A,0)),IFERROR(INDEX($R38:$R1200,MATCH($K37,$K38:$K1200,0)))),IF(AND($Y37="change",$H37="EUR"),IF($O37=$O38,$R38,IF($O37=$O36,$R36)),IFERROR(INDEX($R38:$R1200,MATCH(SUBSTITUTE($I37,"-","",1),$K38:$K1200,0)))))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7" t="str">
        <f t="shared" si="1"/>
        <v/>
      </c>
      <c r="T37" s="39" t="str">
        <f t="shared" si="2"/>
        <v/>
      </c>
      <c r="U37" s="40" t="str">
        <f t="shared" si="3"/>
        <v/>
      </c>
      <c r="V37" s="34" t="str">
        <f t="shared" si="4"/>
        <v/>
      </c>
      <c r="W37" s="41" t="str">
        <f>IFERROR(__xludf.DUMMYFUNCTION(" IF(Account!$F37&lt;&gt;"""", SPLIT(Account!$F37, "" ""), """")"),"")</f>
        <v/>
      </c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</row>
    <row r="38">
      <c r="A38" s="20"/>
      <c r="B38" s="20"/>
      <c r="C38" s="20"/>
      <c r="D38" s="20"/>
      <c r="E38" s="20"/>
      <c r="F38" s="21"/>
      <c r="G38" s="20"/>
      <c r="H38" s="20"/>
      <c r="I38" s="20"/>
      <c r="J38" s="20"/>
      <c r="K38" s="20"/>
      <c r="L38" s="21"/>
      <c r="M38" s="33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4" t="str">
        <f>IFERROR(__xludf.DUMMYFUNCTION("IF(Account!$F38&lt;&gt;"""", VALUE(REGEXREPLACE($I38, ""\,"", ""."")), """")"),"")</f>
        <v/>
      </c>
      <c r="O38" s="35" t="str">
        <f>IF(Account!$F38&lt;&gt;"", DATEVALUE(MID($A38,4,3) &amp; LEFT($A38,3) &amp; RIGHT($A38,4)) + TIMEVALUE($B38), "")</f>
        <v/>
      </c>
      <c r="P38" s="36" t="str">
        <f>IF(Account!$F38&lt;&gt;"", DATEVALUE(MID($C38,4,3) &amp; LEFT($C38,3) &amp; RIGHT($C38,4)), "")</f>
        <v/>
      </c>
      <c r="Q38" s="37" t="str">
        <f t="array" ref="Q38">IF($R38&lt;&gt;"",IFERROR(INDEX(ISIN!$B:$B,MATCH($R38,ISIN!$C:$C,0))),)</f>
        <v/>
      </c>
      <c r="R38" s="38" t="str">
        <f t="array" ref="R38">IF($E38&lt;&gt;"",IFERROR(INDEX(ISIN!$C:$C,MATCH($E38,ISIN!$A:$A,0)),IFERROR(INDEX($R39:$R1200,MATCH($K38,$K39:$K1200,0)))),IF(AND($Y38="change",$H38="EUR"),IF($O38=$O39,$R39,IF($O38=$O37,$R37)),IFERROR(INDEX($R39:$R1200,MATCH(SUBSTITUTE($I38,"-","",1),$K39:$K1200,0)))))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7" t="str">
        <f t="shared" si="1"/>
        <v/>
      </c>
      <c r="T38" s="39" t="str">
        <f t="shared" si="2"/>
        <v/>
      </c>
      <c r="U38" s="40" t="str">
        <f t="shared" si="3"/>
        <v/>
      </c>
      <c r="V38" s="34" t="str">
        <f t="shared" si="4"/>
        <v/>
      </c>
      <c r="W38" s="41" t="str">
        <f>IFERROR(__xludf.DUMMYFUNCTION(" IF(Account!$F38&lt;&gt;"""", SPLIT(Account!$F38, "" ""), """")"),"")</f>
        <v/>
      </c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</row>
    <row r="39">
      <c r="A39" s="20"/>
      <c r="B39" s="20"/>
      <c r="C39" s="20"/>
      <c r="D39" s="20"/>
      <c r="E39" s="20"/>
      <c r="F39" s="21"/>
      <c r="G39" s="20"/>
      <c r="H39" s="20"/>
      <c r="I39" s="20"/>
      <c r="J39" s="20"/>
      <c r="K39" s="20"/>
      <c r="L39" s="21"/>
      <c r="M39" s="33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4" t="str">
        <f>IFERROR(__xludf.DUMMYFUNCTION("IF(Account!$F39&lt;&gt;"""", VALUE(REGEXREPLACE($I39, ""\,"", ""."")), """")"),"")</f>
        <v/>
      </c>
      <c r="O39" s="35" t="str">
        <f>IF(Account!$F39&lt;&gt;"", DATEVALUE(MID($A39,4,3) &amp; LEFT($A39,3) &amp; RIGHT($A39,4)) + TIMEVALUE($B39), "")</f>
        <v/>
      </c>
      <c r="P39" s="36" t="str">
        <f>IF(Account!$F39&lt;&gt;"", DATEVALUE(MID($C39,4,3) &amp; LEFT($C39,3) &amp; RIGHT($C39,4)), "")</f>
        <v/>
      </c>
      <c r="Q39" s="37" t="str">
        <f t="array" ref="Q39">IF($R39&lt;&gt;"",IFERROR(INDEX(ISIN!$B:$B,MATCH($R39,ISIN!$C:$C,0))),)</f>
        <v/>
      </c>
      <c r="R39" s="38" t="str">
        <f t="array" ref="R39">IF($E39&lt;&gt;"",IFERROR(INDEX(ISIN!$C:$C,MATCH($E39,ISIN!$A:$A,0)),IFERROR(INDEX($R40:$R1200,MATCH($K39,$K40:$K1200,0)))),IF(AND($Y39="change",$H39="EUR"),IF($O39=$O40,$R40,IF($O39=$O38,$R38)),IFERROR(INDEX($R40:$R1200,MATCH(SUBSTITUTE($I39,"-","",1),$K40:$K1200,0)))))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7" t="str">
        <f t="shared" si="1"/>
        <v/>
      </c>
      <c r="T39" s="39" t="str">
        <f t="shared" si="2"/>
        <v/>
      </c>
      <c r="U39" s="40" t="str">
        <f t="shared" si="3"/>
        <v/>
      </c>
      <c r="V39" s="34" t="str">
        <f t="shared" si="4"/>
        <v/>
      </c>
      <c r="W39" s="41" t="str">
        <f>IFERROR(__xludf.DUMMYFUNCTION(" IF(Account!$F39&lt;&gt;"""", SPLIT(Account!$F39, "" ""), """")"),"")</f>
        <v/>
      </c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</row>
    <row r="40">
      <c r="A40" s="20"/>
      <c r="B40" s="20"/>
      <c r="C40" s="20"/>
      <c r="D40" s="20"/>
      <c r="E40" s="20"/>
      <c r="F40" s="21"/>
      <c r="G40" s="20"/>
      <c r="H40" s="20"/>
      <c r="I40" s="20"/>
      <c r="J40" s="20"/>
      <c r="K40" s="20"/>
      <c r="L40" s="21"/>
      <c r="M40" s="33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4" t="str">
        <f>IFERROR(__xludf.DUMMYFUNCTION("IF(Account!$F40&lt;&gt;"""", VALUE(REGEXREPLACE($I40, ""\,"", ""."")), """")"),"")</f>
        <v/>
      </c>
      <c r="O40" s="35" t="str">
        <f>IF(Account!$F40&lt;&gt;"", DATEVALUE(MID($A40,4,3) &amp; LEFT($A40,3) &amp; RIGHT($A40,4)) + TIMEVALUE($B40), "")</f>
        <v/>
      </c>
      <c r="P40" s="36" t="str">
        <f>IF(Account!$F40&lt;&gt;"", DATEVALUE(MID($C40,4,3) &amp; LEFT($C40,3) &amp; RIGHT($C40,4)), "")</f>
        <v/>
      </c>
      <c r="Q40" s="37" t="str">
        <f t="array" ref="Q40">IF($R40&lt;&gt;"",IFERROR(INDEX(ISIN!$B:$B,MATCH($R40,ISIN!$C:$C,0))),)</f>
        <v/>
      </c>
      <c r="R40" s="38" t="str">
        <f t="array" ref="R40">IF($E40&lt;&gt;"",IFERROR(INDEX(ISIN!$C:$C,MATCH($E40,ISIN!$A:$A,0)),IFERROR(INDEX($R41:$R1200,MATCH($K40,$K41:$K1200,0)))),IF(AND($Y40="change",$H40="EUR"),IF($O40=$O41,$R41,IF($O40=$O39,$R39)),IFERROR(INDEX($R41:$R1200,MATCH(SUBSTITUTE($I40,"-","",1),$K41:$K1200,0)))))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7" t="str">
        <f t="shared" si="1"/>
        <v/>
      </c>
      <c r="T40" s="39" t="str">
        <f t="shared" si="2"/>
        <v/>
      </c>
      <c r="U40" s="40" t="str">
        <f t="shared" si="3"/>
        <v/>
      </c>
      <c r="V40" s="34" t="str">
        <f t="shared" si="4"/>
        <v/>
      </c>
      <c r="W40" s="41" t="str">
        <f>IFERROR(__xludf.DUMMYFUNCTION(" IF(Account!$F40&lt;&gt;"""", SPLIT(Account!$F40, "" ""), """")"),"")</f>
        <v/>
      </c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</row>
    <row r="41">
      <c r="A41" s="20"/>
      <c r="B41" s="20"/>
      <c r="C41" s="20"/>
      <c r="D41" s="20"/>
      <c r="E41" s="20"/>
      <c r="F41" s="21"/>
      <c r="G41" s="20"/>
      <c r="H41" s="20"/>
      <c r="I41" s="20"/>
      <c r="J41" s="20"/>
      <c r="K41" s="20"/>
      <c r="L41" s="21"/>
      <c r="M41" s="33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4" t="str">
        <f>IFERROR(__xludf.DUMMYFUNCTION("IF(Account!$F41&lt;&gt;"""", VALUE(REGEXREPLACE($I41, ""\,"", ""."")), """")"),"")</f>
        <v/>
      </c>
      <c r="O41" s="35" t="str">
        <f>IF(Account!$F41&lt;&gt;"", DATEVALUE(MID($A41,4,3) &amp; LEFT($A41,3) &amp; RIGHT($A41,4)) + TIMEVALUE($B41), "")</f>
        <v/>
      </c>
      <c r="P41" s="36" t="str">
        <f>IF(Account!$F41&lt;&gt;"", DATEVALUE(MID($C41,4,3) &amp; LEFT($C41,3) &amp; RIGHT($C41,4)), "")</f>
        <v/>
      </c>
      <c r="Q41" s="37" t="str">
        <f t="array" ref="Q41">IF($R41&lt;&gt;"",IFERROR(INDEX(ISIN!$B:$B,MATCH($R41,ISIN!$C:$C,0))),)</f>
        <v/>
      </c>
      <c r="R41" s="38" t="str">
        <f t="array" ref="R41">IF($E41&lt;&gt;"",IFERROR(INDEX(ISIN!$C:$C,MATCH($E41,ISIN!$A:$A,0)),IFERROR(INDEX($R42:$R1200,MATCH($K41,$K42:$K1200,0)))),IF(AND($Y41="change",$H41="EUR"),IF($O41=$O42,$R42,IF($O41=$O40,$R40)),IFERROR(INDEX($R42:$R1200,MATCH(SUBSTITUTE($I41,"-","",1),$K42:$K1200,0)))))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7" t="str">
        <f t="shared" si="1"/>
        <v/>
      </c>
      <c r="T41" s="39" t="str">
        <f t="shared" si="2"/>
        <v/>
      </c>
      <c r="U41" s="40" t="str">
        <f t="shared" si="3"/>
        <v/>
      </c>
      <c r="V41" s="34" t="str">
        <f t="shared" si="4"/>
        <v/>
      </c>
      <c r="W41" s="41" t="str">
        <f>IFERROR(__xludf.DUMMYFUNCTION(" IF(Account!$F41&lt;&gt;"""", SPLIT(Account!$F41, "" ""), """")"),"")</f>
        <v/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</row>
    <row r="42">
      <c r="A42" s="20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1"/>
      <c r="M42" s="33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4" t="str">
        <f>IFERROR(__xludf.DUMMYFUNCTION("IF(Account!$F42&lt;&gt;"""", VALUE(REGEXREPLACE($I42, ""\,"", ""."")), """")"),"")</f>
        <v/>
      </c>
      <c r="O42" s="35" t="str">
        <f>IF(Account!$F42&lt;&gt;"", DATEVALUE(MID($A42,4,3) &amp; LEFT($A42,3) &amp; RIGHT($A42,4)) + TIMEVALUE($B42), "")</f>
        <v/>
      </c>
      <c r="P42" s="36" t="str">
        <f>IF(Account!$F42&lt;&gt;"", DATEVALUE(MID($C42,4,3) &amp; LEFT($C42,3) &amp; RIGHT($C42,4)), "")</f>
        <v/>
      </c>
      <c r="Q42" s="37" t="str">
        <f t="array" ref="Q42">IF($R42&lt;&gt;"",IFERROR(INDEX(ISIN!$B:$B,MATCH($R42,ISIN!$C:$C,0))),)</f>
        <v/>
      </c>
      <c r="R42" s="38" t="str">
        <f t="array" ref="R42">IF($E42&lt;&gt;"",IFERROR(INDEX(ISIN!$C:$C,MATCH($E42,ISIN!$A:$A,0)),IFERROR(INDEX($R43:$R1200,MATCH($K42,$K43:$K1200,0)))),IF(AND($Y42="change",$H42="EUR"),IF($O42=$O43,$R43,IF($O42=$O41,$R41)),IFERROR(INDEX($R43:$R1200,MATCH(SUBSTITUTE($I42,"-","",1),$K43:$K1200,0)))))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7" t="str">
        <f t="shared" si="1"/>
        <v/>
      </c>
      <c r="T42" s="39" t="str">
        <f t="shared" si="2"/>
        <v/>
      </c>
      <c r="U42" s="40" t="str">
        <f t="shared" si="3"/>
        <v/>
      </c>
      <c r="V42" s="34" t="str">
        <f t="shared" si="4"/>
        <v/>
      </c>
      <c r="W42" s="41" t="str">
        <f>IFERROR(__xludf.DUMMYFUNCTION(" IF(Account!$F42&lt;&gt;"""", SPLIT(Account!$F42, "" ""), """")"),"")</f>
        <v/>
      </c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</row>
    <row r="43">
      <c r="A43" s="20"/>
      <c r="B43" s="20"/>
      <c r="C43" s="20"/>
      <c r="D43" s="20"/>
      <c r="E43" s="20"/>
      <c r="F43" s="21"/>
      <c r="G43" s="20"/>
      <c r="H43" s="20"/>
      <c r="I43" s="20"/>
      <c r="J43" s="20"/>
      <c r="K43" s="20"/>
      <c r="L43" s="21"/>
      <c r="M43" s="33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4" t="str">
        <f>IFERROR(__xludf.DUMMYFUNCTION("IF(Account!$F43&lt;&gt;"""", VALUE(REGEXREPLACE($I43, ""\,"", ""."")), """")"),"")</f>
        <v/>
      </c>
      <c r="O43" s="35" t="str">
        <f>IF(Account!$F43&lt;&gt;"", DATEVALUE(MID($A43,4,3) &amp; LEFT($A43,3) &amp; RIGHT($A43,4)) + TIMEVALUE($B43), "")</f>
        <v/>
      </c>
      <c r="P43" s="36" t="str">
        <f>IF(Account!$F43&lt;&gt;"", DATEVALUE(MID($C43,4,3) &amp; LEFT($C43,3) &amp; RIGHT($C43,4)), "")</f>
        <v/>
      </c>
      <c r="Q43" s="37" t="str">
        <f t="array" ref="Q43">IF($R43&lt;&gt;"",IFERROR(INDEX(ISIN!$B:$B,MATCH($R43,ISIN!$C:$C,0))),)</f>
        <v/>
      </c>
      <c r="R43" s="38" t="str">
        <f t="array" ref="R43">IF($E43&lt;&gt;"",IFERROR(INDEX(ISIN!$C:$C,MATCH($E43,ISIN!$A:$A,0)),IFERROR(INDEX($R44:$R1200,MATCH($K43,$K44:$K1200,0)))),IF(AND($Y43="change",$H43="EUR"),IF($O43=$O44,$R44,IF($O43=$O42,$R42)),IFERROR(INDEX($R44:$R1200,MATCH(SUBSTITUTE($I43,"-","",1),$K44:$K1200,0)))))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7" t="str">
        <f t="shared" si="1"/>
        <v/>
      </c>
      <c r="T43" s="39" t="str">
        <f t="shared" si="2"/>
        <v/>
      </c>
      <c r="U43" s="40" t="str">
        <f t="shared" si="3"/>
        <v/>
      </c>
      <c r="V43" s="34" t="str">
        <f t="shared" si="4"/>
        <v/>
      </c>
      <c r="W43" s="41" t="str">
        <f>IFERROR(__xludf.DUMMYFUNCTION(" IF(Account!$F43&lt;&gt;"""", SPLIT(Account!$F43, "" ""), """")"),"")</f>
        <v/>
      </c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</row>
    <row r="44">
      <c r="A44" s="20"/>
      <c r="B44" s="20"/>
      <c r="C44" s="20"/>
      <c r="D44" s="20"/>
      <c r="E44" s="20"/>
      <c r="F44" s="21"/>
      <c r="G44" s="20"/>
      <c r="H44" s="20"/>
      <c r="I44" s="20"/>
      <c r="J44" s="20"/>
      <c r="K44" s="20"/>
      <c r="L44" s="21"/>
      <c r="M44" s="33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4" t="str">
        <f>IFERROR(__xludf.DUMMYFUNCTION("IF(Account!$F44&lt;&gt;"""", VALUE(REGEXREPLACE($I44, ""\,"", ""."")), """")"),"")</f>
        <v/>
      </c>
      <c r="O44" s="35" t="str">
        <f>IF(Account!$F44&lt;&gt;"", DATEVALUE(MID($A44,4,3) &amp; LEFT($A44,3) &amp; RIGHT($A44,4)) + TIMEVALUE($B44), "")</f>
        <v/>
      </c>
      <c r="P44" s="36" t="str">
        <f>IF(Account!$F44&lt;&gt;"", DATEVALUE(MID($C44,4,3) &amp; LEFT($C44,3) &amp; RIGHT($C44,4)), "")</f>
        <v/>
      </c>
      <c r="Q44" s="37" t="str">
        <f t="array" ref="Q44">IF($R44&lt;&gt;"",IFERROR(INDEX(ISIN!$B:$B,MATCH($R44,ISIN!$C:$C,0))),)</f>
        <v/>
      </c>
      <c r="R44" s="38" t="str">
        <f t="array" ref="R44">IF($E44&lt;&gt;"",IFERROR(INDEX(ISIN!$C:$C,MATCH($E44,ISIN!$A:$A,0)),IFERROR(INDEX($R45:$R1200,MATCH($K44,$K45:$K1200,0)))),IF(AND($Y44="change",$H44="EUR"),IF($O44=$O45,$R45,IF($O44=$O43,$R43)),IFERROR(INDEX($R45:$R1200,MATCH(SUBSTITUTE($I44,"-","",1),$K45:$K1200,0)))))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7" t="str">
        <f t="shared" si="1"/>
        <v/>
      </c>
      <c r="T44" s="39" t="str">
        <f t="shared" si="2"/>
        <v/>
      </c>
      <c r="U44" s="40" t="str">
        <f t="shared" si="3"/>
        <v/>
      </c>
      <c r="V44" s="34" t="str">
        <f t="shared" si="4"/>
        <v/>
      </c>
      <c r="W44" s="41" t="str">
        <f>IFERROR(__xludf.DUMMYFUNCTION(" IF(Account!$F44&lt;&gt;"""", SPLIT(Account!$F44, "" ""), """")"),"")</f>
        <v/>
      </c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</row>
    <row r="45">
      <c r="A45" s="20"/>
      <c r="B45" s="20"/>
      <c r="C45" s="20"/>
      <c r="D45" s="20"/>
      <c r="E45" s="20"/>
      <c r="F45" s="21"/>
      <c r="G45" s="20"/>
      <c r="H45" s="20"/>
      <c r="I45" s="20"/>
      <c r="J45" s="20"/>
      <c r="K45" s="20"/>
      <c r="L45" s="21"/>
      <c r="M45" s="33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4" t="str">
        <f>IFERROR(__xludf.DUMMYFUNCTION("IF(Account!$F45&lt;&gt;"""", VALUE(REGEXREPLACE($I45, ""\,"", ""."")), """")"),"")</f>
        <v/>
      </c>
      <c r="O45" s="35" t="str">
        <f>IF(Account!$F45&lt;&gt;"", DATEVALUE(MID($A45,4,3) &amp; LEFT($A45,3) &amp; RIGHT($A45,4)) + TIMEVALUE($B45), "")</f>
        <v/>
      </c>
      <c r="P45" s="36" t="str">
        <f>IF(Account!$F45&lt;&gt;"", DATEVALUE(MID($C45,4,3) &amp; LEFT($C45,3) &amp; RIGHT($C45,4)), "")</f>
        <v/>
      </c>
      <c r="Q45" s="37" t="str">
        <f t="array" ref="Q45">IF($R45&lt;&gt;"",IFERROR(INDEX(ISIN!$B:$B,MATCH($R45,ISIN!$C:$C,0))),)</f>
        <v/>
      </c>
      <c r="R45" s="38" t="str">
        <f t="array" ref="R45">IF($E45&lt;&gt;"",IFERROR(INDEX(ISIN!$C:$C,MATCH($E45,ISIN!$A:$A,0)),IFERROR(INDEX($R46:$R1200,MATCH($K45,$K46:$K1200,0)))),IF(AND($Y45="change",$H45="EUR"),IF($O45=$O46,$R46,IF($O45=$O44,$R44)),IFERROR(INDEX($R46:$R1200,MATCH(SUBSTITUTE($I45,"-","",1),$K46:$K1200,0)))))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7" t="str">
        <f t="shared" si="1"/>
        <v/>
      </c>
      <c r="T45" s="39" t="str">
        <f t="shared" si="2"/>
        <v/>
      </c>
      <c r="U45" s="40" t="str">
        <f t="shared" si="3"/>
        <v/>
      </c>
      <c r="V45" s="34" t="str">
        <f t="shared" si="4"/>
        <v/>
      </c>
      <c r="W45" s="41" t="str">
        <f>IFERROR(__xludf.DUMMYFUNCTION(" IF(Account!$F45&lt;&gt;"""", SPLIT(Account!$F45, "" ""), """")"),"")</f>
        <v/>
      </c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</row>
    <row r="46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0"/>
      <c r="L46" s="21"/>
      <c r="M46" s="33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4" t="str">
        <f>IFERROR(__xludf.DUMMYFUNCTION("IF(Account!$F46&lt;&gt;"""", VALUE(REGEXREPLACE($I46, ""\,"", ""."")), """")"),"")</f>
        <v/>
      </c>
      <c r="O46" s="35" t="str">
        <f>IF(Account!$F46&lt;&gt;"", DATEVALUE(MID($A46,4,3) &amp; LEFT($A46,3) &amp; RIGHT($A46,4)) + TIMEVALUE($B46), "")</f>
        <v/>
      </c>
      <c r="P46" s="36" t="str">
        <f>IF(Account!$F46&lt;&gt;"", DATEVALUE(MID($C46,4,3) &amp; LEFT($C46,3) &amp; RIGHT($C46,4)), "")</f>
        <v/>
      </c>
      <c r="Q46" s="37" t="str">
        <f t="array" ref="Q46">IF($R46&lt;&gt;"",IFERROR(INDEX(ISIN!$B:$B,MATCH($R46,ISIN!$C:$C,0))),)</f>
        <v/>
      </c>
      <c r="R46" s="38" t="str">
        <f t="array" ref="R46">IF($E46&lt;&gt;"",IFERROR(INDEX(ISIN!$C:$C,MATCH($E46,ISIN!$A:$A,0)),IFERROR(INDEX($R47:$R1200,MATCH($K46,$K47:$K1200,0)))),IF(AND($Y46="change",$H46="EUR"),IF($O46=$O47,$R47,IF($O46=$O45,$R45)),IFERROR(INDEX($R47:$R1200,MATCH(SUBSTITUTE($I46,"-","",1),$K47:$K1200,0)))))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7" t="str">
        <f t="shared" si="1"/>
        <v/>
      </c>
      <c r="T46" s="39" t="str">
        <f t="shared" si="2"/>
        <v/>
      </c>
      <c r="U46" s="40" t="str">
        <f t="shared" si="3"/>
        <v/>
      </c>
      <c r="V46" s="34" t="str">
        <f t="shared" si="4"/>
        <v/>
      </c>
      <c r="W46" s="41" t="str">
        <f>IFERROR(__xludf.DUMMYFUNCTION(" IF(Account!$F46&lt;&gt;"""", SPLIT(Account!$F46, "" ""), """")"),"")</f>
        <v/>
      </c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</row>
    <row r="47">
      <c r="A47" s="20"/>
      <c r="B47" s="20"/>
      <c r="C47" s="20"/>
      <c r="D47" s="20"/>
      <c r="E47" s="20"/>
      <c r="F47" s="21"/>
      <c r="G47" s="20"/>
      <c r="H47" s="20"/>
      <c r="I47" s="20"/>
      <c r="J47" s="20"/>
      <c r="K47" s="20"/>
      <c r="L47" s="21"/>
      <c r="M47" s="33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4" t="str">
        <f>IFERROR(__xludf.DUMMYFUNCTION("IF(Account!$F47&lt;&gt;"""", VALUE(REGEXREPLACE($I47, ""\,"", ""."")), """")"),"")</f>
        <v/>
      </c>
      <c r="O47" s="35" t="str">
        <f>IF(Account!$F47&lt;&gt;"", DATEVALUE(MID($A47,4,3) &amp; LEFT($A47,3) &amp; RIGHT($A47,4)) + TIMEVALUE($B47), "")</f>
        <v/>
      </c>
      <c r="P47" s="36" t="str">
        <f>IF(Account!$F47&lt;&gt;"", DATEVALUE(MID($C47,4,3) &amp; LEFT($C47,3) &amp; RIGHT($C47,4)), "")</f>
        <v/>
      </c>
      <c r="Q47" s="37" t="str">
        <f t="array" ref="Q47">IF($R47&lt;&gt;"",IFERROR(INDEX(ISIN!$B:$B,MATCH($R47,ISIN!$C:$C,0))),)</f>
        <v/>
      </c>
      <c r="R47" s="38" t="str">
        <f t="array" ref="R47">IF($E47&lt;&gt;"",IFERROR(INDEX(ISIN!$C:$C,MATCH($E47,ISIN!$A:$A,0)),IFERROR(INDEX($R48:$R1200,MATCH($K47,$K48:$K1200,0)))),IF(AND($Y47="change",$H47="EUR"),IF($O47=$O48,$R48,IF($O47=$O46,$R46)),IFERROR(INDEX($R48:$R1200,MATCH(SUBSTITUTE($I47,"-","",1),$K48:$K1200,0)))))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7" t="str">
        <f t="shared" si="1"/>
        <v/>
      </c>
      <c r="T47" s="39" t="str">
        <f t="shared" si="2"/>
        <v/>
      </c>
      <c r="U47" s="40" t="str">
        <f t="shared" si="3"/>
        <v/>
      </c>
      <c r="V47" s="34" t="str">
        <f t="shared" si="4"/>
        <v/>
      </c>
      <c r="W47" s="41" t="str">
        <f>IFERROR(__xludf.DUMMYFUNCTION(" IF(Account!$F47&lt;&gt;"""", SPLIT(Account!$F47, "" ""), """")"),"")</f>
        <v/>
      </c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</row>
    <row r="48">
      <c r="A48" s="20"/>
      <c r="B48" s="20"/>
      <c r="C48" s="20"/>
      <c r="D48" s="20"/>
      <c r="E48" s="20"/>
      <c r="F48" s="21"/>
      <c r="G48" s="20"/>
      <c r="H48" s="20"/>
      <c r="I48" s="20"/>
      <c r="J48" s="20"/>
      <c r="K48" s="20"/>
      <c r="L48" s="21"/>
      <c r="M48" s="33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4" t="str">
        <f>IFERROR(__xludf.DUMMYFUNCTION("IF(Account!$F48&lt;&gt;"""", VALUE(REGEXREPLACE($I48, ""\,"", ""."")), """")"),"")</f>
        <v/>
      </c>
      <c r="O48" s="35" t="str">
        <f>IF(Account!$F48&lt;&gt;"", DATEVALUE(MID($A48,4,3) &amp; LEFT($A48,3) &amp; RIGHT($A48,4)) + TIMEVALUE($B48), "")</f>
        <v/>
      </c>
      <c r="P48" s="36" t="str">
        <f>IF(Account!$F48&lt;&gt;"", DATEVALUE(MID($C48,4,3) &amp; LEFT($C48,3) &amp; RIGHT($C48,4)), "")</f>
        <v/>
      </c>
      <c r="Q48" s="37" t="str">
        <f t="array" ref="Q48">IF($R48&lt;&gt;"",IFERROR(INDEX(ISIN!$B:$B,MATCH($R48,ISIN!$C:$C,0))),)</f>
        <v/>
      </c>
      <c r="R48" s="38" t="str">
        <f t="array" ref="R48">IF($E48&lt;&gt;"",IFERROR(INDEX(ISIN!$C:$C,MATCH($E48,ISIN!$A:$A,0)),IFERROR(INDEX($R49:$R1200,MATCH($K48,$K49:$K1200,0)))),IF(AND($Y48="change",$H48="EUR"),IF($O48=$O49,$R49,IF($O48=$O47,$R47)),IFERROR(INDEX($R49:$R1200,MATCH(SUBSTITUTE($I48,"-","",1),$K49:$K1200,0)))))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7" t="str">
        <f t="shared" si="1"/>
        <v/>
      </c>
      <c r="T48" s="39" t="str">
        <f t="shared" si="2"/>
        <v/>
      </c>
      <c r="U48" s="40" t="str">
        <f t="shared" si="3"/>
        <v/>
      </c>
      <c r="V48" s="34" t="str">
        <f t="shared" si="4"/>
        <v/>
      </c>
      <c r="W48" s="41" t="str">
        <f>IFERROR(__xludf.DUMMYFUNCTION(" IF(Account!$F48&lt;&gt;"""", SPLIT(Account!$F48, "" ""), """")"),"")</f>
        <v/>
      </c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</row>
    <row r="49">
      <c r="A49" s="20"/>
      <c r="B49" s="20"/>
      <c r="C49" s="20"/>
      <c r="D49" s="20"/>
      <c r="E49" s="20"/>
      <c r="F49" s="21"/>
      <c r="G49" s="20"/>
      <c r="H49" s="20"/>
      <c r="I49" s="20"/>
      <c r="J49" s="20"/>
      <c r="K49" s="20"/>
      <c r="L49" s="21"/>
      <c r="M49" s="33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4" t="str">
        <f>IFERROR(__xludf.DUMMYFUNCTION("IF(Account!$F49&lt;&gt;"""", VALUE(REGEXREPLACE($I49, ""\,"", ""."")), """")"),"")</f>
        <v/>
      </c>
      <c r="O49" s="35" t="str">
        <f>IF(Account!$F49&lt;&gt;"", DATEVALUE(MID($A49,4,3) &amp; LEFT($A49,3) &amp; RIGHT($A49,4)) + TIMEVALUE($B49), "")</f>
        <v/>
      </c>
      <c r="P49" s="36" t="str">
        <f>IF(Account!$F49&lt;&gt;"", DATEVALUE(MID($C49,4,3) &amp; LEFT($C49,3) &amp; RIGHT($C49,4)), "")</f>
        <v/>
      </c>
      <c r="Q49" s="37" t="str">
        <f t="array" ref="Q49">IF($R49&lt;&gt;"",IFERROR(INDEX(ISIN!$B:$B,MATCH($R49,ISIN!$C:$C,0))),)</f>
        <v/>
      </c>
      <c r="R49" s="38" t="str">
        <f t="array" ref="R49">IF($E49&lt;&gt;"",IFERROR(INDEX(ISIN!$C:$C,MATCH($E49,ISIN!$A:$A,0)),IFERROR(INDEX($R50:$R1200,MATCH($K49,$K50:$K1200,0)))),IF(AND($Y49="change",$H49="EUR"),IF($O49=$O50,$R50,IF($O49=$O48,$R48)),IFERROR(INDEX($R50:$R1200,MATCH(SUBSTITUTE($I49,"-","",1),$K50:$K1200,0)))))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7" t="str">
        <f t="shared" si="1"/>
        <v/>
      </c>
      <c r="T49" s="39" t="str">
        <f t="shared" si="2"/>
        <v/>
      </c>
      <c r="U49" s="40" t="str">
        <f t="shared" si="3"/>
        <v/>
      </c>
      <c r="V49" s="34" t="str">
        <f t="shared" si="4"/>
        <v/>
      </c>
      <c r="W49" s="41" t="str">
        <f>IFERROR(__xludf.DUMMYFUNCTION(" IF(Account!$F49&lt;&gt;"""", SPLIT(Account!$F49, "" ""), """")"),"")</f>
        <v/>
      </c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</row>
    <row r="50">
      <c r="A50" s="20"/>
      <c r="B50" s="20"/>
      <c r="C50" s="20"/>
      <c r="D50" s="20"/>
      <c r="E50" s="20"/>
      <c r="F50" s="21"/>
      <c r="G50" s="20"/>
      <c r="H50" s="20"/>
      <c r="I50" s="20"/>
      <c r="J50" s="20"/>
      <c r="K50" s="20"/>
      <c r="L50" s="21"/>
      <c r="M50" s="33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4" t="str">
        <f>IFERROR(__xludf.DUMMYFUNCTION("IF(Account!$F50&lt;&gt;"""", VALUE(REGEXREPLACE($I50, ""\,"", ""."")), """")"),"")</f>
        <v/>
      </c>
      <c r="O50" s="35" t="str">
        <f>IF(Account!$F50&lt;&gt;"", DATEVALUE(MID($A50,4,3) &amp; LEFT($A50,3) &amp; RIGHT($A50,4)) + TIMEVALUE($B50), "")</f>
        <v/>
      </c>
      <c r="P50" s="36" t="str">
        <f>IF(Account!$F50&lt;&gt;"", DATEVALUE(MID($C50,4,3) &amp; LEFT($C50,3) &amp; RIGHT($C50,4)), "")</f>
        <v/>
      </c>
      <c r="Q50" s="37" t="str">
        <f t="array" ref="Q50">IF($R50&lt;&gt;"",IFERROR(INDEX(ISIN!$B:$B,MATCH($R50,ISIN!$C:$C,0))),)</f>
        <v/>
      </c>
      <c r="R50" s="38" t="str">
        <f t="array" ref="R50">IF($E50&lt;&gt;"",IFERROR(INDEX(ISIN!$C:$C,MATCH($E50,ISIN!$A:$A,0)),IFERROR(INDEX($R51:$R1200,MATCH($K50,$K51:$K1200,0)))),IF(AND($Y50="change",$H50="EUR"),IF($O50=$O51,$R51,IF($O50=$O49,$R49)),IFERROR(INDEX($R51:$R1200,MATCH(SUBSTITUTE($I50,"-","",1),$K51:$K1200,0)))))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7" t="str">
        <f t="shared" si="1"/>
        <v/>
      </c>
      <c r="T50" s="39" t="str">
        <f t="shared" si="2"/>
        <v/>
      </c>
      <c r="U50" s="40" t="str">
        <f t="shared" si="3"/>
        <v/>
      </c>
      <c r="V50" s="34" t="str">
        <f t="shared" si="4"/>
        <v/>
      </c>
      <c r="W50" s="41" t="str">
        <f>IFERROR(__xludf.DUMMYFUNCTION(" IF(Account!$F50&lt;&gt;"""", SPLIT(Account!$F50, "" ""), """")"),"")</f>
        <v/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</row>
    <row r="51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0"/>
      <c r="L51" s="21"/>
      <c r="M51" s="33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4" t="str">
        <f>IFERROR(__xludf.DUMMYFUNCTION("IF(Account!$F51&lt;&gt;"""", VALUE(REGEXREPLACE($I51, ""\,"", ""."")), """")"),"")</f>
        <v/>
      </c>
      <c r="O51" s="35" t="str">
        <f>IF(Account!$F51&lt;&gt;"", DATEVALUE(MID($A51,4,3) &amp; LEFT($A51,3) &amp; RIGHT($A51,4)) + TIMEVALUE($B51), "")</f>
        <v/>
      </c>
      <c r="P51" s="36" t="str">
        <f>IF(Account!$F51&lt;&gt;"", DATEVALUE(MID($C51,4,3) &amp; LEFT($C51,3) &amp; RIGHT($C51,4)), "")</f>
        <v/>
      </c>
      <c r="Q51" s="37" t="str">
        <f t="array" ref="Q51">IF($R51&lt;&gt;"",IFERROR(INDEX(ISIN!$B:$B,MATCH($R51,ISIN!$C:$C,0))),)</f>
        <v/>
      </c>
      <c r="R51" s="38" t="str">
        <f t="array" ref="R51">IF($E51&lt;&gt;"",IFERROR(INDEX(ISIN!$C:$C,MATCH($E51,ISIN!$A:$A,0)),IFERROR(INDEX($R52:$R1200,MATCH($K51,$K52:$K1200,0)))),IF(AND($Y51="change",$H51="EUR"),IF($O51=$O52,$R52,IF($O51=$O50,$R50)),IFERROR(INDEX($R52:$R1200,MATCH(SUBSTITUTE($I51,"-","",1),$K52:$K1200,0)))))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7" t="str">
        <f t="shared" si="1"/>
        <v/>
      </c>
      <c r="T51" s="39" t="str">
        <f t="shared" si="2"/>
        <v/>
      </c>
      <c r="U51" s="40" t="str">
        <f t="shared" si="3"/>
        <v/>
      </c>
      <c r="V51" s="34" t="str">
        <f t="shared" si="4"/>
        <v/>
      </c>
      <c r="W51" s="41" t="str">
        <f>IFERROR(__xludf.DUMMYFUNCTION(" IF(Account!$F51&lt;&gt;"""", SPLIT(Account!$F51, "" ""), """")"),"")</f>
        <v/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</row>
    <row r="52">
      <c r="A52" s="20"/>
      <c r="B52" s="20"/>
      <c r="C52" s="20"/>
      <c r="D52" s="20"/>
      <c r="E52" s="20"/>
      <c r="F52" s="21"/>
      <c r="G52" s="20"/>
      <c r="H52" s="20"/>
      <c r="I52" s="20"/>
      <c r="J52" s="20"/>
      <c r="K52" s="20"/>
      <c r="L52" s="21"/>
      <c r="M52" s="33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4" t="str">
        <f>IFERROR(__xludf.DUMMYFUNCTION("IF(Account!$F52&lt;&gt;"""", VALUE(REGEXREPLACE($I52, ""\,"", ""."")), """")"),"")</f>
        <v/>
      </c>
      <c r="O52" s="35" t="str">
        <f>IF(Account!$F52&lt;&gt;"", DATEVALUE(MID($A52,4,3) &amp; LEFT($A52,3) &amp; RIGHT($A52,4)) + TIMEVALUE($B52), "")</f>
        <v/>
      </c>
      <c r="P52" s="36" t="str">
        <f>IF(Account!$F52&lt;&gt;"", DATEVALUE(MID($C52,4,3) &amp; LEFT($C52,3) &amp; RIGHT($C52,4)), "")</f>
        <v/>
      </c>
      <c r="Q52" s="37" t="str">
        <f t="array" ref="Q52">IF($R52&lt;&gt;"",IFERROR(INDEX(ISIN!$B:$B,MATCH($R52,ISIN!$C:$C,0))),)</f>
        <v/>
      </c>
      <c r="R52" s="38" t="str">
        <f t="array" ref="R52">IF($E52&lt;&gt;"",IFERROR(INDEX(ISIN!$C:$C,MATCH($E52,ISIN!$A:$A,0)),IFERROR(INDEX($R53:$R1200,MATCH($K52,$K53:$K1200,0)))),IF(AND($Y52="change",$H52="EUR"),IF($O52=$O53,$R53,IF($O52=$O51,$R51)),IFERROR(INDEX($R53:$R1200,MATCH(SUBSTITUTE($I52,"-","",1),$K53:$K1200,0)))))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7" t="str">
        <f t="shared" si="1"/>
        <v/>
      </c>
      <c r="T52" s="39" t="str">
        <f t="shared" si="2"/>
        <v/>
      </c>
      <c r="U52" s="40" t="str">
        <f t="shared" si="3"/>
        <v/>
      </c>
      <c r="V52" s="34" t="str">
        <f t="shared" si="4"/>
        <v/>
      </c>
      <c r="W52" s="41" t="str">
        <f>IFERROR(__xludf.DUMMYFUNCTION(" IF(Account!$F52&lt;&gt;"""", SPLIT(Account!$F52, "" ""), """")"),"")</f>
        <v/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</row>
    <row r="53">
      <c r="A53" s="20"/>
      <c r="B53" s="20"/>
      <c r="C53" s="20"/>
      <c r="D53" s="20"/>
      <c r="E53" s="20"/>
      <c r="F53" s="21"/>
      <c r="G53" s="20"/>
      <c r="H53" s="20"/>
      <c r="I53" s="20"/>
      <c r="J53" s="20"/>
      <c r="K53" s="20"/>
      <c r="L53" s="21"/>
      <c r="M53" s="33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4" t="str">
        <f>IFERROR(__xludf.DUMMYFUNCTION("IF(Account!$F53&lt;&gt;"""", VALUE(REGEXREPLACE($I53, ""\,"", ""."")), """")"),"")</f>
        <v/>
      </c>
      <c r="O53" s="35" t="str">
        <f>IF(Account!$F53&lt;&gt;"", DATEVALUE(MID($A53,4,3) &amp; LEFT($A53,3) &amp; RIGHT($A53,4)) + TIMEVALUE($B53), "")</f>
        <v/>
      </c>
      <c r="P53" s="36" t="str">
        <f>IF(Account!$F53&lt;&gt;"", DATEVALUE(MID($C53,4,3) &amp; LEFT($C53,3) &amp; RIGHT($C53,4)), "")</f>
        <v/>
      </c>
      <c r="Q53" s="37" t="str">
        <f t="array" ref="Q53">IF($R53&lt;&gt;"",IFERROR(INDEX(ISIN!$B:$B,MATCH($R53,ISIN!$C:$C,0))),)</f>
        <v/>
      </c>
      <c r="R53" s="38" t="str">
        <f t="array" ref="R53">IF($E53&lt;&gt;"",IFERROR(INDEX(ISIN!$C:$C,MATCH($E53,ISIN!$A:$A,0)),IFERROR(INDEX($R54:$R1200,MATCH($K53,$K54:$K1200,0)))),IF(AND($Y53="change",$H53="EUR"),IF($O53=$O54,$R54,IF($O53=$O52,$R52)),IFERROR(INDEX($R54:$R1200,MATCH(SUBSTITUTE($I53,"-","",1),$K54:$K1200,0)))))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7" t="str">
        <f t="shared" si="1"/>
        <v/>
      </c>
      <c r="T53" s="39" t="str">
        <f t="shared" si="2"/>
        <v/>
      </c>
      <c r="U53" s="40" t="str">
        <f t="shared" si="3"/>
        <v/>
      </c>
      <c r="V53" s="34" t="str">
        <f t="shared" si="4"/>
        <v/>
      </c>
      <c r="W53" s="41" t="str">
        <f>IFERROR(__xludf.DUMMYFUNCTION(" IF(Account!$F53&lt;&gt;"""", SPLIT(Account!$F53, "" ""), """")"),"")</f>
        <v/>
      </c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</row>
    <row r="54">
      <c r="A54" s="20"/>
      <c r="B54" s="20"/>
      <c r="C54" s="20"/>
      <c r="D54" s="20"/>
      <c r="E54" s="20"/>
      <c r="F54" s="21"/>
      <c r="G54" s="20"/>
      <c r="H54" s="20"/>
      <c r="I54" s="20"/>
      <c r="J54" s="20"/>
      <c r="K54" s="20"/>
      <c r="L54" s="21"/>
      <c r="M54" s="33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4" t="str">
        <f>IFERROR(__xludf.DUMMYFUNCTION("IF(Account!$F54&lt;&gt;"""", VALUE(REGEXREPLACE($I54, ""\,"", ""."")), """")"),"")</f>
        <v/>
      </c>
      <c r="O54" s="35" t="str">
        <f>IF(Account!$F54&lt;&gt;"", DATEVALUE(MID($A54,4,3) &amp; LEFT($A54,3) &amp; RIGHT($A54,4)) + TIMEVALUE($B54), "")</f>
        <v/>
      </c>
      <c r="P54" s="36" t="str">
        <f>IF(Account!$F54&lt;&gt;"", DATEVALUE(MID($C54,4,3) &amp; LEFT($C54,3) &amp; RIGHT($C54,4)), "")</f>
        <v/>
      </c>
      <c r="Q54" s="37" t="str">
        <f t="array" ref="Q54">IF($R54&lt;&gt;"",IFERROR(INDEX(ISIN!$B:$B,MATCH($R54,ISIN!$C:$C,0))),)</f>
        <v/>
      </c>
      <c r="R54" s="38" t="str">
        <f t="array" ref="R54">IF($E54&lt;&gt;"",IFERROR(INDEX(ISIN!$C:$C,MATCH($E54,ISIN!$A:$A,0)),IFERROR(INDEX($R55:$R1200,MATCH($K54,$K55:$K1200,0)))),IF(AND($Y54="change",$H54="EUR"),IF($O54=$O55,$R55,IF($O54=$O53,$R53)),IFERROR(INDEX($R55:$R1200,MATCH(SUBSTITUTE($I54,"-","",1),$K55:$K1200,0)))))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7" t="str">
        <f t="shared" si="1"/>
        <v/>
      </c>
      <c r="T54" s="39" t="str">
        <f t="shared" si="2"/>
        <v/>
      </c>
      <c r="U54" s="40" t="str">
        <f t="shared" si="3"/>
        <v/>
      </c>
      <c r="V54" s="34" t="str">
        <f t="shared" si="4"/>
        <v/>
      </c>
      <c r="W54" s="41" t="str">
        <f>IFERROR(__xludf.DUMMYFUNCTION(" IF(Account!$F54&lt;&gt;"""", SPLIT(Account!$F54, "" ""), """")"),"")</f>
        <v/>
      </c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</row>
    <row r="55">
      <c r="A55" s="20"/>
      <c r="B55" s="20"/>
      <c r="C55" s="20"/>
      <c r="D55" s="20"/>
      <c r="E55" s="20"/>
      <c r="F55" s="21"/>
      <c r="G55" s="20"/>
      <c r="H55" s="20"/>
      <c r="I55" s="20"/>
      <c r="J55" s="20"/>
      <c r="K55" s="20"/>
      <c r="L55" s="21"/>
      <c r="M55" s="33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4" t="str">
        <f>IFERROR(__xludf.DUMMYFUNCTION("IF(Account!$F55&lt;&gt;"""", VALUE(REGEXREPLACE($I55, ""\,"", ""."")), """")"),"")</f>
        <v/>
      </c>
      <c r="O55" s="35" t="str">
        <f>IF(Account!$F55&lt;&gt;"", DATEVALUE(MID($A55,4,3) &amp; LEFT($A55,3) &amp; RIGHT($A55,4)) + TIMEVALUE($B55), "")</f>
        <v/>
      </c>
      <c r="P55" s="36" t="str">
        <f>IF(Account!$F55&lt;&gt;"", DATEVALUE(MID($C55,4,3) &amp; LEFT($C55,3) &amp; RIGHT($C55,4)), "")</f>
        <v/>
      </c>
      <c r="Q55" s="37" t="str">
        <f t="array" ref="Q55">IF($R55&lt;&gt;"",IFERROR(INDEX(ISIN!$B:$B,MATCH($R55,ISIN!$C:$C,0))),)</f>
        <v/>
      </c>
      <c r="R55" s="38" t="str">
        <f t="array" ref="R55">IF($E55&lt;&gt;"",IFERROR(INDEX(ISIN!$C:$C,MATCH($E55,ISIN!$A:$A,0)),IFERROR(INDEX($R56:$R1200,MATCH($K55,$K56:$K1200,0)))),IF(AND($Y55="change",$H55="EUR"),IF($O55=$O56,$R56,IF($O55=$O54,$R54)),IFERROR(INDEX($R56:$R1200,MATCH(SUBSTITUTE($I55,"-","",1),$K56:$K1200,0)))))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7" t="str">
        <f t="shared" si="1"/>
        <v/>
      </c>
      <c r="T55" s="39" t="str">
        <f t="shared" si="2"/>
        <v/>
      </c>
      <c r="U55" s="40" t="str">
        <f t="shared" si="3"/>
        <v/>
      </c>
      <c r="V55" s="34" t="str">
        <f t="shared" si="4"/>
        <v/>
      </c>
      <c r="W55" s="41" t="str">
        <f>IFERROR(__xludf.DUMMYFUNCTION(" IF(Account!$F55&lt;&gt;"""", SPLIT(Account!$F55, "" ""), """")"),"")</f>
        <v/>
      </c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</row>
    <row r="56">
      <c r="A56" s="20"/>
      <c r="B56" s="20"/>
      <c r="C56" s="20"/>
      <c r="D56" s="20"/>
      <c r="E56" s="20"/>
      <c r="F56" s="21"/>
      <c r="G56" s="20"/>
      <c r="H56" s="20"/>
      <c r="I56" s="20"/>
      <c r="J56" s="20"/>
      <c r="K56" s="20"/>
      <c r="L56" s="21"/>
      <c r="M56" s="33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4" t="str">
        <f>IFERROR(__xludf.DUMMYFUNCTION("IF(Account!$F56&lt;&gt;"""", VALUE(REGEXREPLACE($I56, ""\,"", ""."")), """")"),"")</f>
        <v/>
      </c>
      <c r="O56" s="35" t="str">
        <f>IF(Account!$F56&lt;&gt;"", DATEVALUE(MID($A56,4,3) &amp; LEFT($A56,3) &amp; RIGHT($A56,4)) + TIMEVALUE($B56), "")</f>
        <v/>
      </c>
      <c r="P56" s="36" t="str">
        <f>IF(Account!$F56&lt;&gt;"", DATEVALUE(MID($C56,4,3) &amp; LEFT($C56,3) &amp; RIGHT($C56,4)), "")</f>
        <v/>
      </c>
      <c r="Q56" s="37" t="str">
        <f t="array" ref="Q56">IF($R56&lt;&gt;"",IFERROR(INDEX(ISIN!$B:$B,MATCH($R56,ISIN!$C:$C,0))),)</f>
        <v/>
      </c>
      <c r="R56" s="38" t="str">
        <f t="array" ref="R56">IF($E56&lt;&gt;"",IFERROR(INDEX(ISIN!$C:$C,MATCH($E56,ISIN!$A:$A,0)),IFERROR(INDEX($R57:$R1200,MATCH($K56,$K57:$K1200,0)))),IF(AND($Y56="change",$H56="EUR"),IF($O56=$O57,$R57,IF($O56=$O55,$R55)),IFERROR(INDEX($R57:$R1200,MATCH(SUBSTITUTE($I56,"-","",1),$K57:$K1200,0)))))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7" t="str">
        <f t="shared" si="1"/>
        <v/>
      </c>
      <c r="T56" s="39" t="str">
        <f t="shared" si="2"/>
        <v/>
      </c>
      <c r="U56" s="40" t="str">
        <f t="shared" si="3"/>
        <v/>
      </c>
      <c r="V56" s="34" t="str">
        <f t="shared" si="4"/>
        <v/>
      </c>
      <c r="W56" s="41" t="str">
        <f>IFERROR(__xludf.DUMMYFUNCTION(" IF(Account!$F56&lt;&gt;"""", SPLIT(Account!$F56, "" ""), """")"),"")</f>
        <v/>
      </c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</row>
    <row r="57">
      <c r="A57" s="20"/>
      <c r="B57" s="20"/>
      <c r="C57" s="20"/>
      <c r="D57" s="20"/>
      <c r="E57" s="20"/>
      <c r="F57" s="21"/>
      <c r="G57" s="20"/>
      <c r="H57" s="20"/>
      <c r="I57" s="20"/>
      <c r="J57" s="20"/>
      <c r="K57" s="20"/>
      <c r="L57" s="21"/>
      <c r="M57" s="33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4" t="str">
        <f>IFERROR(__xludf.DUMMYFUNCTION("IF(Account!$F57&lt;&gt;"""", VALUE(REGEXREPLACE($I57, ""\,"", ""."")), """")"),"")</f>
        <v/>
      </c>
      <c r="O57" s="35" t="str">
        <f>IF(Account!$F57&lt;&gt;"", DATEVALUE(MID($A57,4,3) &amp; LEFT($A57,3) &amp; RIGHT($A57,4)) + TIMEVALUE($B57), "")</f>
        <v/>
      </c>
      <c r="P57" s="36" t="str">
        <f>IF(Account!$F57&lt;&gt;"", DATEVALUE(MID($C57,4,3) &amp; LEFT($C57,3) &amp; RIGHT($C57,4)), "")</f>
        <v/>
      </c>
      <c r="Q57" s="37" t="str">
        <f t="array" ref="Q57">IF($R57&lt;&gt;"",IFERROR(INDEX(ISIN!$B:$B,MATCH($R57,ISIN!$C:$C,0))),)</f>
        <v/>
      </c>
      <c r="R57" s="38" t="str">
        <f t="array" ref="R57">IF($E57&lt;&gt;"",IFERROR(INDEX(ISIN!$C:$C,MATCH($E57,ISIN!$A:$A,0)),IFERROR(INDEX($R58:$R1200,MATCH($K57,$K58:$K1200,0)))),IF(AND($Y57="change",$H57="EUR"),IF($O57=$O58,$R58,IF($O57=$O56,$R56)),IFERROR(INDEX($R58:$R1200,MATCH(SUBSTITUTE($I57,"-","",1),$K58:$K1200,0)))))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7" t="str">
        <f t="shared" si="1"/>
        <v/>
      </c>
      <c r="T57" s="39" t="str">
        <f t="shared" si="2"/>
        <v/>
      </c>
      <c r="U57" s="40" t="str">
        <f t="shared" si="3"/>
        <v/>
      </c>
      <c r="V57" s="34" t="str">
        <f t="shared" si="4"/>
        <v/>
      </c>
      <c r="W57" s="41" t="str">
        <f>IFERROR(__xludf.DUMMYFUNCTION(" IF(Account!$F57&lt;&gt;"""", SPLIT(Account!$F57, "" ""), """")"),"")</f>
        <v/>
      </c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</row>
    <row r="58">
      <c r="A58" s="20"/>
      <c r="B58" s="20"/>
      <c r="C58" s="20"/>
      <c r="D58" s="20"/>
      <c r="E58" s="20"/>
      <c r="F58" s="21"/>
      <c r="G58" s="20"/>
      <c r="H58" s="20"/>
      <c r="I58" s="20"/>
      <c r="J58" s="20"/>
      <c r="K58" s="20"/>
      <c r="L58" s="21"/>
      <c r="M58" s="33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4" t="str">
        <f>IFERROR(__xludf.DUMMYFUNCTION("IF(Account!$F58&lt;&gt;"""", VALUE(REGEXREPLACE($I58, ""\,"", ""."")), """")"),"")</f>
        <v/>
      </c>
      <c r="O58" s="35" t="str">
        <f>IF(Account!$F58&lt;&gt;"", DATEVALUE(MID($A58,4,3) &amp; LEFT($A58,3) &amp; RIGHT($A58,4)) + TIMEVALUE($B58), "")</f>
        <v/>
      </c>
      <c r="P58" s="36" t="str">
        <f>IF(Account!$F58&lt;&gt;"", DATEVALUE(MID($C58,4,3) &amp; LEFT($C58,3) &amp; RIGHT($C58,4)), "")</f>
        <v/>
      </c>
      <c r="Q58" s="37" t="str">
        <f t="array" ref="Q58">IF($R58&lt;&gt;"",IFERROR(INDEX(ISIN!$B:$B,MATCH($R58,ISIN!$C:$C,0))),)</f>
        <v/>
      </c>
      <c r="R58" s="38" t="str">
        <f t="array" ref="R58">IF($E58&lt;&gt;"",IFERROR(INDEX(ISIN!$C:$C,MATCH($E58,ISIN!$A:$A,0)),IFERROR(INDEX($R59:$R1200,MATCH($K58,$K59:$K1200,0)))),IF(AND($Y58="change",$H58="EUR"),IF($O58=$O59,$R59,IF($O58=$O57,$R57)),IFERROR(INDEX($R59:$R1200,MATCH(SUBSTITUTE($I58,"-","",1),$K59:$K1200,0)))))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7" t="str">
        <f t="shared" si="1"/>
        <v/>
      </c>
      <c r="T58" s="39" t="str">
        <f t="shared" si="2"/>
        <v/>
      </c>
      <c r="U58" s="40" t="str">
        <f t="shared" si="3"/>
        <v/>
      </c>
      <c r="V58" s="34" t="str">
        <f t="shared" si="4"/>
        <v/>
      </c>
      <c r="W58" s="41" t="str">
        <f>IFERROR(__xludf.DUMMYFUNCTION(" IF(Account!$F58&lt;&gt;"""", SPLIT(Account!$F58, "" ""), """")"),"")</f>
        <v/>
      </c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</row>
    <row r="59">
      <c r="A59" s="20"/>
      <c r="B59" s="20"/>
      <c r="C59" s="20"/>
      <c r="D59" s="20"/>
      <c r="E59" s="20"/>
      <c r="F59" s="21"/>
      <c r="G59" s="20"/>
      <c r="H59" s="20"/>
      <c r="I59" s="20"/>
      <c r="J59" s="20"/>
      <c r="K59" s="20"/>
      <c r="L59" s="21"/>
      <c r="M59" s="33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4" t="str">
        <f>IFERROR(__xludf.DUMMYFUNCTION("IF(Account!$F59&lt;&gt;"""", VALUE(REGEXREPLACE($I59, ""\,"", ""."")), """")"),"")</f>
        <v/>
      </c>
      <c r="O59" s="35" t="str">
        <f>IF(Account!$F59&lt;&gt;"", DATEVALUE(MID($A59,4,3) &amp; LEFT($A59,3) &amp; RIGHT($A59,4)) + TIMEVALUE($B59), "")</f>
        <v/>
      </c>
      <c r="P59" s="36" t="str">
        <f>IF(Account!$F59&lt;&gt;"", DATEVALUE(MID($C59,4,3) &amp; LEFT($C59,3) &amp; RIGHT($C59,4)), "")</f>
        <v/>
      </c>
      <c r="Q59" s="37" t="str">
        <f t="array" ref="Q59">IF($R59&lt;&gt;"",IFERROR(INDEX(ISIN!$B:$B,MATCH($R59,ISIN!$C:$C,0))),)</f>
        <v/>
      </c>
      <c r="R59" s="38" t="str">
        <f t="array" ref="R59">IF($E59&lt;&gt;"",IFERROR(INDEX(ISIN!$C:$C,MATCH($E59,ISIN!$A:$A,0)),IFERROR(INDEX($R60:$R1200,MATCH($K59,$K60:$K1200,0)))),IF(AND($Y59="change",$H59="EUR"),IF($O59=$O60,$R60,IF($O59=$O58,$R58)),IFERROR(INDEX($R60:$R1200,MATCH(SUBSTITUTE($I59,"-","",1),$K60:$K1200,0)))))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7" t="str">
        <f t="shared" si="1"/>
        <v/>
      </c>
      <c r="T59" s="39" t="str">
        <f t="shared" si="2"/>
        <v/>
      </c>
      <c r="U59" s="40" t="str">
        <f t="shared" si="3"/>
        <v/>
      </c>
      <c r="V59" s="34" t="str">
        <f t="shared" si="4"/>
        <v/>
      </c>
      <c r="W59" s="41" t="str">
        <f>IFERROR(__xludf.DUMMYFUNCTION(" IF(Account!$F59&lt;&gt;"""", SPLIT(Account!$F59, "" ""), """")"),"")</f>
        <v/>
      </c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</row>
    <row r="60">
      <c r="A60" s="20"/>
      <c r="B60" s="20"/>
      <c r="C60" s="20"/>
      <c r="D60" s="20"/>
      <c r="E60" s="20"/>
      <c r="F60" s="21"/>
      <c r="G60" s="20"/>
      <c r="H60" s="20"/>
      <c r="I60" s="20"/>
      <c r="J60" s="20"/>
      <c r="K60" s="20"/>
      <c r="L60" s="21"/>
      <c r="M60" s="33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4" t="str">
        <f>IFERROR(__xludf.DUMMYFUNCTION("IF(Account!$F60&lt;&gt;"""", VALUE(REGEXREPLACE($I60, ""\,"", ""."")), """")"),"")</f>
        <v/>
      </c>
      <c r="O60" s="35" t="str">
        <f>IF(Account!$F60&lt;&gt;"", DATEVALUE(MID($A60,4,3) &amp; LEFT($A60,3) &amp; RIGHT($A60,4)) + TIMEVALUE($B60), "")</f>
        <v/>
      </c>
      <c r="P60" s="36" t="str">
        <f>IF(Account!$F60&lt;&gt;"", DATEVALUE(MID($C60,4,3) &amp; LEFT($C60,3) &amp; RIGHT($C60,4)), "")</f>
        <v/>
      </c>
      <c r="Q60" s="37" t="str">
        <f t="array" ref="Q60">IF($R60&lt;&gt;"",IFERROR(INDEX(ISIN!$B:$B,MATCH($R60,ISIN!$C:$C,0))),)</f>
        <v/>
      </c>
      <c r="R60" s="38" t="str">
        <f t="array" ref="R60">IF($E60&lt;&gt;"",IFERROR(INDEX(ISIN!$C:$C,MATCH($E60,ISIN!$A:$A,0)),IFERROR(INDEX($R61:$R1200,MATCH($K60,$K61:$K1200,0)))),IF(AND($Y60="change",$H60="EUR"),IF($O60=$O61,$R61,IF($O60=$O59,$R59)),IFERROR(INDEX($R61:$R1200,MATCH(SUBSTITUTE($I60,"-","",1),$K61:$K1200,0)))))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7" t="str">
        <f t="shared" si="1"/>
        <v/>
      </c>
      <c r="T60" s="39" t="str">
        <f t="shared" si="2"/>
        <v/>
      </c>
      <c r="U60" s="40" t="str">
        <f t="shared" si="3"/>
        <v/>
      </c>
      <c r="V60" s="34" t="str">
        <f t="shared" si="4"/>
        <v/>
      </c>
      <c r="W60" s="41" t="str">
        <f>IFERROR(__xludf.DUMMYFUNCTION(" IF(Account!$F60&lt;&gt;"""", SPLIT(Account!$F60, "" ""), """")"),"")</f>
        <v/>
      </c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</row>
    <row r="61">
      <c r="A61" s="20"/>
      <c r="B61" s="20"/>
      <c r="C61" s="20"/>
      <c r="D61" s="20"/>
      <c r="E61" s="20"/>
      <c r="F61" s="21"/>
      <c r="G61" s="20"/>
      <c r="H61" s="20"/>
      <c r="I61" s="20"/>
      <c r="J61" s="20"/>
      <c r="K61" s="20"/>
      <c r="L61" s="21"/>
      <c r="M61" s="33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4" t="str">
        <f>IFERROR(__xludf.DUMMYFUNCTION("IF(Account!$F61&lt;&gt;"""", VALUE(REGEXREPLACE($I61, ""\,"", ""."")), """")"),"")</f>
        <v/>
      </c>
      <c r="O61" s="35" t="str">
        <f>IF(Account!$F61&lt;&gt;"", DATEVALUE(MID($A61,4,3) &amp; LEFT($A61,3) &amp; RIGHT($A61,4)) + TIMEVALUE($B61), "")</f>
        <v/>
      </c>
      <c r="P61" s="36" t="str">
        <f>IF(Account!$F61&lt;&gt;"", DATEVALUE(MID($C61,4,3) &amp; LEFT($C61,3) &amp; RIGHT($C61,4)), "")</f>
        <v/>
      </c>
      <c r="Q61" s="37" t="str">
        <f t="array" ref="Q61">IF($R61&lt;&gt;"",IFERROR(INDEX(ISIN!$B:$B,MATCH($R61,ISIN!$C:$C,0))),)</f>
        <v/>
      </c>
      <c r="R61" s="38" t="str">
        <f t="array" ref="R61">IF($E61&lt;&gt;"",IFERROR(INDEX(ISIN!$C:$C,MATCH($E61,ISIN!$A:$A,0)),IFERROR(INDEX($R62:$R1200,MATCH($K61,$K62:$K1200,0)))),IF(AND($Y61="change",$H61="EUR"),IF($O61=$O62,$R62,IF($O61=$O60,$R60)),IFERROR(INDEX($R62:$R1200,MATCH(SUBSTITUTE($I61,"-","",1),$K62:$K1200,0)))))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7" t="str">
        <f t="shared" si="1"/>
        <v/>
      </c>
      <c r="T61" s="39" t="str">
        <f t="shared" si="2"/>
        <v/>
      </c>
      <c r="U61" s="40" t="str">
        <f t="shared" si="3"/>
        <v/>
      </c>
      <c r="V61" s="34" t="str">
        <f t="shared" si="4"/>
        <v/>
      </c>
      <c r="W61" s="41" t="str">
        <f>IFERROR(__xludf.DUMMYFUNCTION(" IF(Account!$F61&lt;&gt;"""", SPLIT(Account!$F61, "" ""), """")"),"")</f>
        <v/>
      </c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</row>
    <row r="62">
      <c r="A62" s="20"/>
      <c r="B62" s="20"/>
      <c r="C62" s="20"/>
      <c r="D62" s="20"/>
      <c r="E62" s="20"/>
      <c r="F62" s="21"/>
      <c r="G62" s="20"/>
      <c r="H62" s="20"/>
      <c r="I62" s="20"/>
      <c r="J62" s="20"/>
      <c r="K62" s="20"/>
      <c r="L62" s="21"/>
      <c r="M62" s="33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4" t="str">
        <f>IFERROR(__xludf.DUMMYFUNCTION("IF(Account!$F62&lt;&gt;"""", VALUE(REGEXREPLACE($I62, ""\,"", ""."")), """")"),"")</f>
        <v/>
      </c>
      <c r="O62" s="35" t="str">
        <f>IF(Account!$F62&lt;&gt;"", DATEVALUE(MID($A62,4,3) &amp; LEFT($A62,3) &amp; RIGHT($A62,4)) + TIMEVALUE($B62), "")</f>
        <v/>
      </c>
      <c r="P62" s="36" t="str">
        <f>IF(Account!$F62&lt;&gt;"", DATEVALUE(MID($C62,4,3) &amp; LEFT($C62,3) &amp; RIGHT($C62,4)), "")</f>
        <v/>
      </c>
      <c r="Q62" s="37" t="str">
        <f t="array" ref="Q62">IF($R62&lt;&gt;"",IFERROR(INDEX(ISIN!$B:$B,MATCH($R62,ISIN!$C:$C,0))),)</f>
        <v/>
      </c>
      <c r="R62" s="38" t="str">
        <f t="array" ref="R62">IF($E62&lt;&gt;"",IFERROR(INDEX(ISIN!$C:$C,MATCH($E62,ISIN!$A:$A,0)),IFERROR(INDEX($R63:$R1200,MATCH($K62,$K63:$K1200,0)))),IF(AND($Y62="change",$H62="EUR"),IF($O62=$O63,$R63,IF($O62=$O61,$R61)),IFERROR(INDEX($R63:$R1200,MATCH(SUBSTITUTE($I62,"-","",1),$K63:$K1200,0)))))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7" t="str">
        <f t="shared" si="1"/>
        <v/>
      </c>
      <c r="T62" s="39" t="str">
        <f t="shared" si="2"/>
        <v/>
      </c>
      <c r="U62" s="40" t="str">
        <f t="shared" si="3"/>
        <v/>
      </c>
      <c r="V62" s="34" t="str">
        <f t="shared" si="4"/>
        <v/>
      </c>
      <c r="W62" s="41" t="str">
        <f>IFERROR(__xludf.DUMMYFUNCTION(" IF(Account!$F62&lt;&gt;"""", SPLIT(Account!$F62, "" ""), """")"),"")</f>
        <v/>
      </c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</row>
    <row r="63">
      <c r="A63" s="20"/>
      <c r="B63" s="20"/>
      <c r="C63" s="20"/>
      <c r="D63" s="20"/>
      <c r="E63" s="20"/>
      <c r="F63" s="21"/>
      <c r="G63" s="20"/>
      <c r="H63" s="20"/>
      <c r="I63" s="20"/>
      <c r="J63" s="20"/>
      <c r="K63" s="20"/>
      <c r="L63" s="21"/>
      <c r="M63" s="33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4" t="str">
        <f>IFERROR(__xludf.DUMMYFUNCTION("IF(Account!$F63&lt;&gt;"""", VALUE(REGEXREPLACE($I63, ""\,"", ""."")), """")"),"")</f>
        <v/>
      </c>
      <c r="O63" s="35" t="str">
        <f>IF(Account!$F63&lt;&gt;"", DATEVALUE(MID($A63,4,3) &amp; LEFT($A63,3) &amp; RIGHT($A63,4)) + TIMEVALUE($B63), "")</f>
        <v/>
      </c>
      <c r="P63" s="36" t="str">
        <f>IF(Account!$F63&lt;&gt;"", DATEVALUE(MID($C63,4,3) &amp; LEFT($C63,3) &amp; RIGHT($C63,4)), "")</f>
        <v/>
      </c>
      <c r="Q63" s="37" t="str">
        <f t="array" ref="Q63">IF($R63&lt;&gt;"",IFERROR(INDEX(ISIN!$B:$B,MATCH($R63,ISIN!$C:$C,0))),)</f>
        <v/>
      </c>
      <c r="R63" s="38" t="str">
        <f t="array" ref="R63">IF($E63&lt;&gt;"",IFERROR(INDEX(ISIN!$C:$C,MATCH($E63,ISIN!$A:$A,0)),IFERROR(INDEX($R64:$R1200,MATCH($K63,$K64:$K1200,0)))),IF(AND($Y63="change",$H63="EUR"),IF($O63=$O64,$R64,IF($O63=$O62,$R62)),IFERROR(INDEX($R64:$R1200,MATCH(SUBSTITUTE($I63,"-","",1),$K64:$K1200,0)))))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7" t="str">
        <f t="shared" si="1"/>
        <v/>
      </c>
      <c r="T63" s="39" t="str">
        <f t="shared" si="2"/>
        <v/>
      </c>
      <c r="U63" s="40" t="str">
        <f t="shared" si="3"/>
        <v/>
      </c>
      <c r="V63" s="34" t="str">
        <f t="shared" si="4"/>
        <v/>
      </c>
      <c r="W63" s="41" t="str">
        <f>IFERROR(__xludf.DUMMYFUNCTION(" IF(Account!$F63&lt;&gt;"""", SPLIT(Account!$F63, "" ""), """")"),"")</f>
        <v/>
      </c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</row>
    <row r="64">
      <c r="A64" s="20"/>
      <c r="B64" s="20"/>
      <c r="C64" s="20"/>
      <c r="D64" s="20"/>
      <c r="E64" s="20"/>
      <c r="F64" s="21"/>
      <c r="G64" s="20"/>
      <c r="H64" s="20"/>
      <c r="I64" s="20"/>
      <c r="J64" s="20"/>
      <c r="K64" s="20"/>
      <c r="L64" s="21"/>
      <c r="M64" s="33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4" t="str">
        <f>IFERROR(__xludf.DUMMYFUNCTION("IF(Account!$F64&lt;&gt;"""", VALUE(REGEXREPLACE($I64, ""\,"", ""."")), """")"),"")</f>
        <v/>
      </c>
      <c r="O64" s="35" t="str">
        <f>IF(Account!$F64&lt;&gt;"", DATEVALUE(MID($A64,4,3) &amp; LEFT($A64,3) &amp; RIGHT($A64,4)) + TIMEVALUE($B64), "")</f>
        <v/>
      </c>
      <c r="P64" s="36" t="str">
        <f>IF(Account!$F64&lt;&gt;"", DATEVALUE(MID($C64,4,3) &amp; LEFT($C64,3) &amp; RIGHT($C64,4)), "")</f>
        <v/>
      </c>
      <c r="Q64" s="37" t="str">
        <f t="array" ref="Q64">IF($R64&lt;&gt;"",IFERROR(INDEX(ISIN!$B:$B,MATCH($R64,ISIN!$C:$C,0))),)</f>
        <v/>
      </c>
      <c r="R64" s="38" t="str">
        <f t="array" ref="R64">IF($E64&lt;&gt;"",IFERROR(INDEX(ISIN!$C:$C,MATCH($E64,ISIN!$A:$A,0)),IFERROR(INDEX($R65:$R1200,MATCH($K64,$K65:$K1200,0)))),IF(AND($Y64="change",$H64="EUR"),IF($O64=$O65,$R65,IF($O64=$O63,$R63)),IFERROR(INDEX($R65:$R1200,MATCH(SUBSTITUTE($I64,"-","",1),$K65:$K1200,0)))))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7" t="str">
        <f t="shared" si="1"/>
        <v/>
      </c>
      <c r="T64" s="39" t="str">
        <f t="shared" si="2"/>
        <v/>
      </c>
      <c r="U64" s="40" t="str">
        <f t="shared" si="3"/>
        <v/>
      </c>
      <c r="V64" s="34" t="str">
        <f t="shared" si="4"/>
        <v/>
      </c>
      <c r="W64" s="41" t="str">
        <f>IFERROR(__xludf.DUMMYFUNCTION(" IF(Account!$F64&lt;&gt;"""", SPLIT(Account!$F64, "" ""), """")"),"")</f>
        <v/>
      </c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</row>
    <row r="65">
      <c r="A65" s="20"/>
      <c r="B65" s="20"/>
      <c r="C65" s="20"/>
      <c r="D65" s="20"/>
      <c r="E65" s="20"/>
      <c r="F65" s="21"/>
      <c r="G65" s="20"/>
      <c r="H65" s="20"/>
      <c r="I65" s="20"/>
      <c r="J65" s="20"/>
      <c r="K65" s="20"/>
      <c r="L65" s="21"/>
      <c r="M65" s="33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4" t="str">
        <f>IFERROR(__xludf.DUMMYFUNCTION("IF(Account!$F65&lt;&gt;"""", VALUE(REGEXREPLACE($I65, ""\,"", ""."")), """")"),"")</f>
        <v/>
      </c>
      <c r="O65" s="35" t="str">
        <f>IF(Account!$F65&lt;&gt;"", DATEVALUE(MID($A65,4,3) &amp; LEFT($A65,3) &amp; RIGHT($A65,4)) + TIMEVALUE($B65), "")</f>
        <v/>
      </c>
      <c r="P65" s="36" t="str">
        <f>IF(Account!$F65&lt;&gt;"", DATEVALUE(MID($C65,4,3) &amp; LEFT($C65,3) &amp; RIGHT($C65,4)), "")</f>
        <v/>
      </c>
      <c r="Q65" s="37" t="str">
        <f t="array" ref="Q65">IF($R65&lt;&gt;"",IFERROR(INDEX(ISIN!$B:$B,MATCH($R65,ISIN!$C:$C,0))),)</f>
        <v/>
      </c>
      <c r="R65" s="38" t="str">
        <f t="array" ref="R65">IF($E65&lt;&gt;"",IFERROR(INDEX(ISIN!$C:$C,MATCH($E65,ISIN!$A:$A,0)),IFERROR(INDEX($R66:$R1200,MATCH($K65,$K66:$K1200,0)))),IF(AND($Y65="change",$H65="EUR"),IF($O65=$O66,$R66,IF($O65=$O64,$R64)),IFERROR(INDEX($R66:$R1200,MATCH(SUBSTITUTE($I65,"-","",1),$K66:$K1200,0)))))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7" t="str">
        <f t="shared" si="1"/>
        <v/>
      </c>
      <c r="T65" s="39" t="str">
        <f t="shared" si="2"/>
        <v/>
      </c>
      <c r="U65" s="40" t="str">
        <f t="shared" si="3"/>
        <v/>
      </c>
      <c r="V65" s="34" t="str">
        <f t="shared" si="4"/>
        <v/>
      </c>
      <c r="W65" s="41" t="str">
        <f>IFERROR(__xludf.DUMMYFUNCTION(" IF(Account!$F65&lt;&gt;"""", SPLIT(Account!$F65, "" ""), """")"),"")</f>
        <v/>
      </c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</row>
    <row r="66">
      <c r="A66" s="20"/>
      <c r="B66" s="20"/>
      <c r="C66" s="20"/>
      <c r="D66" s="20"/>
      <c r="E66" s="20"/>
      <c r="F66" s="21"/>
      <c r="G66" s="20"/>
      <c r="H66" s="20"/>
      <c r="I66" s="20"/>
      <c r="J66" s="20"/>
      <c r="K66" s="20"/>
      <c r="L66" s="21"/>
      <c r="M66" s="33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4" t="str">
        <f>IFERROR(__xludf.DUMMYFUNCTION("IF(Account!$F66&lt;&gt;"""", VALUE(REGEXREPLACE($I66, ""\,"", ""."")), """")"),"")</f>
        <v/>
      </c>
      <c r="O66" s="35" t="str">
        <f>IF(Account!$F66&lt;&gt;"", DATEVALUE(MID($A66,4,3) &amp; LEFT($A66,3) &amp; RIGHT($A66,4)) + TIMEVALUE($B66), "")</f>
        <v/>
      </c>
      <c r="P66" s="36" t="str">
        <f>IF(Account!$F66&lt;&gt;"", DATEVALUE(MID($C66,4,3) &amp; LEFT($C66,3) &amp; RIGHT($C66,4)), "")</f>
        <v/>
      </c>
      <c r="Q66" s="37" t="str">
        <f t="array" ref="Q66">IF($R66&lt;&gt;"",IFERROR(INDEX(ISIN!$B:$B,MATCH($R66,ISIN!$C:$C,0))),)</f>
        <v/>
      </c>
      <c r="R66" s="38" t="str">
        <f t="array" ref="R66">IF($E66&lt;&gt;"",IFERROR(INDEX(ISIN!$C:$C,MATCH($E66,ISIN!$A:$A,0)),IFERROR(INDEX($R67:$R1200,MATCH($K66,$K67:$K1200,0)))),IF(AND($Y66="change",$H66="EUR"),IF($O66=$O67,$R67,IF($O66=$O65,$R65)),IFERROR(INDEX($R67:$R1200,MATCH(SUBSTITUTE($I66,"-","",1),$K67:$K1200,0)))))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7" t="str">
        <f t="shared" si="1"/>
        <v/>
      </c>
      <c r="T66" s="39" t="str">
        <f t="shared" si="2"/>
        <v/>
      </c>
      <c r="U66" s="40" t="str">
        <f t="shared" si="3"/>
        <v/>
      </c>
      <c r="V66" s="34" t="str">
        <f t="shared" si="4"/>
        <v/>
      </c>
      <c r="W66" s="41" t="str">
        <f>IFERROR(__xludf.DUMMYFUNCTION(" IF(Account!$F66&lt;&gt;"""", SPLIT(Account!$F66, "" ""), """")"),"")</f>
        <v/>
      </c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</row>
    <row r="67">
      <c r="A67" s="20"/>
      <c r="B67" s="20"/>
      <c r="C67" s="20"/>
      <c r="D67" s="20"/>
      <c r="E67" s="20"/>
      <c r="F67" s="21"/>
      <c r="G67" s="20"/>
      <c r="H67" s="20"/>
      <c r="I67" s="20"/>
      <c r="J67" s="20"/>
      <c r="K67" s="20"/>
      <c r="L67" s="21"/>
      <c r="M67" s="33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4" t="str">
        <f>IFERROR(__xludf.DUMMYFUNCTION("IF(Account!$F67&lt;&gt;"""", VALUE(REGEXREPLACE($I67, ""\,"", ""."")), """")"),"")</f>
        <v/>
      </c>
      <c r="O67" s="35" t="str">
        <f>IF(Account!$F67&lt;&gt;"", DATEVALUE(MID($A67,4,3) &amp; LEFT($A67,3) &amp; RIGHT($A67,4)) + TIMEVALUE($B67), "")</f>
        <v/>
      </c>
      <c r="P67" s="36" t="str">
        <f>IF(Account!$F67&lt;&gt;"", DATEVALUE(MID($C67,4,3) &amp; LEFT($C67,3) &amp; RIGHT($C67,4)), "")</f>
        <v/>
      </c>
      <c r="Q67" s="37" t="str">
        <f t="array" ref="Q67">IF($R67&lt;&gt;"",IFERROR(INDEX(ISIN!$B:$B,MATCH($R67,ISIN!$C:$C,0))),)</f>
        <v/>
      </c>
      <c r="R67" s="38" t="str">
        <f t="array" ref="R67">IF($E67&lt;&gt;"",IFERROR(INDEX(ISIN!$C:$C,MATCH($E67,ISIN!$A:$A,0)),IFERROR(INDEX($R68:$R1200,MATCH($K67,$K68:$K1200,0)))),IF(AND($Y67="change",$H67="EUR"),IF($O67=$O68,$R68,IF($O67=$O66,$R66)),IFERROR(INDEX($R68:$R1200,MATCH(SUBSTITUTE($I67,"-","",1),$K68:$K1200,0)))))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7" t="str">
        <f t="shared" si="1"/>
        <v/>
      </c>
      <c r="T67" s="39" t="str">
        <f t="shared" si="2"/>
        <v/>
      </c>
      <c r="U67" s="40" t="str">
        <f t="shared" si="3"/>
        <v/>
      </c>
      <c r="V67" s="34" t="str">
        <f t="shared" si="4"/>
        <v/>
      </c>
      <c r="W67" s="41" t="str">
        <f>IFERROR(__xludf.DUMMYFUNCTION(" IF(Account!$F67&lt;&gt;"""", SPLIT(Account!$F67, "" ""), """")"),"")</f>
        <v/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</row>
    <row r="68">
      <c r="A68" s="20"/>
      <c r="B68" s="20"/>
      <c r="C68" s="20"/>
      <c r="D68" s="20"/>
      <c r="E68" s="20"/>
      <c r="F68" s="21"/>
      <c r="G68" s="20"/>
      <c r="H68" s="20"/>
      <c r="I68" s="20"/>
      <c r="J68" s="20"/>
      <c r="K68" s="20"/>
      <c r="L68" s="21"/>
      <c r="M68" s="33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4" t="str">
        <f>IFERROR(__xludf.DUMMYFUNCTION("IF(Account!$F68&lt;&gt;"""", VALUE(REGEXREPLACE($I68, ""\,"", ""."")), """")"),"")</f>
        <v/>
      </c>
      <c r="O68" s="35" t="str">
        <f>IF(Account!$F68&lt;&gt;"", DATEVALUE(MID($A68,4,3) &amp; LEFT($A68,3) &amp; RIGHT($A68,4)) + TIMEVALUE($B68), "")</f>
        <v/>
      </c>
      <c r="P68" s="36" t="str">
        <f>IF(Account!$F68&lt;&gt;"", DATEVALUE(MID($C68,4,3) &amp; LEFT($C68,3) &amp; RIGHT($C68,4)), "")</f>
        <v/>
      </c>
      <c r="Q68" s="37" t="str">
        <f t="array" ref="Q68">IF($R68&lt;&gt;"",IFERROR(INDEX(ISIN!$B:$B,MATCH($R68,ISIN!$C:$C,0))),)</f>
        <v/>
      </c>
      <c r="R68" s="38" t="str">
        <f t="array" ref="R68">IF($E68&lt;&gt;"",IFERROR(INDEX(ISIN!$C:$C,MATCH($E68,ISIN!$A:$A,0)),IFERROR(INDEX($R69:$R1200,MATCH($K68,$K69:$K1200,0)))),IF(AND($Y68="change",$H68="EUR"),IF($O68=$O69,$R69,IF($O68=$O67,$R67)),IFERROR(INDEX($R69:$R1200,MATCH(SUBSTITUTE($I68,"-","",1),$K69:$K1200,0)))))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7" t="str">
        <f t="shared" si="1"/>
        <v/>
      </c>
      <c r="T68" s="39" t="str">
        <f t="shared" si="2"/>
        <v/>
      </c>
      <c r="U68" s="40" t="str">
        <f t="shared" si="3"/>
        <v/>
      </c>
      <c r="V68" s="34" t="str">
        <f t="shared" si="4"/>
        <v/>
      </c>
      <c r="W68" s="41" t="str">
        <f>IFERROR(__xludf.DUMMYFUNCTION(" IF(Account!$F68&lt;&gt;"""", SPLIT(Account!$F68, "" ""), """")"),"")</f>
        <v/>
      </c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</row>
    <row r="69">
      <c r="A69" s="20"/>
      <c r="B69" s="20"/>
      <c r="C69" s="20"/>
      <c r="D69" s="20"/>
      <c r="E69" s="20"/>
      <c r="F69" s="21"/>
      <c r="G69" s="20"/>
      <c r="H69" s="20"/>
      <c r="I69" s="20"/>
      <c r="J69" s="20"/>
      <c r="K69" s="20"/>
      <c r="L69" s="21"/>
      <c r="M69" s="33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4" t="str">
        <f>IFERROR(__xludf.DUMMYFUNCTION("IF(Account!$F69&lt;&gt;"""", VALUE(REGEXREPLACE($I69, ""\,"", ""."")), """")"),"")</f>
        <v/>
      </c>
      <c r="O69" s="35" t="str">
        <f>IF(Account!$F69&lt;&gt;"", DATEVALUE(MID($A69,4,3) &amp; LEFT($A69,3) &amp; RIGHT($A69,4)) + TIMEVALUE($B69), "")</f>
        <v/>
      </c>
      <c r="P69" s="36" t="str">
        <f>IF(Account!$F69&lt;&gt;"", DATEVALUE(MID($C69,4,3) &amp; LEFT($C69,3) &amp; RIGHT($C69,4)), "")</f>
        <v/>
      </c>
      <c r="Q69" s="37" t="str">
        <f t="array" ref="Q69">IF($R69&lt;&gt;"",IFERROR(INDEX(ISIN!$B:$B,MATCH($R69,ISIN!$C:$C,0))),)</f>
        <v/>
      </c>
      <c r="R69" s="38" t="str">
        <f t="array" ref="R69">IF($E69&lt;&gt;"",IFERROR(INDEX(ISIN!$C:$C,MATCH($E69,ISIN!$A:$A,0)),IFERROR(INDEX($R70:$R1200,MATCH($K69,$K70:$K1200,0)))),IF(AND($Y69="change",$H69="EUR"),IF($O69=$O70,$R70,IF($O69=$O68,$R68)),IFERROR(INDEX($R70:$R1200,MATCH(SUBSTITUTE($I69,"-","",1),$K70:$K1200,0)))))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7" t="str">
        <f t="shared" si="1"/>
        <v/>
      </c>
      <c r="T69" s="39" t="str">
        <f t="shared" si="2"/>
        <v/>
      </c>
      <c r="U69" s="40" t="str">
        <f t="shared" si="3"/>
        <v/>
      </c>
      <c r="V69" s="34" t="str">
        <f t="shared" si="4"/>
        <v/>
      </c>
      <c r="W69" s="41" t="str">
        <f>IFERROR(__xludf.DUMMYFUNCTION(" IF(Account!$F69&lt;&gt;"""", SPLIT(Account!$F69, "" ""), """")"),"")</f>
        <v/>
      </c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</row>
    <row r="70">
      <c r="A70" s="20"/>
      <c r="B70" s="20"/>
      <c r="C70" s="20"/>
      <c r="D70" s="20"/>
      <c r="E70" s="20"/>
      <c r="F70" s="21"/>
      <c r="G70" s="20"/>
      <c r="H70" s="20"/>
      <c r="I70" s="20"/>
      <c r="J70" s="20"/>
      <c r="K70" s="20"/>
      <c r="L70" s="21"/>
      <c r="M70" s="33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4" t="str">
        <f>IFERROR(__xludf.DUMMYFUNCTION("IF(Account!$F70&lt;&gt;"""", VALUE(REGEXREPLACE($I70, ""\,"", ""."")), """")"),"")</f>
        <v/>
      </c>
      <c r="O70" s="35" t="str">
        <f>IF(Account!$F70&lt;&gt;"", DATEVALUE(MID($A70,4,3) &amp; LEFT($A70,3) &amp; RIGHT($A70,4)) + TIMEVALUE($B70), "")</f>
        <v/>
      </c>
      <c r="P70" s="36" t="str">
        <f>IF(Account!$F70&lt;&gt;"", DATEVALUE(MID($C70,4,3) &amp; LEFT($C70,3) &amp; RIGHT($C70,4)), "")</f>
        <v/>
      </c>
      <c r="Q70" s="37" t="str">
        <f t="array" ref="Q70">IF($R70&lt;&gt;"",IFERROR(INDEX(ISIN!$B:$B,MATCH($R70,ISIN!$C:$C,0))),)</f>
        <v/>
      </c>
      <c r="R70" s="38" t="str">
        <f t="array" ref="R70">IF($E70&lt;&gt;"",IFERROR(INDEX(ISIN!$C:$C,MATCH($E70,ISIN!$A:$A,0)),IFERROR(INDEX($R71:$R1200,MATCH($K70,$K71:$K1200,0)))),IF(AND($Y70="change",$H70="EUR"),IF($O70=$O71,$R71,IF($O70=$O69,$R69)),IFERROR(INDEX($R71:$R1200,MATCH(SUBSTITUTE($I70,"-","",1),$K71:$K1200,0)))))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7" t="str">
        <f t="shared" si="1"/>
        <v/>
      </c>
      <c r="T70" s="39" t="str">
        <f t="shared" si="2"/>
        <v/>
      </c>
      <c r="U70" s="40" t="str">
        <f t="shared" si="3"/>
        <v/>
      </c>
      <c r="V70" s="34" t="str">
        <f t="shared" si="4"/>
        <v/>
      </c>
      <c r="W70" s="41" t="str">
        <f>IFERROR(__xludf.DUMMYFUNCTION(" IF(Account!$F70&lt;&gt;"""", SPLIT(Account!$F70, "" ""), """")"),"")</f>
        <v/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</row>
    <row r="71">
      <c r="A71" s="20"/>
      <c r="B71" s="20"/>
      <c r="C71" s="20"/>
      <c r="D71" s="20"/>
      <c r="E71" s="20"/>
      <c r="F71" s="21"/>
      <c r="G71" s="20"/>
      <c r="H71" s="20"/>
      <c r="I71" s="20"/>
      <c r="J71" s="20"/>
      <c r="K71" s="20"/>
      <c r="L71" s="21"/>
      <c r="M71" s="33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4" t="str">
        <f>IFERROR(__xludf.DUMMYFUNCTION("IF(Account!$F71&lt;&gt;"""", VALUE(REGEXREPLACE($I71, ""\,"", ""."")), """")"),"")</f>
        <v/>
      </c>
      <c r="O71" s="35" t="str">
        <f>IF(Account!$F71&lt;&gt;"", DATEVALUE(MID($A71,4,3) &amp; LEFT($A71,3) &amp; RIGHT($A71,4)) + TIMEVALUE($B71), "")</f>
        <v/>
      </c>
      <c r="P71" s="36" t="str">
        <f>IF(Account!$F71&lt;&gt;"", DATEVALUE(MID($C71,4,3) &amp; LEFT($C71,3) &amp; RIGHT($C71,4)), "")</f>
        <v/>
      </c>
      <c r="Q71" s="37" t="str">
        <f t="array" ref="Q71">IF($R71&lt;&gt;"",IFERROR(INDEX(ISIN!$B:$B,MATCH($R71,ISIN!$C:$C,0))),)</f>
        <v/>
      </c>
      <c r="R71" s="38" t="str">
        <f t="array" ref="R71">IF($E71&lt;&gt;"",IFERROR(INDEX(ISIN!$C:$C,MATCH($E71,ISIN!$A:$A,0)),IFERROR(INDEX($R72:$R1200,MATCH($K71,$K72:$K1200,0)))),IF(AND($Y71="change",$H71="EUR"),IF($O71=$O72,$R72,IF($O71=$O70,$R70)),IFERROR(INDEX($R72:$R1200,MATCH(SUBSTITUTE($I71,"-","",1),$K72:$K1200,0)))))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7" t="str">
        <f t="shared" si="1"/>
        <v/>
      </c>
      <c r="T71" s="39" t="str">
        <f t="shared" si="2"/>
        <v/>
      </c>
      <c r="U71" s="40" t="str">
        <f t="shared" si="3"/>
        <v/>
      </c>
      <c r="V71" s="34" t="str">
        <f t="shared" si="4"/>
        <v/>
      </c>
      <c r="W71" s="41" t="str">
        <f>IFERROR(__xludf.DUMMYFUNCTION(" IF(Account!$F71&lt;&gt;"""", SPLIT(Account!$F71, "" ""), """")"),"")</f>
        <v/>
      </c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</row>
    <row r="72">
      <c r="A72" s="20"/>
      <c r="B72" s="20"/>
      <c r="C72" s="20"/>
      <c r="D72" s="20"/>
      <c r="E72" s="20"/>
      <c r="F72" s="21"/>
      <c r="G72" s="20"/>
      <c r="H72" s="20"/>
      <c r="I72" s="20"/>
      <c r="J72" s="20"/>
      <c r="K72" s="20"/>
      <c r="L72" s="21"/>
      <c r="M72" s="33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4" t="str">
        <f>IFERROR(__xludf.DUMMYFUNCTION("IF(Account!$F72&lt;&gt;"""", VALUE(REGEXREPLACE($I72, ""\,"", ""."")), """")"),"")</f>
        <v/>
      </c>
      <c r="O72" s="35" t="str">
        <f>IF(Account!$F72&lt;&gt;"", DATEVALUE(MID($A72,4,3) &amp; LEFT($A72,3) &amp; RIGHT($A72,4)) + TIMEVALUE($B72), "")</f>
        <v/>
      </c>
      <c r="P72" s="36" t="str">
        <f>IF(Account!$F72&lt;&gt;"", DATEVALUE(MID($C72,4,3) &amp; LEFT($C72,3) &amp; RIGHT($C72,4)), "")</f>
        <v/>
      </c>
      <c r="Q72" s="37" t="str">
        <f t="array" ref="Q72">IF($R72&lt;&gt;"",IFERROR(INDEX(ISIN!$B:$B,MATCH($R72,ISIN!$C:$C,0))),)</f>
        <v/>
      </c>
      <c r="R72" s="38" t="str">
        <f t="array" ref="R72">IF($E72&lt;&gt;"",IFERROR(INDEX(ISIN!$C:$C,MATCH($E72,ISIN!$A:$A,0)),IFERROR(INDEX($R73:$R1200,MATCH($K72,$K73:$K1200,0)))),IF(AND($Y72="change",$H72="EUR"),IF($O72=$O73,$R73,IF($O72=$O71,$R71)),IFERROR(INDEX($R73:$R1200,MATCH(SUBSTITUTE($I72,"-","",1),$K73:$K1200,0)))))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7" t="str">
        <f t="shared" si="1"/>
        <v/>
      </c>
      <c r="T72" s="39" t="str">
        <f t="shared" si="2"/>
        <v/>
      </c>
      <c r="U72" s="40" t="str">
        <f t="shared" si="3"/>
        <v/>
      </c>
      <c r="V72" s="34" t="str">
        <f t="shared" si="4"/>
        <v/>
      </c>
      <c r="W72" s="41" t="str">
        <f>IFERROR(__xludf.DUMMYFUNCTION(" IF(Account!$F72&lt;&gt;"""", SPLIT(Account!$F72, "" ""), """")"),"")</f>
        <v/>
      </c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</row>
    <row r="73">
      <c r="A73" s="20"/>
      <c r="B73" s="20"/>
      <c r="C73" s="20"/>
      <c r="D73" s="20"/>
      <c r="E73" s="20"/>
      <c r="F73" s="21"/>
      <c r="G73" s="20"/>
      <c r="H73" s="20"/>
      <c r="I73" s="20"/>
      <c r="J73" s="20"/>
      <c r="K73" s="20"/>
      <c r="L73" s="21"/>
      <c r="M73" s="33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4" t="str">
        <f>IFERROR(__xludf.DUMMYFUNCTION("IF(Account!$F73&lt;&gt;"""", VALUE(REGEXREPLACE($I73, ""\,"", ""."")), """")"),"")</f>
        <v/>
      </c>
      <c r="O73" s="35" t="str">
        <f>IF(Account!$F73&lt;&gt;"", DATEVALUE(MID($A73,4,3) &amp; LEFT($A73,3) &amp; RIGHT($A73,4)) + TIMEVALUE($B73), "")</f>
        <v/>
      </c>
      <c r="P73" s="36" t="str">
        <f>IF(Account!$F73&lt;&gt;"", DATEVALUE(MID($C73,4,3) &amp; LEFT($C73,3) &amp; RIGHT($C73,4)), "")</f>
        <v/>
      </c>
      <c r="Q73" s="37" t="str">
        <f t="array" ref="Q73">IF($R73&lt;&gt;"",IFERROR(INDEX(ISIN!$B:$B,MATCH($R73,ISIN!$C:$C,0))),)</f>
        <v/>
      </c>
      <c r="R73" s="38" t="str">
        <f t="array" ref="R73">IF($E73&lt;&gt;"",IFERROR(INDEX(ISIN!$C:$C,MATCH($E73,ISIN!$A:$A,0)),IFERROR(INDEX($R74:$R1200,MATCH($K73,$K74:$K1200,0)))),IF(AND($Y73="change",$H73="EUR"),IF($O73=$O74,$R74,IF($O73=$O72,$R72)),IFERROR(INDEX($R74:$R1200,MATCH(SUBSTITUTE($I73,"-","",1),$K74:$K1200,0)))))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7" t="str">
        <f t="shared" si="1"/>
        <v/>
      </c>
      <c r="T73" s="39" t="str">
        <f t="shared" si="2"/>
        <v/>
      </c>
      <c r="U73" s="40" t="str">
        <f t="shared" si="3"/>
        <v/>
      </c>
      <c r="V73" s="34" t="str">
        <f t="shared" si="4"/>
        <v/>
      </c>
      <c r="W73" s="41" t="str">
        <f>IFERROR(__xludf.DUMMYFUNCTION(" IF(Account!$F73&lt;&gt;"""", SPLIT(Account!$F73, "" ""), """")"),"")</f>
        <v/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</row>
    <row r="74">
      <c r="A74" s="20"/>
      <c r="B74" s="20"/>
      <c r="C74" s="20"/>
      <c r="D74" s="20"/>
      <c r="E74" s="20"/>
      <c r="F74" s="21"/>
      <c r="G74" s="20"/>
      <c r="H74" s="20"/>
      <c r="I74" s="20"/>
      <c r="J74" s="20"/>
      <c r="K74" s="20"/>
      <c r="L74" s="21"/>
      <c r="M74" s="33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4" t="str">
        <f>IFERROR(__xludf.DUMMYFUNCTION("IF(Account!$F74&lt;&gt;"""", VALUE(REGEXREPLACE($I74, ""\,"", ""."")), """")"),"")</f>
        <v/>
      </c>
      <c r="O74" s="35" t="str">
        <f>IF(Account!$F74&lt;&gt;"", DATEVALUE(MID($A74,4,3) &amp; LEFT($A74,3) &amp; RIGHT($A74,4)) + TIMEVALUE($B74), "")</f>
        <v/>
      </c>
      <c r="P74" s="36" t="str">
        <f>IF(Account!$F74&lt;&gt;"", DATEVALUE(MID($C74,4,3) &amp; LEFT($C74,3) &amp; RIGHT($C74,4)), "")</f>
        <v/>
      </c>
      <c r="Q74" s="37" t="str">
        <f t="array" ref="Q74">IF($R74&lt;&gt;"",IFERROR(INDEX(ISIN!$B:$B,MATCH($R74,ISIN!$C:$C,0))),)</f>
        <v/>
      </c>
      <c r="R74" s="38" t="str">
        <f t="array" ref="R74">IF($E74&lt;&gt;"",IFERROR(INDEX(ISIN!$C:$C,MATCH($E74,ISIN!$A:$A,0)),IFERROR(INDEX($R75:$R1200,MATCH($K74,$K75:$K1200,0)))),IF(AND($Y74="change",$H74="EUR"),IF($O74=$O75,$R75,IF($O74=$O73,$R73)),IFERROR(INDEX($R75:$R1200,MATCH(SUBSTITUTE($I74,"-","",1),$K75:$K1200,0)))))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7" t="str">
        <f t="shared" si="1"/>
        <v/>
      </c>
      <c r="T74" s="39" t="str">
        <f t="shared" si="2"/>
        <v/>
      </c>
      <c r="U74" s="40" t="str">
        <f t="shared" si="3"/>
        <v/>
      </c>
      <c r="V74" s="34" t="str">
        <f t="shared" si="4"/>
        <v/>
      </c>
      <c r="W74" s="41" t="str">
        <f>IFERROR(__xludf.DUMMYFUNCTION(" IF(Account!$F74&lt;&gt;"""", SPLIT(Account!$F74, "" ""), """")"),"")</f>
        <v/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</row>
    <row r="75">
      <c r="A75" s="20"/>
      <c r="B75" s="20"/>
      <c r="C75" s="20"/>
      <c r="D75" s="20"/>
      <c r="E75" s="20"/>
      <c r="F75" s="21"/>
      <c r="G75" s="20"/>
      <c r="H75" s="20"/>
      <c r="I75" s="20"/>
      <c r="J75" s="20"/>
      <c r="K75" s="20"/>
      <c r="L75" s="21"/>
      <c r="M75" s="33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4" t="str">
        <f>IFERROR(__xludf.DUMMYFUNCTION("IF(Account!$F75&lt;&gt;"""", VALUE(REGEXREPLACE($I75, ""\,"", ""."")), """")"),"")</f>
        <v/>
      </c>
      <c r="O75" s="35" t="str">
        <f>IF(Account!$F75&lt;&gt;"", DATEVALUE(MID($A75,4,3) &amp; LEFT($A75,3) &amp; RIGHT($A75,4)) + TIMEVALUE($B75), "")</f>
        <v/>
      </c>
      <c r="P75" s="36" t="str">
        <f>IF(Account!$F75&lt;&gt;"", DATEVALUE(MID($C75,4,3) &amp; LEFT($C75,3) &amp; RIGHT($C75,4)), "")</f>
        <v/>
      </c>
      <c r="Q75" s="37" t="str">
        <f t="array" ref="Q75">IF($R75&lt;&gt;"",IFERROR(INDEX(ISIN!$B:$B,MATCH($R75,ISIN!$C:$C,0))),)</f>
        <v/>
      </c>
      <c r="R75" s="38" t="str">
        <f t="array" ref="R75">IF($E75&lt;&gt;"",IFERROR(INDEX(ISIN!$C:$C,MATCH($E75,ISIN!$A:$A,0)),IFERROR(INDEX($R76:$R1200,MATCH($K75,$K76:$K1200,0)))),IF(AND($Y75="change",$H75="EUR"),IF($O75=$O76,$R76,IF($O75=$O74,$R74)),IFERROR(INDEX($R76:$R1200,MATCH(SUBSTITUTE($I75,"-","",1),$K76:$K1200,0)))))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7" t="str">
        <f t="shared" si="1"/>
        <v/>
      </c>
      <c r="T75" s="39" t="str">
        <f t="shared" si="2"/>
        <v/>
      </c>
      <c r="U75" s="40" t="str">
        <f t="shared" si="3"/>
        <v/>
      </c>
      <c r="V75" s="34" t="str">
        <f t="shared" si="4"/>
        <v/>
      </c>
      <c r="W75" s="41" t="str">
        <f>IFERROR(__xludf.DUMMYFUNCTION(" IF(Account!$F75&lt;&gt;"""", SPLIT(Account!$F75, "" ""), """")"),"")</f>
        <v/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</row>
    <row r="76">
      <c r="A76" s="20"/>
      <c r="B76" s="20"/>
      <c r="C76" s="20"/>
      <c r="D76" s="20"/>
      <c r="E76" s="20"/>
      <c r="F76" s="21"/>
      <c r="G76" s="20"/>
      <c r="H76" s="20"/>
      <c r="I76" s="20"/>
      <c r="J76" s="20"/>
      <c r="K76" s="20"/>
      <c r="L76" s="21"/>
      <c r="M76" s="33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4" t="str">
        <f>IFERROR(__xludf.DUMMYFUNCTION("IF(Account!$F76&lt;&gt;"""", VALUE(REGEXREPLACE($I76, ""\,"", ""."")), """")"),"")</f>
        <v/>
      </c>
      <c r="O76" s="35" t="str">
        <f>IF(Account!$F76&lt;&gt;"", DATEVALUE(MID($A76,4,3) &amp; LEFT($A76,3) &amp; RIGHT($A76,4)) + TIMEVALUE($B76), "")</f>
        <v/>
      </c>
      <c r="P76" s="36" t="str">
        <f>IF(Account!$F76&lt;&gt;"", DATEVALUE(MID($C76,4,3) &amp; LEFT($C76,3) &amp; RIGHT($C76,4)), "")</f>
        <v/>
      </c>
      <c r="Q76" s="37" t="str">
        <f t="array" ref="Q76">IF($R76&lt;&gt;"",IFERROR(INDEX(ISIN!$B:$B,MATCH($R76,ISIN!$C:$C,0))),)</f>
        <v/>
      </c>
      <c r="R76" s="38" t="str">
        <f t="array" ref="R76">IF($E76&lt;&gt;"",IFERROR(INDEX(ISIN!$C:$C,MATCH($E76,ISIN!$A:$A,0)),IFERROR(INDEX($R77:$R1200,MATCH($K76,$K77:$K1200,0)))),IF(AND($Y76="change",$H76="EUR"),IF($O76=$O77,$R77,IF($O76=$O75,$R75)),IFERROR(INDEX($R77:$R1200,MATCH(SUBSTITUTE($I76,"-","",1),$K77:$K1200,0)))))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7" t="str">
        <f t="shared" si="1"/>
        <v/>
      </c>
      <c r="T76" s="39" t="str">
        <f t="shared" si="2"/>
        <v/>
      </c>
      <c r="U76" s="40" t="str">
        <f t="shared" si="3"/>
        <v/>
      </c>
      <c r="V76" s="34" t="str">
        <f t="shared" si="4"/>
        <v/>
      </c>
      <c r="W76" s="41" t="str">
        <f>IFERROR(__xludf.DUMMYFUNCTION(" IF(Account!$F76&lt;&gt;"""", SPLIT(Account!$F76, "" ""), """")"),"")</f>
        <v/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</row>
    <row r="77">
      <c r="A77" s="20"/>
      <c r="B77" s="20"/>
      <c r="C77" s="20"/>
      <c r="D77" s="20"/>
      <c r="E77" s="20"/>
      <c r="F77" s="21"/>
      <c r="G77" s="20"/>
      <c r="H77" s="20"/>
      <c r="I77" s="20"/>
      <c r="J77" s="20"/>
      <c r="K77" s="20"/>
      <c r="L77" s="21"/>
      <c r="M77" s="33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4" t="str">
        <f>IFERROR(__xludf.DUMMYFUNCTION("IF(Account!$F77&lt;&gt;"""", VALUE(REGEXREPLACE($I77, ""\,"", ""."")), """")"),"")</f>
        <v/>
      </c>
      <c r="O77" s="35" t="str">
        <f>IF(Account!$F77&lt;&gt;"", DATEVALUE(MID($A77,4,3) &amp; LEFT($A77,3) &amp; RIGHT($A77,4)) + TIMEVALUE($B77), "")</f>
        <v/>
      </c>
      <c r="P77" s="36" t="str">
        <f>IF(Account!$F77&lt;&gt;"", DATEVALUE(MID($C77,4,3) &amp; LEFT($C77,3) &amp; RIGHT($C77,4)), "")</f>
        <v/>
      </c>
      <c r="Q77" s="37" t="str">
        <f t="array" ref="Q77">IF($R77&lt;&gt;"",IFERROR(INDEX(ISIN!$B:$B,MATCH($R77,ISIN!$C:$C,0))),)</f>
        <v/>
      </c>
      <c r="R77" s="38" t="str">
        <f t="array" ref="R77">IF($E77&lt;&gt;"",IFERROR(INDEX(ISIN!$C:$C,MATCH($E77,ISIN!$A:$A,0)),IFERROR(INDEX($R78:$R1200,MATCH($K77,$K78:$K1200,0)))),IF(AND($Y77="change",$H77="EUR"),IF($O77=$O78,$R78,IF($O77=$O76,$R76)),IFERROR(INDEX($R78:$R1200,MATCH(SUBSTITUTE($I77,"-","",1),$K78:$K1200,0)))))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7" t="str">
        <f t="shared" si="1"/>
        <v/>
      </c>
      <c r="T77" s="39" t="str">
        <f t="shared" si="2"/>
        <v/>
      </c>
      <c r="U77" s="40" t="str">
        <f t="shared" si="3"/>
        <v/>
      </c>
      <c r="V77" s="34" t="str">
        <f t="shared" si="4"/>
        <v/>
      </c>
      <c r="W77" s="41" t="str">
        <f>IFERROR(__xludf.DUMMYFUNCTION(" IF(Account!$F77&lt;&gt;"""", SPLIT(Account!$F77, "" ""), """")"),"")</f>
        <v/>
      </c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</row>
    <row r="78">
      <c r="A78" s="20"/>
      <c r="B78" s="20"/>
      <c r="C78" s="20"/>
      <c r="D78" s="20"/>
      <c r="E78" s="20"/>
      <c r="F78" s="21"/>
      <c r="G78" s="20"/>
      <c r="H78" s="20"/>
      <c r="I78" s="20"/>
      <c r="J78" s="20"/>
      <c r="K78" s="20"/>
      <c r="L78" s="21"/>
      <c r="M78" s="33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4" t="str">
        <f>IFERROR(__xludf.DUMMYFUNCTION("IF(Account!$F78&lt;&gt;"""", VALUE(REGEXREPLACE($I78, ""\,"", ""."")), """")"),"")</f>
        <v/>
      </c>
      <c r="O78" s="35" t="str">
        <f>IF(Account!$F78&lt;&gt;"", DATEVALUE(MID($A78,4,3) &amp; LEFT($A78,3) &amp; RIGHT($A78,4)) + TIMEVALUE($B78), "")</f>
        <v/>
      </c>
      <c r="P78" s="36" t="str">
        <f>IF(Account!$F78&lt;&gt;"", DATEVALUE(MID($C78,4,3) &amp; LEFT($C78,3) &amp; RIGHT($C78,4)), "")</f>
        <v/>
      </c>
      <c r="Q78" s="37" t="str">
        <f t="array" ref="Q78">IF($R78&lt;&gt;"",IFERROR(INDEX(ISIN!$B:$B,MATCH($R78,ISIN!$C:$C,0))),)</f>
        <v/>
      </c>
      <c r="R78" s="38" t="str">
        <f t="array" ref="R78">IF($E78&lt;&gt;"",IFERROR(INDEX(ISIN!$C:$C,MATCH($E78,ISIN!$A:$A,0)),IFERROR(INDEX($R79:$R1200,MATCH($K78,$K79:$K1200,0)))),IF(AND($Y78="change",$H78="EUR"),IF($O78=$O79,$R79,IF($O78=$O77,$R77)),IFERROR(INDEX($R79:$R1200,MATCH(SUBSTITUTE($I78,"-","",1),$K79:$K1200,0)))))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7" t="str">
        <f t="shared" si="1"/>
        <v/>
      </c>
      <c r="T78" s="39" t="str">
        <f t="shared" si="2"/>
        <v/>
      </c>
      <c r="U78" s="40" t="str">
        <f t="shared" si="3"/>
        <v/>
      </c>
      <c r="V78" s="34" t="str">
        <f t="shared" si="4"/>
        <v/>
      </c>
      <c r="W78" s="41" t="str">
        <f>IFERROR(__xludf.DUMMYFUNCTION(" IF(Account!$F78&lt;&gt;"""", SPLIT(Account!$F78, "" ""), """")"),"")</f>
        <v/>
      </c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</row>
    <row r="79">
      <c r="A79" s="20"/>
      <c r="B79" s="20"/>
      <c r="C79" s="20"/>
      <c r="D79" s="20"/>
      <c r="E79" s="20"/>
      <c r="F79" s="21"/>
      <c r="G79" s="20"/>
      <c r="H79" s="20"/>
      <c r="I79" s="20"/>
      <c r="J79" s="20"/>
      <c r="K79" s="20"/>
      <c r="L79" s="21"/>
      <c r="M79" s="33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4" t="str">
        <f>IFERROR(__xludf.DUMMYFUNCTION("IF(Account!$F79&lt;&gt;"""", VALUE(REGEXREPLACE($I79, ""\,"", ""."")), """")"),"")</f>
        <v/>
      </c>
      <c r="O79" s="35" t="str">
        <f>IF(Account!$F79&lt;&gt;"", DATEVALUE(MID($A79,4,3) &amp; LEFT($A79,3) &amp; RIGHT($A79,4)) + TIMEVALUE($B79), "")</f>
        <v/>
      </c>
      <c r="P79" s="36" t="str">
        <f>IF(Account!$F79&lt;&gt;"", DATEVALUE(MID($C79,4,3) &amp; LEFT($C79,3) &amp; RIGHT($C79,4)), "")</f>
        <v/>
      </c>
      <c r="Q79" s="37" t="str">
        <f t="array" ref="Q79">IF($R79&lt;&gt;"",IFERROR(INDEX(ISIN!$B:$B,MATCH($R79,ISIN!$C:$C,0))),)</f>
        <v/>
      </c>
      <c r="R79" s="38" t="str">
        <f t="array" ref="R79">IF($E79&lt;&gt;"",IFERROR(INDEX(ISIN!$C:$C,MATCH($E79,ISIN!$A:$A,0)),IFERROR(INDEX($R80:$R1200,MATCH($K79,$K80:$K1200,0)))),IF(AND($Y79="change",$H79="EUR"),IF($O79=$O80,$R80,IF($O79=$O78,$R78)),IFERROR(INDEX($R80:$R1200,MATCH(SUBSTITUTE($I79,"-","",1),$K80:$K1200,0)))))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7" t="str">
        <f t="shared" si="1"/>
        <v/>
      </c>
      <c r="T79" s="39" t="str">
        <f t="shared" si="2"/>
        <v/>
      </c>
      <c r="U79" s="40" t="str">
        <f t="shared" si="3"/>
        <v/>
      </c>
      <c r="V79" s="34" t="str">
        <f t="shared" si="4"/>
        <v/>
      </c>
      <c r="W79" s="41" t="str">
        <f>IFERROR(__xludf.DUMMYFUNCTION(" IF(Account!$F79&lt;&gt;"""", SPLIT(Account!$F79, "" ""), """")"),"")</f>
        <v/>
      </c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</row>
    <row r="80">
      <c r="A80" s="20"/>
      <c r="B80" s="20"/>
      <c r="C80" s="20"/>
      <c r="D80" s="20"/>
      <c r="E80" s="20"/>
      <c r="F80" s="21"/>
      <c r="G80" s="20"/>
      <c r="H80" s="20"/>
      <c r="I80" s="20"/>
      <c r="J80" s="20"/>
      <c r="K80" s="20"/>
      <c r="L80" s="21"/>
      <c r="M80" s="33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4" t="str">
        <f>IFERROR(__xludf.DUMMYFUNCTION("IF(Account!$F80&lt;&gt;"""", VALUE(REGEXREPLACE($I80, ""\,"", ""."")), """")"),"")</f>
        <v/>
      </c>
      <c r="O80" s="35" t="str">
        <f>IF(Account!$F80&lt;&gt;"", DATEVALUE(MID($A80,4,3) &amp; LEFT($A80,3) &amp; RIGHT($A80,4)) + TIMEVALUE($B80), "")</f>
        <v/>
      </c>
      <c r="P80" s="36" t="str">
        <f>IF(Account!$F80&lt;&gt;"", DATEVALUE(MID($C80,4,3) &amp; LEFT($C80,3) &amp; RIGHT($C80,4)), "")</f>
        <v/>
      </c>
      <c r="Q80" s="37" t="str">
        <f t="array" ref="Q80">IF($R80&lt;&gt;"",IFERROR(INDEX(ISIN!$B:$B,MATCH($R80,ISIN!$C:$C,0))),)</f>
        <v/>
      </c>
      <c r="R80" s="38" t="str">
        <f t="array" ref="R80">IF($E80&lt;&gt;"",IFERROR(INDEX(ISIN!$C:$C,MATCH($E80,ISIN!$A:$A,0)),IFERROR(INDEX($R81:$R1200,MATCH($K80,$K81:$K1200,0)))),IF(AND($Y80="change",$H80="EUR"),IF($O80=$O81,$R81,IF($O80=$O79,$R79)),IFERROR(INDEX($R81:$R1200,MATCH(SUBSTITUTE($I80,"-","",1),$K81:$K1200,0)))))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7" t="str">
        <f t="shared" si="1"/>
        <v/>
      </c>
      <c r="T80" s="39" t="str">
        <f t="shared" si="2"/>
        <v/>
      </c>
      <c r="U80" s="40" t="str">
        <f t="shared" si="3"/>
        <v/>
      </c>
      <c r="V80" s="34" t="str">
        <f t="shared" si="4"/>
        <v/>
      </c>
      <c r="W80" s="41" t="str">
        <f>IFERROR(__xludf.DUMMYFUNCTION(" IF(Account!$F80&lt;&gt;"""", SPLIT(Account!$F80, "" ""), """")"),"")</f>
        <v/>
      </c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</row>
    <row r="81">
      <c r="A81" s="20"/>
      <c r="B81" s="20"/>
      <c r="C81" s="20"/>
      <c r="D81" s="20"/>
      <c r="E81" s="20"/>
      <c r="F81" s="21"/>
      <c r="G81" s="20"/>
      <c r="H81" s="20"/>
      <c r="I81" s="20"/>
      <c r="J81" s="20"/>
      <c r="K81" s="20"/>
      <c r="L81" s="21"/>
      <c r="M81" s="33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4" t="str">
        <f>IFERROR(__xludf.DUMMYFUNCTION("IF(Account!$F81&lt;&gt;"""", VALUE(REGEXREPLACE($I81, ""\,"", ""."")), """")"),"")</f>
        <v/>
      </c>
      <c r="O81" s="35" t="str">
        <f>IF(Account!$F81&lt;&gt;"", DATEVALUE(MID($A81,4,3) &amp; LEFT($A81,3) &amp; RIGHT($A81,4)) + TIMEVALUE($B81), "")</f>
        <v/>
      </c>
      <c r="P81" s="36" t="str">
        <f>IF(Account!$F81&lt;&gt;"", DATEVALUE(MID($C81,4,3) &amp; LEFT($C81,3) &amp; RIGHT($C81,4)), "")</f>
        <v/>
      </c>
      <c r="Q81" s="37" t="str">
        <f t="array" ref="Q81">IF($R81&lt;&gt;"",IFERROR(INDEX(ISIN!$B:$B,MATCH($R81,ISIN!$C:$C,0))),)</f>
        <v/>
      </c>
      <c r="R81" s="38" t="str">
        <f t="array" ref="R81">IF($E81&lt;&gt;"",IFERROR(INDEX(ISIN!$C:$C,MATCH($E81,ISIN!$A:$A,0)),IFERROR(INDEX($R82:$R1200,MATCH($K81,$K82:$K1200,0)))),IF(AND($Y81="change",$H81="EUR"),IF($O81=$O82,$R82,IF($O81=$O80,$R80)),IFERROR(INDEX($R82:$R1200,MATCH(SUBSTITUTE($I81,"-","",1),$K82:$K1200,0)))))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7" t="str">
        <f t="shared" si="1"/>
        <v/>
      </c>
      <c r="T81" s="39" t="str">
        <f t="shared" si="2"/>
        <v/>
      </c>
      <c r="U81" s="40" t="str">
        <f t="shared" si="3"/>
        <v/>
      </c>
      <c r="V81" s="34" t="str">
        <f t="shared" si="4"/>
        <v/>
      </c>
      <c r="W81" s="41" t="str">
        <f>IFERROR(__xludf.DUMMYFUNCTION(" IF(Account!$F81&lt;&gt;"""", SPLIT(Account!$F81, "" ""), """")"),"")</f>
        <v/>
      </c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</row>
    <row r="82">
      <c r="A82" s="20"/>
      <c r="B82" s="20"/>
      <c r="C82" s="20"/>
      <c r="D82" s="20"/>
      <c r="E82" s="20"/>
      <c r="F82" s="21"/>
      <c r="G82" s="20"/>
      <c r="H82" s="20"/>
      <c r="I82" s="20"/>
      <c r="J82" s="20"/>
      <c r="K82" s="20"/>
      <c r="L82" s="21"/>
      <c r="M82" s="33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4" t="str">
        <f>IFERROR(__xludf.DUMMYFUNCTION("IF(Account!$F82&lt;&gt;"""", VALUE(REGEXREPLACE($I82, ""\,"", ""."")), """")"),"")</f>
        <v/>
      </c>
      <c r="O82" s="35" t="str">
        <f>IF(Account!$F82&lt;&gt;"", DATEVALUE(MID($A82,4,3) &amp; LEFT($A82,3) &amp; RIGHT($A82,4)) + TIMEVALUE($B82), "")</f>
        <v/>
      </c>
      <c r="P82" s="36" t="str">
        <f>IF(Account!$F82&lt;&gt;"", DATEVALUE(MID($C82,4,3) &amp; LEFT($C82,3) &amp; RIGHT($C82,4)), "")</f>
        <v/>
      </c>
      <c r="Q82" s="37" t="str">
        <f t="array" ref="Q82">IF($R82&lt;&gt;"",IFERROR(INDEX(ISIN!$B:$B,MATCH($R82,ISIN!$C:$C,0))),)</f>
        <v/>
      </c>
      <c r="R82" s="38" t="str">
        <f t="array" ref="R82">IF($E82&lt;&gt;"",IFERROR(INDEX(ISIN!$C:$C,MATCH($E82,ISIN!$A:$A,0)),IFERROR(INDEX($R83:$R1200,MATCH($K82,$K83:$K1200,0)))),IF(AND($Y82="change",$H82="EUR"),IF($O82=$O83,$R83,IF($O82=$O81,$R81)),IFERROR(INDEX($R83:$R1200,MATCH(SUBSTITUTE($I82,"-","",1),$K83:$K1200,0)))))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7" t="str">
        <f t="shared" si="1"/>
        <v/>
      </c>
      <c r="T82" s="39" t="str">
        <f t="shared" si="2"/>
        <v/>
      </c>
      <c r="U82" s="40" t="str">
        <f t="shared" si="3"/>
        <v/>
      </c>
      <c r="V82" s="34" t="str">
        <f t="shared" si="4"/>
        <v/>
      </c>
      <c r="W82" s="41" t="str">
        <f>IFERROR(__xludf.DUMMYFUNCTION(" IF(Account!$F82&lt;&gt;"""", SPLIT(Account!$F82, "" ""), """")"),"")</f>
        <v/>
      </c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</row>
    <row r="83">
      <c r="A83" s="20"/>
      <c r="B83" s="20"/>
      <c r="C83" s="20"/>
      <c r="D83" s="20"/>
      <c r="E83" s="20"/>
      <c r="F83" s="21"/>
      <c r="G83" s="20"/>
      <c r="H83" s="20"/>
      <c r="I83" s="20"/>
      <c r="J83" s="20"/>
      <c r="K83" s="20"/>
      <c r="L83" s="21"/>
      <c r="M83" s="33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4" t="str">
        <f>IFERROR(__xludf.DUMMYFUNCTION("IF(Account!$F83&lt;&gt;"""", VALUE(REGEXREPLACE($I83, ""\,"", ""."")), """")"),"")</f>
        <v/>
      </c>
      <c r="O83" s="35" t="str">
        <f>IF(Account!$F83&lt;&gt;"", DATEVALUE(MID($A83,4,3) &amp; LEFT($A83,3) &amp; RIGHT($A83,4)) + TIMEVALUE($B83), "")</f>
        <v/>
      </c>
      <c r="P83" s="36" t="str">
        <f>IF(Account!$F83&lt;&gt;"", DATEVALUE(MID($C83,4,3) &amp; LEFT($C83,3) &amp; RIGHT($C83,4)), "")</f>
        <v/>
      </c>
      <c r="Q83" s="37" t="str">
        <f t="array" ref="Q83">IF($R83&lt;&gt;"",IFERROR(INDEX(ISIN!$B:$B,MATCH($R83,ISIN!$C:$C,0))),)</f>
        <v/>
      </c>
      <c r="R83" s="38" t="str">
        <f t="array" ref="R83">IF($E83&lt;&gt;"",IFERROR(INDEX(ISIN!$C:$C,MATCH($E83,ISIN!$A:$A,0)),IFERROR(INDEX($R84:$R1200,MATCH($K83,$K84:$K1200,0)))),IF(AND($Y83="change",$H83="EUR"),IF($O83=$O84,$R84,IF($O83=$O82,$R82)),IFERROR(INDEX($R84:$R1200,MATCH(SUBSTITUTE($I83,"-","",1),$K84:$K1200,0)))))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7" t="str">
        <f t="shared" si="1"/>
        <v/>
      </c>
      <c r="T83" s="39" t="str">
        <f t="shared" si="2"/>
        <v/>
      </c>
      <c r="U83" s="40" t="str">
        <f t="shared" si="3"/>
        <v/>
      </c>
      <c r="V83" s="34" t="str">
        <f t="shared" si="4"/>
        <v/>
      </c>
      <c r="W83" s="41" t="str">
        <f>IFERROR(__xludf.DUMMYFUNCTION(" IF(Account!$F83&lt;&gt;"""", SPLIT(Account!$F83, "" ""), """")"),"")</f>
        <v/>
      </c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</row>
    <row r="84">
      <c r="A84" s="20"/>
      <c r="B84" s="20"/>
      <c r="C84" s="20"/>
      <c r="D84" s="20"/>
      <c r="E84" s="20"/>
      <c r="F84" s="21"/>
      <c r="G84" s="20"/>
      <c r="H84" s="20"/>
      <c r="I84" s="20"/>
      <c r="J84" s="20"/>
      <c r="K84" s="20"/>
      <c r="L84" s="21"/>
      <c r="M84" s="33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4" t="str">
        <f>IFERROR(__xludf.DUMMYFUNCTION("IF(Account!$F84&lt;&gt;"""", VALUE(REGEXREPLACE($I84, ""\,"", ""."")), """")"),"")</f>
        <v/>
      </c>
      <c r="O84" s="35" t="str">
        <f>IF(Account!$F84&lt;&gt;"", DATEVALUE(MID($A84,4,3) &amp; LEFT($A84,3) &amp; RIGHT($A84,4)) + TIMEVALUE($B84), "")</f>
        <v/>
      </c>
      <c r="P84" s="36" t="str">
        <f>IF(Account!$F84&lt;&gt;"", DATEVALUE(MID($C84,4,3) &amp; LEFT($C84,3) &amp; RIGHT($C84,4)), "")</f>
        <v/>
      </c>
      <c r="Q84" s="37" t="str">
        <f t="array" ref="Q84">IF($R84&lt;&gt;"",IFERROR(INDEX(ISIN!$B:$B,MATCH($R84,ISIN!$C:$C,0))),)</f>
        <v/>
      </c>
      <c r="R84" s="38" t="str">
        <f t="array" ref="R84">IF($E84&lt;&gt;"",IFERROR(INDEX(ISIN!$C:$C,MATCH($E84,ISIN!$A:$A,0)),IFERROR(INDEX($R85:$R1200,MATCH($K84,$K85:$K1200,0)))),IF(AND($Y84="change",$H84="EUR"),IF($O84=$O85,$R85,IF($O84=$O83,$R83)),IFERROR(INDEX($R85:$R1200,MATCH(SUBSTITUTE($I84,"-","",1),$K85:$K1200,0)))))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7" t="str">
        <f t="shared" si="1"/>
        <v/>
      </c>
      <c r="T84" s="39" t="str">
        <f t="shared" si="2"/>
        <v/>
      </c>
      <c r="U84" s="40" t="str">
        <f t="shared" si="3"/>
        <v/>
      </c>
      <c r="V84" s="34" t="str">
        <f t="shared" si="4"/>
        <v/>
      </c>
      <c r="W84" s="41" t="str">
        <f>IFERROR(__xludf.DUMMYFUNCTION(" IF(Account!$F84&lt;&gt;"""", SPLIT(Account!$F84, "" ""), """")"),"")</f>
        <v/>
      </c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</row>
    <row r="85">
      <c r="A85" s="20"/>
      <c r="B85" s="20"/>
      <c r="C85" s="20"/>
      <c r="D85" s="20"/>
      <c r="E85" s="20"/>
      <c r="F85" s="21"/>
      <c r="G85" s="20"/>
      <c r="H85" s="20"/>
      <c r="I85" s="20"/>
      <c r="J85" s="20"/>
      <c r="K85" s="20"/>
      <c r="L85" s="21"/>
      <c r="M85" s="33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4" t="str">
        <f>IFERROR(__xludf.DUMMYFUNCTION("IF(Account!$F85&lt;&gt;"""", VALUE(REGEXREPLACE($I85, ""\,"", ""."")), """")"),"")</f>
        <v/>
      </c>
      <c r="O85" s="35" t="str">
        <f>IF(Account!$F85&lt;&gt;"", DATEVALUE(MID($A85,4,3) &amp; LEFT($A85,3) &amp; RIGHT($A85,4)) + TIMEVALUE($B85), "")</f>
        <v/>
      </c>
      <c r="P85" s="36" t="str">
        <f>IF(Account!$F85&lt;&gt;"", DATEVALUE(MID($C85,4,3) &amp; LEFT($C85,3) &amp; RIGHT($C85,4)), "")</f>
        <v/>
      </c>
      <c r="Q85" s="37" t="str">
        <f t="array" ref="Q85">IF($R85&lt;&gt;"",IFERROR(INDEX(ISIN!$B:$B,MATCH($R85,ISIN!$C:$C,0))),)</f>
        <v/>
      </c>
      <c r="R85" s="38" t="str">
        <f t="array" ref="R85">IF($E85&lt;&gt;"",IFERROR(INDEX(ISIN!$C:$C,MATCH($E85,ISIN!$A:$A,0)),IFERROR(INDEX($R86:$R1200,MATCH($K85,$K86:$K1200,0)))),IF(AND($Y85="change",$H85="EUR"),IF($O85=$O86,$R86,IF($O85=$O84,$R84)),IFERROR(INDEX($R86:$R1200,MATCH(SUBSTITUTE($I85,"-","",1),$K86:$K1200,0)))))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7" t="str">
        <f t="shared" si="1"/>
        <v/>
      </c>
      <c r="T85" s="39" t="str">
        <f t="shared" si="2"/>
        <v/>
      </c>
      <c r="U85" s="40" t="str">
        <f t="shared" si="3"/>
        <v/>
      </c>
      <c r="V85" s="34" t="str">
        <f t="shared" si="4"/>
        <v/>
      </c>
      <c r="W85" s="41" t="str">
        <f>IFERROR(__xludf.DUMMYFUNCTION(" IF(Account!$F85&lt;&gt;"""", SPLIT(Account!$F85, "" ""), """")"),"")</f>
        <v/>
      </c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</row>
    <row r="86">
      <c r="A86" s="20"/>
      <c r="B86" s="20"/>
      <c r="C86" s="20"/>
      <c r="D86" s="20"/>
      <c r="E86" s="20"/>
      <c r="F86" s="21"/>
      <c r="G86" s="20"/>
      <c r="H86" s="20"/>
      <c r="I86" s="20"/>
      <c r="J86" s="20"/>
      <c r="K86" s="20"/>
      <c r="L86" s="21"/>
      <c r="M86" s="33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4" t="str">
        <f>IFERROR(__xludf.DUMMYFUNCTION("IF(Account!$F86&lt;&gt;"""", VALUE(REGEXREPLACE($I86, ""\,"", ""."")), """")"),"")</f>
        <v/>
      </c>
      <c r="O86" s="35" t="str">
        <f>IF(Account!$F86&lt;&gt;"", DATEVALUE(MID($A86,4,3) &amp; LEFT($A86,3) &amp; RIGHT($A86,4)) + TIMEVALUE($B86), "")</f>
        <v/>
      </c>
      <c r="P86" s="36" t="str">
        <f>IF(Account!$F86&lt;&gt;"", DATEVALUE(MID($C86,4,3) &amp; LEFT($C86,3) &amp; RIGHT($C86,4)), "")</f>
        <v/>
      </c>
      <c r="Q86" s="37" t="str">
        <f t="array" ref="Q86">IF($R86&lt;&gt;"",IFERROR(INDEX(ISIN!$B:$B,MATCH($R86,ISIN!$C:$C,0))),)</f>
        <v/>
      </c>
      <c r="R86" s="38" t="str">
        <f t="array" ref="R86">IF($E86&lt;&gt;"",IFERROR(INDEX(ISIN!$C:$C,MATCH($E86,ISIN!$A:$A,0)),IFERROR(INDEX($R87:$R1200,MATCH($K86,$K87:$K1200,0)))),IF(AND($Y86="change",$H86="EUR"),IF($O86=$O87,$R87,IF($O86=$O85,$R85)),IFERROR(INDEX($R87:$R1200,MATCH(SUBSTITUTE($I86,"-","",1),$K87:$K1200,0)))))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7" t="str">
        <f t="shared" si="1"/>
        <v/>
      </c>
      <c r="T86" s="39" t="str">
        <f t="shared" si="2"/>
        <v/>
      </c>
      <c r="U86" s="40" t="str">
        <f t="shared" si="3"/>
        <v/>
      </c>
      <c r="V86" s="34" t="str">
        <f t="shared" si="4"/>
        <v/>
      </c>
      <c r="W86" s="41" t="str">
        <f>IFERROR(__xludf.DUMMYFUNCTION(" IF(Account!$F86&lt;&gt;"""", SPLIT(Account!$F86, "" ""), """")"),"")</f>
        <v/>
      </c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</row>
    <row r="87">
      <c r="A87" s="20"/>
      <c r="B87" s="20"/>
      <c r="C87" s="20"/>
      <c r="D87" s="20"/>
      <c r="E87" s="20"/>
      <c r="F87" s="21"/>
      <c r="G87" s="20"/>
      <c r="H87" s="20"/>
      <c r="I87" s="20"/>
      <c r="J87" s="20"/>
      <c r="K87" s="20"/>
      <c r="L87" s="21"/>
      <c r="M87" s="33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4" t="str">
        <f>IFERROR(__xludf.DUMMYFUNCTION("IF(Account!$F87&lt;&gt;"""", VALUE(REGEXREPLACE($I87, ""\,"", ""."")), """")"),"")</f>
        <v/>
      </c>
      <c r="O87" s="35" t="str">
        <f>IF(Account!$F87&lt;&gt;"", DATEVALUE(MID($A87,4,3) &amp; LEFT($A87,3) &amp; RIGHT($A87,4)) + TIMEVALUE($B87), "")</f>
        <v/>
      </c>
      <c r="P87" s="36" t="str">
        <f>IF(Account!$F87&lt;&gt;"", DATEVALUE(MID($C87,4,3) &amp; LEFT($C87,3) &amp; RIGHT($C87,4)), "")</f>
        <v/>
      </c>
      <c r="Q87" s="37" t="str">
        <f t="array" ref="Q87">IF($R87&lt;&gt;"",IFERROR(INDEX(ISIN!$B:$B,MATCH($R87,ISIN!$C:$C,0))),)</f>
        <v/>
      </c>
      <c r="R87" s="38" t="str">
        <f t="array" ref="R87">IF($E87&lt;&gt;"",IFERROR(INDEX(ISIN!$C:$C,MATCH($E87,ISIN!$A:$A,0)),IFERROR(INDEX($R88:$R1200,MATCH($K87,$K88:$K1200,0)))),IF(AND($Y87="change",$H87="EUR"),IF($O87=$O88,$R88,IF($O87=$O86,$R86)),IFERROR(INDEX($R88:$R1200,MATCH(SUBSTITUTE($I87,"-","",1),$K88:$K1200,0)))))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7" t="str">
        <f t="shared" si="1"/>
        <v/>
      </c>
      <c r="T87" s="39" t="str">
        <f t="shared" si="2"/>
        <v/>
      </c>
      <c r="U87" s="40" t="str">
        <f t="shared" si="3"/>
        <v/>
      </c>
      <c r="V87" s="34" t="str">
        <f t="shared" si="4"/>
        <v/>
      </c>
      <c r="W87" s="41" t="str">
        <f>IFERROR(__xludf.DUMMYFUNCTION(" IF(Account!$F87&lt;&gt;"""", SPLIT(Account!$F87, "" ""), """")"),"")</f>
        <v/>
      </c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>
      <c r="A88" s="20"/>
      <c r="B88" s="20"/>
      <c r="C88" s="20"/>
      <c r="D88" s="20"/>
      <c r="E88" s="20"/>
      <c r="F88" s="21"/>
      <c r="G88" s="20"/>
      <c r="H88" s="20"/>
      <c r="I88" s="20"/>
      <c r="J88" s="20"/>
      <c r="K88" s="20"/>
      <c r="L88" s="21"/>
      <c r="M88" s="33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4" t="str">
        <f>IFERROR(__xludf.DUMMYFUNCTION("IF(Account!$F88&lt;&gt;"""", VALUE(REGEXREPLACE($I88, ""\,"", ""."")), """")"),"")</f>
        <v/>
      </c>
      <c r="O88" s="35" t="str">
        <f>IF(Account!$F88&lt;&gt;"", DATEVALUE(MID($A88,4,3) &amp; LEFT($A88,3) &amp; RIGHT($A88,4)) + TIMEVALUE($B88), "")</f>
        <v/>
      </c>
      <c r="P88" s="36" t="str">
        <f>IF(Account!$F88&lt;&gt;"", DATEVALUE(MID($C88,4,3) &amp; LEFT($C88,3) &amp; RIGHT($C88,4)), "")</f>
        <v/>
      </c>
      <c r="Q88" s="37" t="str">
        <f t="array" ref="Q88">IF($R88&lt;&gt;"",IFERROR(INDEX(ISIN!$B:$B,MATCH($R88,ISIN!$C:$C,0))),)</f>
        <v/>
      </c>
      <c r="R88" s="38" t="str">
        <f t="array" ref="R88">IF($E88&lt;&gt;"",IFERROR(INDEX(ISIN!$C:$C,MATCH($E88,ISIN!$A:$A,0)),IFERROR(INDEX($R89:$R1200,MATCH($K88,$K89:$K1200,0)))),IF(AND($Y88="change",$H88="EUR"),IF($O88=$O89,$R89,IF($O88=$O87,$R87)),IFERROR(INDEX($R89:$R1200,MATCH(SUBSTITUTE($I88,"-","",1),$K89:$K1200,0)))))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7" t="str">
        <f t="shared" si="1"/>
        <v/>
      </c>
      <c r="T88" s="39" t="str">
        <f t="shared" si="2"/>
        <v/>
      </c>
      <c r="U88" s="40" t="str">
        <f t="shared" si="3"/>
        <v/>
      </c>
      <c r="V88" s="34" t="str">
        <f t="shared" si="4"/>
        <v/>
      </c>
      <c r="W88" s="41" t="str">
        <f>IFERROR(__xludf.DUMMYFUNCTION(" IF(Account!$F88&lt;&gt;"""", SPLIT(Account!$F88, "" ""), """")"),"")</f>
        <v/>
      </c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</row>
    <row r="89">
      <c r="A89" s="20"/>
      <c r="B89" s="20"/>
      <c r="C89" s="20"/>
      <c r="D89" s="20"/>
      <c r="E89" s="20"/>
      <c r="F89" s="21"/>
      <c r="G89" s="20"/>
      <c r="H89" s="20"/>
      <c r="I89" s="20"/>
      <c r="J89" s="20"/>
      <c r="K89" s="20"/>
      <c r="L89" s="21"/>
      <c r="M89" s="33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4" t="str">
        <f>IFERROR(__xludf.DUMMYFUNCTION("IF(Account!$F89&lt;&gt;"""", VALUE(REGEXREPLACE($I89, ""\,"", ""."")), """")"),"")</f>
        <v/>
      </c>
      <c r="O89" s="35" t="str">
        <f>IF(Account!$F89&lt;&gt;"", DATEVALUE(MID($A89,4,3) &amp; LEFT($A89,3) &amp; RIGHT($A89,4)) + TIMEVALUE($B89), "")</f>
        <v/>
      </c>
      <c r="P89" s="36" t="str">
        <f>IF(Account!$F89&lt;&gt;"", DATEVALUE(MID($C89,4,3) &amp; LEFT($C89,3) &amp; RIGHT($C89,4)), "")</f>
        <v/>
      </c>
      <c r="Q89" s="37" t="str">
        <f t="array" ref="Q89">IF($R89&lt;&gt;"",IFERROR(INDEX(ISIN!$B:$B,MATCH($R89,ISIN!$C:$C,0))),)</f>
        <v/>
      </c>
      <c r="R89" s="38" t="str">
        <f t="array" ref="R89">IF($E89&lt;&gt;"",IFERROR(INDEX(ISIN!$C:$C,MATCH($E89,ISIN!$A:$A,0)),IFERROR(INDEX($R90:$R1200,MATCH($K89,$K90:$K1200,0)))),IF(AND($Y89="change",$H89="EUR"),IF($O89=$O90,$R90,IF($O89=$O88,$R88)),IFERROR(INDEX($R90:$R1200,MATCH(SUBSTITUTE($I89,"-","",1),$K90:$K1200,0)))))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7" t="str">
        <f t="shared" si="1"/>
        <v/>
      </c>
      <c r="T89" s="39" t="str">
        <f t="shared" si="2"/>
        <v/>
      </c>
      <c r="U89" s="40" t="str">
        <f t="shared" si="3"/>
        <v/>
      </c>
      <c r="V89" s="34" t="str">
        <f t="shared" si="4"/>
        <v/>
      </c>
      <c r="W89" s="41" t="str">
        <f>IFERROR(__xludf.DUMMYFUNCTION(" IF(Account!$F89&lt;&gt;"""", SPLIT(Account!$F89, "" ""), """")"),"")</f>
        <v/>
      </c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</row>
    <row r="90">
      <c r="A90" s="20"/>
      <c r="B90" s="20"/>
      <c r="C90" s="20"/>
      <c r="D90" s="20"/>
      <c r="E90" s="20"/>
      <c r="F90" s="21"/>
      <c r="G90" s="20"/>
      <c r="H90" s="20"/>
      <c r="I90" s="20"/>
      <c r="J90" s="20"/>
      <c r="K90" s="20"/>
      <c r="L90" s="21"/>
      <c r="M90" s="33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4" t="str">
        <f>IFERROR(__xludf.DUMMYFUNCTION("IF(Account!$F90&lt;&gt;"""", VALUE(REGEXREPLACE($I90, ""\,"", ""."")), """")"),"")</f>
        <v/>
      </c>
      <c r="O90" s="35" t="str">
        <f>IF(Account!$F90&lt;&gt;"", DATEVALUE(MID($A90,4,3) &amp; LEFT($A90,3) &amp; RIGHT($A90,4)) + TIMEVALUE($B90), "")</f>
        <v/>
      </c>
      <c r="P90" s="36" t="str">
        <f>IF(Account!$F90&lt;&gt;"", DATEVALUE(MID($C90,4,3) &amp; LEFT($C90,3) &amp; RIGHT($C90,4)), "")</f>
        <v/>
      </c>
      <c r="Q90" s="37" t="str">
        <f t="array" ref="Q90">IF($R90&lt;&gt;"",IFERROR(INDEX(ISIN!$B:$B,MATCH($R90,ISIN!$C:$C,0))),)</f>
        <v/>
      </c>
      <c r="R90" s="38" t="str">
        <f t="array" ref="R90">IF($E90&lt;&gt;"",IFERROR(INDEX(ISIN!$C:$C,MATCH($E90,ISIN!$A:$A,0)),IFERROR(INDEX($R91:$R1200,MATCH($K90,$K91:$K1200,0)))),IF(AND($Y90="change",$H90="EUR"),IF($O90=$O91,$R91,IF($O90=$O89,$R89)),IFERROR(INDEX($R91:$R1200,MATCH(SUBSTITUTE($I90,"-","",1),$K91:$K1200,0)))))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7" t="str">
        <f t="shared" si="1"/>
        <v/>
      </c>
      <c r="T90" s="39" t="str">
        <f t="shared" si="2"/>
        <v/>
      </c>
      <c r="U90" s="40" t="str">
        <f t="shared" si="3"/>
        <v/>
      </c>
      <c r="V90" s="34" t="str">
        <f t="shared" si="4"/>
        <v/>
      </c>
      <c r="W90" s="41" t="str">
        <f>IFERROR(__xludf.DUMMYFUNCTION(" IF(Account!$F90&lt;&gt;"""", SPLIT(Account!$F90, "" ""), """")"),"")</f>
        <v/>
      </c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</row>
    <row r="91">
      <c r="A91" s="20"/>
      <c r="B91" s="20"/>
      <c r="C91" s="20"/>
      <c r="D91" s="20"/>
      <c r="E91" s="20"/>
      <c r="F91" s="21"/>
      <c r="G91" s="20"/>
      <c r="H91" s="20"/>
      <c r="I91" s="20"/>
      <c r="J91" s="20"/>
      <c r="K91" s="20"/>
      <c r="L91" s="21"/>
      <c r="M91" s="33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4" t="str">
        <f>IFERROR(__xludf.DUMMYFUNCTION("IF(Account!$F91&lt;&gt;"""", VALUE(REGEXREPLACE($I91, ""\,"", ""."")), """")"),"")</f>
        <v/>
      </c>
      <c r="O91" s="35" t="str">
        <f>IF(Account!$F91&lt;&gt;"", DATEVALUE(MID($A91,4,3) &amp; LEFT($A91,3) &amp; RIGHT($A91,4)) + TIMEVALUE($B91), "")</f>
        <v/>
      </c>
      <c r="P91" s="36" t="str">
        <f>IF(Account!$F91&lt;&gt;"", DATEVALUE(MID($C91,4,3) &amp; LEFT($C91,3) &amp; RIGHT($C91,4)), "")</f>
        <v/>
      </c>
      <c r="Q91" s="37" t="str">
        <f t="array" ref="Q91">IF($R91&lt;&gt;"",IFERROR(INDEX(ISIN!$B:$B,MATCH($R91,ISIN!$C:$C,0))),)</f>
        <v/>
      </c>
      <c r="R91" s="38" t="str">
        <f t="array" ref="R91">IF($E91&lt;&gt;"",IFERROR(INDEX(ISIN!$C:$C,MATCH($E91,ISIN!$A:$A,0)),IFERROR(INDEX($R92:$R1200,MATCH($K91,$K92:$K1200,0)))),IF(AND($Y91="change",$H91="EUR"),IF($O91=$O92,$R92,IF($O91=$O90,$R90)),IFERROR(INDEX($R92:$R1200,MATCH(SUBSTITUTE($I91,"-","",1),$K92:$K1200,0)))))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7" t="str">
        <f t="shared" si="1"/>
        <v/>
      </c>
      <c r="T91" s="39" t="str">
        <f t="shared" si="2"/>
        <v/>
      </c>
      <c r="U91" s="40" t="str">
        <f t="shared" si="3"/>
        <v/>
      </c>
      <c r="V91" s="34" t="str">
        <f t="shared" si="4"/>
        <v/>
      </c>
      <c r="W91" s="41" t="str">
        <f>IFERROR(__xludf.DUMMYFUNCTION(" IF(Account!$F91&lt;&gt;"""", SPLIT(Account!$F91, "" ""), """")"),"")</f>
        <v/>
      </c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</row>
    <row r="92">
      <c r="A92" s="20"/>
      <c r="B92" s="20"/>
      <c r="C92" s="20"/>
      <c r="D92" s="20"/>
      <c r="E92" s="20"/>
      <c r="F92" s="21"/>
      <c r="G92" s="20"/>
      <c r="H92" s="20"/>
      <c r="I92" s="20"/>
      <c r="J92" s="20"/>
      <c r="K92" s="20"/>
      <c r="L92" s="21"/>
      <c r="M92" s="33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4" t="str">
        <f>IFERROR(__xludf.DUMMYFUNCTION("IF(Account!$F92&lt;&gt;"""", VALUE(REGEXREPLACE($I92, ""\,"", ""."")), """")"),"")</f>
        <v/>
      </c>
      <c r="O92" s="35" t="str">
        <f>IF(Account!$F92&lt;&gt;"", DATEVALUE(MID($A92,4,3) &amp; LEFT($A92,3) &amp; RIGHT($A92,4)) + TIMEVALUE($B92), "")</f>
        <v/>
      </c>
      <c r="P92" s="36" t="str">
        <f>IF(Account!$F92&lt;&gt;"", DATEVALUE(MID($C92,4,3) &amp; LEFT($C92,3) &amp; RIGHT($C92,4)), "")</f>
        <v/>
      </c>
      <c r="Q92" s="37" t="str">
        <f t="array" ref="Q92">IF($R92&lt;&gt;"",IFERROR(INDEX(ISIN!$B:$B,MATCH($R92,ISIN!$C:$C,0))),)</f>
        <v/>
      </c>
      <c r="R92" s="38" t="str">
        <f t="array" ref="R92">IF($E92&lt;&gt;"",IFERROR(INDEX(ISIN!$C:$C,MATCH($E92,ISIN!$A:$A,0)),IFERROR(INDEX($R93:$R1200,MATCH($K92,$K93:$K1200,0)))),IF(AND($Y92="change",$H92="EUR"),IF($O92=$O93,$R93,IF($O92=$O91,$R91)),IFERROR(INDEX($R93:$R1200,MATCH(SUBSTITUTE($I92,"-","",1),$K93:$K1200,0)))))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7" t="str">
        <f t="shared" si="1"/>
        <v/>
      </c>
      <c r="T92" s="39" t="str">
        <f t="shared" si="2"/>
        <v/>
      </c>
      <c r="U92" s="40" t="str">
        <f t="shared" si="3"/>
        <v/>
      </c>
      <c r="V92" s="34" t="str">
        <f t="shared" si="4"/>
        <v/>
      </c>
      <c r="W92" s="41" t="str">
        <f>IFERROR(__xludf.DUMMYFUNCTION(" IF(Account!$F92&lt;&gt;"""", SPLIT(Account!$F92, "" ""), """")"),"")</f>
        <v/>
      </c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</row>
    <row r="93">
      <c r="A93" s="20"/>
      <c r="B93" s="20"/>
      <c r="C93" s="20"/>
      <c r="D93" s="20"/>
      <c r="E93" s="20"/>
      <c r="F93" s="21"/>
      <c r="G93" s="20"/>
      <c r="H93" s="20"/>
      <c r="I93" s="20"/>
      <c r="J93" s="20"/>
      <c r="K93" s="20"/>
      <c r="L93" s="21"/>
      <c r="M93" s="33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4" t="str">
        <f>IFERROR(__xludf.DUMMYFUNCTION("IF(Account!$F93&lt;&gt;"""", VALUE(REGEXREPLACE($I93, ""\,"", ""."")), """")"),"")</f>
        <v/>
      </c>
      <c r="O93" s="35" t="str">
        <f>IF(Account!$F93&lt;&gt;"", DATEVALUE(MID($A93,4,3) &amp; LEFT($A93,3) &amp; RIGHT($A93,4)) + TIMEVALUE($B93), "")</f>
        <v/>
      </c>
      <c r="P93" s="36" t="str">
        <f>IF(Account!$F93&lt;&gt;"", DATEVALUE(MID($C93,4,3) &amp; LEFT($C93,3) &amp; RIGHT($C93,4)), "")</f>
        <v/>
      </c>
      <c r="Q93" s="37" t="str">
        <f t="array" ref="Q93">IF($R93&lt;&gt;"",IFERROR(INDEX(ISIN!$B:$B,MATCH($R93,ISIN!$C:$C,0))),)</f>
        <v/>
      </c>
      <c r="R93" s="38" t="str">
        <f t="array" ref="R93">IF($E93&lt;&gt;"",IFERROR(INDEX(ISIN!$C:$C,MATCH($E93,ISIN!$A:$A,0)),IFERROR(INDEX($R94:$R1200,MATCH($K93,$K94:$K1200,0)))),IF(AND($Y93="change",$H93="EUR"),IF($O93=$O94,$R94,IF($O93=$O92,$R92)),IFERROR(INDEX($R94:$R1200,MATCH(SUBSTITUTE($I93,"-","",1),$K94:$K1200,0)))))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7" t="str">
        <f t="shared" si="1"/>
        <v/>
      </c>
      <c r="T93" s="39" t="str">
        <f t="shared" si="2"/>
        <v/>
      </c>
      <c r="U93" s="40" t="str">
        <f t="shared" si="3"/>
        <v/>
      </c>
      <c r="V93" s="34" t="str">
        <f t="shared" si="4"/>
        <v/>
      </c>
      <c r="W93" s="41" t="str">
        <f>IFERROR(__xludf.DUMMYFUNCTION(" IF(Account!$F93&lt;&gt;"""", SPLIT(Account!$F93, "" ""), """")"),"")</f>
        <v/>
      </c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</row>
    <row r="94">
      <c r="A94" s="20"/>
      <c r="B94" s="20"/>
      <c r="C94" s="20"/>
      <c r="D94" s="20"/>
      <c r="E94" s="20"/>
      <c r="F94" s="21"/>
      <c r="G94" s="20"/>
      <c r="H94" s="20"/>
      <c r="I94" s="20"/>
      <c r="J94" s="20"/>
      <c r="K94" s="20"/>
      <c r="L94" s="21"/>
      <c r="M94" s="33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4" t="str">
        <f>IFERROR(__xludf.DUMMYFUNCTION("IF(Account!$F94&lt;&gt;"""", VALUE(REGEXREPLACE($I94, ""\,"", ""."")), """")"),"")</f>
        <v/>
      </c>
      <c r="O94" s="35" t="str">
        <f>IF(Account!$F94&lt;&gt;"", DATEVALUE(MID($A94,4,3) &amp; LEFT($A94,3) &amp; RIGHT($A94,4)) + TIMEVALUE($B94), "")</f>
        <v/>
      </c>
      <c r="P94" s="36" t="str">
        <f>IF(Account!$F94&lt;&gt;"", DATEVALUE(MID($C94,4,3) &amp; LEFT($C94,3) &amp; RIGHT($C94,4)), "")</f>
        <v/>
      </c>
      <c r="Q94" s="37" t="str">
        <f t="array" ref="Q94">IF($R94&lt;&gt;"",IFERROR(INDEX(ISIN!$B:$B,MATCH($R94,ISIN!$C:$C,0))),)</f>
        <v/>
      </c>
      <c r="R94" s="38" t="str">
        <f t="array" ref="R94">IF($E94&lt;&gt;"",IFERROR(INDEX(ISIN!$C:$C,MATCH($E94,ISIN!$A:$A,0)),IFERROR(INDEX($R95:$R1200,MATCH($K94,$K95:$K1200,0)))),IF(AND($Y94="change",$H94="EUR"),IF($O94=$O95,$R95,IF($O94=$O93,$R93)),IFERROR(INDEX($R95:$R1200,MATCH(SUBSTITUTE($I94,"-","",1),$K95:$K1200,0)))))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7" t="str">
        <f t="shared" si="1"/>
        <v/>
      </c>
      <c r="T94" s="39" t="str">
        <f t="shared" si="2"/>
        <v/>
      </c>
      <c r="U94" s="40" t="str">
        <f t="shared" si="3"/>
        <v/>
      </c>
      <c r="V94" s="34" t="str">
        <f t="shared" si="4"/>
        <v/>
      </c>
      <c r="W94" s="41" t="str">
        <f>IFERROR(__xludf.DUMMYFUNCTION(" IF(Account!$F94&lt;&gt;"""", SPLIT(Account!$F94, "" ""), """")"),"")</f>
        <v/>
      </c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</row>
    <row r="9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1"/>
      <c r="M95" s="33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4" t="str">
        <f>IFERROR(__xludf.DUMMYFUNCTION("IF(Account!$F95&lt;&gt;"""", VALUE(REGEXREPLACE($I95, ""\,"", ""."")), """")"),"")</f>
        <v/>
      </c>
      <c r="O95" s="35" t="str">
        <f>IF(Account!$F95&lt;&gt;"", DATEVALUE(MID($A95,4,3) &amp; LEFT($A95,3) &amp; RIGHT($A95,4)) + TIMEVALUE($B95), "")</f>
        <v/>
      </c>
      <c r="P95" s="36" t="str">
        <f>IF(Account!$F95&lt;&gt;"", DATEVALUE(MID($C95,4,3) &amp; LEFT($C95,3) &amp; RIGHT($C95,4)), "")</f>
        <v/>
      </c>
      <c r="Q95" s="37" t="str">
        <f t="array" ref="Q95">IF($R95&lt;&gt;"",IFERROR(INDEX(ISIN!$B:$B,MATCH($R95,ISIN!$C:$C,0))),)</f>
        <v/>
      </c>
      <c r="R95" s="38" t="str">
        <f t="array" ref="R95">IF($E95&lt;&gt;"",IFERROR(INDEX(ISIN!$C:$C,MATCH($E95,ISIN!$A:$A,0)),IFERROR(INDEX($R96:$R1200,MATCH($K95,$K96:$K1200,0)))),IF(AND($Y95="change",$H95="EUR"),IF($O95=$O96,$R96,IF($O95=$O94,$R94)),IFERROR(INDEX($R96:$R1200,MATCH(SUBSTITUTE($I95,"-","",1),$K96:$K1200,0)))))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7" t="str">
        <f t="shared" si="1"/>
        <v/>
      </c>
      <c r="T95" s="39" t="str">
        <f t="shared" si="2"/>
        <v/>
      </c>
      <c r="U95" s="40" t="str">
        <f t="shared" si="3"/>
        <v/>
      </c>
      <c r="V95" s="34" t="str">
        <f t="shared" si="4"/>
        <v/>
      </c>
      <c r="W95" s="41" t="str">
        <f>IFERROR(__xludf.DUMMYFUNCTION(" IF(Account!$F95&lt;&gt;"""", SPLIT(Account!$F95, "" ""), """")"),"")</f>
        <v/>
      </c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</row>
    <row r="96">
      <c r="A96" s="20"/>
      <c r="B96" s="20"/>
      <c r="C96" s="20"/>
      <c r="D96" s="20"/>
      <c r="E96" s="20"/>
      <c r="F96" s="21"/>
      <c r="G96" s="20"/>
      <c r="H96" s="20"/>
      <c r="I96" s="20"/>
      <c r="J96" s="20"/>
      <c r="K96" s="20"/>
      <c r="L96" s="21"/>
      <c r="M96" s="33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4" t="str">
        <f>IFERROR(__xludf.DUMMYFUNCTION("IF(Account!$F96&lt;&gt;"""", VALUE(REGEXREPLACE($I96, ""\,"", ""."")), """")"),"")</f>
        <v/>
      </c>
      <c r="O96" s="35" t="str">
        <f>IF(Account!$F96&lt;&gt;"", DATEVALUE(MID($A96,4,3) &amp; LEFT($A96,3) &amp; RIGHT($A96,4)) + TIMEVALUE($B96), "")</f>
        <v/>
      </c>
      <c r="P96" s="36" t="str">
        <f>IF(Account!$F96&lt;&gt;"", DATEVALUE(MID($C96,4,3) &amp; LEFT($C96,3) &amp; RIGHT($C96,4)), "")</f>
        <v/>
      </c>
      <c r="Q96" s="37" t="str">
        <f t="array" ref="Q96">IF($R96&lt;&gt;"",IFERROR(INDEX(ISIN!$B:$B,MATCH($R96,ISIN!$C:$C,0))),)</f>
        <v/>
      </c>
      <c r="R96" s="38" t="str">
        <f t="array" ref="R96">IF($E96&lt;&gt;"",IFERROR(INDEX(ISIN!$C:$C,MATCH($E96,ISIN!$A:$A,0)),IFERROR(INDEX($R97:$R1200,MATCH($K96,$K97:$K1200,0)))),IF(AND($Y96="change",$H96="EUR"),IF($O96=$O97,$R97,IF($O96=$O95,$R95)),IFERROR(INDEX($R97:$R1200,MATCH(SUBSTITUTE($I96,"-","",1),$K97:$K1200,0)))))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7" t="str">
        <f t="shared" si="1"/>
        <v/>
      </c>
      <c r="T96" s="39" t="str">
        <f t="shared" si="2"/>
        <v/>
      </c>
      <c r="U96" s="40" t="str">
        <f t="shared" si="3"/>
        <v/>
      </c>
      <c r="V96" s="34" t="str">
        <f t="shared" si="4"/>
        <v/>
      </c>
      <c r="W96" s="41" t="str">
        <f>IFERROR(__xludf.DUMMYFUNCTION(" IF(Account!$F96&lt;&gt;"""", SPLIT(Account!$F96, "" ""), """")"),"")</f>
        <v/>
      </c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</row>
    <row r="97">
      <c r="A97" s="20"/>
      <c r="B97" s="20"/>
      <c r="C97" s="20"/>
      <c r="D97" s="20"/>
      <c r="E97" s="20"/>
      <c r="F97" s="21"/>
      <c r="G97" s="20"/>
      <c r="H97" s="20"/>
      <c r="I97" s="20"/>
      <c r="J97" s="20"/>
      <c r="K97" s="20"/>
      <c r="L97" s="21"/>
      <c r="M97" s="33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4" t="str">
        <f>IFERROR(__xludf.DUMMYFUNCTION("IF(Account!$F97&lt;&gt;"""", VALUE(REGEXREPLACE($I97, ""\,"", ""."")), """")"),"")</f>
        <v/>
      </c>
      <c r="O97" s="35" t="str">
        <f>IF(Account!$F97&lt;&gt;"", DATEVALUE(MID($A97,4,3) &amp; LEFT($A97,3) &amp; RIGHT($A97,4)) + TIMEVALUE($B97), "")</f>
        <v/>
      </c>
      <c r="P97" s="36" t="str">
        <f>IF(Account!$F97&lt;&gt;"", DATEVALUE(MID($C97,4,3) &amp; LEFT($C97,3) &amp; RIGHT($C97,4)), "")</f>
        <v/>
      </c>
      <c r="Q97" s="37" t="str">
        <f t="array" ref="Q97">IF($R97&lt;&gt;"",IFERROR(INDEX(ISIN!$B:$B,MATCH($R97,ISIN!$C:$C,0))),)</f>
        <v/>
      </c>
      <c r="R97" s="38" t="str">
        <f t="array" ref="R97">IF($E97&lt;&gt;"",IFERROR(INDEX(ISIN!$C:$C,MATCH($E97,ISIN!$A:$A,0)),IFERROR(INDEX($R98:$R1200,MATCH($K97,$K98:$K1200,0)))),IF(AND($Y97="change",$H97="EUR"),IF($O97=$O98,$R98,IF($O97=$O96,$R96)),IFERROR(INDEX($R98:$R1200,MATCH(SUBSTITUTE($I97,"-","",1),$K98:$K1200,0)))))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7" t="str">
        <f t="shared" si="1"/>
        <v/>
      </c>
      <c r="T97" s="39" t="str">
        <f t="shared" si="2"/>
        <v/>
      </c>
      <c r="U97" s="40" t="str">
        <f t="shared" si="3"/>
        <v/>
      </c>
      <c r="V97" s="34" t="str">
        <f t="shared" si="4"/>
        <v/>
      </c>
      <c r="W97" s="41" t="str">
        <f>IFERROR(__xludf.DUMMYFUNCTION(" IF(Account!$F97&lt;&gt;"""", SPLIT(Account!$F97, "" ""), """")"),"")</f>
        <v/>
      </c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</row>
    <row r="98">
      <c r="A98" s="20"/>
      <c r="B98" s="20"/>
      <c r="C98" s="20"/>
      <c r="D98" s="20"/>
      <c r="E98" s="20"/>
      <c r="F98" s="21"/>
      <c r="G98" s="20"/>
      <c r="H98" s="20"/>
      <c r="I98" s="20"/>
      <c r="J98" s="20"/>
      <c r="K98" s="20"/>
      <c r="L98" s="21"/>
      <c r="M98" s="33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4" t="str">
        <f>IFERROR(__xludf.DUMMYFUNCTION("IF(Account!$F98&lt;&gt;"""", VALUE(REGEXREPLACE($I98, ""\,"", ""."")), """")"),"")</f>
        <v/>
      </c>
      <c r="O98" s="35" t="str">
        <f>IF(Account!$F98&lt;&gt;"", DATEVALUE(MID($A98,4,3) &amp; LEFT($A98,3) &amp; RIGHT($A98,4)) + TIMEVALUE($B98), "")</f>
        <v/>
      </c>
      <c r="P98" s="36" t="str">
        <f>IF(Account!$F98&lt;&gt;"", DATEVALUE(MID($C98,4,3) &amp; LEFT($C98,3) &amp; RIGHT($C98,4)), "")</f>
        <v/>
      </c>
      <c r="Q98" s="37" t="str">
        <f t="array" ref="Q98">IF($R98&lt;&gt;"",IFERROR(INDEX(ISIN!$B:$B,MATCH($R98,ISIN!$C:$C,0))),)</f>
        <v/>
      </c>
      <c r="R98" s="38" t="str">
        <f t="array" ref="R98">IF($E98&lt;&gt;"",IFERROR(INDEX(ISIN!$C:$C,MATCH($E98,ISIN!$A:$A,0)),IFERROR(INDEX($R99:$R1200,MATCH($K98,$K99:$K1200,0)))),IF(AND($Y98="change",$H98="EUR"),IF($O98=$O99,$R99,IF($O98=$O97,$R97)),IFERROR(INDEX($R99:$R1200,MATCH(SUBSTITUTE($I98,"-","",1),$K99:$K1200,0)))))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7" t="str">
        <f t="shared" si="1"/>
        <v/>
      </c>
      <c r="T98" s="39" t="str">
        <f t="shared" si="2"/>
        <v/>
      </c>
      <c r="U98" s="40" t="str">
        <f t="shared" si="3"/>
        <v/>
      </c>
      <c r="V98" s="34" t="str">
        <f t="shared" si="4"/>
        <v/>
      </c>
      <c r="W98" s="41" t="str">
        <f>IFERROR(__xludf.DUMMYFUNCTION(" IF(Account!$F98&lt;&gt;"""", SPLIT(Account!$F98, "" ""), """")"),"")</f>
        <v/>
      </c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</row>
    <row r="99">
      <c r="A99" s="20"/>
      <c r="B99" s="20"/>
      <c r="C99" s="20"/>
      <c r="D99" s="20"/>
      <c r="E99" s="20"/>
      <c r="F99" s="21"/>
      <c r="G99" s="20"/>
      <c r="H99" s="20"/>
      <c r="I99" s="20"/>
      <c r="J99" s="20"/>
      <c r="K99" s="20"/>
      <c r="L99" s="21"/>
      <c r="M99" s="33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4" t="str">
        <f>IFERROR(__xludf.DUMMYFUNCTION("IF(Account!$F99&lt;&gt;"""", VALUE(REGEXREPLACE($I99, ""\,"", ""."")), """")"),"")</f>
        <v/>
      </c>
      <c r="O99" s="35" t="str">
        <f>IF(Account!$F99&lt;&gt;"", DATEVALUE(MID($A99,4,3) &amp; LEFT($A99,3) &amp; RIGHT($A99,4)) + TIMEVALUE($B99), "")</f>
        <v/>
      </c>
      <c r="P99" s="36" t="str">
        <f>IF(Account!$F99&lt;&gt;"", DATEVALUE(MID($C99,4,3) &amp; LEFT($C99,3) &amp; RIGHT($C99,4)), "")</f>
        <v/>
      </c>
      <c r="Q99" s="37" t="str">
        <f t="array" ref="Q99">IF($R99&lt;&gt;"",IFERROR(INDEX(ISIN!$B:$B,MATCH($R99,ISIN!$C:$C,0))),)</f>
        <v/>
      </c>
      <c r="R99" s="38" t="str">
        <f t="array" ref="R99">IF($E99&lt;&gt;"",IFERROR(INDEX(ISIN!$C:$C,MATCH($E99,ISIN!$A:$A,0)),IFERROR(INDEX($R100:$R1200,MATCH($K99,$K100:$K1200,0)))),IF(AND($Y99="change",$H99="EUR"),IF($O99=$O100,$R100,IF($O99=$O98,$R98)),IFERROR(INDEX($R100:$R1200,MATCH(SUBSTITUTE($I99,"-","",1),$K100:$K1200,0)))))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7" t="str">
        <f t="shared" si="1"/>
        <v/>
      </c>
      <c r="T99" s="39" t="str">
        <f t="shared" si="2"/>
        <v/>
      </c>
      <c r="U99" s="40" t="str">
        <f t="shared" si="3"/>
        <v/>
      </c>
      <c r="V99" s="34" t="str">
        <f t="shared" si="4"/>
        <v/>
      </c>
      <c r="W99" s="41" t="str">
        <f>IFERROR(__xludf.DUMMYFUNCTION(" IF(Account!$F99&lt;&gt;"""", SPLIT(Account!$F99, "" ""), """")"),"")</f>
        <v/>
      </c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</row>
    <row r="100">
      <c r="A100" s="20"/>
      <c r="B100" s="20"/>
      <c r="C100" s="20"/>
      <c r="D100" s="20"/>
      <c r="E100" s="20"/>
      <c r="F100" s="21"/>
      <c r="G100" s="20"/>
      <c r="H100" s="20"/>
      <c r="I100" s="20"/>
      <c r="J100" s="20"/>
      <c r="K100" s="20"/>
      <c r="L100" s="21"/>
      <c r="M100" s="33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4" t="str">
        <f>IFERROR(__xludf.DUMMYFUNCTION("IF(Account!$F100&lt;&gt;"""", VALUE(REGEXREPLACE($I100, ""\,"", ""."")), """")"),"")</f>
        <v/>
      </c>
      <c r="O100" s="35" t="str">
        <f>IF(Account!$F100&lt;&gt;"", DATEVALUE(MID($A100,4,3) &amp; LEFT($A100,3) &amp; RIGHT($A100,4)) + TIMEVALUE($B100), "")</f>
        <v/>
      </c>
      <c r="P100" s="36" t="str">
        <f>IF(Account!$F100&lt;&gt;"", DATEVALUE(MID($C100,4,3) &amp; LEFT($C100,3) &amp; RIGHT($C100,4)), "")</f>
        <v/>
      </c>
      <c r="Q100" s="37" t="str">
        <f t="array" ref="Q100">IF($R100&lt;&gt;"",IFERROR(INDEX(ISIN!$B:$B,MATCH($R100,ISIN!$C:$C,0))),)</f>
        <v/>
      </c>
      <c r="R100" s="38" t="str">
        <f t="array" ref="R100">IF($E100&lt;&gt;""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7" t="str">
        <f t="shared" si="1"/>
        <v/>
      </c>
      <c r="T100" s="39" t="str">
        <f t="shared" si="2"/>
        <v/>
      </c>
      <c r="U100" s="40" t="str">
        <f t="shared" si="3"/>
        <v/>
      </c>
      <c r="V100" s="34" t="str">
        <f t="shared" si="4"/>
        <v/>
      </c>
      <c r="W100" s="41" t="str">
        <f>IFERROR(__xludf.DUMMYFUNCTION(" IF(Account!$F100&lt;&gt;"""", SPLIT(Account!$F100, "" ""), """")"),"")</f>
        <v/>
      </c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</row>
    <row r="101">
      <c r="A101" s="20"/>
      <c r="B101" s="20"/>
      <c r="C101" s="20"/>
      <c r="D101" s="20"/>
      <c r="E101" s="20"/>
      <c r="F101" s="21"/>
      <c r="G101" s="20"/>
      <c r="H101" s="20"/>
      <c r="I101" s="20"/>
      <c r="J101" s="20"/>
      <c r="K101" s="20"/>
      <c r="L101" s="21"/>
      <c r="M101" s="33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4" t="str">
        <f>IFERROR(__xludf.DUMMYFUNCTION("IF(Account!$F101&lt;&gt;"""", VALUE(REGEXREPLACE($I101, ""\,"", ""."")), """")"),"")</f>
        <v/>
      </c>
      <c r="O101" s="35" t="str">
        <f>IF(Account!$F101&lt;&gt;"", DATEVALUE(MID($A101,4,3) &amp; LEFT($A101,3) &amp; RIGHT($A101,4)) + TIMEVALUE($B101), "")</f>
        <v/>
      </c>
      <c r="P101" s="36" t="str">
        <f>IF(Account!$F101&lt;&gt;"", DATEVALUE(MID($C101,4,3) &amp; LEFT($C101,3) &amp; RIGHT($C101,4)), "")</f>
        <v/>
      </c>
      <c r="Q101" s="37" t="str">
        <f t="array" ref="Q101">IF($R101&lt;&gt;"",IFERROR(INDEX(ISIN!$B:$B,MATCH($R101,ISIN!$C:$C,0))),)</f>
        <v/>
      </c>
      <c r="R101" s="38" t="str">
        <f t="array" ref="R101">IF($E101&lt;&gt;""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7" t="str">
        <f t="shared" si="1"/>
        <v/>
      </c>
      <c r="T101" s="39" t="str">
        <f t="shared" si="2"/>
        <v/>
      </c>
      <c r="U101" s="40" t="str">
        <f t="shared" si="3"/>
        <v/>
      </c>
      <c r="V101" s="34" t="str">
        <f t="shared" si="4"/>
        <v/>
      </c>
      <c r="W101" s="41" t="str">
        <f>IFERROR(__xludf.DUMMYFUNCTION(" IF(Account!$F101&lt;&gt;"""", SPLIT(Account!$F101, "" ""), """")"),"")</f>
        <v/>
      </c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</row>
    <row r="102">
      <c r="A102" s="20"/>
      <c r="B102" s="20"/>
      <c r="C102" s="20"/>
      <c r="D102" s="20"/>
      <c r="E102" s="20"/>
      <c r="F102" s="21"/>
      <c r="G102" s="20"/>
      <c r="H102" s="20"/>
      <c r="I102" s="20"/>
      <c r="J102" s="20"/>
      <c r="K102" s="20"/>
      <c r="L102" s="21"/>
      <c r="M102" s="33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4" t="str">
        <f>IFERROR(__xludf.DUMMYFUNCTION("IF(Account!$F102&lt;&gt;"""", VALUE(REGEXREPLACE($I102, ""\,"", ""."")), """")"),"")</f>
        <v/>
      </c>
      <c r="O102" s="35" t="str">
        <f>IF(Account!$F102&lt;&gt;"", DATEVALUE(MID($A102,4,3) &amp; LEFT($A102,3) &amp; RIGHT($A102,4)) + TIMEVALUE($B102), "")</f>
        <v/>
      </c>
      <c r="P102" s="36" t="str">
        <f>IF(Account!$F102&lt;&gt;"", DATEVALUE(MID($C102,4,3) &amp; LEFT($C102,3) &amp; RIGHT($C102,4)), "")</f>
        <v/>
      </c>
      <c r="Q102" s="37" t="str">
        <f t="array" ref="Q102">IF($R102&lt;&gt;"",IFERROR(INDEX(ISIN!$B:$B,MATCH($R102,ISIN!$C:$C,0))),)</f>
        <v/>
      </c>
      <c r="R102" s="38" t="str">
        <f t="array" ref="R102">IF($E102&lt;&gt;""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7" t="str">
        <f t="shared" si="1"/>
        <v/>
      </c>
      <c r="T102" s="39" t="str">
        <f t="shared" si="2"/>
        <v/>
      </c>
      <c r="U102" s="40" t="str">
        <f t="shared" si="3"/>
        <v/>
      </c>
      <c r="V102" s="34" t="str">
        <f t="shared" si="4"/>
        <v/>
      </c>
      <c r="W102" s="41" t="str">
        <f>IFERROR(__xludf.DUMMYFUNCTION(" IF(Account!$F102&lt;&gt;"""", SPLIT(Account!$F102, "" ""), """")"),"")</f>
        <v/>
      </c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</row>
    <row r="103">
      <c r="A103" s="20"/>
      <c r="B103" s="20"/>
      <c r="C103" s="20"/>
      <c r="D103" s="20"/>
      <c r="E103" s="20"/>
      <c r="F103" s="21"/>
      <c r="G103" s="20"/>
      <c r="H103" s="20"/>
      <c r="I103" s="20"/>
      <c r="J103" s="20"/>
      <c r="K103" s="20"/>
      <c r="L103" s="21"/>
      <c r="M103" s="33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4" t="str">
        <f>IFERROR(__xludf.DUMMYFUNCTION("IF(Account!$F103&lt;&gt;"""", VALUE(REGEXREPLACE($I103, ""\,"", ""."")), """")"),"")</f>
        <v/>
      </c>
      <c r="O103" s="35" t="str">
        <f>IF(Account!$F103&lt;&gt;"", DATEVALUE(MID($A103,4,3) &amp; LEFT($A103,3) &amp; RIGHT($A103,4)) + TIMEVALUE($B103), "")</f>
        <v/>
      </c>
      <c r="P103" s="36" t="str">
        <f>IF(Account!$F103&lt;&gt;"", DATEVALUE(MID($C103,4,3) &amp; LEFT($C103,3) &amp; RIGHT($C103,4)), "")</f>
        <v/>
      </c>
      <c r="Q103" s="37" t="str">
        <f t="array" ref="Q103">IF($R103&lt;&gt;"",IFERROR(INDEX(ISIN!$B:$B,MATCH($R103,ISIN!$C:$C,0))),)</f>
        <v/>
      </c>
      <c r="R103" s="38" t="str">
        <f t="array" ref="R103">IF($E103&lt;&gt;""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7" t="str">
        <f t="shared" si="1"/>
        <v/>
      </c>
      <c r="T103" s="39" t="str">
        <f t="shared" si="2"/>
        <v/>
      </c>
      <c r="U103" s="40" t="str">
        <f t="shared" si="3"/>
        <v/>
      </c>
      <c r="V103" s="34" t="str">
        <f t="shared" si="4"/>
        <v/>
      </c>
      <c r="W103" s="41" t="str">
        <f>IFERROR(__xludf.DUMMYFUNCTION(" IF(Account!$F103&lt;&gt;"""", SPLIT(Account!$F103, "" ""), """")"),"")</f>
        <v/>
      </c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</row>
    <row r="104">
      <c r="A104" s="20"/>
      <c r="B104" s="20"/>
      <c r="C104" s="20"/>
      <c r="D104" s="20"/>
      <c r="E104" s="20"/>
      <c r="F104" s="21"/>
      <c r="G104" s="20"/>
      <c r="H104" s="20"/>
      <c r="I104" s="20"/>
      <c r="J104" s="20"/>
      <c r="K104" s="20"/>
      <c r="L104" s="21"/>
      <c r="M104" s="33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4" t="str">
        <f>IFERROR(__xludf.DUMMYFUNCTION("IF(Account!$F104&lt;&gt;"""", VALUE(REGEXREPLACE($I104, ""\,"", ""."")), """")"),"")</f>
        <v/>
      </c>
      <c r="O104" s="35" t="str">
        <f>IF(Account!$F104&lt;&gt;"", DATEVALUE(MID($A104,4,3) &amp; LEFT($A104,3) &amp; RIGHT($A104,4)) + TIMEVALUE($B104), "")</f>
        <v/>
      </c>
      <c r="P104" s="36" t="str">
        <f>IF(Account!$F104&lt;&gt;"", DATEVALUE(MID($C104,4,3) &amp; LEFT($C104,3) &amp; RIGHT($C104,4)), "")</f>
        <v/>
      </c>
      <c r="Q104" s="37" t="str">
        <f t="array" ref="Q104">IF($R104&lt;&gt;"",IFERROR(INDEX(ISIN!$B:$B,MATCH($R104,ISIN!$C:$C,0))),)</f>
        <v/>
      </c>
      <c r="R104" s="38" t="str">
        <f t="array" ref="R104">IF($E104&lt;&gt;""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7" t="str">
        <f t="shared" si="1"/>
        <v/>
      </c>
      <c r="T104" s="39" t="str">
        <f t="shared" si="2"/>
        <v/>
      </c>
      <c r="U104" s="40" t="str">
        <f t="shared" si="3"/>
        <v/>
      </c>
      <c r="V104" s="34" t="str">
        <f t="shared" si="4"/>
        <v/>
      </c>
      <c r="W104" s="41" t="str">
        <f>IFERROR(__xludf.DUMMYFUNCTION(" IF(Account!$F104&lt;&gt;"""", SPLIT(Account!$F104, "" ""), """")"),"")</f>
        <v/>
      </c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</row>
    <row r="105">
      <c r="A105" s="20"/>
      <c r="B105" s="20"/>
      <c r="C105" s="20"/>
      <c r="D105" s="20"/>
      <c r="E105" s="20"/>
      <c r="F105" s="21"/>
      <c r="G105" s="20"/>
      <c r="H105" s="20"/>
      <c r="I105" s="20"/>
      <c r="J105" s="20"/>
      <c r="K105" s="20"/>
      <c r="L105" s="21"/>
      <c r="M105" s="33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4" t="str">
        <f>IFERROR(__xludf.DUMMYFUNCTION("IF(Account!$F105&lt;&gt;"""", VALUE(REGEXREPLACE($I105, ""\,"", ""."")), """")"),"")</f>
        <v/>
      </c>
      <c r="O105" s="35" t="str">
        <f>IF(Account!$F105&lt;&gt;"", DATEVALUE(MID($A105,4,3) &amp; LEFT($A105,3) &amp; RIGHT($A105,4)) + TIMEVALUE($B105), "")</f>
        <v/>
      </c>
      <c r="P105" s="36" t="str">
        <f>IF(Account!$F105&lt;&gt;"", DATEVALUE(MID($C105,4,3) &amp; LEFT($C105,3) &amp; RIGHT($C105,4)), "")</f>
        <v/>
      </c>
      <c r="Q105" s="37" t="str">
        <f t="array" ref="Q105">IF($R105&lt;&gt;"",IFERROR(INDEX(ISIN!$B:$B,MATCH($R105,ISIN!$C:$C,0))),)</f>
        <v/>
      </c>
      <c r="R105" s="38" t="str">
        <f t="array" ref="R105">IF($E105&lt;&gt;""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7" t="str">
        <f t="shared" si="1"/>
        <v/>
      </c>
      <c r="T105" s="39" t="str">
        <f t="shared" si="2"/>
        <v/>
      </c>
      <c r="U105" s="40" t="str">
        <f t="shared" si="3"/>
        <v/>
      </c>
      <c r="V105" s="34" t="str">
        <f t="shared" si="4"/>
        <v/>
      </c>
      <c r="W105" s="41" t="str">
        <f>IFERROR(__xludf.DUMMYFUNCTION(" IF(Account!$F105&lt;&gt;"""", SPLIT(Account!$F105, "" ""), """")"),"")</f>
        <v/>
      </c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</row>
    <row r="106">
      <c r="A106" s="20"/>
      <c r="B106" s="20"/>
      <c r="C106" s="20"/>
      <c r="D106" s="20"/>
      <c r="E106" s="20"/>
      <c r="F106" s="21"/>
      <c r="G106" s="20"/>
      <c r="H106" s="20"/>
      <c r="I106" s="20"/>
      <c r="J106" s="20"/>
      <c r="K106" s="20"/>
      <c r="L106" s="21"/>
      <c r="M106" s="33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4" t="str">
        <f>IFERROR(__xludf.DUMMYFUNCTION("IF(Account!$F106&lt;&gt;"""", VALUE(REGEXREPLACE($I106, ""\,"", ""."")), """")"),"")</f>
        <v/>
      </c>
      <c r="O106" s="35" t="str">
        <f>IF(Account!$F106&lt;&gt;"", DATEVALUE(MID($A106,4,3) &amp; LEFT($A106,3) &amp; RIGHT($A106,4)) + TIMEVALUE($B106), "")</f>
        <v/>
      </c>
      <c r="P106" s="36" t="str">
        <f>IF(Account!$F106&lt;&gt;"", DATEVALUE(MID($C106,4,3) &amp; LEFT($C106,3) &amp; RIGHT($C106,4)), "")</f>
        <v/>
      </c>
      <c r="Q106" s="37" t="str">
        <f t="array" ref="Q106">IF($R106&lt;&gt;"",IFERROR(INDEX(ISIN!$B:$B,MATCH($R106,ISIN!$C:$C,0))),)</f>
        <v/>
      </c>
      <c r="R106" s="38" t="str">
        <f t="array" ref="R106">IF($E106&lt;&gt;""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7" t="str">
        <f t="shared" si="1"/>
        <v/>
      </c>
      <c r="T106" s="39" t="str">
        <f t="shared" si="2"/>
        <v/>
      </c>
      <c r="U106" s="40" t="str">
        <f t="shared" si="3"/>
        <v/>
      </c>
      <c r="V106" s="34" t="str">
        <f t="shared" si="4"/>
        <v/>
      </c>
      <c r="W106" s="41" t="str">
        <f>IFERROR(__xludf.DUMMYFUNCTION(" IF(Account!$F106&lt;&gt;"""", SPLIT(Account!$F106, "" ""), """")"),"")</f>
        <v/>
      </c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</row>
    <row r="107">
      <c r="A107" s="20"/>
      <c r="B107" s="20"/>
      <c r="C107" s="20"/>
      <c r="D107" s="20"/>
      <c r="E107" s="20"/>
      <c r="F107" s="21"/>
      <c r="G107" s="20"/>
      <c r="H107" s="20"/>
      <c r="I107" s="20"/>
      <c r="J107" s="20"/>
      <c r="K107" s="20"/>
      <c r="L107" s="21"/>
      <c r="M107" s="33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4" t="str">
        <f>IFERROR(__xludf.DUMMYFUNCTION("IF(Account!$F107&lt;&gt;"""", VALUE(REGEXREPLACE($I107, ""\,"", ""."")), """")"),"")</f>
        <v/>
      </c>
      <c r="O107" s="35" t="str">
        <f>IF(Account!$F107&lt;&gt;"", DATEVALUE(MID($A107,4,3) &amp; LEFT($A107,3) &amp; RIGHT($A107,4)) + TIMEVALUE($B107), "")</f>
        <v/>
      </c>
      <c r="P107" s="36" t="str">
        <f>IF(Account!$F107&lt;&gt;"", DATEVALUE(MID($C107,4,3) &amp; LEFT($C107,3) &amp; RIGHT($C107,4)), "")</f>
        <v/>
      </c>
      <c r="Q107" s="37" t="str">
        <f t="array" ref="Q107">IF($R107&lt;&gt;"",IFERROR(INDEX(ISIN!$B:$B,MATCH($R107,ISIN!$C:$C,0))),)</f>
        <v/>
      </c>
      <c r="R107" s="38" t="str">
        <f t="array" ref="R107">IF($E107&lt;&gt;""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7" t="str">
        <f t="shared" si="1"/>
        <v/>
      </c>
      <c r="T107" s="39" t="str">
        <f t="shared" si="2"/>
        <v/>
      </c>
      <c r="U107" s="40" t="str">
        <f t="shared" si="3"/>
        <v/>
      </c>
      <c r="V107" s="34" t="str">
        <f t="shared" si="4"/>
        <v/>
      </c>
      <c r="W107" s="41" t="str">
        <f>IFERROR(__xludf.DUMMYFUNCTION(" IF(Account!$F107&lt;&gt;"""", SPLIT(Account!$F107, "" ""), """")"),"")</f>
        <v/>
      </c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</row>
    <row r="108">
      <c r="A108" s="20"/>
      <c r="B108" s="20"/>
      <c r="C108" s="20"/>
      <c r="D108" s="20"/>
      <c r="E108" s="20"/>
      <c r="F108" s="21"/>
      <c r="G108" s="20"/>
      <c r="H108" s="20"/>
      <c r="I108" s="20"/>
      <c r="J108" s="20"/>
      <c r="K108" s="20"/>
      <c r="L108" s="21"/>
      <c r="M108" s="33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4" t="str">
        <f>IFERROR(__xludf.DUMMYFUNCTION("IF(Account!$F108&lt;&gt;"""", VALUE(REGEXREPLACE($I108, ""\,"", ""."")), """")"),"")</f>
        <v/>
      </c>
      <c r="O108" s="35" t="str">
        <f>IF(Account!$F108&lt;&gt;"", DATEVALUE(MID($A108,4,3) &amp; LEFT($A108,3) &amp; RIGHT($A108,4)) + TIMEVALUE($B108), "")</f>
        <v/>
      </c>
      <c r="P108" s="36" t="str">
        <f>IF(Account!$F108&lt;&gt;"", DATEVALUE(MID($C108,4,3) &amp; LEFT($C108,3) &amp; RIGHT($C108,4)), "")</f>
        <v/>
      </c>
      <c r="Q108" s="37" t="str">
        <f t="array" ref="Q108">IF($R108&lt;&gt;"",IFERROR(INDEX(ISIN!$B:$B,MATCH($R108,ISIN!$C:$C,0))),)</f>
        <v/>
      </c>
      <c r="R108" s="38" t="str">
        <f t="array" ref="R108">IF($E108&lt;&gt;""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7" t="str">
        <f t="shared" si="1"/>
        <v/>
      </c>
      <c r="T108" s="39" t="str">
        <f t="shared" si="2"/>
        <v/>
      </c>
      <c r="U108" s="40" t="str">
        <f t="shared" si="3"/>
        <v/>
      </c>
      <c r="V108" s="34" t="str">
        <f t="shared" si="4"/>
        <v/>
      </c>
      <c r="W108" s="41" t="str">
        <f>IFERROR(__xludf.DUMMYFUNCTION(" IF(Account!$F108&lt;&gt;"""", SPLIT(Account!$F108, "" ""), """")"),"")</f>
        <v/>
      </c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</row>
    <row r="109">
      <c r="A109" s="20"/>
      <c r="B109" s="20"/>
      <c r="C109" s="20"/>
      <c r="D109" s="20"/>
      <c r="E109" s="20"/>
      <c r="F109" s="21"/>
      <c r="G109" s="20"/>
      <c r="H109" s="20"/>
      <c r="I109" s="20"/>
      <c r="J109" s="20"/>
      <c r="K109" s="20"/>
      <c r="L109" s="21"/>
      <c r="M109" s="33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4" t="str">
        <f>IFERROR(__xludf.DUMMYFUNCTION("IF(Account!$F109&lt;&gt;"""", VALUE(REGEXREPLACE($I109, ""\,"", ""."")), """")"),"")</f>
        <v/>
      </c>
      <c r="O109" s="35" t="str">
        <f>IF(Account!$F109&lt;&gt;"", DATEVALUE(MID($A109,4,3) &amp; LEFT($A109,3) &amp; RIGHT($A109,4)) + TIMEVALUE($B109), "")</f>
        <v/>
      </c>
      <c r="P109" s="36" t="str">
        <f>IF(Account!$F109&lt;&gt;"", DATEVALUE(MID($C109,4,3) &amp; LEFT($C109,3) &amp; RIGHT($C109,4)), "")</f>
        <v/>
      </c>
      <c r="Q109" s="37" t="str">
        <f t="array" ref="Q109">IF($R109&lt;&gt;"",IFERROR(INDEX(ISIN!$B:$B,MATCH($R109,ISIN!$C:$C,0))),)</f>
        <v/>
      </c>
      <c r="R109" s="38" t="str">
        <f t="array" ref="R109">IF($E109&lt;&gt;""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7" t="str">
        <f t="shared" si="1"/>
        <v/>
      </c>
      <c r="T109" s="39" t="str">
        <f t="shared" si="2"/>
        <v/>
      </c>
      <c r="U109" s="40" t="str">
        <f t="shared" si="3"/>
        <v/>
      </c>
      <c r="V109" s="34" t="str">
        <f t="shared" si="4"/>
        <v/>
      </c>
      <c r="W109" s="41" t="str">
        <f>IFERROR(__xludf.DUMMYFUNCTION(" IF(Account!$F109&lt;&gt;"""", SPLIT(Account!$F109, "" ""), """")"),"")</f>
        <v/>
      </c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</row>
    <row r="110">
      <c r="A110" s="20"/>
      <c r="B110" s="20"/>
      <c r="C110" s="20"/>
      <c r="D110" s="20"/>
      <c r="E110" s="20"/>
      <c r="F110" s="21"/>
      <c r="G110" s="20"/>
      <c r="H110" s="20"/>
      <c r="I110" s="20"/>
      <c r="J110" s="20"/>
      <c r="K110" s="20"/>
      <c r="L110" s="21"/>
      <c r="M110" s="33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4" t="str">
        <f>IFERROR(__xludf.DUMMYFUNCTION("IF(Account!$F110&lt;&gt;"""", VALUE(REGEXREPLACE($I110, ""\,"", ""."")), """")"),"")</f>
        <v/>
      </c>
      <c r="O110" s="35" t="str">
        <f>IF(Account!$F110&lt;&gt;"", DATEVALUE(MID($A110,4,3) &amp; LEFT($A110,3) &amp; RIGHT($A110,4)) + TIMEVALUE($B110), "")</f>
        <v/>
      </c>
      <c r="P110" s="36" t="str">
        <f>IF(Account!$F110&lt;&gt;"", DATEVALUE(MID($C110,4,3) &amp; LEFT($C110,3) &amp; RIGHT($C110,4)), "")</f>
        <v/>
      </c>
      <c r="Q110" s="37" t="str">
        <f t="array" ref="Q110">IF($R110&lt;&gt;"",IFERROR(INDEX(ISIN!$B:$B,MATCH($R110,ISIN!$C:$C,0))),)</f>
        <v/>
      </c>
      <c r="R110" s="38" t="str">
        <f t="array" ref="R110">IF($E110&lt;&gt;""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7" t="str">
        <f t="shared" si="1"/>
        <v/>
      </c>
      <c r="T110" s="39" t="str">
        <f t="shared" si="2"/>
        <v/>
      </c>
      <c r="U110" s="40" t="str">
        <f t="shared" si="3"/>
        <v/>
      </c>
      <c r="V110" s="34" t="str">
        <f t="shared" si="4"/>
        <v/>
      </c>
      <c r="W110" s="41" t="str">
        <f>IFERROR(__xludf.DUMMYFUNCTION(" IF(Account!$F110&lt;&gt;"""", SPLIT(Account!$F110, "" ""), """")"),"")</f>
        <v/>
      </c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</row>
    <row r="111">
      <c r="A111" s="20"/>
      <c r="B111" s="20"/>
      <c r="C111" s="20"/>
      <c r="D111" s="20"/>
      <c r="E111" s="20"/>
      <c r="F111" s="21"/>
      <c r="G111" s="20"/>
      <c r="H111" s="20"/>
      <c r="I111" s="20"/>
      <c r="J111" s="20"/>
      <c r="K111" s="20"/>
      <c r="L111" s="21"/>
      <c r="M111" s="33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4" t="str">
        <f>IFERROR(__xludf.DUMMYFUNCTION("IF(Account!$F111&lt;&gt;"""", VALUE(REGEXREPLACE($I111, ""\,"", ""."")), """")"),"")</f>
        <v/>
      </c>
      <c r="O111" s="35" t="str">
        <f>IF(Account!$F111&lt;&gt;"", DATEVALUE(MID($A111,4,3) &amp; LEFT($A111,3) &amp; RIGHT($A111,4)) + TIMEVALUE($B111), "")</f>
        <v/>
      </c>
      <c r="P111" s="36" t="str">
        <f>IF(Account!$F111&lt;&gt;"", DATEVALUE(MID($C111,4,3) &amp; LEFT($C111,3) &amp; RIGHT($C111,4)), "")</f>
        <v/>
      </c>
      <c r="Q111" s="37" t="str">
        <f t="array" ref="Q111">IF($R111&lt;&gt;"",IFERROR(INDEX(ISIN!$B:$B,MATCH($R111,ISIN!$C:$C,0))),)</f>
        <v/>
      </c>
      <c r="R111" s="38" t="str">
        <f t="array" ref="R111">IF($E111&lt;&gt;""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7" t="str">
        <f t="shared" si="1"/>
        <v/>
      </c>
      <c r="T111" s="39" t="str">
        <f t="shared" si="2"/>
        <v/>
      </c>
      <c r="U111" s="40" t="str">
        <f t="shared" si="3"/>
        <v/>
      </c>
      <c r="V111" s="34" t="str">
        <f t="shared" si="4"/>
        <v/>
      </c>
      <c r="W111" s="41" t="str">
        <f>IFERROR(__xludf.DUMMYFUNCTION(" IF(Account!$F111&lt;&gt;"""", SPLIT(Account!$F111, "" ""), """")"),"")</f>
        <v/>
      </c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</row>
    <row r="112">
      <c r="A112" s="20"/>
      <c r="B112" s="20"/>
      <c r="C112" s="20"/>
      <c r="D112" s="20"/>
      <c r="E112" s="20"/>
      <c r="F112" s="21"/>
      <c r="G112" s="20"/>
      <c r="H112" s="20"/>
      <c r="I112" s="20"/>
      <c r="J112" s="20"/>
      <c r="K112" s="20"/>
      <c r="L112" s="21"/>
      <c r="M112" s="33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4" t="str">
        <f>IFERROR(__xludf.DUMMYFUNCTION("IF(Account!$F112&lt;&gt;"""", VALUE(REGEXREPLACE($I112, ""\,"", ""."")), """")"),"")</f>
        <v/>
      </c>
      <c r="O112" s="35" t="str">
        <f>IF(Account!$F112&lt;&gt;"", DATEVALUE(MID($A112,4,3) &amp; LEFT($A112,3) &amp; RIGHT($A112,4)) + TIMEVALUE($B112), "")</f>
        <v/>
      </c>
      <c r="P112" s="36" t="str">
        <f>IF(Account!$F112&lt;&gt;"", DATEVALUE(MID($C112,4,3) &amp; LEFT($C112,3) &amp; RIGHT($C112,4)), "")</f>
        <v/>
      </c>
      <c r="Q112" s="37" t="str">
        <f t="array" ref="Q112">IF($R112&lt;&gt;"",IFERROR(INDEX(ISIN!$B:$B,MATCH($R112,ISIN!$C:$C,0))),)</f>
        <v/>
      </c>
      <c r="R112" s="38" t="str">
        <f t="array" ref="R112">IF($E112&lt;&gt;""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7" t="str">
        <f t="shared" si="1"/>
        <v/>
      </c>
      <c r="T112" s="39" t="str">
        <f t="shared" si="2"/>
        <v/>
      </c>
      <c r="U112" s="40" t="str">
        <f t="shared" si="3"/>
        <v/>
      </c>
      <c r="V112" s="34" t="str">
        <f t="shared" si="4"/>
        <v/>
      </c>
      <c r="W112" s="41" t="str">
        <f>IFERROR(__xludf.DUMMYFUNCTION(" IF(Account!$F112&lt;&gt;"""", SPLIT(Account!$F112, "" ""), """")"),"")</f>
        <v/>
      </c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</row>
    <row r="113">
      <c r="A113" s="20"/>
      <c r="B113" s="20"/>
      <c r="C113" s="20"/>
      <c r="D113" s="20"/>
      <c r="E113" s="20"/>
      <c r="F113" s="21"/>
      <c r="G113" s="20"/>
      <c r="H113" s="20"/>
      <c r="I113" s="20"/>
      <c r="J113" s="20"/>
      <c r="K113" s="20"/>
      <c r="L113" s="21"/>
      <c r="M113" s="33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4" t="str">
        <f>IFERROR(__xludf.DUMMYFUNCTION("IF(Account!$F113&lt;&gt;"""", VALUE(REGEXREPLACE($I113, ""\,"", ""."")), """")"),"")</f>
        <v/>
      </c>
      <c r="O113" s="35" t="str">
        <f>IF(Account!$F113&lt;&gt;"", DATEVALUE(MID($A113,4,3) &amp; LEFT($A113,3) &amp; RIGHT($A113,4)) + TIMEVALUE($B113), "")</f>
        <v/>
      </c>
      <c r="P113" s="36" t="str">
        <f>IF(Account!$F113&lt;&gt;"", DATEVALUE(MID($C113,4,3) &amp; LEFT($C113,3) &amp; RIGHT($C113,4)), "")</f>
        <v/>
      </c>
      <c r="Q113" s="37" t="str">
        <f t="array" ref="Q113">IF($R113&lt;&gt;"",IFERROR(INDEX(ISIN!$B:$B,MATCH($R113,ISIN!$C:$C,0))),)</f>
        <v/>
      </c>
      <c r="R113" s="38" t="str">
        <f t="array" ref="R113">IF($E113&lt;&gt;""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7" t="str">
        <f t="shared" si="1"/>
        <v/>
      </c>
      <c r="T113" s="39" t="str">
        <f t="shared" si="2"/>
        <v/>
      </c>
      <c r="U113" s="40" t="str">
        <f t="shared" si="3"/>
        <v/>
      </c>
      <c r="V113" s="34" t="str">
        <f t="shared" si="4"/>
        <v/>
      </c>
      <c r="W113" s="41" t="str">
        <f>IFERROR(__xludf.DUMMYFUNCTION(" IF(Account!$F113&lt;&gt;"""", SPLIT(Account!$F113, "" ""), """")"),"")</f>
        <v/>
      </c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</row>
    <row r="114">
      <c r="A114" s="20"/>
      <c r="B114" s="20"/>
      <c r="C114" s="20"/>
      <c r="D114" s="20"/>
      <c r="E114" s="20"/>
      <c r="F114" s="21"/>
      <c r="G114" s="20"/>
      <c r="H114" s="20"/>
      <c r="I114" s="20"/>
      <c r="J114" s="20"/>
      <c r="K114" s="20"/>
      <c r="L114" s="21"/>
      <c r="M114" s="33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4" t="str">
        <f>IFERROR(__xludf.DUMMYFUNCTION("IF(Account!$F114&lt;&gt;"""", VALUE(REGEXREPLACE($I114, ""\,"", ""."")), """")"),"")</f>
        <v/>
      </c>
      <c r="O114" s="35" t="str">
        <f>IF(Account!$F114&lt;&gt;"", DATEVALUE(MID($A114,4,3) &amp; LEFT($A114,3) &amp; RIGHT($A114,4)) + TIMEVALUE($B114), "")</f>
        <v/>
      </c>
      <c r="P114" s="36" t="str">
        <f>IF(Account!$F114&lt;&gt;"", DATEVALUE(MID($C114,4,3) &amp; LEFT($C114,3) &amp; RIGHT($C114,4)), "")</f>
        <v/>
      </c>
      <c r="Q114" s="37" t="str">
        <f t="array" ref="Q114">IF($R114&lt;&gt;"",IFERROR(INDEX(ISIN!$B:$B,MATCH($R114,ISIN!$C:$C,0))),)</f>
        <v/>
      </c>
      <c r="R114" s="38" t="str">
        <f t="array" ref="R114">IF($E114&lt;&gt;""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7" t="str">
        <f t="shared" si="1"/>
        <v/>
      </c>
      <c r="T114" s="39" t="str">
        <f t="shared" si="2"/>
        <v/>
      </c>
      <c r="U114" s="40" t="str">
        <f t="shared" si="3"/>
        <v/>
      </c>
      <c r="V114" s="34" t="str">
        <f t="shared" si="4"/>
        <v/>
      </c>
      <c r="W114" s="41" t="str">
        <f>IFERROR(__xludf.DUMMYFUNCTION(" IF(Account!$F114&lt;&gt;"""", SPLIT(Account!$F114, "" ""), """")"),"")</f>
        <v/>
      </c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</row>
    <row r="115">
      <c r="A115" s="20"/>
      <c r="B115" s="20"/>
      <c r="C115" s="20"/>
      <c r="D115" s="20"/>
      <c r="E115" s="20"/>
      <c r="F115" s="21"/>
      <c r="G115" s="20"/>
      <c r="H115" s="20"/>
      <c r="I115" s="20"/>
      <c r="J115" s="20"/>
      <c r="K115" s="20"/>
      <c r="L115" s="21"/>
      <c r="M115" s="33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4" t="str">
        <f>IFERROR(__xludf.DUMMYFUNCTION("IF(Account!$F115&lt;&gt;"""", VALUE(REGEXREPLACE($I115, ""\,"", ""."")), """")"),"")</f>
        <v/>
      </c>
      <c r="O115" s="35" t="str">
        <f>IF(Account!$F115&lt;&gt;"", DATEVALUE(MID($A115,4,3) &amp; LEFT($A115,3) &amp; RIGHT($A115,4)) + TIMEVALUE($B115), "")</f>
        <v/>
      </c>
      <c r="P115" s="36" t="str">
        <f>IF(Account!$F115&lt;&gt;"", DATEVALUE(MID($C115,4,3) &amp; LEFT($C115,3) &amp; RIGHT($C115,4)), "")</f>
        <v/>
      </c>
      <c r="Q115" s="37" t="str">
        <f t="array" ref="Q115">IF($R115&lt;&gt;"",IFERROR(INDEX(ISIN!$B:$B,MATCH($R115,ISIN!$C:$C,0))),)</f>
        <v/>
      </c>
      <c r="R115" s="38" t="str">
        <f t="array" ref="R115">IF($E115&lt;&gt;""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7" t="str">
        <f t="shared" si="1"/>
        <v/>
      </c>
      <c r="T115" s="39" t="str">
        <f t="shared" si="2"/>
        <v/>
      </c>
      <c r="U115" s="40" t="str">
        <f t="shared" si="3"/>
        <v/>
      </c>
      <c r="V115" s="34" t="str">
        <f t="shared" si="4"/>
        <v/>
      </c>
      <c r="W115" s="41" t="str">
        <f>IFERROR(__xludf.DUMMYFUNCTION(" IF(Account!$F115&lt;&gt;"""", SPLIT(Account!$F115, "" ""), """")"),"")</f>
        <v/>
      </c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</row>
    <row r="116">
      <c r="A116" s="20"/>
      <c r="B116" s="20"/>
      <c r="C116" s="20"/>
      <c r="D116" s="20"/>
      <c r="E116" s="20"/>
      <c r="F116" s="21"/>
      <c r="G116" s="20"/>
      <c r="H116" s="20"/>
      <c r="I116" s="20"/>
      <c r="J116" s="20"/>
      <c r="K116" s="20"/>
      <c r="L116" s="21"/>
      <c r="M116" s="33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4" t="str">
        <f>IFERROR(__xludf.DUMMYFUNCTION("IF(Account!$F116&lt;&gt;"""", VALUE(REGEXREPLACE($I116, ""\,"", ""."")), """")"),"")</f>
        <v/>
      </c>
      <c r="O116" s="35" t="str">
        <f>IF(Account!$F116&lt;&gt;"", DATEVALUE(MID($A116,4,3) &amp; LEFT($A116,3) &amp; RIGHT($A116,4)) + TIMEVALUE($B116), "")</f>
        <v/>
      </c>
      <c r="P116" s="36" t="str">
        <f>IF(Account!$F116&lt;&gt;"", DATEVALUE(MID($C116,4,3) &amp; LEFT($C116,3) &amp; RIGHT($C116,4)), "")</f>
        <v/>
      </c>
      <c r="Q116" s="37" t="str">
        <f t="array" ref="Q116">IF($R116&lt;&gt;"",IFERROR(INDEX(ISIN!$B:$B,MATCH($R116,ISIN!$C:$C,0))),)</f>
        <v/>
      </c>
      <c r="R116" s="38" t="str">
        <f t="array" ref="R116">IF($E116&lt;&gt;""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7" t="str">
        <f t="shared" si="1"/>
        <v/>
      </c>
      <c r="T116" s="39" t="str">
        <f t="shared" si="2"/>
        <v/>
      </c>
      <c r="U116" s="40" t="str">
        <f t="shared" si="3"/>
        <v/>
      </c>
      <c r="V116" s="34" t="str">
        <f t="shared" si="4"/>
        <v/>
      </c>
      <c r="W116" s="41" t="str">
        <f>IFERROR(__xludf.DUMMYFUNCTION(" IF(Account!$F116&lt;&gt;"""", SPLIT(Account!$F116, "" ""), """")"),"")</f>
        <v/>
      </c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</row>
    <row r="117">
      <c r="A117" s="20"/>
      <c r="B117" s="20"/>
      <c r="C117" s="20"/>
      <c r="D117" s="20"/>
      <c r="E117" s="20"/>
      <c r="F117" s="21"/>
      <c r="G117" s="20"/>
      <c r="H117" s="20"/>
      <c r="I117" s="20"/>
      <c r="J117" s="20"/>
      <c r="K117" s="20"/>
      <c r="L117" s="21"/>
      <c r="M117" s="33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4" t="str">
        <f>IFERROR(__xludf.DUMMYFUNCTION("IF(Account!$F117&lt;&gt;"""", VALUE(REGEXREPLACE($I117, ""\,"", ""."")), """")"),"")</f>
        <v/>
      </c>
      <c r="O117" s="35" t="str">
        <f>IF(Account!$F117&lt;&gt;"", DATEVALUE(MID($A117,4,3) &amp; LEFT($A117,3) &amp; RIGHT($A117,4)) + TIMEVALUE($B117), "")</f>
        <v/>
      </c>
      <c r="P117" s="36" t="str">
        <f>IF(Account!$F117&lt;&gt;"", DATEVALUE(MID($C117,4,3) &amp; LEFT($C117,3) &amp; RIGHT($C117,4)), "")</f>
        <v/>
      </c>
      <c r="Q117" s="37" t="str">
        <f t="array" ref="Q117">IF($R117&lt;&gt;"",IFERROR(INDEX(ISIN!$B:$B,MATCH($R117,ISIN!$C:$C,0))),)</f>
        <v/>
      </c>
      <c r="R117" s="38" t="str">
        <f t="array" ref="R117">IF($E117&lt;&gt;""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7" t="str">
        <f t="shared" si="1"/>
        <v/>
      </c>
      <c r="T117" s="39" t="str">
        <f t="shared" si="2"/>
        <v/>
      </c>
      <c r="U117" s="40" t="str">
        <f t="shared" si="3"/>
        <v/>
      </c>
      <c r="V117" s="34" t="str">
        <f t="shared" si="4"/>
        <v/>
      </c>
      <c r="W117" s="41" t="str">
        <f>IFERROR(__xludf.DUMMYFUNCTION(" IF(Account!$F117&lt;&gt;"""", SPLIT(Account!$F117, "" ""), """")"),"")</f>
        <v/>
      </c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</row>
    <row r="118">
      <c r="A118" s="20"/>
      <c r="B118" s="20"/>
      <c r="C118" s="20"/>
      <c r="D118" s="20"/>
      <c r="E118" s="20"/>
      <c r="F118" s="21"/>
      <c r="G118" s="20"/>
      <c r="H118" s="20"/>
      <c r="I118" s="20"/>
      <c r="J118" s="20"/>
      <c r="K118" s="20"/>
      <c r="L118" s="21"/>
      <c r="M118" s="33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4" t="str">
        <f>IFERROR(__xludf.DUMMYFUNCTION("IF(Account!$F118&lt;&gt;"""", VALUE(REGEXREPLACE($I118, ""\,"", ""."")), """")"),"")</f>
        <v/>
      </c>
      <c r="O118" s="35" t="str">
        <f>IF(Account!$F118&lt;&gt;"", DATEVALUE(MID($A118,4,3) &amp; LEFT($A118,3) &amp; RIGHT($A118,4)) + TIMEVALUE($B118), "")</f>
        <v/>
      </c>
      <c r="P118" s="36" t="str">
        <f>IF(Account!$F118&lt;&gt;"", DATEVALUE(MID($C118,4,3) &amp; LEFT($C118,3) &amp; RIGHT($C118,4)), "")</f>
        <v/>
      </c>
      <c r="Q118" s="37" t="str">
        <f t="array" ref="Q118">IF($R118&lt;&gt;"",IFERROR(INDEX(ISIN!$B:$B,MATCH($R118,ISIN!$C:$C,0))),)</f>
        <v/>
      </c>
      <c r="R118" s="38" t="str">
        <f t="array" ref="R118">IF($E118&lt;&gt;""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7" t="str">
        <f t="shared" si="1"/>
        <v/>
      </c>
      <c r="T118" s="39" t="str">
        <f t="shared" si="2"/>
        <v/>
      </c>
      <c r="U118" s="40" t="str">
        <f t="shared" si="3"/>
        <v/>
      </c>
      <c r="V118" s="34" t="str">
        <f t="shared" si="4"/>
        <v/>
      </c>
      <c r="W118" s="41" t="str">
        <f>IFERROR(__xludf.DUMMYFUNCTION(" IF(Account!$F118&lt;&gt;"""", SPLIT(Account!$F118, "" ""), """")"),"")</f>
        <v/>
      </c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</row>
    <row r="119">
      <c r="A119" s="20"/>
      <c r="B119" s="20"/>
      <c r="C119" s="20"/>
      <c r="D119" s="20"/>
      <c r="E119" s="20"/>
      <c r="F119" s="21"/>
      <c r="G119" s="20"/>
      <c r="H119" s="20"/>
      <c r="I119" s="20"/>
      <c r="J119" s="20"/>
      <c r="K119" s="20"/>
      <c r="L119" s="21"/>
      <c r="M119" s="33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4" t="str">
        <f>IFERROR(__xludf.DUMMYFUNCTION("IF(Account!$F119&lt;&gt;"""", VALUE(REGEXREPLACE($I119, ""\,"", ""."")), """")"),"")</f>
        <v/>
      </c>
      <c r="O119" s="35" t="str">
        <f>IF(Account!$F119&lt;&gt;"", DATEVALUE(MID($A119,4,3) &amp; LEFT($A119,3) &amp; RIGHT($A119,4)) + TIMEVALUE($B119), "")</f>
        <v/>
      </c>
      <c r="P119" s="36" t="str">
        <f>IF(Account!$F119&lt;&gt;"", DATEVALUE(MID($C119,4,3) &amp; LEFT($C119,3) &amp; RIGHT($C119,4)), "")</f>
        <v/>
      </c>
      <c r="Q119" s="37" t="str">
        <f t="array" ref="Q119">IF($R119&lt;&gt;"",IFERROR(INDEX(ISIN!$B:$B,MATCH($R119,ISIN!$C:$C,0))),)</f>
        <v/>
      </c>
      <c r="R119" s="38" t="str">
        <f t="array" ref="R119">IF($E119&lt;&gt;""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7" t="str">
        <f t="shared" si="1"/>
        <v/>
      </c>
      <c r="T119" s="39" t="str">
        <f t="shared" si="2"/>
        <v/>
      </c>
      <c r="U119" s="40" t="str">
        <f t="shared" si="3"/>
        <v/>
      </c>
      <c r="V119" s="34" t="str">
        <f t="shared" si="4"/>
        <v/>
      </c>
      <c r="W119" s="41" t="str">
        <f>IFERROR(__xludf.DUMMYFUNCTION(" IF(Account!$F119&lt;&gt;"""", SPLIT(Account!$F119, "" ""), """")"),"")</f>
        <v/>
      </c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</row>
    <row r="120">
      <c r="A120" s="20"/>
      <c r="B120" s="20"/>
      <c r="C120" s="20"/>
      <c r="D120" s="20"/>
      <c r="E120" s="20"/>
      <c r="F120" s="21"/>
      <c r="G120" s="20"/>
      <c r="H120" s="20"/>
      <c r="I120" s="20"/>
      <c r="J120" s="20"/>
      <c r="K120" s="20"/>
      <c r="L120" s="21"/>
      <c r="M120" s="33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4" t="str">
        <f>IFERROR(__xludf.DUMMYFUNCTION("IF(Account!$F120&lt;&gt;"""", VALUE(REGEXREPLACE($I120, ""\,"", ""."")), """")"),"")</f>
        <v/>
      </c>
      <c r="O120" s="35" t="str">
        <f>IF(Account!$F120&lt;&gt;"", DATEVALUE(MID($A120,4,3) &amp; LEFT($A120,3) &amp; RIGHT($A120,4)) + TIMEVALUE($B120), "")</f>
        <v/>
      </c>
      <c r="P120" s="36" t="str">
        <f>IF(Account!$F120&lt;&gt;"", DATEVALUE(MID($C120,4,3) &amp; LEFT($C120,3) &amp; RIGHT($C120,4)), "")</f>
        <v/>
      </c>
      <c r="Q120" s="37" t="str">
        <f t="array" ref="Q120">IF($R120&lt;&gt;"",IFERROR(INDEX(ISIN!$B:$B,MATCH($R120,ISIN!$C:$C,0))),)</f>
        <v/>
      </c>
      <c r="R120" s="38" t="str">
        <f t="array" ref="R120">IF($E120&lt;&gt;""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7" t="str">
        <f t="shared" si="1"/>
        <v/>
      </c>
      <c r="T120" s="39" t="str">
        <f t="shared" si="2"/>
        <v/>
      </c>
      <c r="U120" s="40" t="str">
        <f t="shared" si="3"/>
        <v/>
      </c>
      <c r="V120" s="34" t="str">
        <f t="shared" si="4"/>
        <v/>
      </c>
      <c r="W120" s="41" t="str">
        <f>IFERROR(__xludf.DUMMYFUNCTION(" IF(Account!$F120&lt;&gt;"""", SPLIT(Account!$F120, "" ""), """")"),"")</f>
        <v/>
      </c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</row>
    <row r="121">
      <c r="A121" s="20"/>
      <c r="B121" s="20"/>
      <c r="C121" s="20"/>
      <c r="D121" s="20"/>
      <c r="E121" s="20"/>
      <c r="F121" s="21"/>
      <c r="G121" s="20"/>
      <c r="H121" s="20"/>
      <c r="I121" s="20"/>
      <c r="J121" s="20"/>
      <c r="K121" s="20"/>
      <c r="L121" s="21"/>
      <c r="M121" s="33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4" t="str">
        <f>IFERROR(__xludf.DUMMYFUNCTION("IF(Account!$F121&lt;&gt;"""", VALUE(REGEXREPLACE($I121, ""\,"", ""."")), """")"),"")</f>
        <v/>
      </c>
      <c r="O121" s="35" t="str">
        <f>IF(Account!$F121&lt;&gt;"", DATEVALUE(MID($A121,4,3) &amp; LEFT($A121,3) &amp; RIGHT($A121,4)) + TIMEVALUE($B121), "")</f>
        <v/>
      </c>
      <c r="P121" s="36" t="str">
        <f>IF(Account!$F121&lt;&gt;"", DATEVALUE(MID($C121,4,3) &amp; LEFT($C121,3) &amp; RIGHT($C121,4)), "")</f>
        <v/>
      </c>
      <c r="Q121" s="37" t="str">
        <f t="array" ref="Q121">IF($R121&lt;&gt;"",IFERROR(INDEX(ISIN!$B:$B,MATCH($R121,ISIN!$C:$C,0))),)</f>
        <v/>
      </c>
      <c r="R121" s="38" t="str">
        <f t="array" ref="R121">IF($E121&lt;&gt;""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7" t="str">
        <f t="shared" si="1"/>
        <v/>
      </c>
      <c r="T121" s="39" t="str">
        <f t="shared" si="2"/>
        <v/>
      </c>
      <c r="U121" s="40" t="str">
        <f t="shared" si="3"/>
        <v/>
      </c>
      <c r="V121" s="34" t="str">
        <f t="shared" si="4"/>
        <v/>
      </c>
      <c r="W121" s="41" t="str">
        <f>IFERROR(__xludf.DUMMYFUNCTION(" IF(Account!$F121&lt;&gt;"""", SPLIT(Account!$F121, "" ""), """")"),"")</f>
        <v/>
      </c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>
      <c r="A122" s="20"/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1"/>
      <c r="M122" s="33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4" t="str">
        <f>IFERROR(__xludf.DUMMYFUNCTION("IF(Account!$F122&lt;&gt;"""", VALUE(REGEXREPLACE($I122, ""\,"", ""."")), """")"),"")</f>
        <v/>
      </c>
      <c r="O122" s="35" t="str">
        <f>IF(Account!$F122&lt;&gt;"", DATEVALUE(MID($A122,4,3) &amp; LEFT($A122,3) &amp; RIGHT($A122,4)) + TIMEVALUE($B122), "")</f>
        <v/>
      </c>
      <c r="P122" s="36" t="str">
        <f>IF(Account!$F122&lt;&gt;"", DATEVALUE(MID($C122,4,3) &amp; LEFT($C122,3) &amp; RIGHT($C122,4)), "")</f>
        <v/>
      </c>
      <c r="Q122" s="37" t="str">
        <f t="array" ref="Q122">IF($R122&lt;&gt;"",IFERROR(INDEX(ISIN!$B:$B,MATCH($R122,ISIN!$C:$C,0))),)</f>
        <v/>
      </c>
      <c r="R122" s="38" t="str">
        <f t="array" ref="R122">IF($E122&lt;&gt;""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7" t="str">
        <f t="shared" si="1"/>
        <v/>
      </c>
      <c r="T122" s="39" t="str">
        <f t="shared" si="2"/>
        <v/>
      </c>
      <c r="U122" s="40" t="str">
        <f t="shared" si="3"/>
        <v/>
      </c>
      <c r="V122" s="34" t="str">
        <f t="shared" si="4"/>
        <v/>
      </c>
      <c r="W122" s="41" t="str">
        <f>IFERROR(__xludf.DUMMYFUNCTION(" IF(Account!$F122&lt;&gt;"""", SPLIT(Account!$F122, "" ""), """")"),"")</f>
        <v/>
      </c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  <row r="123">
      <c r="A123" s="20"/>
      <c r="B123" s="20"/>
      <c r="C123" s="20"/>
      <c r="D123" s="20"/>
      <c r="E123" s="20"/>
      <c r="F123" s="21"/>
      <c r="G123" s="20"/>
      <c r="H123" s="20"/>
      <c r="I123" s="20"/>
      <c r="J123" s="20"/>
      <c r="K123" s="20"/>
      <c r="L123" s="21"/>
      <c r="M123" s="33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4" t="str">
        <f>IFERROR(__xludf.DUMMYFUNCTION("IF(Account!$F123&lt;&gt;"""", VALUE(REGEXREPLACE($I123, ""\,"", ""."")), """")"),"")</f>
        <v/>
      </c>
      <c r="O123" s="35" t="str">
        <f>IF(Account!$F123&lt;&gt;"", DATEVALUE(MID($A123,4,3) &amp; LEFT($A123,3) &amp; RIGHT($A123,4)) + TIMEVALUE($B123), "")</f>
        <v/>
      </c>
      <c r="P123" s="36" t="str">
        <f>IF(Account!$F123&lt;&gt;"", DATEVALUE(MID($C123,4,3) &amp; LEFT($C123,3) &amp; RIGHT($C123,4)), "")</f>
        <v/>
      </c>
      <c r="Q123" s="37" t="str">
        <f t="array" ref="Q123">IF($R123&lt;&gt;"",IFERROR(INDEX(ISIN!$B:$B,MATCH($R123,ISIN!$C:$C,0))),)</f>
        <v/>
      </c>
      <c r="R123" s="38" t="str">
        <f t="array" ref="R123">IF($E123&lt;&gt;""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7" t="str">
        <f t="shared" si="1"/>
        <v/>
      </c>
      <c r="T123" s="39" t="str">
        <f t="shared" si="2"/>
        <v/>
      </c>
      <c r="U123" s="40" t="str">
        <f t="shared" si="3"/>
        <v/>
      </c>
      <c r="V123" s="34" t="str">
        <f t="shared" si="4"/>
        <v/>
      </c>
      <c r="W123" s="41" t="str">
        <f>IFERROR(__xludf.DUMMYFUNCTION(" IF(Account!$F123&lt;&gt;"""", SPLIT(Account!$F123, "" ""), """")"),"")</f>
        <v/>
      </c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</row>
    <row r="124">
      <c r="A124" s="20"/>
      <c r="B124" s="20"/>
      <c r="C124" s="20"/>
      <c r="D124" s="20"/>
      <c r="E124" s="20"/>
      <c r="F124" s="21"/>
      <c r="G124" s="20"/>
      <c r="H124" s="20"/>
      <c r="I124" s="20"/>
      <c r="J124" s="20"/>
      <c r="K124" s="20"/>
      <c r="L124" s="21"/>
      <c r="M124" s="33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4" t="str">
        <f>IFERROR(__xludf.DUMMYFUNCTION("IF(Account!$F124&lt;&gt;"""", VALUE(REGEXREPLACE($I124, ""\,"", ""."")), """")"),"")</f>
        <v/>
      </c>
      <c r="O124" s="35" t="str">
        <f>IF(Account!$F124&lt;&gt;"", DATEVALUE(MID($A124,4,3) &amp; LEFT($A124,3) &amp; RIGHT($A124,4)) + TIMEVALUE($B124), "")</f>
        <v/>
      </c>
      <c r="P124" s="36" t="str">
        <f>IF(Account!$F124&lt;&gt;"", DATEVALUE(MID($C124,4,3) &amp; LEFT($C124,3) &amp; RIGHT($C124,4)), "")</f>
        <v/>
      </c>
      <c r="Q124" s="37" t="str">
        <f t="array" ref="Q124">IF($R124&lt;&gt;"",IFERROR(INDEX(ISIN!$B:$B,MATCH($R124,ISIN!$C:$C,0))),)</f>
        <v/>
      </c>
      <c r="R124" s="38" t="str">
        <f t="array" ref="R124">IF($E124&lt;&gt;""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7" t="str">
        <f t="shared" si="1"/>
        <v/>
      </c>
      <c r="T124" s="39" t="str">
        <f t="shared" si="2"/>
        <v/>
      </c>
      <c r="U124" s="40" t="str">
        <f t="shared" si="3"/>
        <v/>
      </c>
      <c r="V124" s="34" t="str">
        <f t="shared" si="4"/>
        <v/>
      </c>
      <c r="W124" s="41" t="str">
        <f>IFERROR(__xludf.DUMMYFUNCTION(" IF(Account!$F124&lt;&gt;"""", SPLIT(Account!$F124, "" ""), """")"),"")</f>
        <v/>
      </c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</row>
    <row r="125">
      <c r="A125" s="20"/>
      <c r="B125" s="20"/>
      <c r="C125" s="20"/>
      <c r="D125" s="20"/>
      <c r="E125" s="20"/>
      <c r="F125" s="21"/>
      <c r="G125" s="20"/>
      <c r="H125" s="20"/>
      <c r="I125" s="20"/>
      <c r="J125" s="20"/>
      <c r="K125" s="20"/>
      <c r="L125" s="21"/>
      <c r="M125" s="33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4" t="str">
        <f>IFERROR(__xludf.DUMMYFUNCTION("IF(Account!$F125&lt;&gt;"""", VALUE(REGEXREPLACE($I125, ""\,"", ""."")), """")"),"")</f>
        <v/>
      </c>
      <c r="O125" s="35" t="str">
        <f>IF(Account!$F125&lt;&gt;"", DATEVALUE(MID($A125,4,3) &amp; LEFT($A125,3) &amp; RIGHT($A125,4)) + TIMEVALUE($B125), "")</f>
        <v/>
      </c>
      <c r="P125" s="36" t="str">
        <f>IF(Account!$F125&lt;&gt;"", DATEVALUE(MID($C125,4,3) &amp; LEFT($C125,3) &amp; RIGHT($C125,4)), "")</f>
        <v/>
      </c>
      <c r="Q125" s="37" t="str">
        <f t="array" ref="Q125">IF($R125&lt;&gt;"",IFERROR(INDEX(ISIN!$B:$B,MATCH($R125,ISIN!$C:$C,0))),)</f>
        <v/>
      </c>
      <c r="R125" s="38" t="str">
        <f t="array" ref="R125">IF($E125&lt;&gt;""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7" t="str">
        <f t="shared" si="1"/>
        <v/>
      </c>
      <c r="T125" s="39" t="str">
        <f t="shared" si="2"/>
        <v/>
      </c>
      <c r="U125" s="40" t="str">
        <f t="shared" si="3"/>
        <v/>
      </c>
      <c r="V125" s="34" t="str">
        <f t="shared" si="4"/>
        <v/>
      </c>
      <c r="W125" s="41" t="str">
        <f>IFERROR(__xludf.DUMMYFUNCTION(" IF(Account!$F125&lt;&gt;"""", SPLIT(Account!$F125, "" ""), """")"),"")</f>
        <v/>
      </c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</row>
    <row r="126">
      <c r="A126" s="20"/>
      <c r="B126" s="20"/>
      <c r="C126" s="20"/>
      <c r="D126" s="20"/>
      <c r="E126" s="20"/>
      <c r="F126" s="21"/>
      <c r="G126" s="20"/>
      <c r="H126" s="20"/>
      <c r="I126" s="20"/>
      <c r="J126" s="20"/>
      <c r="K126" s="20"/>
      <c r="L126" s="21"/>
      <c r="M126" s="33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4" t="str">
        <f>IFERROR(__xludf.DUMMYFUNCTION("IF(Account!$F126&lt;&gt;"""", VALUE(REGEXREPLACE($I126, ""\,"", ""."")), """")"),"")</f>
        <v/>
      </c>
      <c r="O126" s="35" t="str">
        <f>IF(Account!$F126&lt;&gt;"", DATEVALUE(MID($A126,4,3) &amp; LEFT($A126,3) &amp; RIGHT($A126,4)) + TIMEVALUE($B126), "")</f>
        <v/>
      </c>
      <c r="P126" s="36" t="str">
        <f>IF(Account!$F126&lt;&gt;"", DATEVALUE(MID($C126,4,3) &amp; LEFT($C126,3) &amp; RIGHT($C126,4)), "")</f>
        <v/>
      </c>
      <c r="Q126" s="37" t="str">
        <f t="array" ref="Q126">IF($R126&lt;&gt;"",IFERROR(INDEX(ISIN!$B:$B,MATCH($R126,ISIN!$C:$C,0))),)</f>
        <v/>
      </c>
      <c r="R126" s="38" t="str">
        <f t="array" ref="R126">IF($E126&lt;&gt;""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7" t="str">
        <f t="shared" si="1"/>
        <v/>
      </c>
      <c r="T126" s="39" t="str">
        <f t="shared" si="2"/>
        <v/>
      </c>
      <c r="U126" s="40" t="str">
        <f t="shared" si="3"/>
        <v/>
      </c>
      <c r="V126" s="34" t="str">
        <f t="shared" si="4"/>
        <v/>
      </c>
      <c r="W126" s="41" t="str">
        <f>IFERROR(__xludf.DUMMYFUNCTION(" IF(Account!$F126&lt;&gt;"""", SPLIT(Account!$F126, "" ""), """")"),"")</f>
        <v/>
      </c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</row>
    <row r="127">
      <c r="A127" s="20"/>
      <c r="B127" s="20"/>
      <c r="C127" s="20"/>
      <c r="D127" s="20"/>
      <c r="E127" s="20"/>
      <c r="F127" s="21"/>
      <c r="G127" s="20"/>
      <c r="H127" s="20"/>
      <c r="I127" s="20"/>
      <c r="J127" s="20"/>
      <c r="K127" s="20"/>
      <c r="L127" s="21"/>
      <c r="M127" s="33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4" t="str">
        <f>IFERROR(__xludf.DUMMYFUNCTION("IF(Account!$F127&lt;&gt;"""", VALUE(REGEXREPLACE($I127, ""\,"", ""."")), """")"),"")</f>
        <v/>
      </c>
      <c r="O127" s="35" t="str">
        <f>IF(Account!$F127&lt;&gt;"", DATEVALUE(MID($A127,4,3) &amp; LEFT($A127,3) &amp; RIGHT($A127,4)) + TIMEVALUE($B127), "")</f>
        <v/>
      </c>
      <c r="P127" s="36" t="str">
        <f>IF(Account!$F127&lt;&gt;"", DATEVALUE(MID($C127,4,3) &amp; LEFT($C127,3) &amp; RIGHT($C127,4)), "")</f>
        <v/>
      </c>
      <c r="Q127" s="37" t="str">
        <f t="array" ref="Q127">IF($R127&lt;&gt;"",IFERROR(INDEX(ISIN!$B:$B,MATCH($R127,ISIN!$C:$C,0))),)</f>
        <v/>
      </c>
      <c r="R127" s="38" t="str">
        <f t="array" ref="R127">IF($E127&lt;&gt;""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7" t="str">
        <f t="shared" si="1"/>
        <v/>
      </c>
      <c r="T127" s="39" t="str">
        <f t="shared" si="2"/>
        <v/>
      </c>
      <c r="U127" s="40" t="str">
        <f t="shared" si="3"/>
        <v/>
      </c>
      <c r="V127" s="34" t="str">
        <f t="shared" si="4"/>
        <v/>
      </c>
      <c r="W127" s="41" t="str">
        <f>IFERROR(__xludf.DUMMYFUNCTION(" IF(Account!$F127&lt;&gt;"""", SPLIT(Account!$F127, "" ""), """")"),"")</f>
        <v/>
      </c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</row>
    <row r="128">
      <c r="A128" s="20"/>
      <c r="B128" s="20"/>
      <c r="C128" s="20"/>
      <c r="D128" s="20"/>
      <c r="E128" s="20"/>
      <c r="F128" s="21"/>
      <c r="G128" s="20"/>
      <c r="H128" s="20"/>
      <c r="I128" s="20"/>
      <c r="J128" s="20"/>
      <c r="K128" s="20"/>
      <c r="L128" s="21"/>
      <c r="M128" s="33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4" t="str">
        <f>IFERROR(__xludf.DUMMYFUNCTION("IF(Account!$F128&lt;&gt;"""", VALUE(REGEXREPLACE($I128, ""\,"", ""."")), """")"),"")</f>
        <v/>
      </c>
      <c r="O128" s="35" t="str">
        <f>IF(Account!$F128&lt;&gt;"", DATEVALUE(MID($A128,4,3) &amp; LEFT($A128,3) &amp; RIGHT($A128,4)) + TIMEVALUE($B128), "")</f>
        <v/>
      </c>
      <c r="P128" s="36" t="str">
        <f>IF(Account!$F128&lt;&gt;"", DATEVALUE(MID($C128,4,3) &amp; LEFT($C128,3) &amp; RIGHT($C128,4)), "")</f>
        <v/>
      </c>
      <c r="Q128" s="37" t="str">
        <f t="array" ref="Q128">IF($R128&lt;&gt;"",IFERROR(INDEX(ISIN!$B:$B,MATCH($R128,ISIN!$C:$C,0))),)</f>
        <v/>
      </c>
      <c r="R128" s="38" t="str">
        <f t="array" ref="R128">IF($E128&lt;&gt;""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7" t="str">
        <f t="shared" si="1"/>
        <v/>
      </c>
      <c r="T128" s="39" t="str">
        <f t="shared" si="2"/>
        <v/>
      </c>
      <c r="U128" s="40" t="str">
        <f t="shared" si="3"/>
        <v/>
      </c>
      <c r="V128" s="34" t="str">
        <f t="shared" si="4"/>
        <v/>
      </c>
      <c r="W128" s="41" t="str">
        <f>IFERROR(__xludf.DUMMYFUNCTION(" IF(Account!$F128&lt;&gt;"""", SPLIT(Account!$F128, "" ""), """")"),"")</f>
        <v/>
      </c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</row>
    <row r="129">
      <c r="A129" s="20"/>
      <c r="B129" s="20"/>
      <c r="C129" s="20"/>
      <c r="D129" s="20"/>
      <c r="E129" s="20"/>
      <c r="F129" s="21"/>
      <c r="G129" s="20"/>
      <c r="H129" s="20"/>
      <c r="I129" s="20"/>
      <c r="J129" s="20"/>
      <c r="K129" s="20"/>
      <c r="L129" s="21"/>
      <c r="M129" s="33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4" t="str">
        <f>IFERROR(__xludf.DUMMYFUNCTION("IF(Account!$F129&lt;&gt;"""", VALUE(REGEXREPLACE($I129, ""\,"", ""."")), """")"),"")</f>
        <v/>
      </c>
      <c r="O129" s="35" t="str">
        <f>IF(Account!$F129&lt;&gt;"", DATEVALUE(MID($A129,4,3) &amp; LEFT($A129,3) &amp; RIGHT($A129,4)) + TIMEVALUE($B129), "")</f>
        <v/>
      </c>
      <c r="P129" s="36" t="str">
        <f>IF(Account!$F129&lt;&gt;"", DATEVALUE(MID($C129,4,3) &amp; LEFT($C129,3) &amp; RIGHT($C129,4)), "")</f>
        <v/>
      </c>
      <c r="Q129" s="37" t="str">
        <f t="array" ref="Q129">IF($R129&lt;&gt;"",IFERROR(INDEX(ISIN!$B:$B,MATCH($R129,ISIN!$C:$C,0))),)</f>
        <v/>
      </c>
      <c r="R129" s="38" t="str">
        <f t="array" ref="R129">IF($E129&lt;&gt;""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7" t="str">
        <f t="shared" si="1"/>
        <v/>
      </c>
      <c r="T129" s="39" t="str">
        <f t="shared" si="2"/>
        <v/>
      </c>
      <c r="U129" s="40" t="str">
        <f t="shared" si="3"/>
        <v/>
      </c>
      <c r="V129" s="34" t="str">
        <f t="shared" si="4"/>
        <v/>
      </c>
      <c r="W129" s="41" t="str">
        <f>IFERROR(__xludf.DUMMYFUNCTION(" IF(Account!$F129&lt;&gt;"""", SPLIT(Account!$F129, "" ""), """")"),"")</f>
        <v/>
      </c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</row>
    <row r="130">
      <c r="A130" s="20"/>
      <c r="B130" s="20"/>
      <c r="C130" s="20"/>
      <c r="D130" s="20"/>
      <c r="E130" s="20"/>
      <c r="F130" s="21"/>
      <c r="G130" s="20"/>
      <c r="H130" s="20"/>
      <c r="I130" s="20"/>
      <c r="J130" s="20"/>
      <c r="K130" s="20"/>
      <c r="L130" s="21"/>
      <c r="M130" s="33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4" t="str">
        <f>IFERROR(__xludf.DUMMYFUNCTION("IF(Account!$F130&lt;&gt;"""", VALUE(REGEXREPLACE($I130, ""\,"", ""."")), """")"),"")</f>
        <v/>
      </c>
      <c r="O130" s="35" t="str">
        <f>IF(Account!$F130&lt;&gt;"", DATEVALUE(MID($A130,4,3) &amp; LEFT($A130,3) &amp; RIGHT($A130,4)) + TIMEVALUE($B130), "")</f>
        <v/>
      </c>
      <c r="P130" s="36" t="str">
        <f>IF(Account!$F130&lt;&gt;"", DATEVALUE(MID($C130,4,3) &amp; LEFT($C130,3) &amp; RIGHT($C130,4)), "")</f>
        <v/>
      </c>
      <c r="Q130" s="37" t="str">
        <f t="array" ref="Q130">IF($R130&lt;&gt;"",IFERROR(INDEX(ISIN!$B:$B,MATCH($R130,ISIN!$C:$C,0))),)</f>
        <v/>
      </c>
      <c r="R130" s="38" t="str">
        <f t="array" ref="R130">IF($E130&lt;&gt;""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7" t="str">
        <f t="shared" si="1"/>
        <v/>
      </c>
      <c r="T130" s="39" t="str">
        <f t="shared" si="2"/>
        <v/>
      </c>
      <c r="U130" s="40" t="str">
        <f t="shared" si="3"/>
        <v/>
      </c>
      <c r="V130" s="34" t="str">
        <f t="shared" si="4"/>
        <v/>
      </c>
      <c r="W130" s="41" t="str">
        <f>IFERROR(__xludf.DUMMYFUNCTION(" IF(Account!$F130&lt;&gt;"""", SPLIT(Account!$F130, "" ""), """")"),"")</f>
        <v/>
      </c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</row>
    <row r="131">
      <c r="A131" s="20"/>
      <c r="B131" s="20"/>
      <c r="C131" s="20"/>
      <c r="D131" s="20"/>
      <c r="E131" s="20"/>
      <c r="F131" s="21"/>
      <c r="G131" s="20"/>
      <c r="H131" s="20"/>
      <c r="I131" s="20"/>
      <c r="J131" s="20"/>
      <c r="K131" s="20"/>
      <c r="L131" s="21"/>
      <c r="M131" s="33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4" t="str">
        <f>IFERROR(__xludf.DUMMYFUNCTION("IF(Account!$F131&lt;&gt;"""", VALUE(REGEXREPLACE($I131, ""\,"", ""."")), """")"),"")</f>
        <v/>
      </c>
      <c r="O131" s="35" t="str">
        <f>IF(Account!$F131&lt;&gt;"", DATEVALUE(MID($A131,4,3) &amp; LEFT($A131,3) &amp; RIGHT($A131,4)) + TIMEVALUE($B131), "")</f>
        <v/>
      </c>
      <c r="P131" s="36" t="str">
        <f>IF(Account!$F131&lt;&gt;"", DATEVALUE(MID($C131,4,3) &amp; LEFT($C131,3) &amp; RIGHT($C131,4)), "")</f>
        <v/>
      </c>
      <c r="Q131" s="37" t="str">
        <f t="array" ref="Q131">IF($R131&lt;&gt;"",IFERROR(INDEX(ISIN!$B:$B,MATCH($R131,ISIN!$C:$C,0))),)</f>
        <v/>
      </c>
      <c r="R131" s="38" t="str">
        <f t="array" ref="R131">IF($E131&lt;&gt;""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7" t="str">
        <f t="shared" si="1"/>
        <v/>
      </c>
      <c r="T131" s="39" t="str">
        <f t="shared" si="2"/>
        <v/>
      </c>
      <c r="U131" s="40" t="str">
        <f t="shared" si="3"/>
        <v/>
      </c>
      <c r="V131" s="34" t="str">
        <f t="shared" si="4"/>
        <v/>
      </c>
      <c r="W131" s="41" t="str">
        <f>IFERROR(__xludf.DUMMYFUNCTION(" IF(Account!$F131&lt;&gt;"""", SPLIT(Account!$F131, "" ""), """")"),"")</f>
        <v/>
      </c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</row>
    <row r="132">
      <c r="A132" s="20"/>
      <c r="B132" s="20"/>
      <c r="C132" s="20"/>
      <c r="D132" s="20"/>
      <c r="E132" s="20"/>
      <c r="F132" s="21"/>
      <c r="G132" s="20"/>
      <c r="H132" s="20"/>
      <c r="I132" s="20"/>
      <c r="J132" s="20"/>
      <c r="K132" s="20"/>
      <c r="L132" s="21"/>
      <c r="M132" s="33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4" t="str">
        <f>IFERROR(__xludf.DUMMYFUNCTION("IF(Account!$F132&lt;&gt;"""", VALUE(REGEXREPLACE($I132, ""\,"", ""."")), """")"),"")</f>
        <v/>
      </c>
      <c r="O132" s="35" t="str">
        <f>IF(Account!$F132&lt;&gt;"", DATEVALUE(MID($A132,4,3) &amp; LEFT($A132,3) &amp; RIGHT($A132,4)) + TIMEVALUE($B132), "")</f>
        <v/>
      </c>
      <c r="P132" s="36" t="str">
        <f>IF(Account!$F132&lt;&gt;"", DATEVALUE(MID($C132,4,3) &amp; LEFT($C132,3) &amp; RIGHT($C132,4)), "")</f>
        <v/>
      </c>
      <c r="Q132" s="37" t="str">
        <f t="array" ref="Q132">IF($R132&lt;&gt;"",IFERROR(INDEX(ISIN!$B:$B,MATCH($R132,ISIN!$C:$C,0))),)</f>
        <v/>
      </c>
      <c r="R132" s="38" t="str">
        <f t="array" ref="R132">IF($E132&lt;&gt;""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7" t="str">
        <f t="shared" si="1"/>
        <v/>
      </c>
      <c r="T132" s="39" t="str">
        <f t="shared" si="2"/>
        <v/>
      </c>
      <c r="U132" s="40" t="str">
        <f t="shared" si="3"/>
        <v/>
      </c>
      <c r="V132" s="34" t="str">
        <f t="shared" si="4"/>
        <v/>
      </c>
      <c r="W132" s="41" t="str">
        <f>IFERROR(__xludf.DUMMYFUNCTION(" IF(Account!$F132&lt;&gt;"""", SPLIT(Account!$F132, "" ""), """")"),"")</f>
        <v/>
      </c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</row>
    <row r="133">
      <c r="A133" s="20"/>
      <c r="B133" s="20"/>
      <c r="C133" s="20"/>
      <c r="D133" s="20"/>
      <c r="E133" s="20"/>
      <c r="F133" s="21"/>
      <c r="G133" s="20"/>
      <c r="H133" s="20"/>
      <c r="I133" s="20"/>
      <c r="J133" s="20"/>
      <c r="K133" s="20"/>
      <c r="L133" s="21"/>
      <c r="M133" s="33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4" t="str">
        <f>IFERROR(__xludf.DUMMYFUNCTION("IF(Account!$F133&lt;&gt;"""", VALUE(REGEXREPLACE($I133, ""\,"", ""."")), """")"),"")</f>
        <v/>
      </c>
      <c r="O133" s="35" t="str">
        <f>IF(Account!$F133&lt;&gt;"", DATEVALUE(MID($A133,4,3) &amp; LEFT($A133,3) &amp; RIGHT($A133,4)) + TIMEVALUE($B133), "")</f>
        <v/>
      </c>
      <c r="P133" s="36" t="str">
        <f>IF(Account!$F133&lt;&gt;"", DATEVALUE(MID($C133,4,3) &amp; LEFT($C133,3) &amp; RIGHT($C133,4)), "")</f>
        <v/>
      </c>
      <c r="Q133" s="37" t="str">
        <f t="array" ref="Q133">IF($R133&lt;&gt;"",IFERROR(INDEX(ISIN!$B:$B,MATCH($R133,ISIN!$C:$C,0))),)</f>
        <v/>
      </c>
      <c r="R133" s="38" t="str">
        <f t="array" ref="R133">IF($E133&lt;&gt;""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7" t="str">
        <f t="shared" si="1"/>
        <v/>
      </c>
      <c r="T133" s="39" t="str">
        <f t="shared" si="2"/>
        <v/>
      </c>
      <c r="U133" s="40" t="str">
        <f t="shared" si="3"/>
        <v/>
      </c>
      <c r="V133" s="34" t="str">
        <f t="shared" si="4"/>
        <v/>
      </c>
      <c r="W133" s="41" t="str">
        <f>IFERROR(__xludf.DUMMYFUNCTION(" IF(Account!$F133&lt;&gt;"""", SPLIT(Account!$F133, "" ""), """")"),"")</f>
        <v/>
      </c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</row>
    <row r="134">
      <c r="A134" s="20"/>
      <c r="B134" s="20"/>
      <c r="C134" s="20"/>
      <c r="D134" s="20"/>
      <c r="E134" s="20"/>
      <c r="F134" s="21"/>
      <c r="G134" s="20"/>
      <c r="H134" s="20"/>
      <c r="I134" s="20"/>
      <c r="J134" s="20"/>
      <c r="K134" s="20"/>
      <c r="L134" s="21"/>
      <c r="M134" s="33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4" t="str">
        <f>IFERROR(__xludf.DUMMYFUNCTION("IF(Account!$F134&lt;&gt;"""", VALUE(REGEXREPLACE($I134, ""\,"", ""."")), """")"),"")</f>
        <v/>
      </c>
      <c r="O134" s="35" t="str">
        <f>IF(Account!$F134&lt;&gt;"", DATEVALUE(MID($A134,4,3) &amp; LEFT($A134,3) &amp; RIGHT($A134,4)) + TIMEVALUE($B134), "")</f>
        <v/>
      </c>
      <c r="P134" s="36" t="str">
        <f>IF(Account!$F134&lt;&gt;"", DATEVALUE(MID($C134,4,3) &amp; LEFT($C134,3) &amp; RIGHT($C134,4)), "")</f>
        <v/>
      </c>
      <c r="Q134" s="37" t="str">
        <f t="array" ref="Q134">IF($R134&lt;&gt;"",IFERROR(INDEX(ISIN!$B:$B,MATCH($R134,ISIN!$C:$C,0))),)</f>
        <v/>
      </c>
      <c r="R134" s="38" t="str">
        <f t="array" ref="R134">IF($E134&lt;&gt;""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7" t="str">
        <f t="shared" si="1"/>
        <v/>
      </c>
      <c r="T134" s="39" t="str">
        <f t="shared" si="2"/>
        <v/>
      </c>
      <c r="U134" s="40" t="str">
        <f t="shared" si="3"/>
        <v/>
      </c>
      <c r="V134" s="34" t="str">
        <f t="shared" si="4"/>
        <v/>
      </c>
      <c r="W134" s="41" t="str">
        <f>IFERROR(__xludf.DUMMYFUNCTION(" IF(Account!$F134&lt;&gt;"""", SPLIT(Account!$F134, "" ""), """")"),"")</f>
        <v/>
      </c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</row>
    <row r="135">
      <c r="A135" s="20"/>
      <c r="B135" s="20"/>
      <c r="C135" s="20"/>
      <c r="D135" s="20"/>
      <c r="E135" s="20"/>
      <c r="F135" s="21"/>
      <c r="G135" s="20"/>
      <c r="H135" s="20"/>
      <c r="I135" s="20"/>
      <c r="J135" s="20"/>
      <c r="K135" s="20"/>
      <c r="L135" s="21"/>
      <c r="M135" s="33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4" t="str">
        <f>IFERROR(__xludf.DUMMYFUNCTION("IF(Account!$F135&lt;&gt;"""", VALUE(REGEXREPLACE($I135, ""\,"", ""."")), """")"),"")</f>
        <v/>
      </c>
      <c r="O135" s="35" t="str">
        <f>IF(Account!$F135&lt;&gt;"", DATEVALUE(MID($A135,4,3) &amp; LEFT($A135,3) &amp; RIGHT($A135,4)) + TIMEVALUE($B135), "")</f>
        <v/>
      </c>
      <c r="P135" s="36" t="str">
        <f>IF(Account!$F135&lt;&gt;"", DATEVALUE(MID($C135,4,3) &amp; LEFT($C135,3) &amp; RIGHT($C135,4)), "")</f>
        <v/>
      </c>
      <c r="Q135" s="37" t="str">
        <f t="array" ref="Q135">IF($R135&lt;&gt;"",IFERROR(INDEX(ISIN!$B:$B,MATCH($R135,ISIN!$C:$C,0))),)</f>
        <v/>
      </c>
      <c r="R135" s="38" t="str">
        <f t="array" ref="R135">IF($E135&lt;&gt;""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7" t="str">
        <f t="shared" si="1"/>
        <v/>
      </c>
      <c r="T135" s="39" t="str">
        <f t="shared" si="2"/>
        <v/>
      </c>
      <c r="U135" s="40" t="str">
        <f t="shared" si="3"/>
        <v/>
      </c>
      <c r="V135" s="34" t="str">
        <f t="shared" si="4"/>
        <v/>
      </c>
      <c r="W135" s="41" t="str">
        <f>IFERROR(__xludf.DUMMYFUNCTION(" IF(Account!$F135&lt;&gt;"""", SPLIT(Account!$F135, "" ""), """")"),"")</f>
        <v/>
      </c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</row>
    <row r="136">
      <c r="A136" s="20"/>
      <c r="B136" s="20"/>
      <c r="C136" s="20"/>
      <c r="D136" s="20"/>
      <c r="E136" s="20"/>
      <c r="F136" s="21"/>
      <c r="G136" s="20"/>
      <c r="H136" s="20"/>
      <c r="I136" s="20"/>
      <c r="J136" s="20"/>
      <c r="K136" s="20"/>
      <c r="L136" s="21"/>
      <c r="M136" s="33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4" t="str">
        <f>IFERROR(__xludf.DUMMYFUNCTION("IF(Account!$F136&lt;&gt;"""", VALUE(REGEXREPLACE($I136, ""\,"", ""."")), """")"),"")</f>
        <v/>
      </c>
      <c r="O136" s="35" t="str">
        <f>IF(Account!$F136&lt;&gt;"", DATEVALUE(MID($A136,4,3) &amp; LEFT($A136,3) &amp; RIGHT($A136,4)) + TIMEVALUE($B136), "")</f>
        <v/>
      </c>
      <c r="P136" s="36" t="str">
        <f>IF(Account!$F136&lt;&gt;"", DATEVALUE(MID($C136,4,3) &amp; LEFT($C136,3) &amp; RIGHT($C136,4)), "")</f>
        <v/>
      </c>
      <c r="Q136" s="37" t="str">
        <f t="array" ref="Q136">IF($R136&lt;&gt;"",IFERROR(INDEX(ISIN!$B:$B,MATCH($R136,ISIN!$C:$C,0))),)</f>
        <v/>
      </c>
      <c r="R136" s="38" t="str">
        <f t="array" ref="R136">IF($E136&lt;&gt;""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7" t="str">
        <f t="shared" si="1"/>
        <v/>
      </c>
      <c r="T136" s="39" t="str">
        <f t="shared" si="2"/>
        <v/>
      </c>
      <c r="U136" s="40" t="str">
        <f t="shared" si="3"/>
        <v/>
      </c>
      <c r="V136" s="34" t="str">
        <f t="shared" si="4"/>
        <v/>
      </c>
      <c r="W136" s="41" t="str">
        <f>IFERROR(__xludf.DUMMYFUNCTION(" IF(Account!$F136&lt;&gt;"""", SPLIT(Account!$F136, "" ""), """")"),"")</f>
        <v/>
      </c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</row>
    <row r="137">
      <c r="A137" s="20"/>
      <c r="B137" s="20"/>
      <c r="C137" s="20"/>
      <c r="D137" s="20"/>
      <c r="E137" s="20"/>
      <c r="F137" s="21"/>
      <c r="G137" s="20"/>
      <c r="H137" s="20"/>
      <c r="I137" s="20"/>
      <c r="J137" s="20"/>
      <c r="K137" s="20"/>
      <c r="L137" s="21"/>
      <c r="M137" s="33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4" t="str">
        <f>IFERROR(__xludf.DUMMYFUNCTION("IF(Account!$F137&lt;&gt;"""", VALUE(REGEXREPLACE($I137, ""\,"", ""."")), """")"),"")</f>
        <v/>
      </c>
      <c r="O137" s="35" t="str">
        <f>IF(Account!$F137&lt;&gt;"", DATEVALUE(MID($A137,4,3) &amp; LEFT($A137,3) &amp; RIGHT($A137,4)) + TIMEVALUE($B137), "")</f>
        <v/>
      </c>
      <c r="P137" s="36" t="str">
        <f>IF(Account!$F137&lt;&gt;"", DATEVALUE(MID($C137,4,3) &amp; LEFT($C137,3) &amp; RIGHT($C137,4)), "")</f>
        <v/>
      </c>
      <c r="Q137" s="37" t="str">
        <f t="array" ref="Q137">IF($R137&lt;&gt;"",IFERROR(INDEX(ISIN!$B:$B,MATCH($R137,ISIN!$C:$C,0))),)</f>
        <v/>
      </c>
      <c r="R137" s="38" t="str">
        <f t="array" ref="R137">IF($E137&lt;&gt;""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7" t="str">
        <f t="shared" si="1"/>
        <v/>
      </c>
      <c r="T137" s="39" t="str">
        <f t="shared" si="2"/>
        <v/>
      </c>
      <c r="U137" s="40" t="str">
        <f t="shared" si="3"/>
        <v/>
      </c>
      <c r="V137" s="34" t="str">
        <f t="shared" si="4"/>
        <v/>
      </c>
      <c r="W137" s="41" t="str">
        <f>IFERROR(__xludf.DUMMYFUNCTION(" IF(Account!$F137&lt;&gt;"""", SPLIT(Account!$F137, "" ""), """")"),"")</f>
        <v/>
      </c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</row>
    <row r="138">
      <c r="A138" s="20"/>
      <c r="B138" s="20"/>
      <c r="C138" s="20"/>
      <c r="D138" s="20"/>
      <c r="E138" s="20"/>
      <c r="F138" s="21"/>
      <c r="G138" s="20"/>
      <c r="H138" s="20"/>
      <c r="I138" s="20"/>
      <c r="J138" s="20"/>
      <c r="K138" s="20"/>
      <c r="L138" s="21"/>
      <c r="M138" s="33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4" t="str">
        <f>IFERROR(__xludf.DUMMYFUNCTION("IF(Account!$F138&lt;&gt;"""", VALUE(REGEXREPLACE($I138, ""\,"", ""."")), """")"),"")</f>
        <v/>
      </c>
      <c r="O138" s="35" t="str">
        <f>IF(Account!$F138&lt;&gt;"", DATEVALUE(MID($A138,4,3) &amp; LEFT($A138,3) &amp; RIGHT($A138,4)) + TIMEVALUE($B138), "")</f>
        <v/>
      </c>
      <c r="P138" s="36" t="str">
        <f>IF(Account!$F138&lt;&gt;"", DATEVALUE(MID($C138,4,3) &amp; LEFT($C138,3) &amp; RIGHT($C138,4)), "")</f>
        <v/>
      </c>
      <c r="Q138" s="37" t="str">
        <f t="array" ref="Q138">IF($R138&lt;&gt;"",IFERROR(INDEX(ISIN!$B:$B,MATCH($R138,ISIN!$C:$C,0))),)</f>
        <v/>
      </c>
      <c r="R138" s="38" t="str">
        <f t="array" ref="R138">IF($E138&lt;&gt;""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7" t="str">
        <f t="shared" si="1"/>
        <v/>
      </c>
      <c r="T138" s="39" t="str">
        <f t="shared" si="2"/>
        <v/>
      </c>
      <c r="U138" s="40" t="str">
        <f t="shared" si="3"/>
        <v/>
      </c>
      <c r="V138" s="34" t="str">
        <f t="shared" si="4"/>
        <v/>
      </c>
      <c r="W138" s="41" t="str">
        <f>IFERROR(__xludf.DUMMYFUNCTION(" IF(Account!$F138&lt;&gt;"""", SPLIT(Account!$F138, "" ""), """")"),"")</f>
        <v/>
      </c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</row>
    <row r="139">
      <c r="A139" s="20"/>
      <c r="B139" s="20"/>
      <c r="C139" s="20"/>
      <c r="D139" s="20"/>
      <c r="E139" s="20"/>
      <c r="F139" s="21"/>
      <c r="G139" s="20"/>
      <c r="H139" s="20"/>
      <c r="I139" s="20"/>
      <c r="J139" s="20"/>
      <c r="K139" s="20"/>
      <c r="L139" s="21"/>
      <c r="M139" s="33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4" t="str">
        <f>IFERROR(__xludf.DUMMYFUNCTION("IF(Account!$F139&lt;&gt;"""", VALUE(REGEXREPLACE($I139, ""\,"", ""."")), """")"),"")</f>
        <v/>
      </c>
      <c r="O139" s="35" t="str">
        <f>IF(Account!$F139&lt;&gt;"", DATEVALUE(MID($A139,4,3) &amp; LEFT($A139,3) &amp; RIGHT($A139,4)) + TIMEVALUE($B139), "")</f>
        <v/>
      </c>
      <c r="P139" s="36" t="str">
        <f>IF(Account!$F139&lt;&gt;"", DATEVALUE(MID($C139,4,3) &amp; LEFT($C139,3) &amp; RIGHT($C139,4)), "")</f>
        <v/>
      </c>
      <c r="Q139" s="37" t="str">
        <f t="array" ref="Q139">IF($R139&lt;&gt;"",IFERROR(INDEX(ISIN!$B:$B,MATCH($R139,ISIN!$C:$C,0))),)</f>
        <v/>
      </c>
      <c r="R139" s="38" t="str">
        <f t="array" ref="R139">IF($E139&lt;&gt;""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7" t="str">
        <f t="shared" si="1"/>
        <v/>
      </c>
      <c r="T139" s="39" t="str">
        <f t="shared" si="2"/>
        <v/>
      </c>
      <c r="U139" s="40" t="str">
        <f t="shared" si="3"/>
        <v/>
      </c>
      <c r="V139" s="34" t="str">
        <f t="shared" si="4"/>
        <v/>
      </c>
      <c r="W139" s="41" t="str">
        <f>IFERROR(__xludf.DUMMYFUNCTION(" IF(Account!$F139&lt;&gt;"""", SPLIT(Account!$F139, "" ""), """")"),"")</f>
        <v/>
      </c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</row>
    <row r="140">
      <c r="A140" s="20"/>
      <c r="B140" s="20"/>
      <c r="C140" s="20"/>
      <c r="D140" s="20"/>
      <c r="E140" s="20"/>
      <c r="F140" s="21"/>
      <c r="G140" s="20"/>
      <c r="H140" s="20"/>
      <c r="I140" s="20"/>
      <c r="J140" s="20"/>
      <c r="K140" s="20"/>
      <c r="L140" s="21"/>
      <c r="M140" s="33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4" t="str">
        <f>IFERROR(__xludf.DUMMYFUNCTION("IF(Account!$F140&lt;&gt;"""", VALUE(REGEXREPLACE($I140, ""\,"", ""."")), """")"),"")</f>
        <v/>
      </c>
      <c r="O140" s="35" t="str">
        <f>IF(Account!$F140&lt;&gt;"", DATEVALUE(MID($A140,4,3) &amp; LEFT($A140,3) &amp; RIGHT($A140,4)) + TIMEVALUE($B140), "")</f>
        <v/>
      </c>
      <c r="P140" s="36" t="str">
        <f>IF(Account!$F140&lt;&gt;"", DATEVALUE(MID($C140,4,3) &amp; LEFT($C140,3) &amp; RIGHT($C140,4)), "")</f>
        <v/>
      </c>
      <c r="Q140" s="37" t="str">
        <f t="array" ref="Q140">IF($R140&lt;&gt;"",IFERROR(INDEX(ISIN!$B:$B,MATCH($R140,ISIN!$C:$C,0))),)</f>
        <v/>
      </c>
      <c r="R140" s="38" t="str">
        <f t="array" ref="R140">IF($E140&lt;&gt;""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7" t="str">
        <f t="shared" si="1"/>
        <v/>
      </c>
      <c r="T140" s="39" t="str">
        <f t="shared" si="2"/>
        <v/>
      </c>
      <c r="U140" s="40" t="str">
        <f t="shared" si="3"/>
        <v/>
      </c>
      <c r="V140" s="34" t="str">
        <f t="shared" si="4"/>
        <v/>
      </c>
      <c r="W140" s="41" t="str">
        <f>IFERROR(__xludf.DUMMYFUNCTION(" IF(Account!$F140&lt;&gt;"""", SPLIT(Account!$F140, "" ""), """")"),"")</f>
        <v/>
      </c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</row>
    <row r="141">
      <c r="A141" s="20"/>
      <c r="B141" s="20"/>
      <c r="C141" s="20"/>
      <c r="D141" s="20"/>
      <c r="E141" s="20"/>
      <c r="F141" s="21"/>
      <c r="G141" s="20"/>
      <c r="H141" s="20"/>
      <c r="I141" s="20"/>
      <c r="J141" s="20"/>
      <c r="K141" s="20"/>
      <c r="L141" s="21"/>
      <c r="M141" s="33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4" t="str">
        <f>IFERROR(__xludf.DUMMYFUNCTION("IF(Account!$F141&lt;&gt;"""", VALUE(REGEXREPLACE($I141, ""\,"", ""."")), """")"),"")</f>
        <v/>
      </c>
      <c r="O141" s="35" t="str">
        <f>IF(Account!$F141&lt;&gt;"", DATEVALUE(MID($A141,4,3) &amp; LEFT($A141,3) &amp; RIGHT($A141,4)) + TIMEVALUE($B141), "")</f>
        <v/>
      </c>
      <c r="P141" s="36" t="str">
        <f>IF(Account!$F141&lt;&gt;"", DATEVALUE(MID($C141,4,3) &amp; LEFT($C141,3) &amp; RIGHT($C141,4)), "")</f>
        <v/>
      </c>
      <c r="Q141" s="37" t="str">
        <f t="array" ref="Q141">IF($R141&lt;&gt;"",IFERROR(INDEX(ISIN!$B:$B,MATCH($R141,ISIN!$C:$C,0))),)</f>
        <v/>
      </c>
      <c r="R141" s="38" t="str">
        <f t="array" ref="R141">IF($E141&lt;&gt;""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7" t="str">
        <f t="shared" si="1"/>
        <v/>
      </c>
      <c r="T141" s="39" t="str">
        <f t="shared" si="2"/>
        <v/>
      </c>
      <c r="U141" s="40" t="str">
        <f t="shared" si="3"/>
        <v/>
      </c>
      <c r="V141" s="34" t="str">
        <f t="shared" si="4"/>
        <v/>
      </c>
      <c r="W141" s="41" t="str">
        <f>IFERROR(__xludf.DUMMYFUNCTION(" IF(Account!$F141&lt;&gt;"""", SPLIT(Account!$F141, "" ""), """")"),"")</f>
        <v/>
      </c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</row>
    <row r="142">
      <c r="A142" s="20"/>
      <c r="B142" s="20"/>
      <c r="C142" s="20"/>
      <c r="D142" s="20"/>
      <c r="E142" s="20"/>
      <c r="F142" s="21"/>
      <c r="G142" s="20"/>
      <c r="H142" s="20"/>
      <c r="I142" s="20"/>
      <c r="J142" s="20"/>
      <c r="K142" s="20"/>
      <c r="L142" s="21"/>
      <c r="M142" s="33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4" t="str">
        <f>IFERROR(__xludf.DUMMYFUNCTION("IF(Account!$F142&lt;&gt;"""", VALUE(REGEXREPLACE($I142, ""\,"", ""."")), """")"),"")</f>
        <v/>
      </c>
      <c r="O142" s="35" t="str">
        <f>IF(Account!$F142&lt;&gt;"", DATEVALUE(MID($A142,4,3) &amp; LEFT($A142,3) &amp; RIGHT($A142,4)) + TIMEVALUE($B142), "")</f>
        <v/>
      </c>
      <c r="P142" s="36" t="str">
        <f>IF(Account!$F142&lt;&gt;"", DATEVALUE(MID($C142,4,3) &amp; LEFT($C142,3) &amp; RIGHT($C142,4)), "")</f>
        <v/>
      </c>
      <c r="Q142" s="37" t="str">
        <f t="array" ref="Q142">IF($R142&lt;&gt;"",IFERROR(INDEX(ISIN!$B:$B,MATCH($R142,ISIN!$C:$C,0))),)</f>
        <v/>
      </c>
      <c r="R142" s="38" t="str">
        <f t="array" ref="R142">IF($E142&lt;&gt;""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7" t="str">
        <f t="shared" si="1"/>
        <v/>
      </c>
      <c r="T142" s="39" t="str">
        <f t="shared" si="2"/>
        <v/>
      </c>
      <c r="U142" s="40" t="str">
        <f t="shared" si="3"/>
        <v/>
      </c>
      <c r="V142" s="34" t="str">
        <f t="shared" si="4"/>
        <v/>
      </c>
      <c r="W142" s="41" t="str">
        <f>IFERROR(__xludf.DUMMYFUNCTION(" IF(Account!$F142&lt;&gt;"""", SPLIT(Account!$F142, "" ""), """")"),"")</f>
        <v/>
      </c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</row>
    <row r="143">
      <c r="A143" s="20"/>
      <c r="B143" s="20"/>
      <c r="C143" s="20"/>
      <c r="D143" s="20"/>
      <c r="E143" s="20"/>
      <c r="F143" s="21"/>
      <c r="G143" s="20"/>
      <c r="H143" s="20"/>
      <c r="I143" s="20"/>
      <c r="J143" s="20"/>
      <c r="K143" s="20"/>
      <c r="L143" s="21"/>
      <c r="M143" s="33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4" t="str">
        <f>IFERROR(__xludf.DUMMYFUNCTION("IF(Account!$F143&lt;&gt;"""", VALUE(REGEXREPLACE($I143, ""\,"", ""."")), """")"),"")</f>
        <v/>
      </c>
      <c r="O143" s="35" t="str">
        <f>IF(Account!$F143&lt;&gt;"", DATEVALUE(MID($A143,4,3) &amp; LEFT($A143,3) &amp; RIGHT($A143,4)) + TIMEVALUE($B143), "")</f>
        <v/>
      </c>
      <c r="P143" s="36" t="str">
        <f>IF(Account!$F143&lt;&gt;"", DATEVALUE(MID($C143,4,3) &amp; LEFT($C143,3) &amp; RIGHT($C143,4)), "")</f>
        <v/>
      </c>
      <c r="Q143" s="37" t="str">
        <f t="array" ref="Q143">IF($R143&lt;&gt;"",IFERROR(INDEX(ISIN!$B:$B,MATCH($R143,ISIN!$C:$C,0))),)</f>
        <v/>
      </c>
      <c r="R143" s="38" t="str">
        <f t="array" ref="R143">IF($E143&lt;&gt;""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7" t="str">
        <f t="shared" si="1"/>
        <v/>
      </c>
      <c r="T143" s="39" t="str">
        <f t="shared" si="2"/>
        <v/>
      </c>
      <c r="U143" s="40" t="str">
        <f t="shared" si="3"/>
        <v/>
      </c>
      <c r="V143" s="34" t="str">
        <f t="shared" si="4"/>
        <v/>
      </c>
      <c r="W143" s="41" t="str">
        <f>IFERROR(__xludf.DUMMYFUNCTION(" IF(Account!$F143&lt;&gt;"""", SPLIT(Account!$F143, "" ""), """")"),"")</f>
        <v/>
      </c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</row>
    <row r="144">
      <c r="A144" s="20"/>
      <c r="B144" s="20"/>
      <c r="C144" s="20"/>
      <c r="D144" s="20"/>
      <c r="E144" s="20"/>
      <c r="F144" s="21"/>
      <c r="G144" s="20"/>
      <c r="H144" s="20"/>
      <c r="I144" s="20"/>
      <c r="J144" s="20"/>
      <c r="K144" s="20"/>
      <c r="L144" s="21"/>
      <c r="M144" s="33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4" t="str">
        <f>IFERROR(__xludf.DUMMYFUNCTION("IF(Account!$F144&lt;&gt;"""", VALUE(REGEXREPLACE($I144, ""\,"", ""."")), """")"),"")</f>
        <v/>
      </c>
      <c r="O144" s="35" t="str">
        <f>IF(Account!$F144&lt;&gt;"", DATEVALUE(MID($A144,4,3) &amp; LEFT($A144,3) &amp; RIGHT($A144,4)) + TIMEVALUE($B144), "")</f>
        <v/>
      </c>
      <c r="P144" s="36" t="str">
        <f>IF(Account!$F144&lt;&gt;"", DATEVALUE(MID($C144,4,3) &amp; LEFT($C144,3) &amp; RIGHT($C144,4)), "")</f>
        <v/>
      </c>
      <c r="Q144" s="37" t="str">
        <f t="array" ref="Q144">IF($R144&lt;&gt;"",IFERROR(INDEX(ISIN!$B:$B,MATCH($R144,ISIN!$C:$C,0))),)</f>
        <v/>
      </c>
      <c r="R144" s="38" t="str">
        <f t="array" ref="R144">IF($E144&lt;&gt;""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7" t="str">
        <f t="shared" si="1"/>
        <v/>
      </c>
      <c r="T144" s="39" t="str">
        <f t="shared" si="2"/>
        <v/>
      </c>
      <c r="U144" s="40" t="str">
        <f t="shared" si="3"/>
        <v/>
      </c>
      <c r="V144" s="34" t="str">
        <f t="shared" si="4"/>
        <v/>
      </c>
      <c r="W144" s="41" t="str">
        <f>IFERROR(__xludf.DUMMYFUNCTION(" IF(Account!$F144&lt;&gt;"""", SPLIT(Account!$F144, "" ""), """")"),"")</f>
        <v/>
      </c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</row>
    <row r="145">
      <c r="A145" s="20"/>
      <c r="B145" s="20"/>
      <c r="C145" s="20"/>
      <c r="D145" s="20"/>
      <c r="E145" s="20"/>
      <c r="F145" s="21"/>
      <c r="G145" s="20"/>
      <c r="H145" s="20"/>
      <c r="I145" s="20"/>
      <c r="J145" s="20"/>
      <c r="K145" s="20"/>
      <c r="L145" s="21"/>
      <c r="M145" s="33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4" t="str">
        <f>IFERROR(__xludf.DUMMYFUNCTION("IF(Account!$F145&lt;&gt;"""", VALUE(REGEXREPLACE($I145, ""\,"", ""."")), """")"),"")</f>
        <v/>
      </c>
      <c r="O145" s="35" t="str">
        <f>IF(Account!$F145&lt;&gt;"", DATEVALUE(MID($A145,4,3) &amp; LEFT($A145,3) &amp; RIGHT($A145,4)) + TIMEVALUE($B145), "")</f>
        <v/>
      </c>
      <c r="P145" s="36" t="str">
        <f>IF(Account!$F145&lt;&gt;"", DATEVALUE(MID($C145,4,3) &amp; LEFT($C145,3) &amp; RIGHT($C145,4)), "")</f>
        <v/>
      </c>
      <c r="Q145" s="37" t="str">
        <f t="array" ref="Q145">IF($R145&lt;&gt;"",IFERROR(INDEX(ISIN!$B:$B,MATCH($R145,ISIN!$C:$C,0))),)</f>
        <v/>
      </c>
      <c r="R145" s="38" t="str">
        <f t="array" ref="R145">IF($E145&lt;&gt;""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7" t="str">
        <f t="shared" si="1"/>
        <v/>
      </c>
      <c r="T145" s="39" t="str">
        <f t="shared" si="2"/>
        <v/>
      </c>
      <c r="U145" s="40" t="str">
        <f t="shared" si="3"/>
        <v/>
      </c>
      <c r="V145" s="34" t="str">
        <f t="shared" si="4"/>
        <v/>
      </c>
      <c r="W145" s="41" t="str">
        <f>IFERROR(__xludf.DUMMYFUNCTION(" IF(Account!$F145&lt;&gt;"""", SPLIT(Account!$F145, "" ""), """")"),"")</f>
        <v/>
      </c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</row>
    <row r="146">
      <c r="A146" s="20"/>
      <c r="B146" s="20"/>
      <c r="C146" s="20"/>
      <c r="D146" s="20"/>
      <c r="E146" s="20"/>
      <c r="F146" s="21"/>
      <c r="G146" s="20"/>
      <c r="H146" s="20"/>
      <c r="I146" s="20"/>
      <c r="J146" s="20"/>
      <c r="K146" s="20"/>
      <c r="L146" s="21"/>
      <c r="M146" s="33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4" t="str">
        <f>IFERROR(__xludf.DUMMYFUNCTION("IF(Account!$F146&lt;&gt;"""", VALUE(REGEXREPLACE($I146, ""\,"", ""."")), """")"),"")</f>
        <v/>
      </c>
      <c r="O146" s="35" t="str">
        <f>IF(Account!$F146&lt;&gt;"", DATEVALUE(MID($A146,4,3) &amp; LEFT($A146,3) &amp; RIGHT($A146,4)) + TIMEVALUE($B146), "")</f>
        <v/>
      </c>
      <c r="P146" s="36" t="str">
        <f>IF(Account!$F146&lt;&gt;"", DATEVALUE(MID($C146,4,3) &amp; LEFT($C146,3) &amp; RIGHT($C146,4)), "")</f>
        <v/>
      </c>
      <c r="Q146" s="37" t="str">
        <f t="array" ref="Q146">IF($R146&lt;&gt;"",IFERROR(INDEX(ISIN!$B:$B,MATCH($R146,ISIN!$C:$C,0))),)</f>
        <v/>
      </c>
      <c r="R146" s="38" t="str">
        <f t="array" ref="R146">IF($E146&lt;&gt;""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7" t="str">
        <f t="shared" si="1"/>
        <v/>
      </c>
      <c r="T146" s="39" t="str">
        <f t="shared" si="2"/>
        <v/>
      </c>
      <c r="U146" s="40" t="str">
        <f t="shared" si="3"/>
        <v/>
      </c>
      <c r="V146" s="34" t="str">
        <f t="shared" si="4"/>
        <v/>
      </c>
      <c r="W146" s="41" t="str">
        <f>IFERROR(__xludf.DUMMYFUNCTION(" IF(Account!$F146&lt;&gt;"""", SPLIT(Account!$F146, "" ""), """")"),"")</f>
        <v/>
      </c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</row>
    <row r="147">
      <c r="A147" s="20"/>
      <c r="B147" s="20"/>
      <c r="C147" s="20"/>
      <c r="D147" s="20"/>
      <c r="E147" s="20"/>
      <c r="F147" s="21"/>
      <c r="G147" s="20"/>
      <c r="H147" s="20"/>
      <c r="I147" s="20"/>
      <c r="J147" s="20"/>
      <c r="K147" s="20"/>
      <c r="L147" s="21"/>
      <c r="M147" s="33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4" t="str">
        <f>IFERROR(__xludf.DUMMYFUNCTION("IF(Account!$F147&lt;&gt;"""", VALUE(REGEXREPLACE($I147, ""\,"", ""."")), """")"),"")</f>
        <v/>
      </c>
      <c r="O147" s="35" t="str">
        <f>IF(Account!$F147&lt;&gt;"", DATEVALUE(MID($A147,4,3) &amp; LEFT($A147,3) &amp; RIGHT($A147,4)) + TIMEVALUE($B147), "")</f>
        <v/>
      </c>
      <c r="P147" s="36" t="str">
        <f>IF(Account!$F147&lt;&gt;"", DATEVALUE(MID($C147,4,3) &amp; LEFT($C147,3) &amp; RIGHT($C147,4)), "")</f>
        <v/>
      </c>
      <c r="Q147" s="37" t="str">
        <f t="array" ref="Q147">IF($R147&lt;&gt;"",IFERROR(INDEX(ISIN!$B:$B,MATCH($R147,ISIN!$C:$C,0))),)</f>
        <v/>
      </c>
      <c r="R147" s="38" t="str">
        <f t="array" ref="R147">IF($E147&lt;&gt;""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7" t="str">
        <f t="shared" si="1"/>
        <v/>
      </c>
      <c r="T147" s="39" t="str">
        <f t="shared" si="2"/>
        <v/>
      </c>
      <c r="U147" s="40" t="str">
        <f t="shared" si="3"/>
        <v/>
      </c>
      <c r="V147" s="34" t="str">
        <f t="shared" si="4"/>
        <v/>
      </c>
      <c r="W147" s="41" t="str">
        <f>IFERROR(__xludf.DUMMYFUNCTION(" IF(Account!$F147&lt;&gt;"""", SPLIT(Account!$F147, "" ""), """")"),"")</f>
        <v/>
      </c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</row>
    <row r="148">
      <c r="A148" s="20"/>
      <c r="B148" s="20"/>
      <c r="C148" s="20"/>
      <c r="D148" s="20"/>
      <c r="E148" s="20"/>
      <c r="F148" s="21"/>
      <c r="G148" s="20"/>
      <c r="H148" s="20"/>
      <c r="I148" s="20"/>
      <c r="J148" s="20"/>
      <c r="K148" s="20"/>
      <c r="L148" s="21"/>
      <c r="M148" s="33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4" t="str">
        <f>IFERROR(__xludf.DUMMYFUNCTION("IF(Account!$F148&lt;&gt;"""", VALUE(REGEXREPLACE($I148, ""\,"", ""."")), """")"),"")</f>
        <v/>
      </c>
      <c r="O148" s="35" t="str">
        <f>IF(Account!$F148&lt;&gt;"", DATEVALUE(MID($A148,4,3) &amp; LEFT($A148,3) &amp; RIGHT($A148,4)) + TIMEVALUE($B148), "")</f>
        <v/>
      </c>
      <c r="P148" s="36" t="str">
        <f>IF(Account!$F148&lt;&gt;"", DATEVALUE(MID($C148,4,3) &amp; LEFT($C148,3) &amp; RIGHT($C148,4)), "")</f>
        <v/>
      </c>
      <c r="Q148" s="37" t="str">
        <f t="array" ref="Q148">IF($R148&lt;&gt;"",IFERROR(INDEX(ISIN!$B:$B,MATCH($R148,ISIN!$C:$C,0))),)</f>
        <v/>
      </c>
      <c r="R148" s="38" t="str">
        <f t="array" ref="R148">IF($E148&lt;&gt;""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7" t="str">
        <f t="shared" si="1"/>
        <v/>
      </c>
      <c r="T148" s="39" t="str">
        <f t="shared" si="2"/>
        <v/>
      </c>
      <c r="U148" s="40" t="str">
        <f t="shared" si="3"/>
        <v/>
      </c>
      <c r="V148" s="34" t="str">
        <f t="shared" si="4"/>
        <v/>
      </c>
      <c r="W148" s="41" t="str">
        <f>IFERROR(__xludf.DUMMYFUNCTION(" IF(Account!$F148&lt;&gt;"""", SPLIT(Account!$F148, "" ""), """")"),"")</f>
        <v/>
      </c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</row>
    <row r="149">
      <c r="A149" s="20"/>
      <c r="B149" s="20"/>
      <c r="C149" s="20"/>
      <c r="D149" s="20"/>
      <c r="E149" s="20"/>
      <c r="F149" s="21"/>
      <c r="G149" s="20"/>
      <c r="H149" s="20"/>
      <c r="I149" s="20"/>
      <c r="J149" s="20"/>
      <c r="K149" s="20"/>
      <c r="L149" s="21"/>
      <c r="M149" s="33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4" t="str">
        <f>IFERROR(__xludf.DUMMYFUNCTION("IF(Account!$F149&lt;&gt;"""", VALUE(REGEXREPLACE($I149, ""\,"", ""."")), """")"),"")</f>
        <v/>
      </c>
      <c r="O149" s="35" t="str">
        <f>IF(Account!$F149&lt;&gt;"", DATEVALUE(MID($A149,4,3) &amp; LEFT($A149,3) &amp; RIGHT($A149,4)) + TIMEVALUE($B149), "")</f>
        <v/>
      </c>
      <c r="P149" s="36" t="str">
        <f>IF(Account!$F149&lt;&gt;"", DATEVALUE(MID($C149,4,3) &amp; LEFT($C149,3) &amp; RIGHT($C149,4)), "")</f>
        <v/>
      </c>
      <c r="Q149" s="37" t="str">
        <f t="array" ref="Q149">IF($R149&lt;&gt;"",IFERROR(INDEX(ISIN!$B:$B,MATCH($R149,ISIN!$C:$C,0))),)</f>
        <v/>
      </c>
      <c r="R149" s="38" t="str">
        <f t="array" ref="R149">IF($E149&lt;&gt;""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7" t="str">
        <f t="shared" si="1"/>
        <v/>
      </c>
      <c r="T149" s="39" t="str">
        <f t="shared" si="2"/>
        <v/>
      </c>
      <c r="U149" s="40" t="str">
        <f t="shared" si="3"/>
        <v/>
      </c>
      <c r="V149" s="34" t="str">
        <f t="shared" si="4"/>
        <v/>
      </c>
      <c r="W149" s="41" t="str">
        <f>IFERROR(__xludf.DUMMYFUNCTION(" IF(Account!$F149&lt;&gt;"""", SPLIT(Account!$F149, "" ""), """")"),"")</f>
        <v/>
      </c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</row>
    <row r="150">
      <c r="A150" s="20"/>
      <c r="B150" s="20"/>
      <c r="C150" s="20"/>
      <c r="D150" s="20"/>
      <c r="E150" s="20"/>
      <c r="F150" s="21"/>
      <c r="G150" s="20"/>
      <c r="H150" s="20"/>
      <c r="I150" s="20"/>
      <c r="J150" s="20"/>
      <c r="K150" s="20"/>
      <c r="L150" s="21"/>
      <c r="M150" s="33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4" t="str">
        <f>IFERROR(__xludf.DUMMYFUNCTION("IF(Account!$F150&lt;&gt;"""", VALUE(REGEXREPLACE($I150, ""\,"", ""."")), """")"),"")</f>
        <v/>
      </c>
      <c r="O150" s="35" t="str">
        <f>IF(Account!$F150&lt;&gt;"", DATEVALUE(MID($A150,4,3) &amp; LEFT($A150,3) &amp; RIGHT($A150,4)) + TIMEVALUE($B150), "")</f>
        <v/>
      </c>
      <c r="P150" s="36" t="str">
        <f>IF(Account!$F150&lt;&gt;"", DATEVALUE(MID($C150,4,3) &amp; LEFT($C150,3) &amp; RIGHT($C150,4)), "")</f>
        <v/>
      </c>
      <c r="Q150" s="37" t="str">
        <f t="array" ref="Q150">IF($R150&lt;&gt;"",IFERROR(INDEX(ISIN!$B:$B,MATCH($R150,ISIN!$C:$C,0))),)</f>
        <v/>
      </c>
      <c r="R150" s="38" t="str">
        <f t="array" ref="R150">IF($E150&lt;&gt;""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7" t="str">
        <f t="shared" si="1"/>
        <v/>
      </c>
      <c r="T150" s="39" t="str">
        <f t="shared" si="2"/>
        <v/>
      </c>
      <c r="U150" s="40" t="str">
        <f t="shared" si="3"/>
        <v/>
      </c>
      <c r="V150" s="34" t="str">
        <f t="shared" si="4"/>
        <v/>
      </c>
      <c r="W150" s="41" t="str">
        <f>IFERROR(__xludf.DUMMYFUNCTION(" IF(Account!$F150&lt;&gt;"""", SPLIT(Account!$F150, "" ""), """")"),"")</f>
        <v/>
      </c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</row>
    <row r="151">
      <c r="A151" s="20"/>
      <c r="B151" s="20"/>
      <c r="C151" s="20"/>
      <c r="D151" s="20"/>
      <c r="E151" s="20"/>
      <c r="F151" s="21"/>
      <c r="G151" s="20"/>
      <c r="H151" s="20"/>
      <c r="I151" s="20"/>
      <c r="J151" s="20"/>
      <c r="K151" s="20"/>
      <c r="L151" s="21"/>
      <c r="M151" s="33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4" t="str">
        <f>IFERROR(__xludf.DUMMYFUNCTION("IF(Account!$F151&lt;&gt;"""", VALUE(REGEXREPLACE($I151, ""\,"", ""."")), """")"),"")</f>
        <v/>
      </c>
      <c r="O151" s="35" t="str">
        <f>IF(Account!$F151&lt;&gt;"", DATEVALUE(MID($A151,4,3) &amp; LEFT($A151,3) &amp; RIGHT($A151,4)) + TIMEVALUE($B151), "")</f>
        <v/>
      </c>
      <c r="P151" s="36" t="str">
        <f>IF(Account!$F151&lt;&gt;"", DATEVALUE(MID($C151,4,3) &amp; LEFT($C151,3) &amp; RIGHT($C151,4)), "")</f>
        <v/>
      </c>
      <c r="Q151" s="37" t="str">
        <f t="array" ref="Q151">IF($R151&lt;&gt;"",IFERROR(INDEX(ISIN!$B:$B,MATCH($R151,ISIN!$C:$C,0))),)</f>
        <v/>
      </c>
      <c r="R151" s="38" t="str">
        <f t="array" ref="R151">IF($E151&lt;&gt;""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7" t="str">
        <f t="shared" si="1"/>
        <v/>
      </c>
      <c r="T151" s="39" t="str">
        <f t="shared" si="2"/>
        <v/>
      </c>
      <c r="U151" s="40" t="str">
        <f t="shared" si="3"/>
        <v/>
      </c>
      <c r="V151" s="34" t="str">
        <f t="shared" si="4"/>
        <v/>
      </c>
      <c r="W151" s="41" t="str">
        <f>IFERROR(__xludf.DUMMYFUNCTION(" IF(Account!$F151&lt;&gt;"""", SPLIT(Account!$F151, "" ""), """")"),"")</f>
        <v/>
      </c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</row>
    <row r="152">
      <c r="A152" s="20"/>
      <c r="B152" s="20"/>
      <c r="C152" s="20"/>
      <c r="D152" s="20"/>
      <c r="E152" s="20"/>
      <c r="F152" s="21"/>
      <c r="G152" s="20"/>
      <c r="H152" s="20"/>
      <c r="I152" s="20"/>
      <c r="J152" s="20"/>
      <c r="K152" s="20"/>
      <c r="L152" s="21"/>
      <c r="M152" s="33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4" t="str">
        <f>IFERROR(__xludf.DUMMYFUNCTION("IF(Account!$F152&lt;&gt;"""", VALUE(REGEXREPLACE($I152, ""\,"", ""."")), """")"),"")</f>
        <v/>
      </c>
      <c r="O152" s="35" t="str">
        <f>IF(Account!$F152&lt;&gt;"", DATEVALUE(MID($A152,4,3) &amp; LEFT($A152,3) &amp; RIGHT($A152,4)) + TIMEVALUE($B152), "")</f>
        <v/>
      </c>
      <c r="P152" s="36" t="str">
        <f>IF(Account!$F152&lt;&gt;"", DATEVALUE(MID($C152,4,3) &amp; LEFT($C152,3) &amp; RIGHT($C152,4)), "")</f>
        <v/>
      </c>
      <c r="Q152" s="37" t="str">
        <f t="array" ref="Q152">IF($R152&lt;&gt;"",IFERROR(INDEX(ISIN!$B:$B,MATCH($R152,ISIN!$C:$C,0))),)</f>
        <v/>
      </c>
      <c r="R152" s="38" t="str">
        <f t="array" ref="R152">IF($E152&lt;&gt;""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7" t="str">
        <f t="shared" si="1"/>
        <v/>
      </c>
      <c r="T152" s="39" t="str">
        <f t="shared" si="2"/>
        <v/>
      </c>
      <c r="U152" s="40" t="str">
        <f t="shared" si="3"/>
        <v/>
      </c>
      <c r="V152" s="34" t="str">
        <f t="shared" si="4"/>
        <v/>
      </c>
      <c r="W152" s="41" t="str">
        <f>IFERROR(__xludf.DUMMYFUNCTION(" IF(Account!$F152&lt;&gt;"""", SPLIT(Account!$F152, "" ""), """")"),"")</f>
        <v/>
      </c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</row>
    <row r="153">
      <c r="A153" s="20"/>
      <c r="B153" s="20"/>
      <c r="C153" s="20"/>
      <c r="D153" s="20"/>
      <c r="E153" s="20"/>
      <c r="F153" s="21"/>
      <c r="G153" s="20"/>
      <c r="H153" s="20"/>
      <c r="I153" s="20"/>
      <c r="J153" s="20"/>
      <c r="K153" s="20"/>
      <c r="L153" s="21"/>
      <c r="M153" s="33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4" t="str">
        <f>IFERROR(__xludf.DUMMYFUNCTION("IF(Account!$F153&lt;&gt;"""", VALUE(REGEXREPLACE($I153, ""\,"", ""."")), """")"),"")</f>
        <v/>
      </c>
      <c r="O153" s="35" t="str">
        <f>IF(Account!$F153&lt;&gt;"", DATEVALUE(MID($A153,4,3) &amp; LEFT($A153,3) &amp; RIGHT($A153,4)) + TIMEVALUE($B153), "")</f>
        <v/>
      </c>
      <c r="P153" s="36" t="str">
        <f>IF(Account!$F153&lt;&gt;"", DATEVALUE(MID($C153,4,3) &amp; LEFT($C153,3) &amp; RIGHT($C153,4)), "")</f>
        <v/>
      </c>
      <c r="Q153" s="37" t="str">
        <f t="array" ref="Q153">IF($R153&lt;&gt;"",IFERROR(INDEX(ISIN!$B:$B,MATCH($R153,ISIN!$C:$C,0))),)</f>
        <v/>
      </c>
      <c r="R153" s="38" t="str">
        <f t="array" ref="R153">IF($E153&lt;&gt;""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7" t="str">
        <f t="shared" si="1"/>
        <v/>
      </c>
      <c r="T153" s="39" t="str">
        <f t="shared" si="2"/>
        <v/>
      </c>
      <c r="U153" s="40" t="str">
        <f t="shared" si="3"/>
        <v/>
      </c>
      <c r="V153" s="34" t="str">
        <f t="shared" si="4"/>
        <v/>
      </c>
      <c r="W153" s="41" t="str">
        <f>IFERROR(__xludf.DUMMYFUNCTION(" IF(Account!$F153&lt;&gt;"""", SPLIT(Account!$F153, "" ""), """")"),"")</f>
        <v/>
      </c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</row>
    <row r="154">
      <c r="A154" s="20"/>
      <c r="B154" s="20"/>
      <c r="C154" s="20"/>
      <c r="D154" s="20"/>
      <c r="E154" s="20"/>
      <c r="F154" s="21"/>
      <c r="G154" s="20"/>
      <c r="H154" s="20"/>
      <c r="I154" s="20"/>
      <c r="J154" s="20"/>
      <c r="K154" s="20"/>
      <c r="L154" s="21"/>
      <c r="M154" s="33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4" t="str">
        <f>IFERROR(__xludf.DUMMYFUNCTION("IF(Account!$F154&lt;&gt;"""", VALUE(REGEXREPLACE($I154, ""\,"", ""."")), """")"),"")</f>
        <v/>
      </c>
      <c r="O154" s="35" t="str">
        <f>IF(Account!$F154&lt;&gt;"", DATEVALUE(MID($A154,4,3) &amp; LEFT($A154,3) &amp; RIGHT($A154,4)) + TIMEVALUE($B154), "")</f>
        <v/>
      </c>
      <c r="P154" s="36" t="str">
        <f>IF(Account!$F154&lt;&gt;"", DATEVALUE(MID($C154,4,3) &amp; LEFT($C154,3) &amp; RIGHT($C154,4)), "")</f>
        <v/>
      </c>
      <c r="Q154" s="37" t="str">
        <f t="array" ref="Q154">IF($R154&lt;&gt;"",IFERROR(INDEX(ISIN!$B:$B,MATCH($R154,ISIN!$C:$C,0))),)</f>
        <v/>
      </c>
      <c r="R154" s="38" t="str">
        <f t="array" ref="R154">IF($E154&lt;&gt;""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7" t="str">
        <f t="shared" si="1"/>
        <v/>
      </c>
      <c r="T154" s="39" t="str">
        <f t="shared" si="2"/>
        <v/>
      </c>
      <c r="U154" s="40" t="str">
        <f t="shared" si="3"/>
        <v/>
      </c>
      <c r="V154" s="34" t="str">
        <f t="shared" si="4"/>
        <v/>
      </c>
      <c r="W154" s="41" t="str">
        <f>IFERROR(__xludf.DUMMYFUNCTION(" IF(Account!$F154&lt;&gt;"""", SPLIT(Account!$F154, "" ""), """")"),"")</f>
        <v/>
      </c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</row>
    <row r="155">
      <c r="A155" s="20"/>
      <c r="B155" s="20"/>
      <c r="C155" s="20"/>
      <c r="D155" s="20"/>
      <c r="E155" s="20"/>
      <c r="F155" s="21"/>
      <c r="G155" s="20"/>
      <c r="H155" s="20"/>
      <c r="I155" s="20"/>
      <c r="J155" s="20"/>
      <c r="K155" s="20"/>
      <c r="L155" s="21"/>
      <c r="M155" s="33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4" t="str">
        <f>IFERROR(__xludf.DUMMYFUNCTION("IF(Account!$F155&lt;&gt;"""", VALUE(REGEXREPLACE($I155, ""\,"", ""."")), """")"),"")</f>
        <v/>
      </c>
      <c r="O155" s="35" t="str">
        <f>IF(Account!$F155&lt;&gt;"", DATEVALUE(MID($A155,4,3) &amp; LEFT($A155,3) &amp; RIGHT($A155,4)) + TIMEVALUE($B155), "")</f>
        <v/>
      </c>
      <c r="P155" s="36" t="str">
        <f>IF(Account!$F155&lt;&gt;"", DATEVALUE(MID($C155,4,3) &amp; LEFT($C155,3) &amp; RIGHT($C155,4)), "")</f>
        <v/>
      </c>
      <c r="Q155" s="37" t="str">
        <f t="array" ref="Q155">IF($R155&lt;&gt;"",IFERROR(INDEX(ISIN!$B:$B,MATCH($R155,ISIN!$C:$C,0))),)</f>
        <v/>
      </c>
      <c r="R155" s="38" t="str">
        <f t="array" ref="R155">IF($E155&lt;&gt;""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7" t="str">
        <f t="shared" si="1"/>
        <v/>
      </c>
      <c r="T155" s="39" t="str">
        <f t="shared" si="2"/>
        <v/>
      </c>
      <c r="U155" s="40" t="str">
        <f t="shared" si="3"/>
        <v/>
      </c>
      <c r="V155" s="34" t="str">
        <f t="shared" si="4"/>
        <v/>
      </c>
      <c r="W155" s="41" t="str">
        <f>IFERROR(__xludf.DUMMYFUNCTION(" IF(Account!$F155&lt;&gt;"""", SPLIT(Account!$F155, "" ""), """")"),"")</f>
        <v/>
      </c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</row>
    <row r="156">
      <c r="A156" s="20"/>
      <c r="B156" s="20"/>
      <c r="C156" s="20"/>
      <c r="D156" s="20"/>
      <c r="E156" s="20"/>
      <c r="F156" s="21"/>
      <c r="G156" s="20"/>
      <c r="H156" s="20"/>
      <c r="I156" s="20"/>
      <c r="J156" s="20"/>
      <c r="K156" s="20"/>
      <c r="L156" s="21"/>
      <c r="M156" s="33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4" t="str">
        <f>IFERROR(__xludf.DUMMYFUNCTION("IF(Account!$F156&lt;&gt;"""", VALUE(REGEXREPLACE($I156, ""\,"", ""."")), """")"),"")</f>
        <v/>
      </c>
      <c r="O156" s="35" t="str">
        <f>IF(Account!$F156&lt;&gt;"", DATEVALUE(MID($A156,4,3) &amp; LEFT($A156,3) &amp; RIGHT($A156,4)) + TIMEVALUE($B156), "")</f>
        <v/>
      </c>
      <c r="P156" s="36" t="str">
        <f>IF(Account!$F156&lt;&gt;"", DATEVALUE(MID($C156,4,3) &amp; LEFT($C156,3) &amp; RIGHT($C156,4)), "")</f>
        <v/>
      </c>
      <c r="Q156" s="37" t="str">
        <f t="array" ref="Q156">IF($R156&lt;&gt;"",IFERROR(INDEX(ISIN!$B:$B,MATCH($R156,ISIN!$C:$C,0))),)</f>
        <v/>
      </c>
      <c r="R156" s="38" t="str">
        <f t="array" ref="R156">IF($E156&lt;&gt;""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7" t="str">
        <f t="shared" si="1"/>
        <v/>
      </c>
      <c r="T156" s="39" t="str">
        <f t="shared" si="2"/>
        <v/>
      </c>
      <c r="U156" s="40" t="str">
        <f t="shared" si="3"/>
        <v/>
      </c>
      <c r="V156" s="34" t="str">
        <f t="shared" si="4"/>
        <v/>
      </c>
      <c r="W156" s="41" t="str">
        <f>IFERROR(__xludf.DUMMYFUNCTION(" IF(Account!$F156&lt;&gt;"""", SPLIT(Account!$F156, "" ""), """")"),"")</f>
        <v/>
      </c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</row>
    <row r="157">
      <c r="A157" s="20"/>
      <c r="B157" s="20"/>
      <c r="C157" s="20"/>
      <c r="D157" s="20"/>
      <c r="E157" s="20"/>
      <c r="F157" s="21"/>
      <c r="G157" s="20"/>
      <c r="H157" s="20"/>
      <c r="I157" s="20"/>
      <c r="J157" s="20"/>
      <c r="K157" s="20"/>
      <c r="L157" s="21"/>
      <c r="M157" s="33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4" t="str">
        <f>IFERROR(__xludf.DUMMYFUNCTION("IF(Account!$F157&lt;&gt;"""", VALUE(REGEXREPLACE($I157, ""\,"", ""."")), """")"),"")</f>
        <v/>
      </c>
      <c r="O157" s="35" t="str">
        <f>IF(Account!$F157&lt;&gt;"", DATEVALUE(MID($A157,4,3) &amp; LEFT($A157,3) &amp; RIGHT($A157,4)) + TIMEVALUE($B157), "")</f>
        <v/>
      </c>
      <c r="P157" s="36" t="str">
        <f>IF(Account!$F157&lt;&gt;"", DATEVALUE(MID($C157,4,3) &amp; LEFT($C157,3) &amp; RIGHT($C157,4)), "")</f>
        <v/>
      </c>
      <c r="Q157" s="37" t="str">
        <f t="array" ref="Q157">IF($R157&lt;&gt;"",IFERROR(INDEX(ISIN!$B:$B,MATCH($R157,ISIN!$C:$C,0))),)</f>
        <v/>
      </c>
      <c r="R157" s="38" t="str">
        <f t="array" ref="R157">IF($E157&lt;&gt;""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7" t="str">
        <f t="shared" si="1"/>
        <v/>
      </c>
      <c r="T157" s="39" t="str">
        <f t="shared" si="2"/>
        <v/>
      </c>
      <c r="U157" s="40" t="str">
        <f t="shared" si="3"/>
        <v/>
      </c>
      <c r="V157" s="34" t="str">
        <f t="shared" si="4"/>
        <v/>
      </c>
      <c r="W157" s="41" t="str">
        <f>IFERROR(__xludf.DUMMYFUNCTION(" IF(Account!$F157&lt;&gt;"""", SPLIT(Account!$F157, "" ""), """")"),"")</f>
        <v/>
      </c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</row>
    <row r="158">
      <c r="A158" s="20"/>
      <c r="B158" s="20"/>
      <c r="C158" s="20"/>
      <c r="D158" s="20"/>
      <c r="E158" s="20"/>
      <c r="F158" s="21"/>
      <c r="G158" s="20"/>
      <c r="H158" s="20"/>
      <c r="I158" s="20"/>
      <c r="J158" s="20"/>
      <c r="K158" s="20"/>
      <c r="L158" s="21"/>
      <c r="M158" s="33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4" t="str">
        <f>IFERROR(__xludf.DUMMYFUNCTION("IF(Account!$F158&lt;&gt;"""", VALUE(REGEXREPLACE($I158, ""\,"", ""."")), """")"),"")</f>
        <v/>
      </c>
      <c r="O158" s="35" t="str">
        <f>IF(Account!$F158&lt;&gt;"", DATEVALUE(MID($A158,4,3) &amp; LEFT($A158,3) &amp; RIGHT($A158,4)) + TIMEVALUE($B158), "")</f>
        <v/>
      </c>
      <c r="P158" s="36" t="str">
        <f>IF(Account!$F158&lt;&gt;"", DATEVALUE(MID($C158,4,3) &amp; LEFT($C158,3) &amp; RIGHT($C158,4)), "")</f>
        <v/>
      </c>
      <c r="Q158" s="37" t="str">
        <f t="array" ref="Q158">IF($R158&lt;&gt;"",IFERROR(INDEX(ISIN!$B:$B,MATCH($R158,ISIN!$C:$C,0))),)</f>
        <v/>
      </c>
      <c r="R158" s="38" t="str">
        <f t="array" ref="R158">IF($E158&lt;&gt;""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7" t="str">
        <f t="shared" si="1"/>
        <v/>
      </c>
      <c r="T158" s="39" t="str">
        <f t="shared" si="2"/>
        <v/>
      </c>
      <c r="U158" s="40" t="str">
        <f t="shared" si="3"/>
        <v/>
      </c>
      <c r="V158" s="34" t="str">
        <f t="shared" si="4"/>
        <v/>
      </c>
      <c r="W158" s="41" t="str">
        <f>IFERROR(__xludf.DUMMYFUNCTION(" IF(Account!$F158&lt;&gt;"""", SPLIT(Account!$F158, "" ""), """")"),"")</f>
        <v/>
      </c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</row>
    <row r="159">
      <c r="A159" s="20"/>
      <c r="B159" s="20"/>
      <c r="C159" s="20"/>
      <c r="D159" s="20"/>
      <c r="E159" s="20"/>
      <c r="F159" s="21"/>
      <c r="G159" s="20"/>
      <c r="H159" s="20"/>
      <c r="I159" s="20"/>
      <c r="J159" s="20"/>
      <c r="K159" s="20"/>
      <c r="L159" s="21"/>
      <c r="M159" s="33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4" t="str">
        <f>IFERROR(__xludf.DUMMYFUNCTION("IF(Account!$F159&lt;&gt;"""", VALUE(REGEXREPLACE($I159, ""\,"", ""."")), """")"),"")</f>
        <v/>
      </c>
      <c r="O159" s="35" t="str">
        <f>IF(Account!$F159&lt;&gt;"", DATEVALUE(MID($A159,4,3) &amp; LEFT($A159,3) &amp; RIGHT($A159,4)) + TIMEVALUE($B159), "")</f>
        <v/>
      </c>
      <c r="P159" s="36" t="str">
        <f>IF(Account!$F159&lt;&gt;"", DATEVALUE(MID($C159,4,3) &amp; LEFT($C159,3) &amp; RIGHT($C159,4)), "")</f>
        <v/>
      </c>
      <c r="Q159" s="37" t="str">
        <f t="array" ref="Q159">IF($R159&lt;&gt;"",IFERROR(INDEX(ISIN!$B:$B,MATCH($R159,ISIN!$C:$C,0))),)</f>
        <v/>
      </c>
      <c r="R159" s="38" t="str">
        <f t="array" ref="R159">IF($E159&lt;&gt;""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7" t="str">
        <f t="shared" si="1"/>
        <v/>
      </c>
      <c r="T159" s="39" t="str">
        <f t="shared" si="2"/>
        <v/>
      </c>
      <c r="U159" s="40" t="str">
        <f t="shared" si="3"/>
        <v/>
      </c>
      <c r="V159" s="34" t="str">
        <f t="shared" si="4"/>
        <v/>
      </c>
      <c r="W159" s="41" t="str">
        <f>IFERROR(__xludf.DUMMYFUNCTION(" IF(Account!$F159&lt;&gt;"""", SPLIT(Account!$F159, "" ""), """")"),"")</f>
        <v/>
      </c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</row>
    <row r="160">
      <c r="A160" s="20"/>
      <c r="B160" s="20"/>
      <c r="C160" s="20"/>
      <c r="D160" s="20"/>
      <c r="E160" s="20"/>
      <c r="F160" s="21"/>
      <c r="G160" s="20"/>
      <c r="H160" s="20"/>
      <c r="I160" s="20"/>
      <c r="J160" s="20"/>
      <c r="K160" s="20"/>
      <c r="L160" s="21"/>
      <c r="M160" s="33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4" t="str">
        <f>IFERROR(__xludf.DUMMYFUNCTION("IF(Account!$F160&lt;&gt;"""", VALUE(REGEXREPLACE($I160, ""\,"", ""."")), """")"),"")</f>
        <v/>
      </c>
      <c r="O160" s="35" t="str">
        <f>IF(Account!$F160&lt;&gt;"", DATEVALUE(MID($A160,4,3) &amp; LEFT($A160,3) &amp; RIGHT($A160,4)) + TIMEVALUE($B160), "")</f>
        <v/>
      </c>
      <c r="P160" s="36" t="str">
        <f>IF(Account!$F160&lt;&gt;"", DATEVALUE(MID($C160,4,3) &amp; LEFT($C160,3) &amp; RIGHT($C160,4)), "")</f>
        <v/>
      </c>
      <c r="Q160" s="37" t="str">
        <f t="array" ref="Q160">IF($R160&lt;&gt;"",IFERROR(INDEX(ISIN!$B:$B,MATCH($R160,ISIN!$C:$C,0))),)</f>
        <v/>
      </c>
      <c r="R160" s="38" t="str">
        <f t="array" ref="R160">IF($E160&lt;&gt;""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7" t="str">
        <f t="shared" si="1"/>
        <v/>
      </c>
      <c r="T160" s="39" t="str">
        <f t="shared" si="2"/>
        <v/>
      </c>
      <c r="U160" s="40" t="str">
        <f t="shared" si="3"/>
        <v/>
      </c>
      <c r="V160" s="34" t="str">
        <f t="shared" si="4"/>
        <v/>
      </c>
      <c r="W160" s="41" t="str">
        <f>IFERROR(__xludf.DUMMYFUNCTION(" IF(Account!$F160&lt;&gt;"""", SPLIT(Account!$F160, "" ""), """")"),"")</f>
        <v/>
      </c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</row>
    <row r="161">
      <c r="A161" s="20"/>
      <c r="B161" s="20"/>
      <c r="C161" s="20"/>
      <c r="D161" s="20"/>
      <c r="E161" s="20"/>
      <c r="F161" s="21"/>
      <c r="G161" s="20"/>
      <c r="H161" s="20"/>
      <c r="I161" s="20"/>
      <c r="J161" s="20"/>
      <c r="K161" s="20"/>
      <c r="L161" s="21"/>
      <c r="M161" s="33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4" t="str">
        <f>IFERROR(__xludf.DUMMYFUNCTION("IF(Account!$F161&lt;&gt;"""", VALUE(REGEXREPLACE($I161, ""\,"", ""."")), """")"),"")</f>
        <v/>
      </c>
      <c r="O161" s="35" t="str">
        <f>IF(Account!$F161&lt;&gt;"", DATEVALUE(MID($A161,4,3) &amp; LEFT($A161,3) &amp; RIGHT($A161,4)) + TIMEVALUE($B161), "")</f>
        <v/>
      </c>
      <c r="P161" s="36" t="str">
        <f>IF(Account!$F161&lt;&gt;"", DATEVALUE(MID($C161,4,3) &amp; LEFT($C161,3) &amp; RIGHT($C161,4)), "")</f>
        <v/>
      </c>
      <c r="Q161" s="37" t="str">
        <f t="array" ref="Q161">IF($R161&lt;&gt;"",IFERROR(INDEX(ISIN!$B:$B,MATCH($R161,ISIN!$C:$C,0))),)</f>
        <v/>
      </c>
      <c r="R161" s="38" t="str">
        <f t="array" ref="R161">IF($E161&lt;&gt;""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7" t="str">
        <f t="shared" si="1"/>
        <v/>
      </c>
      <c r="T161" s="39" t="str">
        <f t="shared" si="2"/>
        <v/>
      </c>
      <c r="U161" s="40" t="str">
        <f t="shared" si="3"/>
        <v/>
      </c>
      <c r="V161" s="34" t="str">
        <f t="shared" si="4"/>
        <v/>
      </c>
      <c r="W161" s="41" t="str">
        <f>IFERROR(__xludf.DUMMYFUNCTION(" IF(Account!$F161&lt;&gt;"""", SPLIT(Account!$F161, "" ""), """")"),"")</f>
        <v/>
      </c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</row>
    <row r="162">
      <c r="A162" s="20"/>
      <c r="B162" s="20"/>
      <c r="C162" s="20"/>
      <c r="D162" s="20"/>
      <c r="E162" s="20"/>
      <c r="F162" s="21"/>
      <c r="G162" s="20"/>
      <c r="H162" s="20"/>
      <c r="I162" s="20"/>
      <c r="J162" s="20"/>
      <c r="K162" s="20"/>
      <c r="L162" s="21"/>
      <c r="M162" s="33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4" t="str">
        <f>IFERROR(__xludf.DUMMYFUNCTION("IF(Account!$F162&lt;&gt;"""", VALUE(REGEXREPLACE($I162, ""\,"", ""."")), """")"),"")</f>
        <v/>
      </c>
      <c r="O162" s="35" t="str">
        <f>IF(Account!$F162&lt;&gt;"", DATEVALUE(MID($A162,4,3) &amp; LEFT($A162,3) &amp; RIGHT($A162,4)) + TIMEVALUE($B162), "")</f>
        <v/>
      </c>
      <c r="P162" s="36" t="str">
        <f>IF(Account!$F162&lt;&gt;"", DATEVALUE(MID($C162,4,3) &amp; LEFT($C162,3) &amp; RIGHT($C162,4)), "")</f>
        <v/>
      </c>
      <c r="Q162" s="37" t="str">
        <f t="array" ref="Q162">IF($R162&lt;&gt;"",IFERROR(INDEX(ISIN!$B:$B,MATCH($R162,ISIN!$C:$C,0))),)</f>
        <v/>
      </c>
      <c r="R162" s="38" t="str">
        <f t="array" ref="R162">IF($E162&lt;&gt;""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7" t="str">
        <f t="shared" si="1"/>
        <v/>
      </c>
      <c r="T162" s="39" t="str">
        <f t="shared" si="2"/>
        <v/>
      </c>
      <c r="U162" s="40" t="str">
        <f t="shared" si="3"/>
        <v/>
      </c>
      <c r="V162" s="34" t="str">
        <f t="shared" si="4"/>
        <v/>
      </c>
      <c r="W162" s="41" t="str">
        <f>IFERROR(__xludf.DUMMYFUNCTION(" IF(Account!$F162&lt;&gt;"""", SPLIT(Account!$F162, "" ""), """")"),"")</f>
        <v/>
      </c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</row>
    <row r="163">
      <c r="A163" s="20"/>
      <c r="B163" s="20"/>
      <c r="C163" s="20"/>
      <c r="D163" s="20"/>
      <c r="E163" s="20"/>
      <c r="F163" s="21"/>
      <c r="G163" s="20"/>
      <c r="H163" s="20"/>
      <c r="I163" s="20"/>
      <c r="J163" s="20"/>
      <c r="K163" s="20"/>
      <c r="L163" s="21"/>
      <c r="M163" s="33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4" t="str">
        <f>IFERROR(__xludf.DUMMYFUNCTION("IF(Account!$F163&lt;&gt;"""", VALUE(REGEXREPLACE($I163, ""\,"", ""."")), """")"),"")</f>
        <v/>
      </c>
      <c r="O163" s="35" t="str">
        <f>IF(Account!$F163&lt;&gt;"", DATEVALUE(MID($A163,4,3) &amp; LEFT($A163,3) &amp; RIGHT($A163,4)) + TIMEVALUE($B163), "")</f>
        <v/>
      </c>
      <c r="P163" s="36" t="str">
        <f>IF(Account!$F163&lt;&gt;"", DATEVALUE(MID($C163,4,3) &amp; LEFT($C163,3) &amp; RIGHT($C163,4)), "")</f>
        <v/>
      </c>
      <c r="Q163" s="37" t="str">
        <f t="array" ref="Q163">IF($R163&lt;&gt;"",IFERROR(INDEX(ISIN!$B:$B,MATCH($R163,ISIN!$C:$C,0))),)</f>
        <v/>
      </c>
      <c r="R163" s="38" t="str">
        <f t="array" ref="R163">IF($E163&lt;&gt;""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7" t="str">
        <f t="shared" si="1"/>
        <v/>
      </c>
      <c r="T163" s="39" t="str">
        <f t="shared" si="2"/>
        <v/>
      </c>
      <c r="U163" s="40" t="str">
        <f t="shared" si="3"/>
        <v/>
      </c>
      <c r="V163" s="34" t="str">
        <f t="shared" si="4"/>
        <v/>
      </c>
      <c r="W163" s="41" t="str">
        <f>IFERROR(__xludf.DUMMYFUNCTION(" IF(Account!$F163&lt;&gt;"""", SPLIT(Account!$F163, "" ""), """")"),"")</f>
        <v/>
      </c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</row>
    <row r="164">
      <c r="A164" s="20"/>
      <c r="B164" s="20"/>
      <c r="C164" s="20"/>
      <c r="D164" s="20"/>
      <c r="E164" s="20"/>
      <c r="F164" s="21"/>
      <c r="G164" s="20"/>
      <c r="H164" s="20"/>
      <c r="I164" s="20"/>
      <c r="J164" s="20"/>
      <c r="K164" s="20"/>
      <c r="L164" s="21"/>
      <c r="M164" s="33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4" t="str">
        <f>IFERROR(__xludf.DUMMYFUNCTION("IF(Account!$F164&lt;&gt;"""", VALUE(REGEXREPLACE($I164, ""\,"", ""."")), """")"),"")</f>
        <v/>
      </c>
      <c r="O164" s="35" t="str">
        <f>IF(Account!$F164&lt;&gt;"", DATEVALUE(MID($A164,4,3) &amp; LEFT($A164,3) &amp; RIGHT($A164,4)) + TIMEVALUE($B164), "")</f>
        <v/>
      </c>
      <c r="P164" s="36" t="str">
        <f>IF(Account!$F164&lt;&gt;"", DATEVALUE(MID($C164,4,3) &amp; LEFT($C164,3) &amp; RIGHT($C164,4)), "")</f>
        <v/>
      </c>
      <c r="Q164" s="37" t="str">
        <f t="array" ref="Q164">IF($R164&lt;&gt;"",IFERROR(INDEX(ISIN!$B:$B,MATCH($R164,ISIN!$C:$C,0))),)</f>
        <v/>
      </c>
      <c r="R164" s="38" t="str">
        <f t="array" ref="R164">IF($E164&lt;&gt;""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7" t="str">
        <f t="shared" si="1"/>
        <v/>
      </c>
      <c r="T164" s="39" t="str">
        <f t="shared" si="2"/>
        <v/>
      </c>
      <c r="U164" s="40" t="str">
        <f t="shared" si="3"/>
        <v/>
      </c>
      <c r="V164" s="34" t="str">
        <f t="shared" si="4"/>
        <v/>
      </c>
      <c r="W164" s="41" t="str">
        <f>IFERROR(__xludf.DUMMYFUNCTION(" IF(Account!$F164&lt;&gt;"""", SPLIT(Account!$F164, "" ""), """")"),"")</f>
        <v/>
      </c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</row>
    <row r="165">
      <c r="A165" s="20"/>
      <c r="B165" s="20"/>
      <c r="C165" s="20"/>
      <c r="D165" s="20"/>
      <c r="E165" s="20"/>
      <c r="F165" s="21"/>
      <c r="G165" s="45"/>
      <c r="H165" s="20"/>
      <c r="I165" s="20"/>
      <c r="J165" s="20"/>
      <c r="K165" s="20"/>
      <c r="L165" s="21"/>
      <c r="M165" s="33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4" t="str">
        <f>IFERROR(__xludf.DUMMYFUNCTION("IF(Account!$F165&lt;&gt;"""", VALUE(REGEXREPLACE($I165, ""\,"", ""."")), """")"),"")</f>
        <v/>
      </c>
      <c r="O165" s="35" t="str">
        <f>IF(Account!$F165&lt;&gt;"", DATEVALUE(MID($A165,4,3) &amp; LEFT($A165,3) &amp; RIGHT($A165,4)) + TIMEVALUE($B165), "")</f>
        <v/>
      </c>
      <c r="P165" s="36" t="str">
        <f>IF(Account!$F165&lt;&gt;"", DATEVALUE(MID($C165,4,3) &amp; LEFT($C165,3) &amp; RIGHT($C165,4)), "")</f>
        <v/>
      </c>
      <c r="Q165" s="37" t="str">
        <f t="array" ref="Q165">IF($R165&lt;&gt;"",IFERROR(INDEX(ISIN!$B:$B,MATCH($R165,ISIN!$C:$C,0))),)</f>
        <v/>
      </c>
      <c r="R165" s="38" t="str">
        <f t="array" ref="R165">IF($E165&lt;&gt;""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7" t="str">
        <f t="shared" si="1"/>
        <v/>
      </c>
      <c r="T165" s="39" t="str">
        <f t="shared" si="2"/>
        <v/>
      </c>
      <c r="U165" s="40" t="str">
        <f t="shared" si="3"/>
        <v/>
      </c>
      <c r="V165" s="34" t="str">
        <f t="shared" si="4"/>
        <v/>
      </c>
      <c r="W165" s="41" t="str">
        <f>IFERROR(__xludf.DUMMYFUNCTION(" IF(Account!$F165&lt;&gt;"""", SPLIT(Account!$F165, "" ""), """")"),"")</f>
        <v/>
      </c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</row>
    <row r="166">
      <c r="A166" s="20"/>
      <c r="B166" s="20"/>
      <c r="C166" s="20"/>
      <c r="D166" s="20"/>
      <c r="E166" s="20"/>
      <c r="F166" s="21"/>
      <c r="G166" s="20"/>
      <c r="H166" s="20"/>
      <c r="I166" s="20"/>
      <c r="J166" s="20"/>
      <c r="K166" s="20"/>
      <c r="L166" s="21"/>
      <c r="M166" s="33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4" t="str">
        <f>IFERROR(__xludf.DUMMYFUNCTION("IF(Account!$F166&lt;&gt;"""", VALUE(REGEXREPLACE($I166, ""\,"", ""."")), """")"),"")</f>
        <v/>
      </c>
      <c r="O166" s="35" t="str">
        <f>IF(Account!$F166&lt;&gt;"", DATEVALUE(MID($A166,4,3) &amp; LEFT($A166,3) &amp; RIGHT($A166,4)) + TIMEVALUE($B166), "")</f>
        <v/>
      </c>
      <c r="P166" s="36" t="str">
        <f>IF(Account!$F166&lt;&gt;"", DATEVALUE(MID($C166,4,3) &amp; LEFT($C166,3) &amp; RIGHT($C166,4)), "")</f>
        <v/>
      </c>
      <c r="Q166" s="37" t="str">
        <f t="array" ref="Q166">IF($R166&lt;&gt;"",IFERROR(INDEX(ISIN!$B:$B,MATCH($R166,ISIN!$C:$C,0))),)</f>
        <v/>
      </c>
      <c r="R166" s="38" t="str">
        <f t="array" ref="R166">IF($E166&lt;&gt;""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7" t="str">
        <f t="shared" si="1"/>
        <v/>
      </c>
      <c r="T166" s="39" t="str">
        <f t="shared" si="2"/>
        <v/>
      </c>
      <c r="U166" s="40" t="str">
        <f t="shared" si="3"/>
        <v/>
      </c>
      <c r="V166" s="34" t="str">
        <f t="shared" si="4"/>
        <v/>
      </c>
      <c r="W166" s="41" t="str">
        <f>IFERROR(__xludf.DUMMYFUNCTION(" IF(Account!$F166&lt;&gt;"""", SPLIT(Account!$F166, "" ""), """")"),"")</f>
        <v/>
      </c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</row>
    <row r="167">
      <c r="A167" s="20"/>
      <c r="B167" s="20"/>
      <c r="C167" s="20"/>
      <c r="D167" s="20"/>
      <c r="E167" s="20"/>
      <c r="F167" s="21"/>
      <c r="G167" s="45"/>
      <c r="H167" s="20"/>
      <c r="I167" s="20"/>
      <c r="J167" s="20"/>
      <c r="K167" s="20"/>
      <c r="L167" s="21"/>
      <c r="M167" s="33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4" t="str">
        <f>IFERROR(__xludf.DUMMYFUNCTION("IF(Account!$F167&lt;&gt;"""", VALUE(REGEXREPLACE($I167, ""\,"", ""."")), """")"),"")</f>
        <v/>
      </c>
      <c r="O167" s="35" t="str">
        <f>IF(Account!$F167&lt;&gt;"", DATEVALUE(MID($A167,4,3) &amp; LEFT($A167,3) &amp; RIGHT($A167,4)) + TIMEVALUE($B167), "")</f>
        <v/>
      </c>
      <c r="P167" s="36" t="str">
        <f>IF(Account!$F167&lt;&gt;"", DATEVALUE(MID($C167,4,3) &amp; LEFT($C167,3) &amp; RIGHT($C167,4)), "")</f>
        <v/>
      </c>
      <c r="Q167" s="37" t="str">
        <f t="array" ref="Q167">IF($R167&lt;&gt;"",IFERROR(INDEX(ISIN!$B:$B,MATCH($R167,ISIN!$C:$C,0))),)</f>
        <v/>
      </c>
      <c r="R167" s="38" t="str">
        <f t="array" ref="R167">IF($E167&lt;&gt;""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7" t="str">
        <f t="shared" si="1"/>
        <v/>
      </c>
      <c r="T167" s="39" t="str">
        <f t="shared" si="2"/>
        <v/>
      </c>
      <c r="U167" s="40" t="str">
        <f t="shared" si="3"/>
        <v/>
      </c>
      <c r="V167" s="34" t="str">
        <f t="shared" si="4"/>
        <v/>
      </c>
      <c r="W167" s="41" t="str">
        <f>IFERROR(__xludf.DUMMYFUNCTION(" IF(Account!$F167&lt;&gt;"""", SPLIT(Account!$F167, "" ""), """")"),"")</f>
        <v/>
      </c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</row>
    <row r="168">
      <c r="A168" s="20"/>
      <c r="B168" s="20"/>
      <c r="C168" s="20"/>
      <c r="D168" s="20"/>
      <c r="E168" s="20"/>
      <c r="F168" s="21"/>
      <c r="G168" s="20"/>
      <c r="H168" s="20"/>
      <c r="I168" s="20"/>
      <c r="J168" s="20"/>
      <c r="K168" s="20"/>
      <c r="L168" s="21"/>
      <c r="M168" s="33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4" t="str">
        <f>IFERROR(__xludf.DUMMYFUNCTION("IF(Account!$F168&lt;&gt;"""", VALUE(REGEXREPLACE($I168, ""\,"", ""."")), """")"),"")</f>
        <v/>
      </c>
      <c r="O168" s="35" t="str">
        <f>IF(Account!$F168&lt;&gt;"", DATEVALUE(MID($A168,4,3) &amp; LEFT($A168,3) &amp; RIGHT($A168,4)) + TIMEVALUE($B168), "")</f>
        <v/>
      </c>
      <c r="P168" s="36" t="str">
        <f>IF(Account!$F168&lt;&gt;"", DATEVALUE(MID($C168,4,3) &amp; LEFT($C168,3) &amp; RIGHT($C168,4)), "")</f>
        <v/>
      </c>
      <c r="Q168" s="37" t="str">
        <f t="array" ref="Q168">IF($R168&lt;&gt;"",IFERROR(INDEX(ISIN!$B:$B,MATCH($R168,ISIN!$C:$C,0))),)</f>
        <v/>
      </c>
      <c r="R168" s="38" t="str">
        <f t="array" ref="R168">IF($E168&lt;&gt;""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7" t="str">
        <f t="shared" si="1"/>
        <v/>
      </c>
      <c r="T168" s="39" t="str">
        <f t="shared" si="2"/>
        <v/>
      </c>
      <c r="U168" s="40" t="str">
        <f t="shared" si="3"/>
        <v/>
      </c>
      <c r="V168" s="34" t="str">
        <f t="shared" si="4"/>
        <v/>
      </c>
      <c r="W168" s="41" t="str">
        <f>IFERROR(__xludf.DUMMYFUNCTION(" IF(Account!$F168&lt;&gt;"""", SPLIT(Account!$F168, "" ""), """")"),"")</f>
        <v/>
      </c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</row>
    <row r="169">
      <c r="A169" s="20"/>
      <c r="B169" s="20"/>
      <c r="C169" s="20"/>
      <c r="D169" s="20"/>
      <c r="E169" s="20"/>
      <c r="F169" s="21"/>
      <c r="G169" s="20"/>
      <c r="H169" s="20"/>
      <c r="I169" s="20"/>
      <c r="J169" s="20"/>
      <c r="K169" s="20"/>
      <c r="L169" s="21"/>
      <c r="M169" s="33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4" t="str">
        <f>IFERROR(__xludf.DUMMYFUNCTION("IF(Account!$F169&lt;&gt;"""", VALUE(REGEXREPLACE($I169, ""\,"", ""."")), """")"),"")</f>
        <v/>
      </c>
      <c r="O169" s="35" t="str">
        <f>IF(Account!$F169&lt;&gt;"", DATEVALUE(MID($A169,4,3) &amp; LEFT($A169,3) &amp; RIGHT($A169,4)) + TIMEVALUE($B169), "")</f>
        <v/>
      </c>
      <c r="P169" s="36" t="str">
        <f>IF(Account!$F169&lt;&gt;"", DATEVALUE(MID($C169,4,3) &amp; LEFT($C169,3) &amp; RIGHT($C169,4)), "")</f>
        <v/>
      </c>
      <c r="Q169" s="37" t="str">
        <f t="array" ref="Q169">IF($R169&lt;&gt;"",IFERROR(INDEX(ISIN!$B:$B,MATCH($R169,ISIN!$C:$C,0))),)</f>
        <v/>
      </c>
      <c r="R169" s="38" t="str">
        <f t="array" ref="R169">IF($E169&lt;&gt;""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7" t="str">
        <f t="shared" si="1"/>
        <v/>
      </c>
      <c r="T169" s="39" t="str">
        <f t="shared" si="2"/>
        <v/>
      </c>
      <c r="U169" s="40" t="str">
        <f t="shared" si="3"/>
        <v/>
      </c>
      <c r="V169" s="34" t="str">
        <f t="shared" si="4"/>
        <v/>
      </c>
      <c r="W169" s="41" t="str">
        <f>IFERROR(__xludf.DUMMYFUNCTION(" IF(Account!$F169&lt;&gt;"""", SPLIT(Account!$F169, "" ""), """")"),"")</f>
        <v/>
      </c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</row>
    <row r="170">
      <c r="A170" s="20"/>
      <c r="B170" s="20"/>
      <c r="C170" s="20"/>
      <c r="D170" s="20"/>
      <c r="E170" s="20"/>
      <c r="F170" s="21"/>
      <c r="G170" s="20"/>
      <c r="H170" s="20"/>
      <c r="I170" s="20"/>
      <c r="J170" s="20"/>
      <c r="K170" s="20"/>
      <c r="L170" s="21"/>
      <c r="M170" s="33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4" t="str">
        <f>IFERROR(__xludf.DUMMYFUNCTION("IF(Account!$F170&lt;&gt;"""", VALUE(REGEXREPLACE($I170, ""\,"", ""."")), """")"),"")</f>
        <v/>
      </c>
      <c r="O170" s="35" t="str">
        <f>IF(Account!$F170&lt;&gt;"", DATEVALUE(MID($A170,4,3) &amp; LEFT($A170,3) &amp; RIGHT($A170,4)) + TIMEVALUE($B170), "")</f>
        <v/>
      </c>
      <c r="P170" s="36" t="str">
        <f>IF(Account!$F170&lt;&gt;"", DATEVALUE(MID($C170,4,3) &amp; LEFT($C170,3) &amp; RIGHT($C170,4)), "")</f>
        <v/>
      </c>
      <c r="Q170" s="37" t="str">
        <f t="array" ref="Q170">IF($R170&lt;&gt;"",IFERROR(INDEX(ISIN!$B:$B,MATCH($R170,ISIN!$C:$C,0))),)</f>
        <v/>
      </c>
      <c r="R170" s="38" t="str">
        <f t="array" ref="R170">IF($E170&lt;&gt;""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7" t="str">
        <f t="shared" si="1"/>
        <v/>
      </c>
      <c r="T170" s="39" t="str">
        <f t="shared" si="2"/>
        <v/>
      </c>
      <c r="U170" s="40" t="str">
        <f t="shared" si="3"/>
        <v/>
      </c>
      <c r="V170" s="34" t="str">
        <f t="shared" si="4"/>
        <v/>
      </c>
      <c r="W170" s="41" t="str">
        <f>IFERROR(__xludf.DUMMYFUNCTION(" IF(Account!$F170&lt;&gt;"""", SPLIT(Account!$F170, "" ""), """")"),"")</f>
        <v/>
      </c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</row>
    <row r="171">
      <c r="A171" s="20"/>
      <c r="B171" s="20"/>
      <c r="C171" s="20"/>
      <c r="D171" s="20"/>
      <c r="E171" s="20"/>
      <c r="F171" s="21"/>
      <c r="G171" s="45"/>
      <c r="H171" s="20"/>
      <c r="I171" s="20"/>
      <c r="J171" s="20"/>
      <c r="K171" s="20"/>
      <c r="L171" s="21"/>
      <c r="M171" s="33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4" t="str">
        <f>IFERROR(__xludf.DUMMYFUNCTION("IF(Account!$F171&lt;&gt;"""", VALUE(REGEXREPLACE($I171, ""\,"", ""."")), """")"),"")</f>
        <v/>
      </c>
      <c r="O171" s="35" t="str">
        <f>IF(Account!$F171&lt;&gt;"", DATEVALUE(MID($A171,4,3) &amp; LEFT($A171,3) &amp; RIGHT($A171,4)) + TIMEVALUE($B171), "")</f>
        <v/>
      </c>
      <c r="P171" s="36" t="str">
        <f>IF(Account!$F171&lt;&gt;"", DATEVALUE(MID($C171,4,3) &amp; LEFT($C171,3) &amp; RIGHT($C171,4)), "")</f>
        <v/>
      </c>
      <c r="Q171" s="37" t="str">
        <f t="array" ref="Q171">IF($R171&lt;&gt;"",IFERROR(INDEX(ISIN!$B:$B,MATCH($R171,ISIN!$C:$C,0))),)</f>
        <v/>
      </c>
      <c r="R171" s="38" t="str">
        <f t="array" ref="R171">IF($E171&lt;&gt;""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7" t="str">
        <f t="shared" si="1"/>
        <v/>
      </c>
      <c r="T171" s="39" t="str">
        <f t="shared" si="2"/>
        <v/>
      </c>
      <c r="U171" s="40" t="str">
        <f t="shared" si="3"/>
        <v/>
      </c>
      <c r="V171" s="34" t="str">
        <f t="shared" si="4"/>
        <v/>
      </c>
      <c r="W171" s="41" t="str">
        <f>IFERROR(__xludf.DUMMYFUNCTION(" IF(Account!$F171&lt;&gt;"""", SPLIT(Account!$F171, "" ""), """")"),"")</f>
        <v/>
      </c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</row>
    <row r="172">
      <c r="A172" s="20"/>
      <c r="B172" s="20"/>
      <c r="C172" s="20"/>
      <c r="D172" s="20"/>
      <c r="E172" s="20"/>
      <c r="F172" s="21"/>
      <c r="G172" s="20"/>
      <c r="H172" s="20"/>
      <c r="I172" s="20"/>
      <c r="J172" s="20"/>
      <c r="K172" s="20"/>
      <c r="L172" s="21"/>
      <c r="M172" s="33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4" t="str">
        <f>IFERROR(__xludf.DUMMYFUNCTION("IF(Account!$F172&lt;&gt;"""", VALUE(REGEXREPLACE($I172, ""\,"", ""."")), """")"),"")</f>
        <v/>
      </c>
      <c r="O172" s="35" t="str">
        <f>IF(Account!$F172&lt;&gt;"", DATEVALUE(MID($A172,4,3) &amp; LEFT($A172,3) &amp; RIGHT($A172,4)) + TIMEVALUE($B172), "")</f>
        <v/>
      </c>
      <c r="P172" s="36" t="str">
        <f>IF(Account!$F172&lt;&gt;"", DATEVALUE(MID($C172,4,3) &amp; LEFT($C172,3) &amp; RIGHT($C172,4)), "")</f>
        <v/>
      </c>
      <c r="Q172" s="37" t="str">
        <f t="array" ref="Q172">IF($R172&lt;&gt;"",IFERROR(INDEX(ISIN!$B:$B,MATCH($R172,ISIN!$C:$C,0))),)</f>
        <v/>
      </c>
      <c r="R172" s="38" t="str">
        <f t="array" ref="R172">IF($E172&lt;&gt;""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7" t="str">
        <f t="shared" si="1"/>
        <v/>
      </c>
      <c r="T172" s="39" t="str">
        <f t="shared" si="2"/>
        <v/>
      </c>
      <c r="U172" s="40" t="str">
        <f t="shared" si="3"/>
        <v/>
      </c>
      <c r="V172" s="34" t="str">
        <f t="shared" si="4"/>
        <v/>
      </c>
      <c r="W172" s="41" t="str">
        <f>IFERROR(__xludf.DUMMYFUNCTION(" IF(Account!$F172&lt;&gt;"""", SPLIT(Account!$F172, "" ""), """")"),"")</f>
        <v/>
      </c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</row>
    <row r="173">
      <c r="A173" s="20"/>
      <c r="B173" s="20"/>
      <c r="C173" s="20"/>
      <c r="D173" s="20"/>
      <c r="E173" s="20"/>
      <c r="F173" s="21"/>
      <c r="G173" s="20"/>
      <c r="H173" s="20"/>
      <c r="I173" s="20"/>
      <c r="J173" s="20"/>
      <c r="K173" s="20"/>
      <c r="L173" s="21"/>
      <c r="M173" s="33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4" t="str">
        <f>IFERROR(__xludf.DUMMYFUNCTION("IF(Account!$F173&lt;&gt;"""", VALUE(REGEXREPLACE($I173, ""\,"", ""."")), """")"),"")</f>
        <v/>
      </c>
      <c r="O173" s="35" t="str">
        <f>IF(Account!$F173&lt;&gt;"", DATEVALUE(MID($A173,4,3) &amp; LEFT($A173,3) &amp; RIGHT($A173,4)) + TIMEVALUE($B173), "")</f>
        <v/>
      </c>
      <c r="P173" s="36" t="str">
        <f>IF(Account!$F173&lt;&gt;"", DATEVALUE(MID($C173,4,3) &amp; LEFT($C173,3) &amp; RIGHT($C173,4)), "")</f>
        <v/>
      </c>
      <c r="Q173" s="37" t="str">
        <f t="array" ref="Q173">IF($R173&lt;&gt;"",IFERROR(INDEX(ISIN!$B:$B,MATCH($R173,ISIN!$C:$C,0))),)</f>
        <v/>
      </c>
      <c r="R173" s="38" t="str">
        <f t="array" ref="R173">IF($E173&lt;&gt;""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7" t="str">
        <f t="shared" si="1"/>
        <v/>
      </c>
      <c r="T173" s="39" t="str">
        <f t="shared" si="2"/>
        <v/>
      </c>
      <c r="U173" s="40" t="str">
        <f t="shared" si="3"/>
        <v/>
      </c>
      <c r="V173" s="34" t="str">
        <f t="shared" si="4"/>
        <v/>
      </c>
      <c r="W173" s="41" t="str">
        <f>IFERROR(__xludf.DUMMYFUNCTION(" IF(Account!$F173&lt;&gt;"""", SPLIT(Account!$F173, "" ""), """")"),"")</f>
        <v/>
      </c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</row>
    <row r="174">
      <c r="A174" s="20"/>
      <c r="B174" s="20"/>
      <c r="C174" s="20"/>
      <c r="D174" s="20"/>
      <c r="E174" s="20"/>
      <c r="F174" s="21"/>
      <c r="G174" s="20"/>
      <c r="H174" s="20"/>
      <c r="I174" s="20"/>
      <c r="J174" s="20"/>
      <c r="K174" s="20"/>
      <c r="L174" s="21"/>
      <c r="M174" s="33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4" t="str">
        <f>IFERROR(__xludf.DUMMYFUNCTION("IF(Account!$F174&lt;&gt;"""", VALUE(REGEXREPLACE($I174, ""\,"", ""."")), """")"),"")</f>
        <v/>
      </c>
      <c r="O174" s="35" t="str">
        <f>IF(Account!$F174&lt;&gt;"", DATEVALUE(MID($A174,4,3) &amp; LEFT($A174,3) &amp; RIGHT($A174,4)) + TIMEVALUE($B174), "")</f>
        <v/>
      </c>
      <c r="P174" s="36" t="str">
        <f>IF(Account!$F174&lt;&gt;"", DATEVALUE(MID($C174,4,3) &amp; LEFT($C174,3) &amp; RIGHT($C174,4)), "")</f>
        <v/>
      </c>
      <c r="Q174" s="37" t="str">
        <f t="array" ref="Q174">IF($R174&lt;&gt;"",IFERROR(INDEX(ISIN!$B:$B,MATCH($R174,ISIN!$C:$C,0))),)</f>
        <v/>
      </c>
      <c r="R174" s="38" t="str">
        <f t="array" ref="R174">IF($E174&lt;&gt;""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7" t="str">
        <f t="shared" si="1"/>
        <v/>
      </c>
      <c r="T174" s="39" t="str">
        <f t="shared" si="2"/>
        <v/>
      </c>
      <c r="U174" s="40" t="str">
        <f t="shared" si="3"/>
        <v/>
      </c>
      <c r="V174" s="34" t="str">
        <f t="shared" si="4"/>
        <v/>
      </c>
      <c r="W174" s="41" t="str">
        <f>IFERROR(__xludf.DUMMYFUNCTION(" IF(Account!$F174&lt;&gt;"""", SPLIT(Account!$F174, "" ""), """")"),"")</f>
        <v/>
      </c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</row>
    <row r="175">
      <c r="A175" s="20"/>
      <c r="B175" s="20"/>
      <c r="C175" s="20"/>
      <c r="D175" s="20"/>
      <c r="E175" s="20"/>
      <c r="F175" s="21"/>
      <c r="G175" s="20"/>
      <c r="H175" s="20"/>
      <c r="I175" s="20"/>
      <c r="J175" s="20"/>
      <c r="K175" s="20"/>
      <c r="L175" s="21"/>
      <c r="M175" s="33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4" t="str">
        <f>IFERROR(__xludf.DUMMYFUNCTION("IF(Account!$F175&lt;&gt;"""", VALUE(REGEXREPLACE($I175, ""\,"", ""."")), """")"),"")</f>
        <v/>
      </c>
      <c r="O175" s="35" t="str">
        <f>IF(Account!$F175&lt;&gt;"", DATEVALUE(MID($A175,4,3) &amp; LEFT($A175,3) &amp; RIGHT($A175,4)) + TIMEVALUE($B175), "")</f>
        <v/>
      </c>
      <c r="P175" s="36" t="str">
        <f>IF(Account!$F175&lt;&gt;"", DATEVALUE(MID($C175,4,3) &amp; LEFT($C175,3) &amp; RIGHT($C175,4)), "")</f>
        <v/>
      </c>
      <c r="Q175" s="37" t="str">
        <f t="array" ref="Q175">IF($R175&lt;&gt;"",IFERROR(INDEX(ISIN!$B:$B,MATCH($R175,ISIN!$C:$C,0))),)</f>
        <v/>
      </c>
      <c r="R175" s="38" t="str">
        <f t="array" ref="R175">IF($E175&lt;&gt;""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7" t="str">
        <f t="shared" si="1"/>
        <v/>
      </c>
      <c r="T175" s="39" t="str">
        <f t="shared" si="2"/>
        <v/>
      </c>
      <c r="U175" s="40" t="str">
        <f t="shared" si="3"/>
        <v/>
      </c>
      <c r="V175" s="34" t="str">
        <f t="shared" si="4"/>
        <v/>
      </c>
      <c r="W175" s="41" t="str">
        <f>IFERROR(__xludf.DUMMYFUNCTION(" IF(Account!$F175&lt;&gt;"""", SPLIT(Account!$F175, "" ""), """")"),"")</f>
        <v/>
      </c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</row>
    <row r="176">
      <c r="A176" s="20"/>
      <c r="B176" s="20"/>
      <c r="C176" s="20"/>
      <c r="D176" s="20"/>
      <c r="E176" s="20"/>
      <c r="F176" s="21"/>
      <c r="G176" s="20"/>
      <c r="H176" s="20"/>
      <c r="I176" s="20"/>
      <c r="J176" s="20"/>
      <c r="K176" s="20"/>
      <c r="L176" s="21"/>
      <c r="M176" s="33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4" t="str">
        <f>IFERROR(__xludf.DUMMYFUNCTION("IF(Account!$F176&lt;&gt;"""", VALUE(REGEXREPLACE($I176, ""\,"", ""."")), """")"),"")</f>
        <v/>
      </c>
      <c r="O176" s="35" t="str">
        <f>IF(Account!$F176&lt;&gt;"", DATEVALUE(MID($A176,4,3) &amp; LEFT($A176,3) &amp; RIGHT($A176,4)) + TIMEVALUE($B176), "")</f>
        <v/>
      </c>
      <c r="P176" s="36" t="str">
        <f>IF(Account!$F176&lt;&gt;"", DATEVALUE(MID($C176,4,3) &amp; LEFT($C176,3) &amp; RIGHT($C176,4)), "")</f>
        <v/>
      </c>
      <c r="Q176" s="37" t="str">
        <f t="array" ref="Q176">IF($R176&lt;&gt;"",IFERROR(INDEX(ISIN!$B:$B,MATCH($R176,ISIN!$C:$C,0))),)</f>
        <v/>
      </c>
      <c r="R176" s="38" t="str">
        <f t="array" ref="R176">IF($E176&lt;&gt;""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7" t="str">
        <f t="shared" si="1"/>
        <v/>
      </c>
      <c r="T176" s="39" t="str">
        <f t="shared" si="2"/>
        <v/>
      </c>
      <c r="U176" s="40" t="str">
        <f t="shared" si="3"/>
        <v/>
      </c>
      <c r="V176" s="34" t="str">
        <f t="shared" si="4"/>
        <v/>
      </c>
      <c r="W176" s="41" t="str">
        <f>IFERROR(__xludf.DUMMYFUNCTION(" IF(Account!$F176&lt;&gt;"""", SPLIT(Account!$F176, "" ""), """")"),"")</f>
        <v/>
      </c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</row>
    <row r="177">
      <c r="A177" s="20"/>
      <c r="B177" s="20"/>
      <c r="C177" s="20"/>
      <c r="D177" s="20"/>
      <c r="E177" s="20"/>
      <c r="F177" s="21"/>
      <c r="G177" s="45"/>
      <c r="H177" s="20"/>
      <c r="I177" s="20"/>
      <c r="J177" s="20"/>
      <c r="K177" s="20"/>
      <c r="L177" s="21"/>
      <c r="M177" s="33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4" t="str">
        <f>IFERROR(__xludf.DUMMYFUNCTION("IF(Account!$F177&lt;&gt;"""", VALUE(REGEXREPLACE($I177, ""\,"", ""."")), """")"),"")</f>
        <v/>
      </c>
      <c r="O177" s="35" t="str">
        <f>IF(Account!$F177&lt;&gt;"", DATEVALUE(MID($A177,4,3) &amp; LEFT($A177,3) &amp; RIGHT($A177,4)) + TIMEVALUE($B177), "")</f>
        <v/>
      </c>
      <c r="P177" s="36" t="str">
        <f>IF(Account!$F177&lt;&gt;"", DATEVALUE(MID($C177,4,3) &amp; LEFT($C177,3) &amp; RIGHT($C177,4)), "")</f>
        <v/>
      </c>
      <c r="Q177" s="37" t="str">
        <f t="array" ref="Q177">IF($R177&lt;&gt;"",IFERROR(INDEX(ISIN!$B:$B,MATCH($R177,ISIN!$C:$C,0))),)</f>
        <v/>
      </c>
      <c r="R177" s="38" t="str">
        <f t="array" ref="R177">IF($E177&lt;&gt;""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7" t="str">
        <f t="shared" si="1"/>
        <v/>
      </c>
      <c r="T177" s="39" t="str">
        <f t="shared" si="2"/>
        <v/>
      </c>
      <c r="U177" s="40" t="str">
        <f t="shared" si="3"/>
        <v/>
      </c>
      <c r="V177" s="34" t="str">
        <f t="shared" si="4"/>
        <v/>
      </c>
      <c r="W177" s="41" t="str">
        <f>IFERROR(__xludf.DUMMYFUNCTION(" IF(Account!$F177&lt;&gt;"""", SPLIT(Account!$F177, "" ""), """")"),"")</f>
        <v/>
      </c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</row>
    <row r="178">
      <c r="A178" s="20"/>
      <c r="B178" s="20"/>
      <c r="C178" s="20"/>
      <c r="D178" s="20"/>
      <c r="E178" s="20"/>
      <c r="F178" s="21"/>
      <c r="G178" s="20"/>
      <c r="H178" s="20"/>
      <c r="I178" s="20"/>
      <c r="J178" s="20"/>
      <c r="K178" s="20"/>
      <c r="L178" s="21"/>
      <c r="M178" s="33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4" t="str">
        <f>IFERROR(__xludf.DUMMYFUNCTION("IF(Account!$F178&lt;&gt;"""", VALUE(REGEXREPLACE($I178, ""\,"", ""."")), """")"),"")</f>
        <v/>
      </c>
      <c r="O178" s="35" t="str">
        <f>IF(Account!$F178&lt;&gt;"", DATEVALUE(MID($A178,4,3) &amp; LEFT($A178,3) &amp; RIGHT($A178,4)) + TIMEVALUE($B178), "")</f>
        <v/>
      </c>
      <c r="P178" s="36" t="str">
        <f>IF(Account!$F178&lt;&gt;"", DATEVALUE(MID($C178,4,3) &amp; LEFT($C178,3) &amp; RIGHT($C178,4)), "")</f>
        <v/>
      </c>
      <c r="Q178" s="37" t="str">
        <f t="array" ref="Q178">IF($R178&lt;&gt;"",IFERROR(INDEX(ISIN!$B:$B,MATCH($R178,ISIN!$C:$C,0))),)</f>
        <v/>
      </c>
      <c r="R178" s="38" t="str">
        <f t="array" ref="R178">IF($E178&lt;&gt;""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7" t="str">
        <f t="shared" si="1"/>
        <v/>
      </c>
      <c r="T178" s="39" t="str">
        <f t="shared" si="2"/>
        <v/>
      </c>
      <c r="U178" s="40" t="str">
        <f t="shared" si="3"/>
        <v/>
      </c>
      <c r="V178" s="34" t="str">
        <f t="shared" si="4"/>
        <v/>
      </c>
      <c r="W178" s="41" t="str">
        <f>IFERROR(__xludf.DUMMYFUNCTION(" IF(Account!$F178&lt;&gt;"""", SPLIT(Account!$F178, "" ""), """")"),"")</f>
        <v/>
      </c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</row>
    <row r="179">
      <c r="A179" s="20"/>
      <c r="B179" s="20"/>
      <c r="C179" s="20"/>
      <c r="D179" s="20"/>
      <c r="E179" s="20"/>
      <c r="F179" s="21"/>
      <c r="G179" s="20"/>
      <c r="H179" s="20"/>
      <c r="I179" s="20"/>
      <c r="J179" s="20"/>
      <c r="K179" s="20"/>
      <c r="L179" s="21"/>
      <c r="M179" s="33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4" t="str">
        <f>IFERROR(__xludf.DUMMYFUNCTION("IF(Account!$F179&lt;&gt;"""", VALUE(REGEXREPLACE($I179, ""\,"", ""."")), """")"),"")</f>
        <v/>
      </c>
      <c r="O179" s="35" t="str">
        <f>IF(Account!$F179&lt;&gt;"", DATEVALUE(MID($A179,4,3) &amp; LEFT($A179,3) &amp; RIGHT($A179,4)) + TIMEVALUE($B179), "")</f>
        <v/>
      </c>
      <c r="P179" s="36" t="str">
        <f>IF(Account!$F179&lt;&gt;"", DATEVALUE(MID($C179,4,3) &amp; LEFT($C179,3) &amp; RIGHT($C179,4)), "")</f>
        <v/>
      </c>
      <c r="Q179" s="37" t="str">
        <f t="array" ref="Q179">IF($R179&lt;&gt;"",IFERROR(INDEX(ISIN!$B:$B,MATCH($R179,ISIN!$C:$C,0))),)</f>
        <v/>
      </c>
      <c r="R179" s="38" t="str">
        <f t="array" ref="R179">IF($E179&lt;&gt;""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7" t="str">
        <f t="shared" si="1"/>
        <v/>
      </c>
      <c r="T179" s="39" t="str">
        <f t="shared" si="2"/>
        <v/>
      </c>
      <c r="U179" s="40" t="str">
        <f t="shared" si="3"/>
        <v/>
      </c>
      <c r="V179" s="34" t="str">
        <f t="shared" si="4"/>
        <v/>
      </c>
      <c r="W179" s="41" t="str">
        <f>IFERROR(__xludf.DUMMYFUNCTION(" IF(Account!$F179&lt;&gt;"""", SPLIT(Account!$F179, "" ""), """")"),"")</f>
        <v/>
      </c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</row>
    <row r="180">
      <c r="A180" s="20"/>
      <c r="B180" s="20"/>
      <c r="C180" s="20"/>
      <c r="D180" s="20"/>
      <c r="E180" s="20"/>
      <c r="F180" s="21"/>
      <c r="G180" s="20"/>
      <c r="H180" s="20"/>
      <c r="I180" s="20"/>
      <c r="J180" s="20"/>
      <c r="K180" s="20"/>
      <c r="L180" s="21"/>
      <c r="M180" s="33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4" t="str">
        <f>IFERROR(__xludf.DUMMYFUNCTION("IF(Account!$F180&lt;&gt;"""", VALUE(REGEXREPLACE($I180, ""\,"", ""."")), """")"),"")</f>
        <v/>
      </c>
      <c r="O180" s="35" t="str">
        <f>IF(Account!$F180&lt;&gt;"", DATEVALUE(MID($A180,4,3) &amp; LEFT($A180,3) &amp; RIGHT($A180,4)) + TIMEVALUE($B180), "")</f>
        <v/>
      </c>
      <c r="P180" s="36" t="str">
        <f>IF(Account!$F180&lt;&gt;"", DATEVALUE(MID($C180,4,3) &amp; LEFT($C180,3) &amp; RIGHT($C180,4)), "")</f>
        <v/>
      </c>
      <c r="Q180" s="37" t="str">
        <f t="array" ref="Q180">IF($R180&lt;&gt;"",IFERROR(INDEX(ISIN!$B:$B,MATCH($R180,ISIN!$C:$C,0))),)</f>
        <v/>
      </c>
      <c r="R180" s="38" t="str">
        <f t="array" ref="R180">IF($E180&lt;&gt;""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7" t="str">
        <f t="shared" si="1"/>
        <v/>
      </c>
      <c r="T180" s="39" t="str">
        <f t="shared" si="2"/>
        <v/>
      </c>
      <c r="U180" s="40" t="str">
        <f t="shared" si="3"/>
        <v/>
      </c>
      <c r="V180" s="34" t="str">
        <f t="shared" si="4"/>
        <v/>
      </c>
      <c r="W180" s="41" t="str">
        <f>IFERROR(__xludf.DUMMYFUNCTION(" IF(Account!$F180&lt;&gt;"""", SPLIT(Account!$F180, "" ""), """")"),"")</f>
        <v/>
      </c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</row>
    <row r="181">
      <c r="A181" s="20"/>
      <c r="B181" s="20"/>
      <c r="C181" s="20"/>
      <c r="D181" s="20"/>
      <c r="E181" s="20"/>
      <c r="F181" s="21"/>
      <c r="G181" s="20"/>
      <c r="H181" s="20"/>
      <c r="I181" s="20"/>
      <c r="J181" s="20"/>
      <c r="K181" s="20"/>
      <c r="L181" s="21"/>
      <c r="M181" s="33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4" t="str">
        <f>IFERROR(__xludf.DUMMYFUNCTION("IF(Account!$F181&lt;&gt;"""", VALUE(REGEXREPLACE($I181, ""\,"", ""."")), """")"),"")</f>
        <v/>
      </c>
      <c r="O181" s="35" t="str">
        <f>IF(Account!$F181&lt;&gt;"", DATEVALUE(MID($A181,4,3) &amp; LEFT($A181,3) &amp; RIGHT($A181,4)) + TIMEVALUE($B181), "")</f>
        <v/>
      </c>
      <c r="P181" s="36" t="str">
        <f>IF(Account!$F181&lt;&gt;"", DATEVALUE(MID($C181,4,3) &amp; LEFT($C181,3) &amp; RIGHT($C181,4)), "")</f>
        <v/>
      </c>
      <c r="Q181" s="37" t="str">
        <f t="array" ref="Q181">IF($R181&lt;&gt;"",IFERROR(INDEX(ISIN!$B:$B,MATCH($R181,ISIN!$C:$C,0))),)</f>
        <v/>
      </c>
      <c r="R181" s="38" t="str">
        <f t="array" ref="R181">IF($E181&lt;&gt;""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7" t="str">
        <f t="shared" si="1"/>
        <v/>
      </c>
      <c r="T181" s="39" t="str">
        <f t="shared" si="2"/>
        <v/>
      </c>
      <c r="U181" s="40" t="str">
        <f t="shared" si="3"/>
        <v/>
      </c>
      <c r="V181" s="34" t="str">
        <f t="shared" si="4"/>
        <v/>
      </c>
      <c r="W181" s="41" t="str">
        <f>IFERROR(__xludf.DUMMYFUNCTION(" IF(Account!$F181&lt;&gt;"""", SPLIT(Account!$F181, "" ""), """")"),"")</f>
        <v/>
      </c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</row>
    <row r="182">
      <c r="A182" s="20"/>
      <c r="B182" s="20"/>
      <c r="C182" s="20"/>
      <c r="D182" s="20"/>
      <c r="E182" s="20"/>
      <c r="F182" s="21"/>
      <c r="G182" s="20"/>
      <c r="H182" s="20"/>
      <c r="I182" s="20"/>
      <c r="J182" s="20"/>
      <c r="K182" s="20"/>
      <c r="L182" s="21"/>
      <c r="M182" s="33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4" t="str">
        <f>IFERROR(__xludf.DUMMYFUNCTION("IF(Account!$F182&lt;&gt;"""", VALUE(REGEXREPLACE($I182, ""\,"", ""."")), """")"),"")</f>
        <v/>
      </c>
      <c r="O182" s="35" t="str">
        <f>IF(Account!$F182&lt;&gt;"", DATEVALUE(MID($A182,4,3) &amp; LEFT($A182,3) &amp; RIGHT($A182,4)) + TIMEVALUE($B182), "")</f>
        <v/>
      </c>
      <c r="P182" s="36" t="str">
        <f>IF(Account!$F182&lt;&gt;"", DATEVALUE(MID($C182,4,3) &amp; LEFT($C182,3) &amp; RIGHT($C182,4)), "")</f>
        <v/>
      </c>
      <c r="Q182" s="37" t="str">
        <f t="array" ref="Q182">IF($R182&lt;&gt;"",IFERROR(INDEX(ISIN!$B:$B,MATCH($R182,ISIN!$C:$C,0))),)</f>
        <v/>
      </c>
      <c r="R182" s="38" t="str">
        <f t="array" ref="R182">IF($E182&lt;&gt;""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7" t="str">
        <f t="shared" si="1"/>
        <v/>
      </c>
      <c r="T182" s="39" t="str">
        <f t="shared" si="2"/>
        <v/>
      </c>
      <c r="U182" s="40" t="str">
        <f t="shared" si="3"/>
        <v/>
      </c>
      <c r="V182" s="34" t="str">
        <f t="shared" si="4"/>
        <v/>
      </c>
      <c r="W182" s="41" t="str">
        <f>IFERROR(__xludf.DUMMYFUNCTION(" IF(Account!$F182&lt;&gt;"""", SPLIT(Account!$F182, "" ""), """")"),"")</f>
        <v/>
      </c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</row>
    <row r="183">
      <c r="A183" s="20"/>
      <c r="B183" s="20"/>
      <c r="C183" s="20"/>
      <c r="D183" s="20"/>
      <c r="E183" s="20"/>
      <c r="F183" s="21"/>
      <c r="G183" s="20"/>
      <c r="H183" s="20"/>
      <c r="I183" s="20"/>
      <c r="J183" s="20"/>
      <c r="K183" s="20"/>
      <c r="L183" s="21"/>
      <c r="M183" s="33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4" t="str">
        <f>IFERROR(__xludf.DUMMYFUNCTION("IF(Account!$F183&lt;&gt;"""", VALUE(REGEXREPLACE($I183, ""\,"", ""."")), """")"),"")</f>
        <v/>
      </c>
      <c r="O183" s="35" t="str">
        <f>IF(Account!$F183&lt;&gt;"", DATEVALUE(MID($A183,4,3) &amp; LEFT($A183,3) &amp; RIGHT($A183,4)) + TIMEVALUE($B183), "")</f>
        <v/>
      </c>
      <c r="P183" s="36" t="str">
        <f>IF(Account!$F183&lt;&gt;"", DATEVALUE(MID($C183,4,3) &amp; LEFT($C183,3) &amp; RIGHT($C183,4)), "")</f>
        <v/>
      </c>
      <c r="Q183" s="37" t="str">
        <f t="array" ref="Q183">IF($R183&lt;&gt;"",IFERROR(INDEX(ISIN!$B:$B,MATCH($R183,ISIN!$C:$C,0))),)</f>
        <v/>
      </c>
      <c r="R183" s="38" t="str">
        <f t="array" ref="R183">IF($E183&lt;&gt;""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7" t="str">
        <f t="shared" si="1"/>
        <v/>
      </c>
      <c r="T183" s="39" t="str">
        <f t="shared" si="2"/>
        <v/>
      </c>
      <c r="U183" s="40" t="str">
        <f t="shared" si="3"/>
        <v/>
      </c>
      <c r="V183" s="34" t="str">
        <f t="shared" si="4"/>
        <v/>
      </c>
      <c r="W183" s="41" t="str">
        <f>IFERROR(__xludf.DUMMYFUNCTION(" IF(Account!$F183&lt;&gt;"""", SPLIT(Account!$F183, "" ""), """")"),"")</f>
        <v/>
      </c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</row>
    <row r="184">
      <c r="A184" s="20"/>
      <c r="B184" s="20"/>
      <c r="C184" s="20"/>
      <c r="D184" s="20"/>
      <c r="E184" s="20"/>
      <c r="F184" s="21"/>
      <c r="G184" s="20"/>
      <c r="H184" s="20"/>
      <c r="I184" s="20"/>
      <c r="J184" s="20"/>
      <c r="K184" s="20"/>
      <c r="L184" s="21"/>
      <c r="M184" s="33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4" t="str">
        <f>IFERROR(__xludf.DUMMYFUNCTION("IF(Account!$F184&lt;&gt;"""", VALUE(REGEXREPLACE($I184, ""\,"", ""."")), """")"),"")</f>
        <v/>
      </c>
      <c r="O184" s="35" t="str">
        <f>IF(Account!$F184&lt;&gt;"", DATEVALUE(MID($A184,4,3) &amp; LEFT($A184,3) &amp; RIGHT($A184,4)) + TIMEVALUE($B184), "")</f>
        <v/>
      </c>
      <c r="P184" s="36" t="str">
        <f>IF(Account!$F184&lt;&gt;"", DATEVALUE(MID($C184,4,3) &amp; LEFT($C184,3) &amp; RIGHT($C184,4)), "")</f>
        <v/>
      </c>
      <c r="Q184" s="37" t="str">
        <f t="array" ref="Q184">IF($R184&lt;&gt;"",IFERROR(INDEX(ISIN!$B:$B,MATCH($R184,ISIN!$C:$C,0))),)</f>
        <v/>
      </c>
      <c r="R184" s="38" t="str">
        <f t="array" ref="R184">IF($E184&lt;&gt;""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7" t="str">
        <f t="shared" si="1"/>
        <v/>
      </c>
      <c r="T184" s="39" t="str">
        <f t="shared" si="2"/>
        <v/>
      </c>
      <c r="U184" s="40" t="str">
        <f t="shared" si="3"/>
        <v/>
      </c>
      <c r="V184" s="34" t="str">
        <f t="shared" si="4"/>
        <v/>
      </c>
      <c r="W184" s="41" t="str">
        <f>IFERROR(__xludf.DUMMYFUNCTION(" IF(Account!$F184&lt;&gt;"""", SPLIT(Account!$F184, "" ""), """")"),"")</f>
        <v/>
      </c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</row>
    <row r="185">
      <c r="A185" s="20"/>
      <c r="B185" s="20"/>
      <c r="C185" s="20"/>
      <c r="D185" s="20"/>
      <c r="E185" s="20"/>
      <c r="F185" s="21"/>
      <c r="G185" s="20"/>
      <c r="H185" s="20"/>
      <c r="I185" s="20"/>
      <c r="J185" s="20"/>
      <c r="K185" s="20"/>
      <c r="L185" s="21"/>
      <c r="M185" s="33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4" t="str">
        <f>IFERROR(__xludf.DUMMYFUNCTION("IF(Account!$F185&lt;&gt;"""", VALUE(REGEXREPLACE($I185, ""\,"", ""."")), """")"),"")</f>
        <v/>
      </c>
      <c r="O185" s="35" t="str">
        <f>IF(Account!$F185&lt;&gt;"", DATEVALUE(MID($A185,4,3) &amp; LEFT($A185,3) &amp; RIGHT($A185,4)) + TIMEVALUE($B185), "")</f>
        <v/>
      </c>
      <c r="P185" s="36" t="str">
        <f>IF(Account!$F185&lt;&gt;"", DATEVALUE(MID($C185,4,3) &amp; LEFT($C185,3) &amp; RIGHT($C185,4)), "")</f>
        <v/>
      </c>
      <c r="Q185" s="37" t="str">
        <f t="array" ref="Q185">IF($R185&lt;&gt;"",IFERROR(INDEX(ISIN!$B:$B,MATCH($R185,ISIN!$C:$C,0))),)</f>
        <v/>
      </c>
      <c r="R185" s="38" t="str">
        <f t="array" ref="R185">IF($E185&lt;&gt;""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7" t="str">
        <f t="shared" si="1"/>
        <v/>
      </c>
      <c r="T185" s="39" t="str">
        <f t="shared" si="2"/>
        <v/>
      </c>
      <c r="U185" s="40" t="str">
        <f t="shared" si="3"/>
        <v/>
      </c>
      <c r="V185" s="34" t="str">
        <f t="shared" si="4"/>
        <v/>
      </c>
      <c r="W185" s="41" t="str">
        <f>IFERROR(__xludf.DUMMYFUNCTION(" IF(Account!$F185&lt;&gt;"""", SPLIT(Account!$F185, "" ""), """")"),"")</f>
        <v/>
      </c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</row>
    <row r="186">
      <c r="A186" s="20"/>
      <c r="B186" s="20"/>
      <c r="C186" s="20"/>
      <c r="D186" s="20"/>
      <c r="E186" s="20"/>
      <c r="F186" s="21"/>
      <c r="G186" s="20"/>
      <c r="H186" s="20"/>
      <c r="I186" s="20"/>
      <c r="J186" s="20"/>
      <c r="K186" s="20"/>
      <c r="L186" s="21"/>
      <c r="M186" s="33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4" t="str">
        <f>IFERROR(__xludf.DUMMYFUNCTION("IF(Account!$F186&lt;&gt;"""", VALUE(REGEXREPLACE($I186, ""\,"", ""."")), """")"),"")</f>
        <v/>
      </c>
      <c r="O186" s="35" t="str">
        <f>IF(Account!$F186&lt;&gt;"", DATEVALUE(MID($A186,4,3) &amp; LEFT($A186,3) &amp; RIGHT($A186,4)) + TIMEVALUE($B186), "")</f>
        <v/>
      </c>
      <c r="P186" s="36" t="str">
        <f>IF(Account!$F186&lt;&gt;"", DATEVALUE(MID($C186,4,3) &amp; LEFT($C186,3) &amp; RIGHT($C186,4)), "")</f>
        <v/>
      </c>
      <c r="Q186" s="37" t="str">
        <f t="array" ref="Q186">IF($R186&lt;&gt;"",IFERROR(INDEX(ISIN!$B:$B,MATCH($R186,ISIN!$C:$C,0))),)</f>
        <v/>
      </c>
      <c r="R186" s="38" t="str">
        <f t="array" ref="R186">IF($E186&lt;&gt;""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7" t="str">
        <f t="shared" si="1"/>
        <v/>
      </c>
      <c r="T186" s="39" t="str">
        <f t="shared" si="2"/>
        <v/>
      </c>
      <c r="U186" s="40" t="str">
        <f t="shared" si="3"/>
        <v/>
      </c>
      <c r="V186" s="34" t="str">
        <f t="shared" si="4"/>
        <v/>
      </c>
      <c r="W186" s="41" t="str">
        <f>IFERROR(__xludf.DUMMYFUNCTION(" IF(Account!$F186&lt;&gt;"""", SPLIT(Account!$F186, "" ""), """")"),"")</f>
        <v/>
      </c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</row>
    <row r="187">
      <c r="A187" s="20"/>
      <c r="B187" s="20"/>
      <c r="C187" s="20"/>
      <c r="D187" s="20"/>
      <c r="E187" s="20"/>
      <c r="F187" s="21"/>
      <c r="G187" s="20"/>
      <c r="H187" s="20"/>
      <c r="I187" s="20"/>
      <c r="J187" s="20"/>
      <c r="K187" s="20"/>
      <c r="L187" s="21"/>
      <c r="M187" s="33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4" t="str">
        <f>IFERROR(__xludf.DUMMYFUNCTION("IF(Account!$F187&lt;&gt;"""", VALUE(REGEXREPLACE($I187, ""\,"", ""."")), """")"),"")</f>
        <v/>
      </c>
      <c r="O187" s="35" t="str">
        <f>IF(Account!$F187&lt;&gt;"", DATEVALUE(MID($A187,4,3) &amp; LEFT($A187,3) &amp; RIGHT($A187,4)) + TIMEVALUE($B187), "")</f>
        <v/>
      </c>
      <c r="P187" s="36" t="str">
        <f>IF(Account!$F187&lt;&gt;"", DATEVALUE(MID($C187,4,3) &amp; LEFT($C187,3) &amp; RIGHT($C187,4)), "")</f>
        <v/>
      </c>
      <c r="Q187" s="37" t="str">
        <f t="array" ref="Q187">IF($R187&lt;&gt;"",IFERROR(INDEX(ISIN!$B:$B,MATCH($R187,ISIN!$C:$C,0))),)</f>
        <v/>
      </c>
      <c r="R187" s="38" t="str">
        <f t="array" ref="R187">IF($E187&lt;&gt;""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7" t="str">
        <f t="shared" si="1"/>
        <v/>
      </c>
      <c r="T187" s="39" t="str">
        <f t="shared" si="2"/>
        <v/>
      </c>
      <c r="U187" s="40" t="str">
        <f t="shared" si="3"/>
        <v/>
      </c>
      <c r="V187" s="34" t="str">
        <f t="shared" si="4"/>
        <v/>
      </c>
      <c r="W187" s="41" t="str">
        <f>IFERROR(__xludf.DUMMYFUNCTION(" IF(Account!$F187&lt;&gt;"""", SPLIT(Account!$F187, "" ""), """")"),"")</f>
        <v/>
      </c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</row>
    <row r="188">
      <c r="A188" s="20"/>
      <c r="B188" s="20"/>
      <c r="C188" s="20"/>
      <c r="D188" s="20"/>
      <c r="E188" s="20"/>
      <c r="F188" s="21"/>
      <c r="G188" s="20"/>
      <c r="H188" s="20"/>
      <c r="I188" s="20"/>
      <c r="J188" s="20"/>
      <c r="K188" s="20"/>
      <c r="L188" s="21"/>
      <c r="M188" s="33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4" t="str">
        <f>IFERROR(__xludf.DUMMYFUNCTION("IF(Account!$F188&lt;&gt;"""", VALUE(REGEXREPLACE($I188, ""\,"", ""."")), """")"),"")</f>
        <v/>
      </c>
      <c r="O188" s="35" t="str">
        <f>IF(Account!$F188&lt;&gt;"", DATEVALUE(MID($A188,4,3) &amp; LEFT($A188,3) &amp; RIGHT($A188,4)) + TIMEVALUE($B188), "")</f>
        <v/>
      </c>
      <c r="P188" s="36" t="str">
        <f>IF(Account!$F188&lt;&gt;"", DATEVALUE(MID($C188,4,3) &amp; LEFT($C188,3) &amp; RIGHT($C188,4)), "")</f>
        <v/>
      </c>
      <c r="Q188" s="37" t="str">
        <f t="array" ref="Q188">IF($R188&lt;&gt;"",IFERROR(INDEX(ISIN!$B:$B,MATCH($R188,ISIN!$C:$C,0))),)</f>
        <v/>
      </c>
      <c r="R188" s="38" t="str">
        <f t="array" ref="R188">IF($E188&lt;&gt;""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7" t="str">
        <f t="shared" si="1"/>
        <v/>
      </c>
      <c r="T188" s="39" t="str">
        <f t="shared" si="2"/>
        <v/>
      </c>
      <c r="U188" s="40" t="str">
        <f t="shared" si="3"/>
        <v/>
      </c>
      <c r="V188" s="34" t="str">
        <f t="shared" si="4"/>
        <v/>
      </c>
      <c r="W188" s="41" t="str">
        <f>IFERROR(__xludf.DUMMYFUNCTION(" IF(Account!$F188&lt;&gt;"""", SPLIT(Account!$F188, "" ""), """")"),"")</f>
        <v/>
      </c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</row>
    <row r="189">
      <c r="A189" s="20"/>
      <c r="B189" s="20"/>
      <c r="C189" s="20"/>
      <c r="D189" s="20"/>
      <c r="E189" s="20"/>
      <c r="F189" s="21"/>
      <c r="G189" s="20"/>
      <c r="H189" s="20"/>
      <c r="I189" s="20"/>
      <c r="J189" s="20"/>
      <c r="K189" s="20"/>
      <c r="L189" s="21"/>
      <c r="M189" s="33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4" t="str">
        <f>IFERROR(__xludf.DUMMYFUNCTION("IF(Account!$F189&lt;&gt;"""", VALUE(REGEXREPLACE($I189, ""\,"", ""."")), """")"),"")</f>
        <v/>
      </c>
      <c r="O189" s="35" t="str">
        <f>IF(Account!$F189&lt;&gt;"", DATEVALUE(MID($A189,4,3) &amp; LEFT($A189,3) &amp; RIGHT($A189,4)) + TIMEVALUE($B189), "")</f>
        <v/>
      </c>
      <c r="P189" s="36" t="str">
        <f>IF(Account!$F189&lt;&gt;"", DATEVALUE(MID($C189,4,3) &amp; LEFT($C189,3) &amp; RIGHT($C189,4)), "")</f>
        <v/>
      </c>
      <c r="Q189" s="37" t="str">
        <f t="array" ref="Q189">IF($R189&lt;&gt;"",IFERROR(INDEX(ISIN!$B:$B,MATCH($R189,ISIN!$C:$C,0))),)</f>
        <v/>
      </c>
      <c r="R189" s="38" t="str">
        <f t="array" ref="R189">IF($E189&lt;&gt;""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7" t="str">
        <f t="shared" si="1"/>
        <v/>
      </c>
      <c r="T189" s="39" t="str">
        <f t="shared" si="2"/>
        <v/>
      </c>
      <c r="U189" s="40" t="str">
        <f t="shared" si="3"/>
        <v/>
      </c>
      <c r="V189" s="34" t="str">
        <f t="shared" si="4"/>
        <v/>
      </c>
      <c r="W189" s="41" t="str">
        <f>IFERROR(__xludf.DUMMYFUNCTION(" IF(Account!$F189&lt;&gt;"""", SPLIT(Account!$F189, "" ""), """")"),"")</f>
        <v/>
      </c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</row>
    <row r="190">
      <c r="A190" s="20"/>
      <c r="B190" s="20"/>
      <c r="C190" s="20"/>
      <c r="D190" s="20"/>
      <c r="E190" s="20"/>
      <c r="F190" s="21"/>
      <c r="G190" s="20"/>
      <c r="H190" s="20"/>
      <c r="I190" s="20"/>
      <c r="J190" s="20"/>
      <c r="K190" s="20"/>
      <c r="L190" s="21"/>
      <c r="M190" s="33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4" t="str">
        <f>IFERROR(__xludf.DUMMYFUNCTION("IF(Account!$F190&lt;&gt;"""", VALUE(REGEXREPLACE($I190, ""\,"", ""."")), """")"),"")</f>
        <v/>
      </c>
      <c r="O190" s="35" t="str">
        <f>IF(Account!$F190&lt;&gt;"", DATEVALUE(MID($A190,4,3) &amp; LEFT($A190,3) &amp; RIGHT($A190,4)) + TIMEVALUE($B190), "")</f>
        <v/>
      </c>
      <c r="P190" s="36" t="str">
        <f>IF(Account!$F190&lt;&gt;"", DATEVALUE(MID($C190,4,3) &amp; LEFT($C190,3) &amp; RIGHT($C190,4)), "")</f>
        <v/>
      </c>
      <c r="Q190" s="37" t="str">
        <f t="array" ref="Q190">IF($R190&lt;&gt;"",IFERROR(INDEX(ISIN!$B:$B,MATCH($R190,ISIN!$C:$C,0))),)</f>
        <v/>
      </c>
      <c r="R190" s="38" t="str">
        <f t="array" ref="R190">IF($E190&lt;&gt;""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7" t="str">
        <f t="shared" si="1"/>
        <v/>
      </c>
      <c r="T190" s="39" t="str">
        <f t="shared" si="2"/>
        <v/>
      </c>
      <c r="U190" s="40" t="str">
        <f t="shared" si="3"/>
        <v/>
      </c>
      <c r="V190" s="34" t="str">
        <f t="shared" si="4"/>
        <v/>
      </c>
      <c r="W190" s="41" t="str">
        <f>IFERROR(__xludf.DUMMYFUNCTION(" IF(Account!$F190&lt;&gt;"""", SPLIT(Account!$F190, "" ""), """")"),"")</f>
        <v/>
      </c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</row>
    <row r="191">
      <c r="A191" s="20"/>
      <c r="B191" s="20"/>
      <c r="C191" s="20"/>
      <c r="D191" s="20"/>
      <c r="E191" s="20"/>
      <c r="F191" s="21"/>
      <c r="G191" s="20"/>
      <c r="H191" s="20"/>
      <c r="I191" s="20"/>
      <c r="J191" s="20"/>
      <c r="K191" s="20"/>
      <c r="L191" s="21"/>
      <c r="M191" s="33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4" t="str">
        <f>IFERROR(__xludf.DUMMYFUNCTION("IF(Account!$F191&lt;&gt;"""", VALUE(REGEXREPLACE($I191, ""\,"", ""."")), """")"),"")</f>
        <v/>
      </c>
      <c r="O191" s="35" t="str">
        <f>IF(Account!$F191&lt;&gt;"", DATEVALUE(MID($A191,4,3) &amp; LEFT($A191,3) &amp; RIGHT($A191,4)) + TIMEVALUE($B191), "")</f>
        <v/>
      </c>
      <c r="P191" s="36" t="str">
        <f>IF(Account!$F191&lt;&gt;"", DATEVALUE(MID($C191,4,3) &amp; LEFT($C191,3) &amp; RIGHT($C191,4)), "")</f>
        <v/>
      </c>
      <c r="Q191" s="37" t="str">
        <f t="array" ref="Q191">IF($R191&lt;&gt;"",IFERROR(INDEX(ISIN!$B:$B,MATCH($R191,ISIN!$C:$C,0))),)</f>
        <v/>
      </c>
      <c r="R191" s="38" t="str">
        <f t="array" ref="R191">IF($E191&lt;&gt;""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7" t="str">
        <f t="shared" si="1"/>
        <v/>
      </c>
      <c r="T191" s="39" t="str">
        <f t="shared" si="2"/>
        <v/>
      </c>
      <c r="U191" s="40" t="str">
        <f t="shared" si="3"/>
        <v/>
      </c>
      <c r="V191" s="34" t="str">
        <f t="shared" si="4"/>
        <v/>
      </c>
      <c r="W191" s="41" t="str">
        <f>IFERROR(__xludf.DUMMYFUNCTION(" IF(Account!$F191&lt;&gt;"""", SPLIT(Account!$F191, "" ""), """")"),"")</f>
        <v/>
      </c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</row>
    <row r="192">
      <c r="A192" s="20"/>
      <c r="B192" s="20"/>
      <c r="C192" s="20"/>
      <c r="D192" s="20"/>
      <c r="E192" s="20"/>
      <c r="F192" s="21"/>
      <c r="G192" s="45"/>
      <c r="H192" s="20"/>
      <c r="I192" s="20"/>
      <c r="J192" s="20"/>
      <c r="K192" s="20"/>
      <c r="L192" s="21"/>
      <c r="M192" s="33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4" t="str">
        <f>IFERROR(__xludf.DUMMYFUNCTION("IF(Account!$F192&lt;&gt;"""", VALUE(REGEXREPLACE($I192, ""\,"", ""."")), """")"),"")</f>
        <v/>
      </c>
      <c r="O192" s="35" t="str">
        <f>IF(Account!$F192&lt;&gt;"", DATEVALUE(MID($A192,4,3) &amp; LEFT($A192,3) &amp; RIGHT($A192,4)) + TIMEVALUE($B192), "")</f>
        <v/>
      </c>
      <c r="P192" s="36" t="str">
        <f>IF(Account!$F192&lt;&gt;"", DATEVALUE(MID($C192,4,3) &amp; LEFT($C192,3) &amp; RIGHT($C192,4)), "")</f>
        <v/>
      </c>
      <c r="Q192" s="37" t="str">
        <f t="array" ref="Q192">IF($R192&lt;&gt;"",IFERROR(INDEX(ISIN!$B:$B,MATCH($R192,ISIN!$C:$C,0))),)</f>
        <v/>
      </c>
      <c r="R192" s="38" t="str">
        <f t="array" ref="R192">IF($E192&lt;&gt;""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7" t="str">
        <f t="shared" si="1"/>
        <v/>
      </c>
      <c r="T192" s="39" t="str">
        <f t="shared" si="2"/>
        <v/>
      </c>
      <c r="U192" s="40" t="str">
        <f t="shared" si="3"/>
        <v/>
      </c>
      <c r="V192" s="34" t="str">
        <f t="shared" si="4"/>
        <v/>
      </c>
      <c r="W192" s="41" t="str">
        <f>IFERROR(__xludf.DUMMYFUNCTION(" IF(Account!$F192&lt;&gt;"""", SPLIT(Account!$F192, "" ""), """")"),"")</f>
        <v/>
      </c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</row>
    <row r="193">
      <c r="A193" s="20"/>
      <c r="B193" s="20"/>
      <c r="C193" s="20"/>
      <c r="D193" s="20"/>
      <c r="E193" s="20"/>
      <c r="F193" s="21"/>
      <c r="G193" s="20"/>
      <c r="H193" s="20"/>
      <c r="I193" s="20"/>
      <c r="J193" s="20"/>
      <c r="K193" s="20"/>
      <c r="L193" s="21"/>
      <c r="M193" s="33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4" t="str">
        <f>IFERROR(__xludf.DUMMYFUNCTION("IF(Account!$F193&lt;&gt;"""", VALUE(REGEXREPLACE($I193, ""\,"", ""."")), """")"),"")</f>
        <v/>
      </c>
      <c r="O193" s="35" t="str">
        <f>IF(Account!$F193&lt;&gt;"", DATEVALUE(MID($A193,4,3) &amp; LEFT($A193,3) &amp; RIGHT($A193,4)) + TIMEVALUE($B193), "")</f>
        <v/>
      </c>
      <c r="P193" s="36" t="str">
        <f>IF(Account!$F193&lt;&gt;"", DATEVALUE(MID($C193,4,3) &amp; LEFT($C193,3) &amp; RIGHT($C193,4)), "")</f>
        <v/>
      </c>
      <c r="Q193" s="37" t="str">
        <f t="array" ref="Q193">IF($R193&lt;&gt;"",IFERROR(INDEX(ISIN!$B:$B,MATCH($R193,ISIN!$C:$C,0))),)</f>
        <v/>
      </c>
      <c r="R193" s="38" t="str">
        <f t="array" ref="R193">IF($E193&lt;&gt;""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7" t="str">
        <f t="shared" si="1"/>
        <v/>
      </c>
      <c r="T193" s="39" t="str">
        <f t="shared" si="2"/>
        <v/>
      </c>
      <c r="U193" s="40" t="str">
        <f t="shared" si="3"/>
        <v/>
      </c>
      <c r="V193" s="34" t="str">
        <f t="shared" si="4"/>
        <v/>
      </c>
      <c r="W193" s="41" t="str">
        <f>IFERROR(__xludf.DUMMYFUNCTION(" IF(Account!$F193&lt;&gt;"""", SPLIT(Account!$F193, "" ""), """")"),"")</f>
        <v/>
      </c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</row>
    <row r="194">
      <c r="A194" s="20"/>
      <c r="B194" s="20"/>
      <c r="C194" s="20"/>
      <c r="D194" s="20"/>
      <c r="E194" s="20"/>
      <c r="F194" s="21"/>
      <c r="G194" s="45"/>
      <c r="H194" s="20"/>
      <c r="I194" s="20"/>
      <c r="J194" s="20"/>
      <c r="K194" s="20"/>
      <c r="L194" s="21"/>
      <c r="M194" s="33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4" t="str">
        <f>IFERROR(__xludf.DUMMYFUNCTION("IF(Account!$F194&lt;&gt;"""", VALUE(REGEXREPLACE($I194, ""\,"", ""."")), """")"),"")</f>
        <v/>
      </c>
      <c r="O194" s="35" t="str">
        <f>IF(Account!$F194&lt;&gt;"", DATEVALUE(MID($A194,4,3) &amp; LEFT($A194,3) &amp; RIGHT($A194,4)) + TIMEVALUE($B194), "")</f>
        <v/>
      </c>
      <c r="P194" s="36" t="str">
        <f>IF(Account!$F194&lt;&gt;"", DATEVALUE(MID($C194,4,3) &amp; LEFT($C194,3) &amp; RIGHT($C194,4)), "")</f>
        <v/>
      </c>
      <c r="Q194" s="37" t="str">
        <f t="array" ref="Q194">IF($R194&lt;&gt;"",IFERROR(INDEX(ISIN!$B:$B,MATCH($R194,ISIN!$C:$C,0))),)</f>
        <v/>
      </c>
      <c r="R194" s="38" t="str">
        <f t="array" ref="R194">IF($E194&lt;&gt;""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7" t="str">
        <f t="shared" si="1"/>
        <v/>
      </c>
      <c r="T194" s="39" t="str">
        <f t="shared" si="2"/>
        <v/>
      </c>
      <c r="U194" s="40" t="str">
        <f t="shared" si="3"/>
        <v/>
      </c>
      <c r="V194" s="34" t="str">
        <f t="shared" si="4"/>
        <v/>
      </c>
      <c r="W194" s="41" t="str">
        <f>IFERROR(__xludf.DUMMYFUNCTION(" IF(Account!$F194&lt;&gt;"""", SPLIT(Account!$F194, "" ""), """")"),"")</f>
        <v/>
      </c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</row>
    <row r="195">
      <c r="A195" s="20"/>
      <c r="B195" s="20"/>
      <c r="C195" s="20"/>
      <c r="D195" s="20"/>
      <c r="E195" s="20"/>
      <c r="F195" s="21"/>
      <c r="G195" s="20"/>
      <c r="H195" s="20"/>
      <c r="I195" s="20"/>
      <c r="J195" s="20"/>
      <c r="K195" s="20"/>
      <c r="L195" s="21"/>
      <c r="M195" s="33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4" t="str">
        <f>IFERROR(__xludf.DUMMYFUNCTION("IF(Account!$F195&lt;&gt;"""", VALUE(REGEXREPLACE($I195, ""\,"", ""."")), """")"),"")</f>
        <v/>
      </c>
      <c r="O195" s="35" t="str">
        <f>IF(Account!$F195&lt;&gt;"", DATEVALUE(MID($A195,4,3) &amp; LEFT($A195,3) &amp; RIGHT($A195,4)) + TIMEVALUE($B195), "")</f>
        <v/>
      </c>
      <c r="P195" s="36" t="str">
        <f>IF(Account!$F195&lt;&gt;"", DATEVALUE(MID($C195,4,3) &amp; LEFT($C195,3) &amp; RIGHT($C195,4)), "")</f>
        <v/>
      </c>
      <c r="Q195" s="37" t="str">
        <f t="array" ref="Q195">IF($R195&lt;&gt;"",IFERROR(INDEX(ISIN!$B:$B,MATCH($R195,ISIN!$C:$C,0))),)</f>
        <v/>
      </c>
      <c r="R195" s="38" t="str">
        <f t="array" ref="R195">IF($E195&lt;&gt;""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7" t="str">
        <f t="shared" si="1"/>
        <v/>
      </c>
      <c r="T195" s="39" t="str">
        <f t="shared" si="2"/>
        <v/>
      </c>
      <c r="U195" s="40" t="str">
        <f t="shared" si="3"/>
        <v/>
      </c>
      <c r="V195" s="34" t="str">
        <f t="shared" si="4"/>
        <v/>
      </c>
      <c r="W195" s="41" t="str">
        <f>IFERROR(__xludf.DUMMYFUNCTION(" IF(Account!$F195&lt;&gt;"""", SPLIT(Account!$F195, "" ""), """")"),"")</f>
        <v/>
      </c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</row>
    <row r="196">
      <c r="A196" s="20"/>
      <c r="B196" s="20"/>
      <c r="C196" s="20"/>
      <c r="D196" s="20"/>
      <c r="E196" s="20"/>
      <c r="F196" s="21"/>
      <c r="G196" s="45"/>
      <c r="H196" s="20"/>
      <c r="I196" s="20"/>
      <c r="J196" s="20"/>
      <c r="K196" s="20"/>
      <c r="L196" s="21"/>
      <c r="M196" s="33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4" t="str">
        <f>IFERROR(__xludf.DUMMYFUNCTION("IF(Account!$F196&lt;&gt;"""", VALUE(REGEXREPLACE($I196, ""\,"", ""."")), """")"),"")</f>
        <v/>
      </c>
      <c r="O196" s="35" t="str">
        <f>IF(Account!$F196&lt;&gt;"", DATEVALUE(MID($A196,4,3) &amp; LEFT($A196,3) &amp; RIGHT($A196,4)) + TIMEVALUE($B196), "")</f>
        <v/>
      </c>
      <c r="P196" s="36" t="str">
        <f>IF(Account!$F196&lt;&gt;"", DATEVALUE(MID($C196,4,3) &amp; LEFT($C196,3) &amp; RIGHT($C196,4)), "")</f>
        <v/>
      </c>
      <c r="Q196" s="37" t="str">
        <f t="array" ref="Q196">IF($R196&lt;&gt;"",IFERROR(INDEX(ISIN!$B:$B,MATCH($R196,ISIN!$C:$C,0))),)</f>
        <v/>
      </c>
      <c r="R196" s="38" t="str">
        <f t="array" ref="R196">IF($E196&lt;&gt;""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7" t="str">
        <f t="shared" si="1"/>
        <v/>
      </c>
      <c r="T196" s="39" t="str">
        <f t="shared" si="2"/>
        <v/>
      </c>
      <c r="U196" s="40" t="str">
        <f t="shared" si="3"/>
        <v/>
      </c>
      <c r="V196" s="34" t="str">
        <f t="shared" si="4"/>
        <v/>
      </c>
      <c r="W196" s="41" t="str">
        <f>IFERROR(__xludf.DUMMYFUNCTION(" IF(Account!$F196&lt;&gt;"""", SPLIT(Account!$F196, "" ""), """")"),"")</f>
        <v/>
      </c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</row>
    <row r="197">
      <c r="A197" s="20"/>
      <c r="B197" s="20"/>
      <c r="C197" s="20"/>
      <c r="D197" s="20"/>
      <c r="E197" s="20"/>
      <c r="F197" s="21"/>
      <c r="G197" s="20"/>
      <c r="H197" s="20"/>
      <c r="I197" s="20"/>
      <c r="J197" s="20"/>
      <c r="K197" s="20"/>
      <c r="L197" s="21"/>
      <c r="M197" s="33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4" t="str">
        <f>IFERROR(__xludf.DUMMYFUNCTION("IF(Account!$F197&lt;&gt;"""", VALUE(REGEXREPLACE($I197, ""\,"", ""."")), """")"),"")</f>
        <v/>
      </c>
      <c r="O197" s="35" t="str">
        <f>IF(Account!$F197&lt;&gt;"", DATEVALUE(MID($A197,4,3) &amp; LEFT($A197,3) &amp; RIGHT($A197,4)) + TIMEVALUE($B197), "")</f>
        <v/>
      </c>
      <c r="P197" s="36" t="str">
        <f>IF(Account!$F197&lt;&gt;"", DATEVALUE(MID($C197,4,3) &amp; LEFT($C197,3) &amp; RIGHT($C197,4)), "")</f>
        <v/>
      </c>
      <c r="Q197" s="37" t="str">
        <f t="array" ref="Q197">IF($R197&lt;&gt;"",IFERROR(INDEX(ISIN!$B:$B,MATCH($R197,ISIN!$C:$C,0))),)</f>
        <v/>
      </c>
      <c r="R197" s="38" t="str">
        <f t="array" ref="R197">IF($E197&lt;&gt;""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7" t="str">
        <f t="shared" si="1"/>
        <v/>
      </c>
      <c r="T197" s="39" t="str">
        <f t="shared" si="2"/>
        <v/>
      </c>
      <c r="U197" s="40" t="str">
        <f t="shared" si="3"/>
        <v/>
      </c>
      <c r="V197" s="34" t="str">
        <f t="shared" si="4"/>
        <v/>
      </c>
      <c r="W197" s="41" t="str">
        <f>IFERROR(__xludf.DUMMYFUNCTION(" IF(Account!$F197&lt;&gt;"""", SPLIT(Account!$F197, "" ""), """")"),"")</f>
        <v/>
      </c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</row>
    <row r="198">
      <c r="A198" s="20"/>
      <c r="B198" s="20"/>
      <c r="C198" s="20"/>
      <c r="D198" s="20"/>
      <c r="E198" s="20"/>
      <c r="F198" s="21"/>
      <c r="G198" s="45"/>
      <c r="H198" s="20"/>
      <c r="I198" s="20"/>
      <c r="J198" s="20"/>
      <c r="K198" s="20"/>
      <c r="L198" s="21"/>
      <c r="M198" s="33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4" t="str">
        <f>IFERROR(__xludf.DUMMYFUNCTION("IF(Account!$F198&lt;&gt;"""", VALUE(REGEXREPLACE($I198, ""\,"", ""."")), """")"),"")</f>
        <v/>
      </c>
      <c r="O198" s="35" t="str">
        <f>IF(Account!$F198&lt;&gt;"", DATEVALUE(MID($A198,4,3) &amp; LEFT($A198,3) &amp; RIGHT($A198,4)) + TIMEVALUE($B198), "")</f>
        <v/>
      </c>
      <c r="P198" s="36" t="str">
        <f>IF(Account!$F198&lt;&gt;"", DATEVALUE(MID($C198,4,3) &amp; LEFT($C198,3) &amp; RIGHT($C198,4)), "")</f>
        <v/>
      </c>
      <c r="Q198" s="37" t="str">
        <f t="array" ref="Q198">IF($R198&lt;&gt;"",IFERROR(INDEX(ISIN!$B:$B,MATCH($R198,ISIN!$C:$C,0))),)</f>
        <v/>
      </c>
      <c r="R198" s="38" t="str">
        <f t="array" ref="R198">IF($E198&lt;&gt;""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7" t="str">
        <f t="shared" si="1"/>
        <v/>
      </c>
      <c r="T198" s="39" t="str">
        <f t="shared" si="2"/>
        <v/>
      </c>
      <c r="U198" s="40" t="str">
        <f t="shared" si="3"/>
        <v/>
      </c>
      <c r="V198" s="34" t="str">
        <f t="shared" si="4"/>
        <v/>
      </c>
      <c r="W198" s="41" t="str">
        <f>IFERROR(__xludf.DUMMYFUNCTION(" IF(Account!$F198&lt;&gt;"""", SPLIT(Account!$F198, "" ""), """")"),"")</f>
        <v/>
      </c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</row>
    <row r="199">
      <c r="A199" s="20"/>
      <c r="B199" s="20"/>
      <c r="C199" s="20"/>
      <c r="D199" s="20"/>
      <c r="E199" s="20"/>
      <c r="F199" s="21"/>
      <c r="G199" s="20"/>
      <c r="H199" s="20"/>
      <c r="I199" s="20"/>
      <c r="J199" s="20"/>
      <c r="K199" s="20"/>
      <c r="L199" s="21"/>
      <c r="M199" s="33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4" t="str">
        <f>IFERROR(__xludf.DUMMYFUNCTION("IF(Account!$F199&lt;&gt;"""", VALUE(REGEXREPLACE($I199, ""\,"", ""."")), """")"),"")</f>
        <v/>
      </c>
      <c r="O199" s="35" t="str">
        <f>IF(Account!$F199&lt;&gt;"", DATEVALUE(MID($A199,4,3) &amp; LEFT($A199,3) &amp; RIGHT($A199,4)) + TIMEVALUE($B199), "")</f>
        <v/>
      </c>
      <c r="P199" s="36" t="str">
        <f>IF(Account!$F199&lt;&gt;"", DATEVALUE(MID($C199,4,3) &amp; LEFT($C199,3) &amp; RIGHT($C199,4)), "")</f>
        <v/>
      </c>
      <c r="Q199" s="37" t="str">
        <f t="array" ref="Q199">IF($R199&lt;&gt;"",IFERROR(INDEX(ISIN!$B:$B,MATCH($R199,ISIN!$C:$C,0))),)</f>
        <v/>
      </c>
      <c r="R199" s="38" t="str">
        <f t="array" ref="R199">IF($E199&lt;&gt;""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7" t="str">
        <f t="shared" si="1"/>
        <v/>
      </c>
      <c r="T199" s="39" t="str">
        <f t="shared" si="2"/>
        <v/>
      </c>
      <c r="U199" s="40" t="str">
        <f t="shared" si="3"/>
        <v/>
      </c>
      <c r="V199" s="34" t="str">
        <f t="shared" si="4"/>
        <v/>
      </c>
      <c r="W199" s="41" t="str">
        <f>IFERROR(__xludf.DUMMYFUNCTION(" IF(Account!$F199&lt;&gt;"""", SPLIT(Account!$F199, "" ""), """")"),"")</f>
        <v/>
      </c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</row>
    <row r="200">
      <c r="A200" s="20"/>
      <c r="B200" s="20"/>
      <c r="C200" s="20"/>
      <c r="D200" s="20"/>
      <c r="E200" s="20"/>
      <c r="F200" s="21"/>
      <c r="G200" s="45"/>
      <c r="H200" s="20"/>
      <c r="I200" s="20"/>
      <c r="J200" s="20"/>
      <c r="K200" s="20"/>
      <c r="L200" s="21"/>
      <c r="M200" s="33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4" t="str">
        <f>IFERROR(__xludf.DUMMYFUNCTION("IF(Account!$F200&lt;&gt;"""", VALUE(REGEXREPLACE($I200, ""\,"", ""."")), """")"),"")</f>
        <v/>
      </c>
      <c r="O200" s="35" t="str">
        <f>IF(Account!$F200&lt;&gt;"", DATEVALUE(MID($A200,4,3) &amp; LEFT($A200,3) &amp; RIGHT($A200,4)) + TIMEVALUE($B200), "")</f>
        <v/>
      </c>
      <c r="P200" s="36" t="str">
        <f>IF(Account!$F200&lt;&gt;"", DATEVALUE(MID($C200,4,3) &amp; LEFT($C200,3) &amp; RIGHT($C200,4)), "")</f>
        <v/>
      </c>
      <c r="Q200" s="37" t="str">
        <f t="array" ref="Q200">IF($R200&lt;&gt;"",IFERROR(INDEX(ISIN!$B:$B,MATCH($R200,ISIN!$C:$C,0))),)</f>
        <v/>
      </c>
      <c r="R200" s="38" t="str">
        <f t="array" ref="R200">IF($E200&lt;&gt;""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7" t="str">
        <f t="shared" si="1"/>
        <v/>
      </c>
      <c r="T200" s="39" t="str">
        <f t="shared" si="2"/>
        <v/>
      </c>
      <c r="U200" s="40" t="str">
        <f t="shared" si="3"/>
        <v/>
      </c>
      <c r="V200" s="34" t="str">
        <f t="shared" si="4"/>
        <v/>
      </c>
      <c r="W200" s="41" t="str">
        <f>IFERROR(__xludf.DUMMYFUNCTION(" IF(Account!$F200&lt;&gt;"""", SPLIT(Account!$F200, "" ""), """")"),"")</f>
        <v/>
      </c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</row>
    <row r="201">
      <c r="A201" s="20"/>
      <c r="B201" s="20"/>
      <c r="C201" s="20"/>
      <c r="D201" s="20"/>
      <c r="E201" s="20"/>
      <c r="F201" s="21"/>
      <c r="G201" s="20"/>
      <c r="H201" s="20"/>
      <c r="I201" s="20"/>
      <c r="J201" s="20"/>
      <c r="K201" s="20"/>
      <c r="L201" s="21"/>
      <c r="M201" s="33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4" t="str">
        <f>IFERROR(__xludf.DUMMYFUNCTION("IF(Account!$F201&lt;&gt;"""", VALUE(REGEXREPLACE($I201, ""\,"", ""."")), """")"),"")</f>
        <v/>
      </c>
      <c r="O201" s="35" t="str">
        <f>IF(Account!$F201&lt;&gt;"", DATEVALUE(MID($A201,4,3) &amp; LEFT($A201,3) &amp; RIGHT($A201,4)) + TIMEVALUE($B201), "")</f>
        <v/>
      </c>
      <c r="P201" s="36" t="str">
        <f>IF(Account!$F201&lt;&gt;"", DATEVALUE(MID($C201,4,3) &amp; LEFT($C201,3) &amp; RIGHT($C201,4)), "")</f>
        <v/>
      </c>
      <c r="Q201" s="37" t="str">
        <f t="array" ref="Q201">IF($R201&lt;&gt;"",IFERROR(INDEX(ISIN!$B:$B,MATCH($R201,ISIN!$C:$C,0))),)</f>
        <v/>
      </c>
      <c r="R201" s="38" t="str">
        <f t="array" ref="R201">IF($E201&lt;&gt;""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7" t="str">
        <f t="shared" si="1"/>
        <v/>
      </c>
      <c r="T201" s="39" t="str">
        <f t="shared" si="2"/>
        <v/>
      </c>
      <c r="U201" s="40" t="str">
        <f t="shared" si="3"/>
        <v/>
      </c>
      <c r="V201" s="34" t="str">
        <f t="shared" si="4"/>
        <v/>
      </c>
      <c r="W201" s="41" t="str">
        <f>IFERROR(__xludf.DUMMYFUNCTION(" IF(Account!$F201&lt;&gt;"""", SPLIT(Account!$F201, "" ""), """")"),"")</f>
        <v/>
      </c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</row>
    <row r="202">
      <c r="A202" s="20"/>
      <c r="B202" s="20"/>
      <c r="C202" s="20"/>
      <c r="D202" s="20"/>
      <c r="E202" s="20"/>
      <c r="F202" s="21"/>
      <c r="G202" s="20"/>
      <c r="H202" s="20"/>
      <c r="I202" s="20"/>
      <c r="J202" s="20"/>
      <c r="K202" s="20"/>
      <c r="L202" s="21"/>
      <c r="M202" s="33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4" t="str">
        <f>IFERROR(__xludf.DUMMYFUNCTION("IF(Account!$F202&lt;&gt;"""", VALUE(REGEXREPLACE($I202, ""\,"", ""."")), """")"),"")</f>
        <v/>
      </c>
      <c r="O202" s="35" t="str">
        <f>IF(Account!$F202&lt;&gt;"", DATEVALUE(MID($A202,4,3) &amp; LEFT($A202,3) &amp; RIGHT($A202,4)) + TIMEVALUE($B202), "")</f>
        <v/>
      </c>
      <c r="P202" s="36" t="str">
        <f>IF(Account!$F202&lt;&gt;"", DATEVALUE(MID($C202,4,3) &amp; LEFT($C202,3) &amp; RIGHT($C202,4)), "")</f>
        <v/>
      </c>
      <c r="Q202" s="37" t="str">
        <f t="array" ref="Q202">IF($R202&lt;&gt;"",IFERROR(INDEX(ISIN!$B:$B,MATCH($R202,ISIN!$C:$C,0))),)</f>
        <v/>
      </c>
      <c r="R202" s="38" t="str">
        <f t="array" ref="R202">IF($E202&lt;&gt;""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7" t="str">
        <f t="shared" si="1"/>
        <v/>
      </c>
      <c r="T202" s="39" t="str">
        <f t="shared" si="2"/>
        <v/>
      </c>
      <c r="U202" s="40" t="str">
        <f t="shared" si="3"/>
        <v/>
      </c>
      <c r="V202" s="34" t="str">
        <f t="shared" si="4"/>
        <v/>
      </c>
      <c r="W202" s="41" t="str">
        <f>IFERROR(__xludf.DUMMYFUNCTION(" IF(Account!$F202&lt;&gt;"""", SPLIT(Account!$F202, "" ""), """")"),"")</f>
        <v/>
      </c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</row>
    <row r="203">
      <c r="A203" s="20"/>
      <c r="B203" s="20"/>
      <c r="C203" s="20"/>
      <c r="D203" s="20"/>
      <c r="E203" s="20"/>
      <c r="F203" s="21"/>
      <c r="G203" s="20"/>
      <c r="H203" s="20"/>
      <c r="I203" s="20"/>
      <c r="J203" s="20"/>
      <c r="K203" s="20"/>
      <c r="L203" s="21"/>
      <c r="M203" s="33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4" t="str">
        <f>IFERROR(__xludf.DUMMYFUNCTION("IF(Account!$F203&lt;&gt;"""", VALUE(REGEXREPLACE($I203, ""\,"", ""."")), """")"),"")</f>
        <v/>
      </c>
      <c r="O203" s="35" t="str">
        <f>IF(Account!$F203&lt;&gt;"", DATEVALUE(MID($A203,4,3) &amp; LEFT($A203,3) &amp; RIGHT($A203,4)) + TIMEVALUE($B203), "")</f>
        <v/>
      </c>
      <c r="P203" s="36" t="str">
        <f>IF(Account!$F203&lt;&gt;"", DATEVALUE(MID($C203,4,3) &amp; LEFT($C203,3) &amp; RIGHT($C203,4)), "")</f>
        <v/>
      </c>
      <c r="Q203" s="37" t="str">
        <f t="array" ref="Q203">IF($R203&lt;&gt;"",IFERROR(INDEX(ISIN!$B:$B,MATCH($R203,ISIN!$C:$C,0))),)</f>
        <v/>
      </c>
      <c r="R203" s="38" t="str">
        <f t="array" ref="R203">IF($E203&lt;&gt;""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7" t="str">
        <f t="shared" si="1"/>
        <v/>
      </c>
      <c r="T203" s="39" t="str">
        <f t="shared" si="2"/>
        <v/>
      </c>
      <c r="U203" s="40" t="str">
        <f t="shared" si="3"/>
        <v/>
      </c>
      <c r="V203" s="34" t="str">
        <f t="shared" si="4"/>
        <v/>
      </c>
      <c r="W203" s="41" t="str">
        <f>IFERROR(__xludf.DUMMYFUNCTION(" IF(Account!$F203&lt;&gt;"""", SPLIT(Account!$F203, "" ""), """")"),"")</f>
        <v/>
      </c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</row>
    <row r="204">
      <c r="A204" s="20"/>
      <c r="B204" s="20"/>
      <c r="C204" s="20"/>
      <c r="D204" s="20"/>
      <c r="E204" s="20"/>
      <c r="F204" s="21"/>
      <c r="G204" s="45"/>
      <c r="H204" s="20"/>
      <c r="I204" s="20"/>
      <c r="J204" s="20"/>
      <c r="K204" s="20"/>
      <c r="L204" s="21"/>
      <c r="M204" s="33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4" t="str">
        <f>IFERROR(__xludf.DUMMYFUNCTION("IF(Account!$F204&lt;&gt;"""", VALUE(REGEXREPLACE($I204, ""\,"", ""."")), """")"),"")</f>
        <v/>
      </c>
      <c r="O204" s="35" t="str">
        <f>IF(Account!$F204&lt;&gt;"", DATEVALUE(MID($A204,4,3) &amp; LEFT($A204,3) &amp; RIGHT($A204,4)) + TIMEVALUE($B204), "")</f>
        <v/>
      </c>
      <c r="P204" s="36" t="str">
        <f>IF(Account!$F204&lt;&gt;"", DATEVALUE(MID($C204,4,3) &amp; LEFT($C204,3) &amp; RIGHT($C204,4)), "")</f>
        <v/>
      </c>
      <c r="Q204" s="37" t="str">
        <f t="array" ref="Q204">IF($R204&lt;&gt;"",IFERROR(INDEX(ISIN!$B:$B,MATCH($R204,ISIN!$C:$C,0))),)</f>
        <v/>
      </c>
      <c r="R204" s="38" t="str">
        <f t="array" ref="R204">IF($E204&lt;&gt;""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7" t="str">
        <f t="shared" si="1"/>
        <v/>
      </c>
      <c r="T204" s="39" t="str">
        <f t="shared" si="2"/>
        <v/>
      </c>
      <c r="U204" s="40" t="str">
        <f t="shared" si="3"/>
        <v/>
      </c>
      <c r="V204" s="34" t="str">
        <f t="shared" si="4"/>
        <v/>
      </c>
      <c r="W204" s="41" t="str">
        <f>IFERROR(__xludf.DUMMYFUNCTION(" IF(Account!$F204&lt;&gt;"""", SPLIT(Account!$F204, "" ""), """")"),"")</f>
        <v/>
      </c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</row>
    <row r="205">
      <c r="A205" s="20"/>
      <c r="B205" s="20"/>
      <c r="C205" s="20"/>
      <c r="D205" s="20"/>
      <c r="E205" s="20"/>
      <c r="F205" s="21"/>
      <c r="G205" s="20"/>
      <c r="H205" s="20"/>
      <c r="I205" s="20"/>
      <c r="J205" s="20"/>
      <c r="K205" s="20"/>
      <c r="L205" s="21"/>
      <c r="M205" s="33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4" t="str">
        <f>IFERROR(__xludf.DUMMYFUNCTION("IF(Account!$F205&lt;&gt;"""", VALUE(REGEXREPLACE($I205, ""\,"", ""."")), """")"),"")</f>
        <v/>
      </c>
      <c r="O205" s="35" t="str">
        <f>IF(Account!$F205&lt;&gt;"", DATEVALUE(MID($A205,4,3) &amp; LEFT($A205,3) &amp; RIGHT($A205,4)) + TIMEVALUE($B205), "")</f>
        <v/>
      </c>
      <c r="P205" s="36" t="str">
        <f>IF(Account!$F205&lt;&gt;"", DATEVALUE(MID($C205,4,3) &amp; LEFT($C205,3) &amp; RIGHT($C205,4)), "")</f>
        <v/>
      </c>
      <c r="Q205" s="37" t="str">
        <f t="array" ref="Q205">IF($R205&lt;&gt;"",IFERROR(INDEX(ISIN!$B:$B,MATCH($R205,ISIN!$C:$C,0))),)</f>
        <v/>
      </c>
      <c r="R205" s="38" t="str">
        <f t="array" ref="R205">IF($E205&lt;&gt;""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7" t="str">
        <f t="shared" si="1"/>
        <v/>
      </c>
      <c r="T205" s="39" t="str">
        <f t="shared" si="2"/>
        <v/>
      </c>
      <c r="U205" s="40" t="str">
        <f t="shared" si="3"/>
        <v/>
      </c>
      <c r="V205" s="34" t="str">
        <f t="shared" si="4"/>
        <v/>
      </c>
      <c r="W205" s="41" t="str">
        <f>IFERROR(__xludf.DUMMYFUNCTION(" IF(Account!$F205&lt;&gt;"""", SPLIT(Account!$F205, "" ""), """")"),"")</f>
        <v/>
      </c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</row>
    <row r="206">
      <c r="A206" s="20"/>
      <c r="B206" s="20"/>
      <c r="C206" s="20"/>
      <c r="D206" s="20"/>
      <c r="E206" s="20"/>
      <c r="F206" s="21"/>
      <c r="G206" s="20"/>
      <c r="H206" s="20"/>
      <c r="I206" s="20"/>
      <c r="J206" s="20"/>
      <c r="K206" s="20"/>
      <c r="L206" s="21"/>
      <c r="M206" s="33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4" t="str">
        <f>IFERROR(__xludf.DUMMYFUNCTION("IF(Account!$F206&lt;&gt;"""", VALUE(REGEXREPLACE($I206, ""\,"", ""."")), """")"),"")</f>
        <v/>
      </c>
      <c r="O206" s="35" t="str">
        <f>IF(Account!$F206&lt;&gt;"", DATEVALUE(MID($A206,4,3) &amp; LEFT($A206,3) &amp; RIGHT($A206,4)) + TIMEVALUE($B206), "")</f>
        <v/>
      </c>
      <c r="P206" s="36" t="str">
        <f>IF(Account!$F206&lt;&gt;"", DATEVALUE(MID($C206,4,3) &amp; LEFT($C206,3) &amp; RIGHT($C206,4)), "")</f>
        <v/>
      </c>
      <c r="Q206" s="37" t="str">
        <f t="array" ref="Q206">IF($R206&lt;&gt;"",IFERROR(INDEX(ISIN!$B:$B,MATCH($R206,ISIN!$C:$C,0))),)</f>
        <v/>
      </c>
      <c r="R206" s="38" t="str">
        <f t="array" ref="R206">IF($E206&lt;&gt;""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7" t="str">
        <f t="shared" si="1"/>
        <v/>
      </c>
      <c r="T206" s="39" t="str">
        <f t="shared" si="2"/>
        <v/>
      </c>
      <c r="U206" s="40" t="str">
        <f t="shared" si="3"/>
        <v/>
      </c>
      <c r="V206" s="34" t="str">
        <f t="shared" si="4"/>
        <v/>
      </c>
      <c r="W206" s="41" t="str">
        <f>IFERROR(__xludf.DUMMYFUNCTION(" IF(Account!$F206&lt;&gt;"""", SPLIT(Account!$F206, "" ""), """")"),"")</f>
        <v/>
      </c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</row>
    <row r="207">
      <c r="A207" s="20"/>
      <c r="B207" s="20"/>
      <c r="C207" s="20"/>
      <c r="D207" s="20"/>
      <c r="E207" s="20"/>
      <c r="F207" s="21"/>
      <c r="G207" s="20"/>
      <c r="H207" s="20"/>
      <c r="I207" s="20"/>
      <c r="J207" s="20"/>
      <c r="K207" s="20"/>
      <c r="L207" s="21"/>
      <c r="M207" s="33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4" t="str">
        <f>IFERROR(__xludf.DUMMYFUNCTION("IF(Account!$F207&lt;&gt;"""", VALUE(REGEXREPLACE($I207, ""\,"", ""."")), """")"),"")</f>
        <v/>
      </c>
      <c r="O207" s="35" t="str">
        <f>IF(Account!$F207&lt;&gt;"", DATEVALUE(MID($A207,4,3) &amp; LEFT($A207,3) &amp; RIGHT($A207,4)) + TIMEVALUE($B207), "")</f>
        <v/>
      </c>
      <c r="P207" s="36" t="str">
        <f>IF(Account!$F207&lt;&gt;"", DATEVALUE(MID($C207,4,3) &amp; LEFT($C207,3) &amp; RIGHT($C207,4)), "")</f>
        <v/>
      </c>
      <c r="Q207" s="37" t="str">
        <f t="array" ref="Q207">IF($R207&lt;&gt;"",IFERROR(INDEX(ISIN!$B:$B,MATCH($R207,ISIN!$C:$C,0))),)</f>
        <v/>
      </c>
      <c r="R207" s="38" t="str">
        <f t="array" ref="R207">IF($E207&lt;&gt;""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7" t="str">
        <f t="shared" si="1"/>
        <v/>
      </c>
      <c r="T207" s="39" t="str">
        <f t="shared" si="2"/>
        <v/>
      </c>
      <c r="U207" s="40" t="str">
        <f t="shared" si="3"/>
        <v/>
      </c>
      <c r="V207" s="34" t="str">
        <f t="shared" si="4"/>
        <v/>
      </c>
      <c r="W207" s="41" t="str">
        <f>IFERROR(__xludf.DUMMYFUNCTION(" IF(Account!$F207&lt;&gt;"""", SPLIT(Account!$F207, "" ""), """")"),"")</f>
        <v/>
      </c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</row>
    <row r="208">
      <c r="A208" s="20"/>
      <c r="B208" s="20"/>
      <c r="C208" s="20"/>
      <c r="D208" s="20"/>
      <c r="E208" s="20"/>
      <c r="F208" s="21"/>
      <c r="G208" s="20"/>
      <c r="H208" s="20"/>
      <c r="I208" s="20"/>
      <c r="J208" s="20"/>
      <c r="K208" s="20"/>
      <c r="L208" s="21"/>
      <c r="M208" s="33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4" t="str">
        <f>IFERROR(__xludf.DUMMYFUNCTION("IF(Account!$F208&lt;&gt;"""", VALUE(REGEXREPLACE($I208, ""\,"", ""."")), """")"),"")</f>
        <v/>
      </c>
      <c r="O208" s="35" t="str">
        <f>IF(Account!$F208&lt;&gt;"", DATEVALUE(MID($A208,4,3) &amp; LEFT($A208,3) &amp; RIGHT($A208,4)) + TIMEVALUE($B208), "")</f>
        <v/>
      </c>
      <c r="P208" s="36" t="str">
        <f>IF(Account!$F208&lt;&gt;"", DATEVALUE(MID($C208,4,3) &amp; LEFT($C208,3) &amp; RIGHT($C208,4)), "")</f>
        <v/>
      </c>
      <c r="Q208" s="37" t="str">
        <f t="array" ref="Q208">IF($R208&lt;&gt;"",IFERROR(INDEX(ISIN!$B:$B,MATCH($R208,ISIN!$C:$C,0))),)</f>
        <v/>
      </c>
      <c r="R208" s="38" t="str">
        <f t="array" ref="R208">IF($E208&lt;&gt;""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7" t="str">
        <f t="shared" si="1"/>
        <v/>
      </c>
      <c r="T208" s="39" t="str">
        <f t="shared" si="2"/>
        <v/>
      </c>
      <c r="U208" s="40" t="str">
        <f t="shared" si="3"/>
        <v/>
      </c>
      <c r="V208" s="34" t="str">
        <f t="shared" si="4"/>
        <v/>
      </c>
      <c r="W208" s="41" t="str">
        <f>IFERROR(__xludf.DUMMYFUNCTION(" IF(Account!$F208&lt;&gt;"""", SPLIT(Account!$F208, "" ""), """")"),"")</f>
        <v/>
      </c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</row>
    <row r="209">
      <c r="A209" s="20"/>
      <c r="B209" s="20"/>
      <c r="C209" s="20"/>
      <c r="D209" s="20"/>
      <c r="E209" s="20"/>
      <c r="F209" s="21"/>
      <c r="G209" s="20"/>
      <c r="H209" s="20"/>
      <c r="I209" s="20"/>
      <c r="J209" s="20"/>
      <c r="K209" s="20"/>
      <c r="L209" s="21"/>
      <c r="M209" s="33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4" t="str">
        <f>IFERROR(__xludf.DUMMYFUNCTION("IF(Account!$F209&lt;&gt;"""", VALUE(REGEXREPLACE($I209, ""\,"", ""."")), """")"),"")</f>
        <v/>
      </c>
      <c r="O209" s="35" t="str">
        <f>IF(Account!$F209&lt;&gt;"", DATEVALUE(MID($A209,4,3) &amp; LEFT($A209,3) &amp; RIGHT($A209,4)) + TIMEVALUE($B209), "")</f>
        <v/>
      </c>
      <c r="P209" s="36" t="str">
        <f>IF(Account!$F209&lt;&gt;"", DATEVALUE(MID($C209,4,3) &amp; LEFT($C209,3) &amp; RIGHT($C209,4)), "")</f>
        <v/>
      </c>
      <c r="Q209" s="37" t="str">
        <f t="array" ref="Q209">IF($R209&lt;&gt;"",IFERROR(INDEX(ISIN!$B:$B,MATCH($R209,ISIN!$C:$C,0))),)</f>
        <v/>
      </c>
      <c r="R209" s="38" t="str">
        <f t="array" ref="R209">IF($E209&lt;&gt;""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7" t="str">
        <f t="shared" si="1"/>
        <v/>
      </c>
      <c r="T209" s="39" t="str">
        <f t="shared" si="2"/>
        <v/>
      </c>
      <c r="U209" s="40" t="str">
        <f t="shared" si="3"/>
        <v/>
      </c>
      <c r="V209" s="34" t="str">
        <f t="shared" si="4"/>
        <v/>
      </c>
      <c r="W209" s="41" t="str">
        <f>IFERROR(__xludf.DUMMYFUNCTION(" IF(Account!$F209&lt;&gt;"""", SPLIT(Account!$F209, "" ""), """")"),"")</f>
        <v/>
      </c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</row>
    <row r="210">
      <c r="A210" s="20"/>
      <c r="B210" s="20"/>
      <c r="C210" s="20"/>
      <c r="D210" s="20"/>
      <c r="E210" s="20"/>
      <c r="F210" s="21"/>
      <c r="G210" s="20"/>
      <c r="H210" s="20"/>
      <c r="I210" s="20"/>
      <c r="J210" s="20"/>
      <c r="K210" s="20"/>
      <c r="L210" s="21"/>
      <c r="M210" s="33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4" t="str">
        <f>IFERROR(__xludf.DUMMYFUNCTION("IF(Account!$F210&lt;&gt;"""", VALUE(REGEXREPLACE($I210, ""\,"", ""."")), """")"),"")</f>
        <v/>
      </c>
      <c r="O210" s="35" t="str">
        <f>IF(Account!$F210&lt;&gt;"", DATEVALUE(MID($A210,4,3) &amp; LEFT($A210,3) &amp; RIGHT($A210,4)) + TIMEVALUE($B210), "")</f>
        <v/>
      </c>
      <c r="P210" s="36" t="str">
        <f>IF(Account!$F210&lt;&gt;"", DATEVALUE(MID($C210,4,3) &amp; LEFT($C210,3) &amp; RIGHT($C210,4)), "")</f>
        <v/>
      </c>
      <c r="Q210" s="37" t="str">
        <f t="array" ref="Q210">IF($R210&lt;&gt;"",IFERROR(INDEX(ISIN!$B:$B,MATCH($R210,ISIN!$C:$C,0))),)</f>
        <v/>
      </c>
      <c r="R210" s="38" t="str">
        <f t="array" ref="R210">IF($E210&lt;&gt;""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7" t="str">
        <f t="shared" si="1"/>
        <v/>
      </c>
      <c r="T210" s="39" t="str">
        <f t="shared" si="2"/>
        <v/>
      </c>
      <c r="U210" s="40" t="str">
        <f t="shared" si="3"/>
        <v/>
      </c>
      <c r="V210" s="34" t="str">
        <f t="shared" si="4"/>
        <v/>
      </c>
      <c r="W210" s="41" t="str">
        <f>IFERROR(__xludf.DUMMYFUNCTION(" IF(Account!$F210&lt;&gt;"""", SPLIT(Account!$F210, "" ""), """")"),"")</f>
        <v/>
      </c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</row>
    <row r="211">
      <c r="A211" s="20"/>
      <c r="B211" s="20"/>
      <c r="C211" s="20"/>
      <c r="D211" s="20"/>
      <c r="E211" s="20"/>
      <c r="F211" s="21"/>
      <c r="G211" s="20"/>
      <c r="H211" s="20"/>
      <c r="I211" s="20"/>
      <c r="J211" s="20"/>
      <c r="K211" s="20"/>
      <c r="L211" s="21"/>
      <c r="M211" s="33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4" t="str">
        <f>IFERROR(__xludf.DUMMYFUNCTION("IF(Account!$F211&lt;&gt;"""", VALUE(REGEXREPLACE($I211, ""\,"", ""."")), """")"),"")</f>
        <v/>
      </c>
      <c r="O211" s="35" t="str">
        <f>IF(Account!$F211&lt;&gt;"", DATEVALUE(MID($A211,4,3) &amp; LEFT($A211,3) &amp; RIGHT($A211,4)) + TIMEVALUE($B211), "")</f>
        <v/>
      </c>
      <c r="P211" s="36" t="str">
        <f>IF(Account!$F211&lt;&gt;"", DATEVALUE(MID($C211,4,3) &amp; LEFT($C211,3) &amp; RIGHT($C211,4)), "")</f>
        <v/>
      </c>
      <c r="Q211" s="37" t="str">
        <f t="array" ref="Q211">IF($R211&lt;&gt;"",IFERROR(INDEX(ISIN!$B:$B,MATCH($R211,ISIN!$C:$C,0))),)</f>
        <v/>
      </c>
      <c r="R211" s="38" t="str">
        <f t="array" ref="R211">IF($E211&lt;&gt;""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7" t="str">
        <f t="shared" si="1"/>
        <v/>
      </c>
      <c r="T211" s="39" t="str">
        <f t="shared" si="2"/>
        <v/>
      </c>
      <c r="U211" s="40" t="str">
        <f t="shared" si="3"/>
        <v/>
      </c>
      <c r="V211" s="34" t="str">
        <f t="shared" si="4"/>
        <v/>
      </c>
      <c r="W211" s="41" t="str">
        <f>IFERROR(__xludf.DUMMYFUNCTION(" IF(Account!$F211&lt;&gt;"""", SPLIT(Account!$F211, "" ""), """")"),"")</f>
        <v/>
      </c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</row>
    <row r="212">
      <c r="A212" s="20"/>
      <c r="B212" s="20"/>
      <c r="C212" s="20"/>
      <c r="D212" s="20"/>
      <c r="E212" s="20"/>
      <c r="F212" s="21"/>
      <c r="G212" s="20"/>
      <c r="H212" s="20"/>
      <c r="I212" s="20"/>
      <c r="J212" s="20"/>
      <c r="K212" s="20"/>
      <c r="L212" s="21"/>
      <c r="M212" s="33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4" t="str">
        <f>IFERROR(__xludf.DUMMYFUNCTION("IF(Account!$F212&lt;&gt;"""", VALUE(REGEXREPLACE($I212, ""\,"", ""."")), """")"),"")</f>
        <v/>
      </c>
      <c r="O212" s="35" t="str">
        <f>IF(Account!$F212&lt;&gt;"", DATEVALUE(MID($A212,4,3) &amp; LEFT($A212,3) &amp; RIGHT($A212,4)) + TIMEVALUE($B212), "")</f>
        <v/>
      </c>
      <c r="P212" s="36" t="str">
        <f>IF(Account!$F212&lt;&gt;"", DATEVALUE(MID($C212,4,3) &amp; LEFT($C212,3) &amp; RIGHT($C212,4)), "")</f>
        <v/>
      </c>
      <c r="Q212" s="37" t="str">
        <f t="array" ref="Q212">IF($R212&lt;&gt;"",IFERROR(INDEX(ISIN!$B:$B,MATCH($R212,ISIN!$C:$C,0))),)</f>
        <v/>
      </c>
      <c r="R212" s="38" t="str">
        <f t="array" ref="R212">IF($E212&lt;&gt;""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7" t="str">
        <f t="shared" si="1"/>
        <v/>
      </c>
      <c r="T212" s="39" t="str">
        <f t="shared" si="2"/>
        <v/>
      </c>
      <c r="U212" s="40" t="str">
        <f t="shared" si="3"/>
        <v/>
      </c>
      <c r="V212" s="34" t="str">
        <f t="shared" si="4"/>
        <v/>
      </c>
      <c r="W212" s="41" t="str">
        <f>IFERROR(__xludf.DUMMYFUNCTION(" IF(Account!$F212&lt;&gt;"""", SPLIT(Account!$F212, "" ""), """")"),"")</f>
        <v/>
      </c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</row>
    <row r="213">
      <c r="A213" s="20"/>
      <c r="B213" s="20"/>
      <c r="C213" s="20"/>
      <c r="D213" s="20"/>
      <c r="E213" s="20"/>
      <c r="F213" s="21"/>
      <c r="G213" s="45"/>
      <c r="H213" s="20"/>
      <c r="I213" s="20"/>
      <c r="J213" s="20"/>
      <c r="K213" s="20"/>
      <c r="L213" s="21"/>
      <c r="M213" s="33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4" t="str">
        <f>IFERROR(__xludf.DUMMYFUNCTION("IF(Account!$F213&lt;&gt;"""", VALUE(REGEXREPLACE($I213, ""\,"", ""."")), """")"),"")</f>
        <v/>
      </c>
      <c r="O213" s="35" t="str">
        <f>IF(Account!$F213&lt;&gt;"", DATEVALUE(MID($A213,4,3) &amp; LEFT($A213,3) &amp; RIGHT($A213,4)) + TIMEVALUE($B213), "")</f>
        <v/>
      </c>
      <c r="P213" s="36" t="str">
        <f>IF(Account!$F213&lt;&gt;"", DATEVALUE(MID($C213,4,3) &amp; LEFT($C213,3) &amp; RIGHT($C213,4)), "")</f>
        <v/>
      </c>
      <c r="Q213" s="37" t="str">
        <f t="array" ref="Q213">IF($R213&lt;&gt;"",IFERROR(INDEX(ISIN!$B:$B,MATCH($R213,ISIN!$C:$C,0))),)</f>
        <v/>
      </c>
      <c r="R213" s="38" t="str">
        <f t="array" ref="R213">IF($E213&lt;&gt;""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7" t="str">
        <f t="shared" si="1"/>
        <v/>
      </c>
      <c r="T213" s="39" t="str">
        <f t="shared" si="2"/>
        <v/>
      </c>
      <c r="U213" s="40" t="str">
        <f t="shared" si="3"/>
        <v/>
      </c>
      <c r="V213" s="34" t="str">
        <f t="shared" si="4"/>
        <v/>
      </c>
      <c r="W213" s="41" t="str">
        <f>IFERROR(__xludf.DUMMYFUNCTION(" IF(Account!$F213&lt;&gt;"""", SPLIT(Account!$F213, "" ""), """")"),"")</f>
        <v/>
      </c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</row>
    <row r="214">
      <c r="A214" s="20"/>
      <c r="B214" s="20"/>
      <c r="C214" s="20"/>
      <c r="D214" s="20"/>
      <c r="E214" s="20"/>
      <c r="F214" s="21"/>
      <c r="G214" s="20"/>
      <c r="H214" s="20"/>
      <c r="I214" s="20"/>
      <c r="J214" s="20"/>
      <c r="K214" s="20"/>
      <c r="L214" s="21"/>
      <c r="M214" s="33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4" t="str">
        <f>IFERROR(__xludf.DUMMYFUNCTION("IF(Account!$F214&lt;&gt;"""", VALUE(REGEXREPLACE($I214, ""\,"", ""."")), """")"),"")</f>
        <v/>
      </c>
      <c r="O214" s="35" t="str">
        <f>IF(Account!$F214&lt;&gt;"", DATEVALUE(MID($A214,4,3) &amp; LEFT($A214,3) &amp; RIGHT($A214,4)) + TIMEVALUE($B214), "")</f>
        <v/>
      </c>
      <c r="P214" s="36" t="str">
        <f>IF(Account!$F214&lt;&gt;"", DATEVALUE(MID($C214,4,3) &amp; LEFT($C214,3) &amp; RIGHT($C214,4)), "")</f>
        <v/>
      </c>
      <c r="Q214" s="37" t="str">
        <f t="array" ref="Q214">IF($R214&lt;&gt;"",IFERROR(INDEX(ISIN!$B:$B,MATCH($R214,ISIN!$C:$C,0))),)</f>
        <v/>
      </c>
      <c r="R214" s="38" t="str">
        <f t="array" ref="R214">IF($E214&lt;&gt;""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7" t="str">
        <f t="shared" si="1"/>
        <v/>
      </c>
      <c r="T214" s="39" t="str">
        <f t="shared" si="2"/>
        <v/>
      </c>
      <c r="U214" s="40" t="str">
        <f t="shared" si="3"/>
        <v/>
      </c>
      <c r="V214" s="34" t="str">
        <f t="shared" si="4"/>
        <v/>
      </c>
      <c r="W214" s="41" t="str">
        <f>IFERROR(__xludf.DUMMYFUNCTION(" IF(Account!$F214&lt;&gt;"""", SPLIT(Account!$F214, "" ""), """")"),"")</f>
        <v/>
      </c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</row>
    <row r="215">
      <c r="A215" s="20"/>
      <c r="B215" s="20"/>
      <c r="C215" s="20"/>
      <c r="D215" s="20"/>
      <c r="E215" s="20"/>
      <c r="F215" s="21"/>
      <c r="G215" s="45"/>
      <c r="H215" s="20"/>
      <c r="I215" s="20"/>
      <c r="J215" s="20"/>
      <c r="K215" s="20"/>
      <c r="L215" s="21"/>
      <c r="M215" s="33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4" t="str">
        <f>IFERROR(__xludf.DUMMYFUNCTION("IF(Account!$F215&lt;&gt;"""", VALUE(REGEXREPLACE($I215, ""\,"", ""."")), """")"),"")</f>
        <v/>
      </c>
      <c r="O215" s="35" t="str">
        <f>IF(Account!$F215&lt;&gt;"", DATEVALUE(MID($A215,4,3) &amp; LEFT($A215,3) &amp; RIGHT($A215,4)) + TIMEVALUE($B215), "")</f>
        <v/>
      </c>
      <c r="P215" s="36" t="str">
        <f>IF(Account!$F215&lt;&gt;"", DATEVALUE(MID($C215,4,3) &amp; LEFT($C215,3) &amp; RIGHT($C215,4)), "")</f>
        <v/>
      </c>
      <c r="Q215" s="37" t="str">
        <f t="array" ref="Q215">IF($R215&lt;&gt;"",IFERROR(INDEX(ISIN!$B:$B,MATCH($R215,ISIN!$C:$C,0))),)</f>
        <v/>
      </c>
      <c r="R215" s="38" t="str">
        <f t="array" ref="R215">IF($E215&lt;&gt;""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7" t="str">
        <f t="shared" si="1"/>
        <v/>
      </c>
      <c r="T215" s="39" t="str">
        <f t="shared" si="2"/>
        <v/>
      </c>
      <c r="U215" s="40" t="str">
        <f t="shared" si="3"/>
        <v/>
      </c>
      <c r="V215" s="34" t="str">
        <f t="shared" si="4"/>
        <v/>
      </c>
      <c r="W215" s="41" t="str">
        <f>IFERROR(__xludf.DUMMYFUNCTION(" IF(Account!$F215&lt;&gt;"""", SPLIT(Account!$F215, "" ""), """")"),"")</f>
        <v/>
      </c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</row>
    <row r="216">
      <c r="A216" s="20"/>
      <c r="B216" s="20"/>
      <c r="C216" s="20"/>
      <c r="D216" s="20"/>
      <c r="E216" s="20"/>
      <c r="F216" s="21"/>
      <c r="G216" s="20"/>
      <c r="H216" s="20"/>
      <c r="I216" s="20"/>
      <c r="J216" s="20"/>
      <c r="K216" s="20"/>
      <c r="L216" s="21"/>
      <c r="M216" s="33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4" t="str">
        <f>IFERROR(__xludf.DUMMYFUNCTION("IF(Account!$F216&lt;&gt;"""", VALUE(REGEXREPLACE($I216, ""\,"", ""."")), """")"),"")</f>
        <v/>
      </c>
      <c r="O216" s="35" t="str">
        <f>IF(Account!$F216&lt;&gt;"", DATEVALUE(MID($A216,4,3) &amp; LEFT($A216,3) &amp; RIGHT($A216,4)) + TIMEVALUE($B216), "")</f>
        <v/>
      </c>
      <c r="P216" s="36" t="str">
        <f>IF(Account!$F216&lt;&gt;"", DATEVALUE(MID($C216,4,3) &amp; LEFT($C216,3) &amp; RIGHT($C216,4)), "")</f>
        <v/>
      </c>
      <c r="Q216" s="37" t="str">
        <f t="array" ref="Q216">IF($R216&lt;&gt;"",IFERROR(INDEX(ISIN!$B:$B,MATCH($R216,ISIN!$C:$C,0))),)</f>
        <v/>
      </c>
      <c r="R216" s="38" t="str">
        <f t="array" ref="R216">IF($E216&lt;&gt;""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7" t="str">
        <f t="shared" si="1"/>
        <v/>
      </c>
      <c r="T216" s="39" t="str">
        <f t="shared" si="2"/>
        <v/>
      </c>
      <c r="U216" s="40" t="str">
        <f t="shared" si="3"/>
        <v/>
      </c>
      <c r="V216" s="34" t="str">
        <f t="shared" si="4"/>
        <v/>
      </c>
      <c r="W216" s="41" t="str">
        <f>IFERROR(__xludf.DUMMYFUNCTION(" IF(Account!$F216&lt;&gt;"""", SPLIT(Account!$F216, "" ""), """")"),"")</f>
        <v/>
      </c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</row>
    <row r="217">
      <c r="A217" s="20"/>
      <c r="B217" s="20"/>
      <c r="C217" s="20"/>
      <c r="D217" s="20"/>
      <c r="E217" s="20"/>
      <c r="F217" s="21"/>
      <c r="G217" s="45"/>
      <c r="H217" s="20"/>
      <c r="I217" s="20"/>
      <c r="J217" s="20"/>
      <c r="K217" s="20"/>
      <c r="L217" s="21"/>
      <c r="M217" s="33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4" t="str">
        <f>IFERROR(__xludf.DUMMYFUNCTION("IF(Account!$F217&lt;&gt;"""", VALUE(REGEXREPLACE($I217, ""\,"", ""."")), """")"),"")</f>
        <v/>
      </c>
      <c r="O217" s="35" t="str">
        <f>IF(Account!$F217&lt;&gt;"", DATEVALUE(MID($A217,4,3) &amp; LEFT($A217,3) &amp; RIGHT($A217,4)) + TIMEVALUE($B217), "")</f>
        <v/>
      </c>
      <c r="P217" s="36" t="str">
        <f>IF(Account!$F217&lt;&gt;"", DATEVALUE(MID($C217,4,3) &amp; LEFT($C217,3) &amp; RIGHT($C217,4)), "")</f>
        <v/>
      </c>
      <c r="Q217" s="37" t="str">
        <f t="array" ref="Q217">IF($R217&lt;&gt;"",IFERROR(INDEX(ISIN!$B:$B,MATCH($R217,ISIN!$C:$C,0))),)</f>
        <v/>
      </c>
      <c r="R217" s="38" t="str">
        <f t="array" ref="R217">IF($E217&lt;&gt;""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7" t="str">
        <f t="shared" si="1"/>
        <v/>
      </c>
      <c r="T217" s="39" t="str">
        <f t="shared" si="2"/>
        <v/>
      </c>
      <c r="U217" s="40" t="str">
        <f t="shared" si="3"/>
        <v/>
      </c>
      <c r="V217" s="34" t="str">
        <f t="shared" si="4"/>
        <v/>
      </c>
      <c r="W217" s="41" t="str">
        <f>IFERROR(__xludf.DUMMYFUNCTION(" IF(Account!$F217&lt;&gt;"""", SPLIT(Account!$F217, "" ""), """")"),"")</f>
        <v/>
      </c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</row>
    <row r="218">
      <c r="A218" s="20"/>
      <c r="B218" s="20"/>
      <c r="C218" s="20"/>
      <c r="D218" s="20"/>
      <c r="E218" s="20"/>
      <c r="F218" s="21"/>
      <c r="G218" s="20"/>
      <c r="H218" s="20"/>
      <c r="I218" s="20"/>
      <c r="J218" s="20"/>
      <c r="K218" s="20"/>
      <c r="L218" s="21"/>
      <c r="M218" s="33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4" t="str">
        <f>IFERROR(__xludf.DUMMYFUNCTION("IF(Account!$F218&lt;&gt;"""", VALUE(REGEXREPLACE($I218, ""\,"", ""."")), """")"),"")</f>
        <v/>
      </c>
      <c r="O218" s="35" t="str">
        <f>IF(Account!$F218&lt;&gt;"", DATEVALUE(MID($A218,4,3) &amp; LEFT($A218,3) &amp; RIGHT($A218,4)) + TIMEVALUE($B218), "")</f>
        <v/>
      </c>
      <c r="P218" s="36" t="str">
        <f>IF(Account!$F218&lt;&gt;"", DATEVALUE(MID($C218,4,3) &amp; LEFT($C218,3) &amp; RIGHT($C218,4)), "")</f>
        <v/>
      </c>
      <c r="Q218" s="37" t="str">
        <f t="array" ref="Q218">IF($R218&lt;&gt;"",IFERROR(INDEX(ISIN!$B:$B,MATCH($R218,ISIN!$C:$C,0))),)</f>
        <v/>
      </c>
      <c r="R218" s="38" t="str">
        <f t="array" ref="R218">IF($E218&lt;&gt;""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7" t="str">
        <f t="shared" si="1"/>
        <v/>
      </c>
      <c r="T218" s="39" t="str">
        <f t="shared" si="2"/>
        <v/>
      </c>
      <c r="U218" s="40" t="str">
        <f t="shared" si="3"/>
        <v/>
      </c>
      <c r="V218" s="34" t="str">
        <f t="shared" si="4"/>
        <v/>
      </c>
      <c r="W218" s="41" t="str">
        <f>IFERROR(__xludf.DUMMYFUNCTION(" IF(Account!$F218&lt;&gt;"""", SPLIT(Account!$F218, "" ""), """")"),"")</f>
        <v/>
      </c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</row>
    <row r="219">
      <c r="A219" s="20"/>
      <c r="B219" s="20"/>
      <c r="C219" s="20"/>
      <c r="D219" s="20"/>
      <c r="E219" s="20"/>
      <c r="F219" s="21"/>
      <c r="G219" s="45"/>
      <c r="H219" s="20"/>
      <c r="I219" s="20"/>
      <c r="J219" s="20"/>
      <c r="K219" s="20"/>
      <c r="L219" s="21"/>
      <c r="M219" s="33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4" t="str">
        <f>IFERROR(__xludf.DUMMYFUNCTION("IF(Account!$F219&lt;&gt;"""", VALUE(REGEXREPLACE($I219, ""\,"", ""."")), """")"),"")</f>
        <v/>
      </c>
      <c r="O219" s="35" t="str">
        <f>IF(Account!$F219&lt;&gt;"", DATEVALUE(MID($A219,4,3) &amp; LEFT($A219,3) &amp; RIGHT($A219,4)) + TIMEVALUE($B219), "")</f>
        <v/>
      </c>
      <c r="P219" s="36" t="str">
        <f>IF(Account!$F219&lt;&gt;"", DATEVALUE(MID($C219,4,3) &amp; LEFT($C219,3) &amp; RIGHT($C219,4)), "")</f>
        <v/>
      </c>
      <c r="Q219" s="37" t="str">
        <f t="array" ref="Q219">IF($R219&lt;&gt;"",IFERROR(INDEX(ISIN!$B:$B,MATCH($R219,ISIN!$C:$C,0))),)</f>
        <v/>
      </c>
      <c r="R219" s="38" t="str">
        <f t="array" ref="R219">IF($E219&lt;&gt;""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7" t="str">
        <f t="shared" si="1"/>
        <v/>
      </c>
      <c r="T219" s="39" t="str">
        <f t="shared" si="2"/>
        <v/>
      </c>
      <c r="U219" s="40" t="str">
        <f t="shared" si="3"/>
        <v/>
      </c>
      <c r="V219" s="34" t="str">
        <f t="shared" si="4"/>
        <v/>
      </c>
      <c r="W219" s="41" t="str">
        <f>IFERROR(__xludf.DUMMYFUNCTION(" IF(Account!$F219&lt;&gt;"""", SPLIT(Account!$F219, "" ""), """")"),"")</f>
        <v/>
      </c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</row>
    <row r="220">
      <c r="A220" s="20"/>
      <c r="B220" s="20"/>
      <c r="C220" s="20"/>
      <c r="D220" s="20"/>
      <c r="E220" s="20"/>
      <c r="F220" s="21"/>
      <c r="G220" s="20"/>
      <c r="H220" s="20"/>
      <c r="I220" s="20"/>
      <c r="J220" s="20"/>
      <c r="K220" s="20"/>
      <c r="L220" s="21"/>
      <c r="M220" s="33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4" t="str">
        <f>IFERROR(__xludf.DUMMYFUNCTION("IF(Account!$F220&lt;&gt;"""", VALUE(REGEXREPLACE($I220, ""\,"", ""."")), """")"),"")</f>
        <v/>
      </c>
      <c r="O220" s="35" t="str">
        <f>IF(Account!$F220&lt;&gt;"", DATEVALUE(MID($A220,4,3) &amp; LEFT($A220,3) &amp; RIGHT($A220,4)) + TIMEVALUE($B220), "")</f>
        <v/>
      </c>
      <c r="P220" s="36" t="str">
        <f>IF(Account!$F220&lt;&gt;"", DATEVALUE(MID($C220,4,3) &amp; LEFT($C220,3) &amp; RIGHT($C220,4)), "")</f>
        <v/>
      </c>
      <c r="Q220" s="37" t="str">
        <f t="array" ref="Q220">IF($R220&lt;&gt;"",IFERROR(INDEX(ISIN!$B:$B,MATCH($R220,ISIN!$C:$C,0))),)</f>
        <v/>
      </c>
      <c r="R220" s="38" t="str">
        <f t="array" ref="R220">IF($E220&lt;&gt;""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7" t="str">
        <f t="shared" si="1"/>
        <v/>
      </c>
      <c r="T220" s="39" t="str">
        <f t="shared" si="2"/>
        <v/>
      </c>
      <c r="U220" s="40" t="str">
        <f t="shared" si="3"/>
        <v/>
      </c>
      <c r="V220" s="34" t="str">
        <f t="shared" si="4"/>
        <v/>
      </c>
      <c r="W220" s="41" t="str">
        <f>IFERROR(__xludf.DUMMYFUNCTION(" IF(Account!$F220&lt;&gt;"""", SPLIT(Account!$F220, "" ""), """")"),"")</f>
        <v/>
      </c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</row>
    <row r="221">
      <c r="A221" s="20"/>
      <c r="B221" s="20"/>
      <c r="C221" s="20"/>
      <c r="D221" s="20"/>
      <c r="E221" s="20"/>
      <c r="F221" s="21"/>
      <c r="G221" s="20"/>
      <c r="H221" s="20"/>
      <c r="I221" s="20"/>
      <c r="J221" s="20"/>
      <c r="K221" s="20"/>
      <c r="L221" s="21"/>
      <c r="M221" s="33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4" t="str">
        <f>IFERROR(__xludf.DUMMYFUNCTION("IF(Account!$F221&lt;&gt;"""", VALUE(REGEXREPLACE($I221, ""\,"", ""."")), """")"),"")</f>
        <v/>
      </c>
      <c r="O221" s="35" t="str">
        <f>IF(Account!$F221&lt;&gt;"", DATEVALUE(MID($A221,4,3) &amp; LEFT($A221,3) &amp; RIGHT($A221,4)) + TIMEVALUE($B221), "")</f>
        <v/>
      </c>
      <c r="P221" s="36" t="str">
        <f>IF(Account!$F221&lt;&gt;"", DATEVALUE(MID($C221,4,3) &amp; LEFT($C221,3) &amp; RIGHT($C221,4)), "")</f>
        <v/>
      </c>
      <c r="Q221" s="37" t="str">
        <f t="array" ref="Q221">IF($R221&lt;&gt;"",IFERROR(INDEX(ISIN!$B:$B,MATCH($R221,ISIN!$C:$C,0))),)</f>
        <v/>
      </c>
      <c r="R221" s="38" t="str">
        <f t="array" ref="R221">IF($E221&lt;&gt;""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7" t="str">
        <f t="shared" si="1"/>
        <v/>
      </c>
      <c r="T221" s="39" t="str">
        <f t="shared" si="2"/>
        <v/>
      </c>
      <c r="U221" s="40" t="str">
        <f t="shared" si="3"/>
        <v/>
      </c>
      <c r="V221" s="34" t="str">
        <f t="shared" si="4"/>
        <v/>
      </c>
      <c r="W221" s="41" t="str">
        <f>IFERROR(__xludf.DUMMYFUNCTION(" IF(Account!$F221&lt;&gt;"""", SPLIT(Account!$F221, "" ""), """")"),"")</f>
        <v/>
      </c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</row>
    <row r="222">
      <c r="A222" s="20"/>
      <c r="B222" s="20"/>
      <c r="C222" s="20"/>
      <c r="D222" s="20"/>
      <c r="E222" s="20"/>
      <c r="F222" s="21"/>
      <c r="G222" s="20"/>
      <c r="H222" s="20"/>
      <c r="I222" s="20"/>
      <c r="J222" s="20"/>
      <c r="K222" s="20"/>
      <c r="L222" s="21"/>
      <c r="M222" s="33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4" t="str">
        <f>IFERROR(__xludf.DUMMYFUNCTION("IF(Account!$F222&lt;&gt;"""", VALUE(REGEXREPLACE($I222, ""\,"", ""."")), """")"),"")</f>
        <v/>
      </c>
      <c r="O222" s="35" t="str">
        <f>IF(Account!$F222&lt;&gt;"", DATEVALUE(MID($A222,4,3) &amp; LEFT($A222,3) &amp; RIGHT($A222,4)) + TIMEVALUE($B222), "")</f>
        <v/>
      </c>
      <c r="P222" s="36" t="str">
        <f>IF(Account!$F222&lt;&gt;"", DATEVALUE(MID($C222,4,3) &amp; LEFT($C222,3) &amp; RIGHT($C222,4)), "")</f>
        <v/>
      </c>
      <c r="Q222" s="37" t="str">
        <f t="array" ref="Q222">IF($R222&lt;&gt;"",IFERROR(INDEX(ISIN!$B:$B,MATCH($R222,ISIN!$C:$C,0))),)</f>
        <v/>
      </c>
      <c r="R222" s="38" t="str">
        <f t="array" ref="R222">IF($E222&lt;&gt;""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7" t="str">
        <f t="shared" si="1"/>
        <v/>
      </c>
      <c r="T222" s="39" t="str">
        <f t="shared" si="2"/>
        <v/>
      </c>
      <c r="U222" s="40" t="str">
        <f t="shared" si="3"/>
        <v/>
      </c>
      <c r="V222" s="34" t="str">
        <f t="shared" si="4"/>
        <v/>
      </c>
      <c r="W222" s="41" t="str">
        <f>IFERROR(__xludf.DUMMYFUNCTION(" IF(Account!$F222&lt;&gt;"""", SPLIT(Account!$F222, "" ""), """")"),"")</f>
        <v/>
      </c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</row>
    <row r="223">
      <c r="A223" s="20"/>
      <c r="B223" s="20"/>
      <c r="C223" s="20"/>
      <c r="D223" s="20"/>
      <c r="E223" s="20"/>
      <c r="F223" s="21"/>
      <c r="G223" s="45"/>
      <c r="H223" s="20"/>
      <c r="I223" s="20"/>
      <c r="J223" s="20"/>
      <c r="K223" s="20"/>
      <c r="L223" s="21"/>
      <c r="M223" s="33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4" t="str">
        <f>IFERROR(__xludf.DUMMYFUNCTION("IF(Account!$F223&lt;&gt;"""", VALUE(REGEXREPLACE($I223, ""\,"", ""."")), """")"),"")</f>
        <v/>
      </c>
      <c r="O223" s="35" t="str">
        <f>IF(Account!$F223&lt;&gt;"", DATEVALUE(MID($A223,4,3) &amp; LEFT($A223,3) &amp; RIGHT($A223,4)) + TIMEVALUE($B223), "")</f>
        <v/>
      </c>
      <c r="P223" s="36" t="str">
        <f>IF(Account!$F223&lt;&gt;"", DATEVALUE(MID($C223,4,3) &amp; LEFT($C223,3) &amp; RIGHT($C223,4)), "")</f>
        <v/>
      </c>
      <c r="Q223" s="37" t="str">
        <f t="array" ref="Q223">IF($R223&lt;&gt;"",IFERROR(INDEX(ISIN!$B:$B,MATCH($R223,ISIN!$C:$C,0))),)</f>
        <v/>
      </c>
      <c r="R223" s="38" t="str">
        <f t="array" ref="R223">IF($E223&lt;&gt;""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7" t="str">
        <f t="shared" si="1"/>
        <v/>
      </c>
      <c r="T223" s="39" t="str">
        <f t="shared" si="2"/>
        <v/>
      </c>
      <c r="U223" s="40" t="str">
        <f t="shared" si="3"/>
        <v/>
      </c>
      <c r="V223" s="34" t="str">
        <f t="shared" si="4"/>
        <v/>
      </c>
      <c r="W223" s="41" t="str">
        <f>IFERROR(__xludf.DUMMYFUNCTION(" IF(Account!$F223&lt;&gt;"""", SPLIT(Account!$F223, "" ""), """")"),"")</f>
        <v/>
      </c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</row>
    <row r="224">
      <c r="A224" s="20"/>
      <c r="B224" s="20"/>
      <c r="C224" s="20"/>
      <c r="D224" s="20"/>
      <c r="E224" s="20"/>
      <c r="F224" s="21"/>
      <c r="G224" s="20"/>
      <c r="H224" s="20"/>
      <c r="I224" s="20"/>
      <c r="J224" s="20"/>
      <c r="K224" s="20"/>
      <c r="L224" s="21"/>
      <c r="M224" s="33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4" t="str">
        <f>IFERROR(__xludf.DUMMYFUNCTION("IF(Account!$F224&lt;&gt;"""", VALUE(REGEXREPLACE($I224, ""\,"", ""."")), """")"),"")</f>
        <v/>
      </c>
      <c r="O224" s="35" t="str">
        <f>IF(Account!$F224&lt;&gt;"", DATEVALUE(MID($A224,4,3) &amp; LEFT($A224,3) &amp; RIGHT($A224,4)) + TIMEVALUE($B224), "")</f>
        <v/>
      </c>
      <c r="P224" s="36" t="str">
        <f>IF(Account!$F224&lt;&gt;"", DATEVALUE(MID($C224,4,3) &amp; LEFT($C224,3) &amp; RIGHT($C224,4)), "")</f>
        <v/>
      </c>
      <c r="Q224" s="37" t="str">
        <f t="array" ref="Q224">IF($R224&lt;&gt;"",IFERROR(INDEX(ISIN!$B:$B,MATCH($R224,ISIN!$C:$C,0))),)</f>
        <v/>
      </c>
      <c r="R224" s="38" t="str">
        <f t="array" ref="R224">IF($E224&lt;&gt;""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7" t="str">
        <f t="shared" si="1"/>
        <v/>
      </c>
      <c r="T224" s="39" t="str">
        <f t="shared" si="2"/>
        <v/>
      </c>
      <c r="U224" s="40" t="str">
        <f t="shared" si="3"/>
        <v/>
      </c>
      <c r="V224" s="34" t="str">
        <f t="shared" si="4"/>
        <v/>
      </c>
      <c r="W224" s="41" t="str">
        <f>IFERROR(__xludf.DUMMYFUNCTION(" IF(Account!$F224&lt;&gt;"""", SPLIT(Account!$F224, "" ""), """")"),"")</f>
        <v/>
      </c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</row>
    <row r="225">
      <c r="A225" s="20"/>
      <c r="B225" s="20"/>
      <c r="C225" s="20"/>
      <c r="D225" s="20"/>
      <c r="E225" s="20"/>
      <c r="F225" s="21"/>
      <c r="G225" s="20"/>
      <c r="H225" s="20"/>
      <c r="I225" s="20"/>
      <c r="J225" s="20"/>
      <c r="K225" s="20"/>
      <c r="L225" s="21"/>
      <c r="M225" s="33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4" t="str">
        <f>IFERROR(__xludf.DUMMYFUNCTION("IF(Account!$F225&lt;&gt;"""", VALUE(REGEXREPLACE($I225, ""\,"", ""."")), """")"),"")</f>
        <v/>
      </c>
      <c r="O225" s="35" t="str">
        <f>IF(Account!$F225&lt;&gt;"", DATEVALUE(MID($A225,4,3) &amp; LEFT($A225,3) &amp; RIGHT($A225,4)) + TIMEVALUE($B225), "")</f>
        <v/>
      </c>
      <c r="P225" s="36" t="str">
        <f>IF(Account!$F225&lt;&gt;"", DATEVALUE(MID($C225,4,3) &amp; LEFT($C225,3) &amp; RIGHT($C225,4)), "")</f>
        <v/>
      </c>
      <c r="Q225" s="37" t="str">
        <f t="array" ref="Q225">IF($R225&lt;&gt;"",IFERROR(INDEX(ISIN!$B:$B,MATCH($R225,ISIN!$C:$C,0))),)</f>
        <v/>
      </c>
      <c r="R225" s="38" t="str">
        <f t="array" ref="R225">IF($E225&lt;&gt;""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7" t="str">
        <f t="shared" si="1"/>
        <v/>
      </c>
      <c r="T225" s="39" t="str">
        <f t="shared" si="2"/>
        <v/>
      </c>
      <c r="U225" s="40" t="str">
        <f t="shared" si="3"/>
        <v/>
      </c>
      <c r="V225" s="34" t="str">
        <f t="shared" si="4"/>
        <v/>
      </c>
      <c r="W225" s="41" t="str">
        <f>IFERROR(__xludf.DUMMYFUNCTION(" IF(Account!$F225&lt;&gt;"""", SPLIT(Account!$F225, "" ""), """")"),"")</f>
        <v/>
      </c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</row>
    <row r="226">
      <c r="A226" s="20"/>
      <c r="B226" s="20"/>
      <c r="C226" s="20"/>
      <c r="D226" s="20"/>
      <c r="E226" s="20"/>
      <c r="F226" s="21"/>
      <c r="G226" s="20"/>
      <c r="H226" s="20"/>
      <c r="I226" s="20"/>
      <c r="J226" s="20"/>
      <c r="K226" s="20"/>
      <c r="L226" s="21"/>
      <c r="M226" s="33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4" t="str">
        <f>IFERROR(__xludf.DUMMYFUNCTION("IF(Account!$F226&lt;&gt;"""", VALUE(REGEXREPLACE($I226, ""\,"", ""."")), """")"),"")</f>
        <v/>
      </c>
      <c r="O226" s="35" t="str">
        <f>IF(Account!$F226&lt;&gt;"", DATEVALUE(MID($A226,4,3) &amp; LEFT($A226,3) &amp; RIGHT($A226,4)) + TIMEVALUE($B226), "")</f>
        <v/>
      </c>
      <c r="P226" s="36" t="str">
        <f>IF(Account!$F226&lt;&gt;"", DATEVALUE(MID($C226,4,3) &amp; LEFT($C226,3) &amp; RIGHT($C226,4)), "")</f>
        <v/>
      </c>
      <c r="Q226" s="37" t="str">
        <f t="array" ref="Q226">IF($R226&lt;&gt;"",IFERROR(INDEX(ISIN!$B:$B,MATCH($R226,ISIN!$C:$C,0))),)</f>
        <v/>
      </c>
      <c r="R226" s="38" t="str">
        <f t="array" ref="R226">IF($E226&lt;&gt;""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7" t="str">
        <f t="shared" si="1"/>
        <v/>
      </c>
      <c r="T226" s="39" t="str">
        <f t="shared" si="2"/>
        <v/>
      </c>
      <c r="U226" s="40" t="str">
        <f t="shared" si="3"/>
        <v/>
      </c>
      <c r="V226" s="34" t="str">
        <f t="shared" si="4"/>
        <v/>
      </c>
      <c r="W226" s="41" t="str">
        <f>IFERROR(__xludf.DUMMYFUNCTION(" IF(Account!$F226&lt;&gt;"""", SPLIT(Account!$F226, "" ""), """")"),"")</f>
        <v/>
      </c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</row>
    <row r="227">
      <c r="A227" s="20"/>
      <c r="B227" s="20"/>
      <c r="C227" s="20"/>
      <c r="D227" s="20"/>
      <c r="E227" s="20"/>
      <c r="F227" s="21"/>
      <c r="G227" s="20"/>
      <c r="H227" s="20"/>
      <c r="I227" s="20"/>
      <c r="J227" s="20"/>
      <c r="K227" s="20"/>
      <c r="L227" s="21"/>
      <c r="M227" s="33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4" t="str">
        <f>IFERROR(__xludf.DUMMYFUNCTION("IF(Account!$F227&lt;&gt;"""", VALUE(REGEXREPLACE($I227, ""\,"", ""."")), """")"),"")</f>
        <v/>
      </c>
      <c r="O227" s="35" t="str">
        <f>IF(Account!$F227&lt;&gt;"", DATEVALUE(MID($A227,4,3) &amp; LEFT($A227,3) &amp; RIGHT($A227,4)) + TIMEVALUE($B227), "")</f>
        <v/>
      </c>
      <c r="P227" s="36" t="str">
        <f>IF(Account!$F227&lt;&gt;"", DATEVALUE(MID($C227,4,3) &amp; LEFT($C227,3) &amp; RIGHT($C227,4)), "")</f>
        <v/>
      </c>
      <c r="Q227" s="37" t="str">
        <f t="array" ref="Q227">IF($R227&lt;&gt;"",IFERROR(INDEX(ISIN!$B:$B,MATCH($R227,ISIN!$C:$C,0))),)</f>
        <v/>
      </c>
      <c r="R227" s="38" t="str">
        <f t="array" ref="R227">IF($E227&lt;&gt;""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7" t="str">
        <f t="shared" si="1"/>
        <v/>
      </c>
      <c r="T227" s="39" t="str">
        <f t="shared" si="2"/>
        <v/>
      </c>
      <c r="U227" s="40" t="str">
        <f t="shared" si="3"/>
        <v/>
      </c>
      <c r="V227" s="34" t="str">
        <f t="shared" si="4"/>
        <v/>
      </c>
      <c r="W227" s="41" t="str">
        <f>IFERROR(__xludf.DUMMYFUNCTION(" IF(Account!$F227&lt;&gt;"""", SPLIT(Account!$F227, "" ""), """")"),"")</f>
        <v/>
      </c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</row>
    <row r="228">
      <c r="A228" s="20"/>
      <c r="B228" s="20"/>
      <c r="C228" s="20"/>
      <c r="D228" s="20"/>
      <c r="E228" s="20"/>
      <c r="F228" s="21"/>
      <c r="G228" s="20"/>
      <c r="H228" s="20"/>
      <c r="I228" s="20"/>
      <c r="J228" s="20"/>
      <c r="K228" s="20"/>
      <c r="L228" s="21"/>
      <c r="M228" s="33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4" t="str">
        <f>IFERROR(__xludf.DUMMYFUNCTION("IF(Account!$F228&lt;&gt;"""", VALUE(REGEXREPLACE($I228, ""\,"", ""."")), """")"),"")</f>
        <v/>
      </c>
      <c r="O228" s="35" t="str">
        <f>IF(Account!$F228&lt;&gt;"", DATEVALUE(MID($A228,4,3) &amp; LEFT($A228,3) &amp; RIGHT($A228,4)) + TIMEVALUE($B228), "")</f>
        <v/>
      </c>
      <c r="P228" s="36" t="str">
        <f>IF(Account!$F228&lt;&gt;"", DATEVALUE(MID($C228,4,3) &amp; LEFT($C228,3) &amp; RIGHT($C228,4)), "")</f>
        <v/>
      </c>
      <c r="Q228" s="37" t="str">
        <f t="array" ref="Q228">IF($R228&lt;&gt;"",IFERROR(INDEX(ISIN!$B:$B,MATCH($R228,ISIN!$C:$C,0))),)</f>
        <v/>
      </c>
      <c r="R228" s="38" t="str">
        <f t="array" ref="R228">IF($E228&lt;&gt;""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7" t="str">
        <f t="shared" si="1"/>
        <v/>
      </c>
      <c r="T228" s="39" t="str">
        <f t="shared" si="2"/>
        <v/>
      </c>
      <c r="U228" s="40" t="str">
        <f t="shared" si="3"/>
        <v/>
      </c>
      <c r="V228" s="34" t="str">
        <f t="shared" si="4"/>
        <v/>
      </c>
      <c r="W228" s="41" t="str">
        <f>IFERROR(__xludf.DUMMYFUNCTION(" IF(Account!$F228&lt;&gt;"""", SPLIT(Account!$F228, "" ""), """")"),"")</f>
        <v/>
      </c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</row>
    <row r="229">
      <c r="A229" s="20"/>
      <c r="B229" s="20"/>
      <c r="C229" s="20"/>
      <c r="D229" s="20"/>
      <c r="E229" s="20"/>
      <c r="F229" s="21"/>
      <c r="G229" s="20"/>
      <c r="H229" s="20"/>
      <c r="I229" s="20"/>
      <c r="J229" s="20"/>
      <c r="K229" s="20"/>
      <c r="L229" s="21"/>
      <c r="M229" s="33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4" t="str">
        <f>IFERROR(__xludf.DUMMYFUNCTION("IF(Account!$F229&lt;&gt;"""", VALUE(REGEXREPLACE($I229, ""\,"", ""."")), """")"),"")</f>
        <v/>
      </c>
      <c r="O229" s="35" t="str">
        <f>IF(Account!$F229&lt;&gt;"", DATEVALUE(MID($A229,4,3) &amp; LEFT($A229,3) &amp; RIGHT($A229,4)) + TIMEVALUE($B229), "")</f>
        <v/>
      </c>
      <c r="P229" s="36" t="str">
        <f>IF(Account!$F229&lt;&gt;"", DATEVALUE(MID($C229,4,3) &amp; LEFT($C229,3) &amp; RIGHT($C229,4)), "")</f>
        <v/>
      </c>
      <c r="Q229" s="37" t="str">
        <f t="array" ref="Q229">IF($R229&lt;&gt;"",IFERROR(INDEX(ISIN!$B:$B,MATCH($R229,ISIN!$C:$C,0))),)</f>
        <v/>
      </c>
      <c r="R229" s="38" t="str">
        <f t="array" ref="R229">IF($E229&lt;&gt;""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7" t="str">
        <f t="shared" si="1"/>
        <v/>
      </c>
      <c r="T229" s="39" t="str">
        <f t="shared" si="2"/>
        <v/>
      </c>
      <c r="U229" s="40" t="str">
        <f t="shared" si="3"/>
        <v/>
      </c>
      <c r="V229" s="34" t="str">
        <f t="shared" si="4"/>
        <v/>
      </c>
      <c r="W229" s="41" t="str">
        <f>IFERROR(__xludf.DUMMYFUNCTION(" IF(Account!$F229&lt;&gt;"""", SPLIT(Account!$F229, "" ""), """")"),"")</f>
        <v/>
      </c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</row>
    <row r="230">
      <c r="A230" s="20"/>
      <c r="B230" s="20"/>
      <c r="C230" s="20"/>
      <c r="D230" s="20"/>
      <c r="E230" s="20"/>
      <c r="F230" s="21"/>
      <c r="G230" s="20"/>
      <c r="H230" s="20"/>
      <c r="I230" s="20"/>
      <c r="J230" s="20"/>
      <c r="K230" s="20"/>
      <c r="L230" s="21"/>
      <c r="M230" s="33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4" t="str">
        <f>IFERROR(__xludf.DUMMYFUNCTION("IF(Account!$F230&lt;&gt;"""", VALUE(REGEXREPLACE($I230, ""\,"", ""."")), """")"),"")</f>
        <v/>
      </c>
      <c r="O230" s="35" t="str">
        <f>IF(Account!$F230&lt;&gt;"", DATEVALUE(MID($A230,4,3) &amp; LEFT($A230,3) &amp; RIGHT($A230,4)) + TIMEVALUE($B230), "")</f>
        <v/>
      </c>
      <c r="P230" s="36" t="str">
        <f>IF(Account!$F230&lt;&gt;"", DATEVALUE(MID($C230,4,3) &amp; LEFT($C230,3) &amp; RIGHT($C230,4)), "")</f>
        <v/>
      </c>
      <c r="Q230" s="37" t="str">
        <f t="array" ref="Q230">IF($R230&lt;&gt;"",IFERROR(INDEX(ISIN!$B:$B,MATCH($R230,ISIN!$C:$C,0))),)</f>
        <v/>
      </c>
      <c r="R230" s="38" t="str">
        <f t="array" ref="R230">IF($E230&lt;&gt;""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7" t="str">
        <f t="shared" si="1"/>
        <v/>
      </c>
      <c r="T230" s="39" t="str">
        <f t="shared" si="2"/>
        <v/>
      </c>
      <c r="U230" s="40" t="str">
        <f t="shared" si="3"/>
        <v/>
      </c>
      <c r="V230" s="34" t="str">
        <f t="shared" si="4"/>
        <v/>
      </c>
      <c r="W230" s="41" t="str">
        <f>IFERROR(__xludf.DUMMYFUNCTION(" IF(Account!$F230&lt;&gt;"""", SPLIT(Account!$F230, "" ""), """")"),"")</f>
        <v/>
      </c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</row>
    <row r="231">
      <c r="A231" s="20"/>
      <c r="B231" s="20"/>
      <c r="C231" s="20"/>
      <c r="D231" s="20"/>
      <c r="E231" s="20"/>
      <c r="F231" s="21"/>
      <c r="G231" s="20"/>
      <c r="H231" s="20"/>
      <c r="I231" s="20"/>
      <c r="J231" s="20"/>
      <c r="K231" s="20"/>
      <c r="L231" s="21"/>
      <c r="M231" s="33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4" t="str">
        <f>IFERROR(__xludf.DUMMYFUNCTION("IF(Account!$F231&lt;&gt;"""", VALUE(REGEXREPLACE($I231, ""\,"", ""."")), """")"),"")</f>
        <v/>
      </c>
      <c r="O231" s="35" t="str">
        <f>IF(Account!$F231&lt;&gt;"", DATEVALUE(MID($A231,4,3) &amp; LEFT($A231,3) &amp; RIGHT($A231,4)) + TIMEVALUE($B231), "")</f>
        <v/>
      </c>
      <c r="P231" s="36" t="str">
        <f>IF(Account!$F231&lt;&gt;"", DATEVALUE(MID($C231,4,3) &amp; LEFT($C231,3) &amp; RIGHT($C231,4)), "")</f>
        <v/>
      </c>
      <c r="Q231" s="37" t="str">
        <f t="array" ref="Q231">IF($R231&lt;&gt;"",IFERROR(INDEX(ISIN!$B:$B,MATCH($R231,ISIN!$C:$C,0))),)</f>
        <v/>
      </c>
      <c r="R231" s="38" t="str">
        <f t="array" ref="R231">IF($E231&lt;&gt;""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7" t="str">
        <f t="shared" si="1"/>
        <v/>
      </c>
      <c r="T231" s="39" t="str">
        <f t="shared" si="2"/>
        <v/>
      </c>
      <c r="U231" s="40" t="str">
        <f t="shared" si="3"/>
        <v/>
      </c>
      <c r="V231" s="34" t="str">
        <f t="shared" si="4"/>
        <v/>
      </c>
      <c r="W231" s="41" t="str">
        <f>IFERROR(__xludf.DUMMYFUNCTION(" IF(Account!$F231&lt;&gt;"""", SPLIT(Account!$F231, "" ""), """")"),"")</f>
        <v/>
      </c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</row>
    <row r="232">
      <c r="A232" s="20"/>
      <c r="B232" s="20"/>
      <c r="C232" s="20"/>
      <c r="D232" s="20"/>
      <c r="E232" s="20"/>
      <c r="F232" s="21"/>
      <c r="G232" s="45"/>
      <c r="H232" s="20"/>
      <c r="I232" s="20"/>
      <c r="J232" s="20"/>
      <c r="K232" s="20"/>
      <c r="L232" s="21"/>
      <c r="M232" s="33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4" t="str">
        <f>IFERROR(__xludf.DUMMYFUNCTION("IF(Account!$F232&lt;&gt;"""", VALUE(REGEXREPLACE($I232, ""\,"", ""."")), """")"),"")</f>
        <v/>
      </c>
      <c r="O232" s="35" t="str">
        <f>IF(Account!$F232&lt;&gt;"", DATEVALUE(MID($A232,4,3) &amp; LEFT($A232,3) &amp; RIGHT($A232,4)) + TIMEVALUE($B232), "")</f>
        <v/>
      </c>
      <c r="P232" s="36" t="str">
        <f>IF(Account!$F232&lt;&gt;"", DATEVALUE(MID($C232,4,3) &amp; LEFT($C232,3) &amp; RIGHT($C232,4)), "")</f>
        <v/>
      </c>
      <c r="Q232" s="37" t="str">
        <f t="array" ref="Q232">IF($R232&lt;&gt;"",IFERROR(INDEX(ISIN!$B:$B,MATCH($R232,ISIN!$C:$C,0))),)</f>
        <v/>
      </c>
      <c r="R232" s="38" t="str">
        <f t="array" ref="R232">IF($E232&lt;&gt;""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7" t="str">
        <f t="shared" si="1"/>
        <v/>
      </c>
      <c r="T232" s="39" t="str">
        <f t="shared" si="2"/>
        <v/>
      </c>
      <c r="U232" s="40" t="str">
        <f t="shared" si="3"/>
        <v/>
      </c>
      <c r="V232" s="34" t="str">
        <f t="shared" si="4"/>
        <v/>
      </c>
      <c r="W232" s="41" t="str">
        <f>IFERROR(__xludf.DUMMYFUNCTION(" IF(Account!$F232&lt;&gt;"""", SPLIT(Account!$F232, "" ""), """")"),"")</f>
        <v/>
      </c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</row>
    <row r="233">
      <c r="A233" s="20"/>
      <c r="B233" s="20"/>
      <c r="C233" s="20"/>
      <c r="D233" s="20"/>
      <c r="E233" s="20"/>
      <c r="F233" s="21"/>
      <c r="G233" s="20"/>
      <c r="H233" s="20"/>
      <c r="I233" s="20"/>
      <c r="J233" s="20"/>
      <c r="K233" s="20"/>
      <c r="L233" s="21"/>
      <c r="M233" s="33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4" t="str">
        <f>IFERROR(__xludf.DUMMYFUNCTION("IF(Account!$F233&lt;&gt;"""", VALUE(REGEXREPLACE($I233, ""\,"", ""."")), """")"),"")</f>
        <v/>
      </c>
      <c r="O233" s="35" t="str">
        <f>IF(Account!$F233&lt;&gt;"", DATEVALUE(MID($A233,4,3) &amp; LEFT($A233,3) &amp; RIGHT($A233,4)) + TIMEVALUE($B233), "")</f>
        <v/>
      </c>
      <c r="P233" s="36" t="str">
        <f>IF(Account!$F233&lt;&gt;"", DATEVALUE(MID($C233,4,3) &amp; LEFT($C233,3) &amp; RIGHT($C233,4)), "")</f>
        <v/>
      </c>
      <c r="Q233" s="37" t="str">
        <f t="array" ref="Q233">IF($R233&lt;&gt;"",IFERROR(INDEX(ISIN!$B:$B,MATCH($R233,ISIN!$C:$C,0))),)</f>
        <v/>
      </c>
      <c r="R233" s="38" t="str">
        <f t="array" ref="R233">IF($E233&lt;&gt;""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7" t="str">
        <f t="shared" si="1"/>
        <v/>
      </c>
      <c r="T233" s="39" t="str">
        <f t="shared" si="2"/>
        <v/>
      </c>
      <c r="U233" s="40" t="str">
        <f t="shared" si="3"/>
        <v/>
      </c>
      <c r="V233" s="34" t="str">
        <f t="shared" si="4"/>
        <v/>
      </c>
      <c r="W233" s="41" t="str">
        <f>IFERROR(__xludf.DUMMYFUNCTION(" IF(Account!$F233&lt;&gt;"""", SPLIT(Account!$F233, "" ""), """")"),"")</f>
        <v/>
      </c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</row>
    <row r="234">
      <c r="A234" s="20"/>
      <c r="B234" s="20"/>
      <c r="C234" s="20"/>
      <c r="D234" s="20"/>
      <c r="E234" s="20"/>
      <c r="F234" s="21"/>
      <c r="G234" s="20"/>
      <c r="H234" s="20"/>
      <c r="I234" s="20"/>
      <c r="J234" s="20"/>
      <c r="K234" s="20"/>
      <c r="L234" s="21"/>
      <c r="M234" s="33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4" t="str">
        <f>IFERROR(__xludf.DUMMYFUNCTION("IF(Account!$F234&lt;&gt;"""", VALUE(REGEXREPLACE($I234, ""\,"", ""."")), """")"),"")</f>
        <v/>
      </c>
      <c r="O234" s="35" t="str">
        <f>IF(Account!$F234&lt;&gt;"", DATEVALUE(MID($A234,4,3) &amp; LEFT($A234,3) &amp; RIGHT($A234,4)) + TIMEVALUE($B234), "")</f>
        <v/>
      </c>
      <c r="P234" s="36" t="str">
        <f>IF(Account!$F234&lt;&gt;"", DATEVALUE(MID($C234,4,3) &amp; LEFT($C234,3) &amp; RIGHT($C234,4)), "")</f>
        <v/>
      </c>
      <c r="Q234" s="37" t="str">
        <f t="array" ref="Q234">IF($R234&lt;&gt;"",IFERROR(INDEX(ISIN!$B:$B,MATCH($R234,ISIN!$C:$C,0))),)</f>
        <v/>
      </c>
      <c r="R234" s="38" t="str">
        <f t="array" ref="R234">IF($E234&lt;&gt;""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7" t="str">
        <f t="shared" si="1"/>
        <v/>
      </c>
      <c r="T234" s="39" t="str">
        <f t="shared" si="2"/>
        <v/>
      </c>
      <c r="U234" s="40" t="str">
        <f t="shared" si="3"/>
        <v/>
      </c>
      <c r="V234" s="34" t="str">
        <f t="shared" si="4"/>
        <v/>
      </c>
      <c r="W234" s="41" t="str">
        <f>IFERROR(__xludf.DUMMYFUNCTION(" IF(Account!$F234&lt;&gt;"""", SPLIT(Account!$F234, "" ""), """")"),"")</f>
        <v/>
      </c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</row>
    <row r="235">
      <c r="A235" s="20"/>
      <c r="B235" s="20"/>
      <c r="C235" s="20"/>
      <c r="D235" s="20"/>
      <c r="E235" s="20"/>
      <c r="F235" s="21"/>
      <c r="G235" s="20"/>
      <c r="H235" s="20"/>
      <c r="I235" s="20"/>
      <c r="J235" s="20"/>
      <c r="K235" s="20"/>
      <c r="L235" s="21"/>
      <c r="M235" s="33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4" t="str">
        <f>IFERROR(__xludf.DUMMYFUNCTION("IF(Account!$F235&lt;&gt;"""", VALUE(REGEXREPLACE($I235, ""\,"", ""."")), """")"),"")</f>
        <v/>
      </c>
      <c r="O235" s="35" t="str">
        <f>IF(Account!$F235&lt;&gt;"", DATEVALUE(MID($A235,4,3) &amp; LEFT($A235,3) &amp; RIGHT($A235,4)) + TIMEVALUE($B235), "")</f>
        <v/>
      </c>
      <c r="P235" s="36" t="str">
        <f>IF(Account!$F235&lt;&gt;"", DATEVALUE(MID($C235,4,3) &amp; LEFT($C235,3) &amp; RIGHT($C235,4)), "")</f>
        <v/>
      </c>
      <c r="Q235" s="37" t="str">
        <f t="array" ref="Q235">IF($R235&lt;&gt;"",IFERROR(INDEX(ISIN!$B:$B,MATCH($R235,ISIN!$C:$C,0))),)</f>
        <v/>
      </c>
      <c r="R235" s="38" t="str">
        <f t="array" ref="R235">IF($E235&lt;&gt;""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7" t="str">
        <f t="shared" si="1"/>
        <v/>
      </c>
      <c r="T235" s="39" t="str">
        <f t="shared" si="2"/>
        <v/>
      </c>
      <c r="U235" s="40" t="str">
        <f t="shared" si="3"/>
        <v/>
      </c>
      <c r="V235" s="34" t="str">
        <f t="shared" si="4"/>
        <v/>
      </c>
      <c r="W235" s="41" t="str">
        <f>IFERROR(__xludf.DUMMYFUNCTION(" IF(Account!$F235&lt;&gt;"""", SPLIT(Account!$F235, "" ""), """")"),"")</f>
        <v/>
      </c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</row>
    <row r="236">
      <c r="A236" s="20"/>
      <c r="B236" s="20"/>
      <c r="C236" s="20"/>
      <c r="D236" s="20"/>
      <c r="E236" s="20"/>
      <c r="F236" s="21"/>
      <c r="G236" s="20"/>
      <c r="H236" s="20"/>
      <c r="I236" s="20"/>
      <c r="J236" s="20"/>
      <c r="K236" s="20"/>
      <c r="L236" s="21"/>
      <c r="M236" s="33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4" t="str">
        <f>IFERROR(__xludf.DUMMYFUNCTION("IF(Account!$F236&lt;&gt;"""", VALUE(REGEXREPLACE($I236, ""\,"", ""."")), """")"),"")</f>
        <v/>
      </c>
      <c r="O236" s="35" t="str">
        <f>IF(Account!$F236&lt;&gt;"", DATEVALUE(MID($A236,4,3) &amp; LEFT($A236,3) &amp; RIGHT($A236,4)) + TIMEVALUE($B236), "")</f>
        <v/>
      </c>
      <c r="P236" s="36" t="str">
        <f>IF(Account!$F236&lt;&gt;"", DATEVALUE(MID($C236,4,3) &amp; LEFT($C236,3) &amp; RIGHT($C236,4)), "")</f>
        <v/>
      </c>
      <c r="Q236" s="37" t="str">
        <f t="array" ref="Q236">IF($R236&lt;&gt;"",IFERROR(INDEX(ISIN!$B:$B,MATCH($R236,ISIN!$C:$C,0))),)</f>
        <v/>
      </c>
      <c r="R236" s="38" t="str">
        <f t="array" ref="R236">IF($E236&lt;&gt;""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7" t="str">
        <f t="shared" si="1"/>
        <v/>
      </c>
      <c r="T236" s="39" t="str">
        <f t="shared" si="2"/>
        <v/>
      </c>
      <c r="U236" s="40" t="str">
        <f t="shared" si="3"/>
        <v/>
      </c>
      <c r="V236" s="34" t="str">
        <f t="shared" si="4"/>
        <v/>
      </c>
      <c r="W236" s="41" t="str">
        <f>IFERROR(__xludf.DUMMYFUNCTION(" IF(Account!$F236&lt;&gt;"""", SPLIT(Account!$F236, "" ""), """")"),"")</f>
        <v/>
      </c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</row>
    <row r="237">
      <c r="A237" s="20"/>
      <c r="B237" s="20"/>
      <c r="C237" s="20"/>
      <c r="D237" s="20"/>
      <c r="E237" s="20"/>
      <c r="F237" s="21"/>
      <c r="G237" s="20"/>
      <c r="H237" s="20"/>
      <c r="I237" s="20"/>
      <c r="J237" s="20"/>
      <c r="K237" s="20"/>
      <c r="L237" s="21"/>
      <c r="M237" s="33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4" t="str">
        <f>IFERROR(__xludf.DUMMYFUNCTION("IF(Account!$F237&lt;&gt;"""", VALUE(REGEXREPLACE($I237, ""\,"", ""."")), """")"),"")</f>
        <v/>
      </c>
      <c r="O237" s="35" t="str">
        <f>IF(Account!$F237&lt;&gt;"", DATEVALUE(MID($A237,4,3) &amp; LEFT($A237,3) &amp; RIGHT($A237,4)) + TIMEVALUE($B237), "")</f>
        <v/>
      </c>
      <c r="P237" s="36" t="str">
        <f>IF(Account!$F237&lt;&gt;"", DATEVALUE(MID($C237,4,3) &amp; LEFT($C237,3) &amp; RIGHT($C237,4)), "")</f>
        <v/>
      </c>
      <c r="Q237" s="37" t="str">
        <f t="array" ref="Q237">IF($R237&lt;&gt;"",IFERROR(INDEX(ISIN!$B:$B,MATCH($R237,ISIN!$C:$C,0))),)</f>
        <v/>
      </c>
      <c r="R237" s="38" t="str">
        <f t="array" ref="R237">IF($E237&lt;&gt;""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7" t="str">
        <f t="shared" si="1"/>
        <v/>
      </c>
      <c r="T237" s="39" t="str">
        <f t="shared" si="2"/>
        <v/>
      </c>
      <c r="U237" s="40" t="str">
        <f t="shared" si="3"/>
        <v/>
      </c>
      <c r="V237" s="34" t="str">
        <f t="shared" si="4"/>
        <v/>
      </c>
      <c r="W237" s="41" t="str">
        <f>IFERROR(__xludf.DUMMYFUNCTION(" IF(Account!$F237&lt;&gt;"""", SPLIT(Account!$F237, "" ""), """")"),"")</f>
        <v/>
      </c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</row>
    <row r="238">
      <c r="A238" s="20"/>
      <c r="B238" s="20"/>
      <c r="C238" s="20"/>
      <c r="D238" s="20"/>
      <c r="E238" s="20"/>
      <c r="F238" s="21"/>
      <c r="G238" s="45"/>
      <c r="H238" s="20"/>
      <c r="I238" s="20"/>
      <c r="J238" s="20"/>
      <c r="K238" s="20"/>
      <c r="L238" s="21"/>
      <c r="M238" s="33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4" t="str">
        <f>IFERROR(__xludf.DUMMYFUNCTION("IF(Account!$F238&lt;&gt;"""", VALUE(REGEXREPLACE($I238, ""\,"", ""."")), """")"),"")</f>
        <v/>
      </c>
      <c r="O238" s="35" t="str">
        <f>IF(Account!$F238&lt;&gt;"", DATEVALUE(MID($A238,4,3) &amp; LEFT($A238,3) &amp; RIGHT($A238,4)) + TIMEVALUE($B238), "")</f>
        <v/>
      </c>
      <c r="P238" s="36" t="str">
        <f>IF(Account!$F238&lt;&gt;"", DATEVALUE(MID($C238,4,3) &amp; LEFT($C238,3) &amp; RIGHT($C238,4)), "")</f>
        <v/>
      </c>
      <c r="Q238" s="37" t="str">
        <f t="array" ref="Q238">IF($R238&lt;&gt;"",IFERROR(INDEX(ISIN!$B:$B,MATCH($R238,ISIN!$C:$C,0))),)</f>
        <v/>
      </c>
      <c r="R238" s="38" t="str">
        <f t="array" ref="R238">IF($E238&lt;&gt;""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7" t="str">
        <f t="shared" si="1"/>
        <v/>
      </c>
      <c r="T238" s="39" t="str">
        <f t="shared" si="2"/>
        <v/>
      </c>
      <c r="U238" s="40" t="str">
        <f t="shared" si="3"/>
        <v/>
      </c>
      <c r="V238" s="34" t="str">
        <f t="shared" si="4"/>
        <v/>
      </c>
      <c r="W238" s="41" t="str">
        <f>IFERROR(__xludf.DUMMYFUNCTION(" IF(Account!$F238&lt;&gt;"""", SPLIT(Account!$F238, "" ""), """")"),"")</f>
        <v/>
      </c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</row>
    <row r="239">
      <c r="A239" s="20"/>
      <c r="B239" s="20"/>
      <c r="C239" s="20"/>
      <c r="D239" s="20"/>
      <c r="E239" s="20"/>
      <c r="F239" s="21"/>
      <c r="G239" s="20"/>
      <c r="H239" s="20"/>
      <c r="I239" s="20"/>
      <c r="J239" s="20"/>
      <c r="K239" s="20"/>
      <c r="L239" s="21"/>
      <c r="M239" s="33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4" t="str">
        <f>IFERROR(__xludf.DUMMYFUNCTION("IF(Account!$F239&lt;&gt;"""", VALUE(REGEXREPLACE($I239, ""\,"", ""."")), """")"),"")</f>
        <v/>
      </c>
      <c r="O239" s="35" t="str">
        <f>IF(Account!$F239&lt;&gt;"", DATEVALUE(MID($A239,4,3) &amp; LEFT($A239,3) &amp; RIGHT($A239,4)) + TIMEVALUE($B239), "")</f>
        <v/>
      </c>
      <c r="P239" s="36" t="str">
        <f>IF(Account!$F239&lt;&gt;"", DATEVALUE(MID($C239,4,3) &amp; LEFT($C239,3) &amp; RIGHT($C239,4)), "")</f>
        <v/>
      </c>
      <c r="Q239" s="37" t="str">
        <f t="array" ref="Q239">IF($R239&lt;&gt;"",IFERROR(INDEX(ISIN!$B:$B,MATCH($R239,ISIN!$C:$C,0))),)</f>
        <v/>
      </c>
      <c r="R239" s="38" t="str">
        <f t="array" ref="R239">IF($E239&lt;&gt;""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7" t="str">
        <f t="shared" si="1"/>
        <v/>
      </c>
      <c r="T239" s="39" t="str">
        <f t="shared" si="2"/>
        <v/>
      </c>
      <c r="U239" s="40" t="str">
        <f t="shared" si="3"/>
        <v/>
      </c>
      <c r="V239" s="34" t="str">
        <f t="shared" si="4"/>
        <v/>
      </c>
      <c r="W239" s="41" t="str">
        <f>IFERROR(__xludf.DUMMYFUNCTION(" IF(Account!$F239&lt;&gt;"""", SPLIT(Account!$F239, "" ""), """")"),"")</f>
        <v/>
      </c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</row>
    <row r="240">
      <c r="A240" s="20"/>
      <c r="B240" s="20"/>
      <c r="C240" s="20"/>
      <c r="D240" s="20"/>
      <c r="E240" s="20"/>
      <c r="F240" s="21"/>
      <c r="G240" s="45"/>
      <c r="H240" s="20"/>
      <c r="I240" s="20"/>
      <c r="J240" s="20"/>
      <c r="K240" s="20"/>
      <c r="L240" s="21"/>
      <c r="M240" s="33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4" t="str">
        <f>IFERROR(__xludf.DUMMYFUNCTION("IF(Account!$F240&lt;&gt;"""", VALUE(REGEXREPLACE($I240, ""\,"", ""."")), """")"),"")</f>
        <v/>
      </c>
      <c r="O240" s="35" t="str">
        <f>IF(Account!$F240&lt;&gt;"", DATEVALUE(MID($A240,4,3) &amp; LEFT($A240,3) &amp; RIGHT($A240,4)) + TIMEVALUE($B240), "")</f>
        <v/>
      </c>
      <c r="P240" s="36" t="str">
        <f>IF(Account!$F240&lt;&gt;"", DATEVALUE(MID($C240,4,3) &amp; LEFT($C240,3) &amp; RIGHT($C240,4)), "")</f>
        <v/>
      </c>
      <c r="Q240" s="37" t="str">
        <f t="array" ref="Q240">IF($R240&lt;&gt;"",IFERROR(INDEX(ISIN!$B:$B,MATCH($R240,ISIN!$C:$C,0))),)</f>
        <v/>
      </c>
      <c r="R240" s="38" t="str">
        <f t="array" ref="R240">IF($E240&lt;&gt;""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7" t="str">
        <f t="shared" si="1"/>
        <v/>
      </c>
      <c r="T240" s="39" t="str">
        <f t="shared" si="2"/>
        <v/>
      </c>
      <c r="U240" s="40" t="str">
        <f t="shared" si="3"/>
        <v/>
      </c>
      <c r="V240" s="34" t="str">
        <f t="shared" si="4"/>
        <v/>
      </c>
      <c r="W240" s="41" t="str">
        <f>IFERROR(__xludf.DUMMYFUNCTION(" IF(Account!$F240&lt;&gt;"""", SPLIT(Account!$F240, "" ""), """")"),"")</f>
        <v/>
      </c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</row>
    <row r="241">
      <c r="A241" s="20"/>
      <c r="B241" s="20"/>
      <c r="C241" s="20"/>
      <c r="D241" s="20"/>
      <c r="E241" s="20"/>
      <c r="F241" s="21"/>
      <c r="G241" s="20"/>
      <c r="H241" s="20"/>
      <c r="I241" s="20"/>
      <c r="J241" s="20"/>
      <c r="K241" s="20"/>
      <c r="L241" s="21"/>
      <c r="M241" s="33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4" t="str">
        <f>IFERROR(__xludf.DUMMYFUNCTION("IF(Account!$F241&lt;&gt;"""", VALUE(REGEXREPLACE($I241, ""\,"", ""."")), """")"),"")</f>
        <v/>
      </c>
      <c r="O241" s="35" t="str">
        <f>IF(Account!$F241&lt;&gt;"", DATEVALUE(MID($A241,4,3) &amp; LEFT($A241,3) &amp; RIGHT($A241,4)) + TIMEVALUE($B241), "")</f>
        <v/>
      </c>
      <c r="P241" s="36" t="str">
        <f>IF(Account!$F241&lt;&gt;"", DATEVALUE(MID($C241,4,3) &amp; LEFT($C241,3) &amp; RIGHT($C241,4)), "")</f>
        <v/>
      </c>
      <c r="Q241" s="37" t="str">
        <f t="array" ref="Q241">IF($R241&lt;&gt;"",IFERROR(INDEX(ISIN!$B:$B,MATCH($R241,ISIN!$C:$C,0))),)</f>
        <v/>
      </c>
      <c r="R241" s="38" t="str">
        <f t="array" ref="R241">IF($E241&lt;&gt;""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7" t="str">
        <f t="shared" si="1"/>
        <v/>
      </c>
      <c r="T241" s="39" t="str">
        <f t="shared" si="2"/>
        <v/>
      </c>
      <c r="U241" s="40" t="str">
        <f t="shared" si="3"/>
        <v/>
      </c>
      <c r="V241" s="34" t="str">
        <f t="shared" si="4"/>
        <v/>
      </c>
      <c r="W241" s="41" t="str">
        <f>IFERROR(__xludf.DUMMYFUNCTION(" IF(Account!$F241&lt;&gt;"""", SPLIT(Account!$F241, "" ""), """")"),"")</f>
        <v/>
      </c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</row>
    <row r="242">
      <c r="A242" s="20"/>
      <c r="B242" s="20"/>
      <c r="C242" s="20"/>
      <c r="D242" s="20"/>
      <c r="E242" s="20"/>
      <c r="F242" s="21"/>
      <c r="G242" s="20"/>
      <c r="H242" s="20"/>
      <c r="I242" s="20"/>
      <c r="J242" s="20"/>
      <c r="K242" s="20"/>
      <c r="L242" s="21"/>
      <c r="M242" s="33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4" t="str">
        <f>IFERROR(__xludf.DUMMYFUNCTION("IF(Account!$F242&lt;&gt;"""", VALUE(REGEXREPLACE($I242, ""\,"", ""."")), """")"),"")</f>
        <v/>
      </c>
      <c r="O242" s="35" t="str">
        <f>IF(Account!$F242&lt;&gt;"", DATEVALUE(MID($A242,4,3) &amp; LEFT($A242,3) &amp; RIGHT($A242,4)) + TIMEVALUE($B242), "")</f>
        <v/>
      </c>
      <c r="P242" s="36" t="str">
        <f>IF(Account!$F242&lt;&gt;"", DATEVALUE(MID($C242,4,3) &amp; LEFT($C242,3) &amp; RIGHT($C242,4)), "")</f>
        <v/>
      </c>
      <c r="Q242" s="37" t="str">
        <f t="array" ref="Q242">IF($R242&lt;&gt;"",IFERROR(INDEX(ISIN!$B:$B,MATCH($R242,ISIN!$C:$C,0))),)</f>
        <v/>
      </c>
      <c r="R242" s="38" t="str">
        <f t="array" ref="R242">IF($E242&lt;&gt;""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7" t="str">
        <f t="shared" si="1"/>
        <v/>
      </c>
      <c r="T242" s="39" t="str">
        <f t="shared" si="2"/>
        <v/>
      </c>
      <c r="U242" s="40" t="str">
        <f t="shared" si="3"/>
        <v/>
      </c>
      <c r="V242" s="34" t="str">
        <f t="shared" si="4"/>
        <v/>
      </c>
      <c r="W242" s="41" t="str">
        <f>IFERROR(__xludf.DUMMYFUNCTION(" IF(Account!$F242&lt;&gt;"""", SPLIT(Account!$F242, "" ""), """")"),"")</f>
        <v/>
      </c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</row>
    <row r="243">
      <c r="A243" s="20"/>
      <c r="B243" s="20"/>
      <c r="C243" s="20"/>
      <c r="D243" s="20"/>
      <c r="E243" s="20"/>
      <c r="F243" s="21"/>
      <c r="G243" s="20"/>
      <c r="H243" s="20"/>
      <c r="I243" s="20"/>
      <c r="J243" s="20"/>
      <c r="K243" s="20"/>
      <c r="L243" s="21"/>
      <c r="M243" s="33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4" t="str">
        <f>IFERROR(__xludf.DUMMYFUNCTION("IF(Account!$F243&lt;&gt;"""", VALUE(REGEXREPLACE($I243, ""\,"", ""."")), """")"),"")</f>
        <v/>
      </c>
      <c r="O243" s="35" t="str">
        <f>IF(Account!$F243&lt;&gt;"", DATEVALUE(MID($A243,4,3) &amp; LEFT($A243,3) &amp; RIGHT($A243,4)) + TIMEVALUE($B243), "")</f>
        <v/>
      </c>
      <c r="P243" s="36" t="str">
        <f>IF(Account!$F243&lt;&gt;"", DATEVALUE(MID($C243,4,3) &amp; LEFT($C243,3) &amp; RIGHT($C243,4)), "")</f>
        <v/>
      </c>
      <c r="Q243" s="37" t="str">
        <f t="array" ref="Q243">IF($R243&lt;&gt;"",IFERROR(INDEX(ISIN!$B:$B,MATCH($R243,ISIN!$C:$C,0))),)</f>
        <v/>
      </c>
      <c r="R243" s="38" t="str">
        <f t="array" ref="R243">IF($E243&lt;&gt;""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7" t="str">
        <f t="shared" si="1"/>
        <v/>
      </c>
      <c r="T243" s="39" t="str">
        <f t="shared" si="2"/>
        <v/>
      </c>
      <c r="U243" s="40" t="str">
        <f t="shared" si="3"/>
        <v/>
      </c>
      <c r="V243" s="34" t="str">
        <f t="shared" si="4"/>
        <v/>
      </c>
      <c r="W243" s="41" t="str">
        <f>IFERROR(__xludf.DUMMYFUNCTION(" IF(Account!$F243&lt;&gt;"""", SPLIT(Account!$F243, "" ""), """")"),"")</f>
        <v/>
      </c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</row>
    <row r="244">
      <c r="A244" s="20"/>
      <c r="B244" s="20"/>
      <c r="C244" s="20"/>
      <c r="D244" s="20"/>
      <c r="E244" s="20"/>
      <c r="F244" s="21"/>
      <c r="G244" s="45"/>
      <c r="H244" s="20"/>
      <c r="I244" s="20"/>
      <c r="J244" s="20"/>
      <c r="K244" s="20"/>
      <c r="L244" s="21"/>
      <c r="M244" s="33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4" t="str">
        <f>IFERROR(__xludf.DUMMYFUNCTION("IF(Account!$F244&lt;&gt;"""", VALUE(REGEXREPLACE($I244, ""\,"", ""."")), """")"),"")</f>
        <v/>
      </c>
      <c r="O244" s="35" t="str">
        <f>IF(Account!$F244&lt;&gt;"", DATEVALUE(MID($A244,4,3) &amp; LEFT($A244,3) &amp; RIGHT($A244,4)) + TIMEVALUE($B244), "")</f>
        <v/>
      </c>
      <c r="P244" s="36" t="str">
        <f>IF(Account!$F244&lt;&gt;"", DATEVALUE(MID($C244,4,3) &amp; LEFT($C244,3) &amp; RIGHT($C244,4)), "")</f>
        <v/>
      </c>
      <c r="Q244" s="37" t="str">
        <f t="array" ref="Q244">IF($R244&lt;&gt;"",IFERROR(INDEX(ISIN!$B:$B,MATCH($R244,ISIN!$C:$C,0))),)</f>
        <v/>
      </c>
      <c r="R244" s="38" t="str">
        <f t="array" ref="R244">IF($E244&lt;&gt;""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7" t="str">
        <f t="shared" si="1"/>
        <v/>
      </c>
      <c r="T244" s="39" t="str">
        <f t="shared" si="2"/>
        <v/>
      </c>
      <c r="U244" s="40" t="str">
        <f t="shared" si="3"/>
        <v/>
      </c>
      <c r="V244" s="34" t="str">
        <f t="shared" si="4"/>
        <v/>
      </c>
      <c r="W244" s="41" t="str">
        <f>IFERROR(__xludf.DUMMYFUNCTION(" IF(Account!$F244&lt;&gt;"""", SPLIT(Account!$F244, "" ""), """")"),"")</f>
        <v/>
      </c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</row>
    <row r="245">
      <c r="A245" s="20"/>
      <c r="B245" s="20"/>
      <c r="C245" s="20"/>
      <c r="D245" s="20"/>
      <c r="E245" s="20"/>
      <c r="F245" s="21"/>
      <c r="G245" s="20"/>
      <c r="H245" s="20"/>
      <c r="I245" s="20"/>
      <c r="J245" s="20"/>
      <c r="K245" s="20"/>
      <c r="L245" s="21"/>
      <c r="M245" s="33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4" t="str">
        <f>IFERROR(__xludf.DUMMYFUNCTION("IF(Account!$F245&lt;&gt;"""", VALUE(REGEXREPLACE($I245, ""\,"", ""."")), """")"),"")</f>
        <v/>
      </c>
      <c r="O245" s="35" t="str">
        <f>IF(Account!$F245&lt;&gt;"", DATEVALUE(MID($A245,4,3) &amp; LEFT($A245,3) &amp; RIGHT($A245,4)) + TIMEVALUE($B245), "")</f>
        <v/>
      </c>
      <c r="P245" s="36" t="str">
        <f>IF(Account!$F245&lt;&gt;"", DATEVALUE(MID($C245,4,3) &amp; LEFT($C245,3) &amp; RIGHT($C245,4)), "")</f>
        <v/>
      </c>
      <c r="Q245" s="37" t="str">
        <f t="array" ref="Q245">IF($R245&lt;&gt;"",IFERROR(INDEX(ISIN!$B:$B,MATCH($R245,ISIN!$C:$C,0))),)</f>
        <v/>
      </c>
      <c r="R245" s="38" t="str">
        <f t="array" ref="R245">IF($E245&lt;&gt;""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7" t="str">
        <f t="shared" si="1"/>
        <v/>
      </c>
      <c r="T245" s="39" t="str">
        <f t="shared" si="2"/>
        <v/>
      </c>
      <c r="U245" s="40" t="str">
        <f t="shared" si="3"/>
        <v/>
      </c>
      <c r="V245" s="34" t="str">
        <f t="shared" si="4"/>
        <v/>
      </c>
      <c r="W245" s="41" t="str">
        <f>IFERROR(__xludf.DUMMYFUNCTION(" IF(Account!$F245&lt;&gt;"""", SPLIT(Account!$F245, "" ""), """")"),"")</f>
        <v/>
      </c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</row>
    <row r="246">
      <c r="A246" s="20"/>
      <c r="B246" s="20"/>
      <c r="C246" s="20"/>
      <c r="D246" s="20"/>
      <c r="E246" s="20"/>
      <c r="F246" s="21"/>
      <c r="G246" s="45"/>
      <c r="H246" s="20"/>
      <c r="I246" s="20"/>
      <c r="J246" s="20"/>
      <c r="K246" s="20"/>
      <c r="L246" s="21"/>
      <c r="M246" s="33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4" t="str">
        <f>IFERROR(__xludf.DUMMYFUNCTION("IF(Account!$F246&lt;&gt;"""", VALUE(REGEXREPLACE($I246, ""\,"", ""."")), """")"),"")</f>
        <v/>
      </c>
      <c r="O246" s="35" t="str">
        <f>IF(Account!$F246&lt;&gt;"", DATEVALUE(MID($A246,4,3) &amp; LEFT($A246,3) &amp; RIGHT($A246,4)) + TIMEVALUE($B246), "")</f>
        <v/>
      </c>
      <c r="P246" s="36" t="str">
        <f>IF(Account!$F246&lt;&gt;"", DATEVALUE(MID($C246,4,3) &amp; LEFT($C246,3) &amp; RIGHT($C246,4)), "")</f>
        <v/>
      </c>
      <c r="Q246" s="37" t="str">
        <f t="array" ref="Q246">IF($R246&lt;&gt;"",IFERROR(INDEX(ISIN!$B:$B,MATCH($R246,ISIN!$C:$C,0))),)</f>
        <v/>
      </c>
      <c r="R246" s="38" t="str">
        <f t="array" ref="R246">IF($E246&lt;&gt;""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7" t="str">
        <f t="shared" si="1"/>
        <v/>
      </c>
      <c r="T246" s="39" t="str">
        <f t="shared" si="2"/>
        <v/>
      </c>
      <c r="U246" s="40" t="str">
        <f t="shared" si="3"/>
        <v/>
      </c>
      <c r="V246" s="34" t="str">
        <f t="shared" si="4"/>
        <v/>
      </c>
      <c r="W246" s="41" t="str">
        <f>IFERROR(__xludf.DUMMYFUNCTION(" IF(Account!$F246&lt;&gt;"""", SPLIT(Account!$F246, "" ""), """")"),"")</f>
        <v/>
      </c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</row>
    <row r="247">
      <c r="A247" s="20"/>
      <c r="B247" s="20"/>
      <c r="C247" s="20"/>
      <c r="D247" s="20"/>
      <c r="E247" s="20"/>
      <c r="F247" s="21"/>
      <c r="G247" s="20"/>
      <c r="H247" s="20"/>
      <c r="I247" s="20"/>
      <c r="J247" s="20"/>
      <c r="K247" s="20"/>
      <c r="L247" s="21"/>
      <c r="M247" s="33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4" t="str">
        <f>IFERROR(__xludf.DUMMYFUNCTION("IF(Account!$F247&lt;&gt;"""", VALUE(REGEXREPLACE($I247, ""\,"", ""."")), """")"),"")</f>
        <v/>
      </c>
      <c r="O247" s="35" t="str">
        <f>IF(Account!$F247&lt;&gt;"", DATEVALUE(MID($A247,4,3) &amp; LEFT($A247,3) &amp; RIGHT($A247,4)) + TIMEVALUE($B247), "")</f>
        <v/>
      </c>
      <c r="P247" s="36" t="str">
        <f>IF(Account!$F247&lt;&gt;"", DATEVALUE(MID($C247,4,3) &amp; LEFT($C247,3) &amp; RIGHT($C247,4)), "")</f>
        <v/>
      </c>
      <c r="Q247" s="37" t="str">
        <f t="array" ref="Q247">IF($R247&lt;&gt;"",IFERROR(INDEX(ISIN!$B:$B,MATCH($R247,ISIN!$C:$C,0))),)</f>
        <v/>
      </c>
      <c r="R247" s="38" t="str">
        <f t="array" ref="R247">IF($E247&lt;&gt;""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7" t="str">
        <f t="shared" si="1"/>
        <v/>
      </c>
      <c r="T247" s="39" t="str">
        <f t="shared" si="2"/>
        <v/>
      </c>
      <c r="U247" s="40" t="str">
        <f t="shared" si="3"/>
        <v/>
      </c>
      <c r="V247" s="34" t="str">
        <f t="shared" si="4"/>
        <v/>
      </c>
      <c r="W247" s="41" t="str">
        <f>IFERROR(__xludf.DUMMYFUNCTION(" IF(Account!$F247&lt;&gt;"""", SPLIT(Account!$F247, "" ""), """")"),"")</f>
        <v/>
      </c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</row>
    <row r="248">
      <c r="A248" s="20"/>
      <c r="B248" s="20"/>
      <c r="C248" s="20"/>
      <c r="D248" s="20"/>
      <c r="E248" s="20"/>
      <c r="F248" s="21"/>
      <c r="G248" s="45"/>
      <c r="H248" s="20"/>
      <c r="I248" s="20"/>
      <c r="J248" s="20"/>
      <c r="K248" s="20"/>
      <c r="L248" s="21"/>
      <c r="M248" s="33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4" t="str">
        <f>IFERROR(__xludf.DUMMYFUNCTION("IF(Account!$F248&lt;&gt;"""", VALUE(REGEXREPLACE($I248, ""\,"", ""."")), """")"),"")</f>
        <v/>
      </c>
      <c r="O248" s="35" t="str">
        <f>IF(Account!$F248&lt;&gt;"", DATEVALUE(MID($A248,4,3) &amp; LEFT($A248,3) &amp; RIGHT($A248,4)) + TIMEVALUE($B248), "")</f>
        <v/>
      </c>
      <c r="P248" s="36" t="str">
        <f>IF(Account!$F248&lt;&gt;"", DATEVALUE(MID($C248,4,3) &amp; LEFT($C248,3) &amp; RIGHT($C248,4)), "")</f>
        <v/>
      </c>
      <c r="Q248" s="37" t="str">
        <f t="array" ref="Q248">IF($R248&lt;&gt;"",IFERROR(INDEX(ISIN!$B:$B,MATCH($R248,ISIN!$C:$C,0))),)</f>
        <v/>
      </c>
      <c r="R248" s="38" t="str">
        <f t="array" ref="R248">IF($E248&lt;&gt;""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7" t="str">
        <f t="shared" si="1"/>
        <v/>
      </c>
      <c r="T248" s="39" t="str">
        <f t="shared" si="2"/>
        <v/>
      </c>
      <c r="U248" s="40" t="str">
        <f t="shared" si="3"/>
        <v/>
      </c>
      <c r="V248" s="34" t="str">
        <f t="shared" si="4"/>
        <v/>
      </c>
      <c r="W248" s="41" t="str">
        <f>IFERROR(__xludf.DUMMYFUNCTION(" IF(Account!$F248&lt;&gt;"""", SPLIT(Account!$F248, "" ""), """")"),"")</f>
        <v/>
      </c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</row>
    <row r="249">
      <c r="A249" s="20"/>
      <c r="B249" s="20"/>
      <c r="C249" s="20"/>
      <c r="D249" s="20"/>
      <c r="E249" s="20"/>
      <c r="F249" s="21"/>
      <c r="G249" s="20"/>
      <c r="H249" s="20"/>
      <c r="I249" s="20"/>
      <c r="J249" s="20"/>
      <c r="K249" s="20"/>
      <c r="L249" s="21"/>
      <c r="M249" s="33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4" t="str">
        <f>IFERROR(__xludf.DUMMYFUNCTION("IF(Account!$F249&lt;&gt;"""", VALUE(REGEXREPLACE($I249, ""\,"", ""."")), """")"),"")</f>
        <v/>
      </c>
      <c r="O249" s="35" t="str">
        <f>IF(Account!$F249&lt;&gt;"", DATEVALUE(MID($A249,4,3) &amp; LEFT($A249,3) &amp; RIGHT($A249,4)) + TIMEVALUE($B249), "")</f>
        <v/>
      </c>
      <c r="P249" s="36" t="str">
        <f>IF(Account!$F249&lt;&gt;"", DATEVALUE(MID($C249,4,3) &amp; LEFT($C249,3) &amp; RIGHT($C249,4)), "")</f>
        <v/>
      </c>
      <c r="Q249" s="37" t="str">
        <f t="array" ref="Q249">IF($R249&lt;&gt;"",IFERROR(INDEX(ISIN!$B:$B,MATCH($R249,ISIN!$C:$C,0))),)</f>
        <v/>
      </c>
      <c r="R249" s="38" t="str">
        <f t="array" ref="R249">IF($E249&lt;&gt;""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7" t="str">
        <f t="shared" si="1"/>
        <v/>
      </c>
      <c r="T249" s="39" t="str">
        <f t="shared" si="2"/>
        <v/>
      </c>
      <c r="U249" s="40" t="str">
        <f t="shared" si="3"/>
        <v/>
      </c>
      <c r="V249" s="34" t="str">
        <f t="shared" si="4"/>
        <v/>
      </c>
      <c r="W249" s="41" t="str">
        <f>IFERROR(__xludf.DUMMYFUNCTION(" IF(Account!$F249&lt;&gt;"""", SPLIT(Account!$F249, "" ""), """")"),"")</f>
        <v/>
      </c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</row>
    <row r="250">
      <c r="A250" s="20"/>
      <c r="B250" s="20"/>
      <c r="C250" s="20"/>
      <c r="D250" s="20"/>
      <c r="E250" s="20"/>
      <c r="F250" s="21"/>
      <c r="G250" s="45"/>
      <c r="H250" s="20"/>
      <c r="I250" s="20"/>
      <c r="J250" s="20"/>
      <c r="K250" s="20"/>
      <c r="L250" s="21"/>
      <c r="M250" s="33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4" t="str">
        <f>IFERROR(__xludf.DUMMYFUNCTION("IF(Account!$F250&lt;&gt;"""", VALUE(REGEXREPLACE($I250, ""\,"", ""."")), """")"),"")</f>
        <v/>
      </c>
      <c r="O250" s="35" t="str">
        <f>IF(Account!$F250&lt;&gt;"", DATEVALUE(MID($A250,4,3) &amp; LEFT($A250,3) &amp; RIGHT($A250,4)) + TIMEVALUE($B250), "")</f>
        <v/>
      </c>
      <c r="P250" s="36" t="str">
        <f>IF(Account!$F250&lt;&gt;"", DATEVALUE(MID($C250,4,3) &amp; LEFT($C250,3) &amp; RIGHT($C250,4)), "")</f>
        <v/>
      </c>
      <c r="Q250" s="37" t="str">
        <f t="array" ref="Q250">IF($R250&lt;&gt;"",IFERROR(INDEX(ISIN!$B:$B,MATCH($R250,ISIN!$C:$C,0))),)</f>
        <v/>
      </c>
      <c r="R250" s="38" t="str">
        <f t="array" ref="R250">IF($E250&lt;&gt;""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7" t="str">
        <f t="shared" si="1"/>
        <v/>
      </c>
      <c r="T250" s="39" t="str">
        <f t="shared" si="2"/>
        <v/>
      </c>
      <c r="U250" s="40" t="str">
        <f t="shared" si="3"/>
        <v/>
      </c>
      <c r="V250" s="34" t="str">
        <f t="shared" si="4"/>
        <v/>
      </c>
      <c r="W250" s="41" t="str">
        <f>IFERROR(__xludf.DUMMYFUNCTION(" IF(Account!$F250&lt;&gt;"""", SPLIT(Account!$F250, "" ""), """")"),"")</f>
        <v/>
      </c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</row>
    <row r="251">
      <c r="A251" s="20"/>
      <c r="B251" s="20"/>
      <c r="C251" s="20"/>
      <c r="D251" s="20"/>
      <c r="E251" s="20"/>
      <c r="F251" s="21"/>
      <c r="G251" s="20"/>
      <c r="H251" s="20"/>
      <c r="I251" s="20"/>
      <c r="J251" s="20"/>
      <c r="K251" s="20"/>
      <c r="L251" s="21"/>
      <c r="M251" s="33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4" t="str">
        <f>IFERROR(__xludf.DUMMYFUNCTION("IF(Account!$F251&lt;&gt;"""", VALUE(REGEXREPLACE($I251, ""\,"", ""."")), """")"),"")</f>
        <v/>
      </c>
      <c r="O251" s="35" t="str">
        <f>IF(Account!$F251&lt;&gt;"", DATEVALUE(MID($A251,4,3) &amp; LEFT($A251,3) &amp; RIGHT($A251,4)) + TIMEVALUE($B251), "")</f>
        <v/>
      </c>
      <c r="P251" s="36" t="str">
        <f>IF(Account!$F251&lt;&gt;"", DATEVALUE(MID($C251,4,3) &amp; LEFT($C251,3) &amp; RIGHT($C251,4)), "")</f>
        <v/>
      </c>
      <c r="Q251" s="37" t="str">
        <f t="array" ref="Q251">IF($R251&lt;&gt;"",IFERROR(INDEX(ISIN!$B:$B,MATCH($R251,ISIN!$C:$C,0))),)</f>
        <v/>
      </c>
      <c r="R251" s="38" t="str">
        <f t="array" ref="R251">IF($E251&lt;&gt;""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7" t="str">
        <f t="shared" si="1"/>
        <v/>
      </c>
      <c r="T251" s="39" t="str">
        <f t="shared" si="2"/>
        <v/>
      </c>
      <c r="U251" s="40" t="str">
        <f t="shared" si="3"/>
        <v/>
      </c>
      <c r="V251" s="34" t="str">
        <f t="shared" si="4"/>
        <v/>
      </c>
      <c r="W251" s="41" t="str">
        <f>IFERROR(__xludf.DUMMYFUNCTION(" IF(Account!$F251&lt;&gt;"""", SPLIT(Account!$F251, "" ""), """")"),"")</f>
        <v/>
      </c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</row>
    <row r="252">
      <c r="A252" s="20"/>
      <c r="B252" s="20"/>
      <c r="C252" s="20"/>
      <c r="D252" s="20"/>
      <c r="E252" s="20"/>
      <c r="F252" s="21"/>
      <c r="G252" s="45"/>
      <c r="H252" s="20"/>
      <c r="I252" s="20"/>
      <c r="J252" s="20"/>
      <c r="K252" s="20"/>
      <c r="L252" s="21"/>
      <c r="M252" s="33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4" t="str">
        <f>IFERROR(__xludf.DUMMYFUNCTION("IF(Account!$F252&lt;&gt;"""", VALUE(REGEXREPLACE($I252, ""\,"", ""."")), """")"),"")</f>
        <v/>
      </c>
      <c r="O252" s="35" t="str">
        <f>IF(Account!$F252&lt;&gt;"", DATEVALUE(MID($A252,4,3) &amp; LEFT($A252,3) &amp; RIGHT($A252,4)) + TIMEVALUE($B252), "")</f>
        <v/>
      </c>
      <c r="P252" s="36" t="str">
        <f>IF(Account!$F252&lt;&gt;"", DATEVALUE(MID($C252,4,3) &amp; LEFT($C252,3) &amp; RIGHT($C252,4)), "")</f>
        <v/>
      </c>
      <c r="Q252" s="37" t="str">
        <f t="array" ref="Q252">IF($R252&lt;&gt;"",IFERROR(INDEX(ISIN!$B:$B,MATCH($R252,ISIN!$C:$C,0))),)</f>
        <v/>
      </c>
      <c r="R252" s="38" t="str">
        <f t="array" ref="R252">IF($E252&lt;&gt;""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7" t="str">
        <f t="shared" si="1"/>
        <v/>
      </c>
      <c r="T252" s="39" t="str">
        <f t="shared" si="2"/>
        <v/>
      </c>
      <c r="U252" s="40" t="str">
        <f t="shared" si="3"/>
        <v/>
      </c>
      <c r="V252" s="34" t="str">
        <f t="shared" si="4"/>
        <v/>
      </c>
      <c r="W252" s="41" t="str">
        <f>IFERROR(__xludf.DUMMYFUNCTION(" IF(Account!$F252&lt;&gt;"""", SPLIT(Account!$F252, "" ""), """")"),"")</f>
        <v/>
      </c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</row>
    <row r="253">
      <c r="A253" s="20"/>
      <c r="B253" s="20"/>
      <c r="C253" s="20"/>
      <c r="D253" s="20"/>
      <c r="E253" s="20"/>
      <c r="F253" s="21"/>
      <c r="G253" s="20"/>
      <c r="H253" s="20"/>
      <c r="I253" s="20"/>
      <c r="J253" s="20"/>
      <c r="K253" s="20"/>
      <c r="L253" s="21"/>
      <c r="M253" s="33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4" t="str">
        <f>IFERROR(__xludf.DUMMYFUNCTION("IF(Account!$F253&lt;&gt;"""", VALUE(REGEXREPLACE($I253, ""\,"", ""."")), """")"),"")</f>
        <v/>
      </c>
      <c r="O253" s="35" t="str">
        <f>IF(Account!$F253&lt;&gt;"", DATEVALUE(MID($A253,4,3) &amp; LEFT($A253,3) &amp; RIGHT($A253,4)) + TIMEVALUE($B253), "")</f>
        <v/>
      </c>
      <c r="P253" s="36" t="str">
        <f>IF(Account!$F253&lt;&gt;"", DATEVALUE(MID($C253,4,3) &amp; LEFT($C253,3) &amp; RIGHT($C253,4)), "")</f>
        <v/>
      </c>
      <c r="Q253" s="37" t="str">
        <f t="array" ref="Q253">IF($R253&lt;&gt;"",IFERROR(INDEX(ISIN!$B:$B,MATCH($R253,ISIN!$C:$C,0))),)</f>
        <v/>
      </c>
      <c r="R253" s="38" t="str">
        <f t="array" ref="R253">IF($E253&lt;&gt;""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7" t="str">
        <f t="shared" si="1"/>
        <v/>
      </c>
      <c r="T253" s="39" t="str">
        <f t="shared" si="2"/>
        <v/>
      </c>
      <c r="U253" s="40" t="str">
        <f t="shared" si="3"/>
        <v/>
      </c>
      <c r="V253" s="34" t="str">
        <f t="shared" si="4"/>
        <v/>
      </c>
      <c r="W253" s="41" t="str">
        <f>IFERROR(__xludf.DUMMYFUNCTION(" IF(Account!$F253&lt;&gt;"""", SPLIT(Account!$F253, "" ""), """")"),"")</f>
        <v/>
      </c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</row>
    <row r="254">
      <c r="A254" s="20"/>
      <c r="B254" s="20"/>
      <c r="C254" s="20"/>
      <c r="D254" s="20"/>
      <c r="E254" s="20"/>
      <c r="F254" s="21"/>
      <c r="G254" s="20"/>
      <c r="H254" s="20"/>
      <c r="I254" s="20"/>
      <c r="J254" s="20"/>
      <c r="K254" s="20"/>
      <c r="L254" s="21"/>
      <c r="M254" s="33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4" t="str">
        <f>IFERROR(__xludf.DUMMYFUNCTION("IF(Account!$F254&lt;&gt;"""", VALUE(REGEXREPLACE($I254, ""\,"", ""."")), """")"),"")</f>
        <v/>
      </c>
      <c r="O254" s="35" t="str">
        <f>IF(Account!$F254&lt;&gt;"", DATEVALUE(MID($A254,4,3) &amp; LEFT($A254,3) &amp; RIGHT($A254,4)) + TIMEVALUE($B254), "")</f>
        <v/>
      </c>
      <c r="P254" s="36" t="str">
        <f>IF(Account!$F254&lt;&gt;"", DATEVALUE(MID($C254,4,3) &amp; LEFT($C254,3) &amp; RIGHT($C254,4)), "")</f>
        <v/>
      </c>
      <c r="Q254" s="37" t="str">
        <f t="array" ref="Q254">IF($R254&lt;&gt;"",IFERROR(INDEX(ISIN!$B:$B,MATCH($R254,ISIN!$C:$C,0))),)</f>
        <v/>
      </c>
      <c r="R254" s="38" t="str">
        <f t="array" ref="R254">IF($E254&lt;&gt;""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7" t="str">
        <f t="shared" si="1"/>
        <v/>
      </c>
      <c r="T254" s="39" t="str">
        <f t="shared" si="2"/>
        <v/>
      </c>
      <c r="U254" s="40" t="str">
        <f t="shared" si="3"/>
        <v/>
      </c>
      <c r="V254" s="34" t="str">
        <f t="shared" si="4"/>
        <v/>
      </c>
      <c r="W254" s="41" t="str">
        <f>IFERROR(__xludf.DUMMYFUNCTION(" IF(Account!$F254&lt;&gt;"""", SPLIT(Account!$F254, "" ""), """")"),"")</f>
        <v/>
      </c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</row>
    <row r="255">
      <c r="A255" s="20"/>
      <c r="B255" s="20"/>
      <c r="C255" s="20"/>
      <c r="D255" s="20"/>
      <c r="E255" s="20"/>
      <c r="F255" s="21"/>
      <c r="G255" s="20"/>
      <c r="H255" s="20"/>
      <c r="I255" s="20"/>
      <c r="J255" s="20"/>
      <c r="K255" s="20"/>
      <c r="L255" s="21"/>
      <c r="M255" s="33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4" t="str">
        <f>IFERROR(__xludf.DUMMYFUNCTION("IF(Account!$F255&lt;&gt;"""", VALUE(REGEXREPLACE($I255, ""\,"", ""."")), """")"),"")</f>
        <v/>
      </c>
      <c r="O255" s="35" t="str">
        <f>IF(Account!$F255&lt;&gt;"", DATEVALUE(MID($A255,4,3) &amp; LEFT($A255,3) &amp; RIGHT($A255,4)) + TIMEVALUE($B255), "")</f>
        <v/>
      </c>
      <c r="P255" s="36" t="str">
        <f>IF(Account!$F255&lt;&gt;"", DATEVALUE(MID($C255,4,3) &amp; LEFT($C255,3) &amp; RIGHT($C255,4)), "")</f>
        <v/>
      </c>
      <c r="Q255" s="37" t="str">
        <f t="array" ref="Q255">IF($R255&lt;&gt;"",IFERROR(INDEX(ISIN!$B:$B,MATCH($R255,ISIN!$C:$C,0))),)</f>
        <v/>
      </c>
      <c r="R255" s="38" t="str">
        <f t="array" ref="R255">IF($E255&lt;&gt;""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7" t="str">
        <f t="shared" si="1"/>
        <v/>
      </c>
      <c r="T255" s="39" t="str">
        <f t="shared" si="2"/>
        <v/>
      </c>
      <c r="U255" s="40" t="str">
        <f t="shared" si="3"/>
        <v/>
      </c>
      <c r="V255" s="34" t="str">
        <f t="shared" si="4"/>
        <v/>
      </c>
      <c r="W255" s="41" t="str">
        <f>IFERROR(__xludf.DUMMYFUNCTION(" IF(Account!$F255&lt;&gt;"""", SPLIT(Account!$F255, "" ""), """")"),"")</f>
        <v/>
      </c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</row>
    <row r="256">
      <c r="A256" s="20"/>
      <c r="B256" s="20"/>
      <c r="C256" s="20"/>
      <c r="D256" s="20"/>
      <c r="E256" s="20"/>
      <c r="F256" s="21"/>
      <c r="G256" s="45"/>
      <c r="H256" s="20"/>
      <c r="I256" s="20"/>
      <c r="J256" s="20"/>
      <c r="K256" s="20"/>
      <c r="L256" s="21"/>
      <c r="M256" s="33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4" t="str">
        <f>IFERROR(__xludf.DUMMYFUNCTION("IF(Account!$F256&lt;&gt;"""", VALUE(REGEXREPLACE($I256, ""\,"", ""."")), """")"),"")</f>
        <v/>
      </c>
      <c r="O256" s="35" t="str">
        <f>IF(Account!$F256&lt;&gt;"", DATEVALUE(MID($A256,4,3) &amp; LEFT($A256,3) &amp; RIGHT($A256,4)) + TIMEVALUE($B256), "")</f>
        <v/>
      </c>
      <c r="P256" s="36" t="str">
        <f>IF(Account!$F256&lt;&gt;"", DATEVALUE(MID($C256,4,3) &amp; LEFT($C256,3) &amp; RIGHT($C256,4)), "")</f>
        <v/>
      </c>
      <c r="Q256" s="37" t="str">
        <f t="array" ref="Q256">IF($R256&lt;&gt;"",IFERROR(INDEX(ISIN!$B:$B,MATCH($R256,ISIN!$C:$C,0))),)</f>
        <v/>
      </c>
      <c r="R256" s="38" t="str">
        <f t="array" ref="R256">IF($E256&lt;&gt;""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7" t="str">
        <f t="shared" si="1"/>
        <v/>
      </c>
      <c r="T256" s="39" t="str">
        <f t="shared" si="2"/>
        <v/>
      </c>
      <c r="U256" s="40" t="str">
        <f t="shared" si="3"/>
        <v/>
      </c>
      <c r="V256" s="34" t="str">
        <f t="shared" si="4"/>
        <v/>
      </c>
      <c r="W256" s="41" t="str">
        <f>IFERROR(__xludf.DUMMYFUNCTION(" IF(Account!$F256&lt;&gt;"""", SPLIT(Account!$F256, "" ""), """")"),"")</f>
        <v/>
      </c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</row>
    <row r="257">
      <c r="A257" s="20"/>
      <c r="B257" s="20"/>
      <c r="C257" s="20"/>
      <c r="D257" s="20"/>
      <c r="E257" s="20"/>
      <c r="F257" s="21"/>
      <c r="G257" s="20"/>
      <c r="H257" s="20"/>
      <c r="I257" s="20"/>
      <c r="J257" s="20"/>
      <c r="K257" s="20"/>
      <c r="L257" s="21"/>
      <c r="M257" s="33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4" t="str">
        <f>IFERROR(__xludf.DUMMYFUNCTION("IF(Account!$F257&lt;&gt;"""", VALUE(REGEXREPLACE($I257, ""\,"", ""."")), """")"),"")</f>
        <v/>
      </c>
      <c r="O257" s="35" t="str">
        <f>IF(Account!$F257&lt;&gt;"", DATEVALUE(MID($A257,4,3) &amp; LEFT($A257,3) &amp; RIGHT($A257,4)) + TIMEVALUE($B257), "")</f>
        <v/>
      </c>
      <c r="P257" s="36" t="str">
        <f>IF(Account!$F257&lt;&gt;"", DATEVALUE(MID($C257,4,3) &amp; LEFT($C257,3) &amp; RIGHT($C257,4)), "")</f>
        <v/>
      </c>
      <c r="Q257" s="37" t="str">
        <f t="array" ref="Q257">IF($R257&lt;&gt;"",IFERROR(INDEX(ISIN!$B:$B,MATCH($R257,ISIN!$C:$C,0))),)</f>
        <v/>
      </c>
      <c r="R257" s="38" t="str">
        <f t="array" ref="R257">IF($E257&lt;&gt;""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7" t="str">
        <f t="shared" si="1"/>
        <v/>
      </c>
      <c r="T257" s="39" t="str">
        <f t="shared" si="2"/>
        <v/>
      </c>
      <c r="U257" s="40" t="str">
        <f t="shared" si="3"/>
        <v/>
      </c>
      <c r="V257" s="34" t="str">
        <f t="shared" si="4"/>
        <v/>
      </c>
      <c r="W257" s="41" t="str">
        <f>IFERROR(__xludf.DUMMYFUNCTION(" IF(Account!$F257&lt;&gt;"""", SPLIT(Account!$F257, "" ""), """")"),"")</f>
        <v/>
      </c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</row>
    <row r="258">
      <c r="A258" s="20"/>
      <c r="B258" s="20"/>
      <c r="C258" s="20"/>
      <c r="D258" s="20"/>
      <c r="E258" s="20"/>
      <c r="F258" s="21"/>
      <c r="G258" s="45"/>
      <c r="H258" s="20"/>
      <c r="I258" s="20"/>
      <c r="J258" s="20"/>
      <c r="K258" s="20"/>
      <c r="L258" s="21"/>
      <c r="M258" s="33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4" t="str">
        <f>IFERROR(__xludf.DUMMYFUNCTION("IF(Account!$F258&lt;&gt;"""", VALUE(REGEXREPLACE($I258, ""\,"", ""."")), """")"),"")</f>
        <v/>
      </c>
      <c r="O258" s="35" t="str">
        <f>IF(Account!$F258&lt;&gt;"", DATEVALUE(MID($A258,4,3) &amp; LEFT($A258,3) &amp; RIGHT($A258,4)) + TIMEVALUE($B258), "")</f>
        <v/>
      </c>
      <c r="P258" s="36" t="str">
        <f>IF(Account!$F258&lt;&gt;"", DATEVALUE(MID($C258,4,3) &amp; LEFT($C258,3) &amp; RIGHT($C258,4)), "")</f>
        <v/>
      </c>
      <c r="Q258" s="37" t="str">
        <f t="array" ref="Q258">IF($R258&lt;&gt;"",IFERROR(INDEX(ISIN!$B:$B,MATCH($R258,ISIN!$C:$C,0))),)</f>
        <v/>
      </c>
      <c r="R258" s="38" t="str">
        <f t="array" ref="R258">IF($E258&lt;&gt;""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7" t="str">
        <f t="shared" si="1"/>
        <v/>
      </c>
      <c r="T258" s="39" t="str">
        <f t="shared" si="2"/>
        <v/>
      </c>
      <c r="U258" s="40" t="str">
        <f t="shared" si="3"/>
        <v/>
      </c>
      <c r="V258" s="34" t="str">
        <f t="shared" si="4"/>
        <v/>
      </c>
      <c r="W258" s="41" t="str">
        <f>IFERROR(__xludf.DUMMYFUNCTION(" IF(Account!$F258&lt;&gt;"""", SPLIT(Account!$F258, "" ""), """")"),"")</f>
        <v/>
      </c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</row>
    <row r="259">
      <c r="A259" s="20"/>
      <c r="B259" s="20"/>
      <c r="C259" s="20"/>
      <c r="D259" s="20"/>
      <c r="E259" s="20"/>
      <c r="F259" s="21"/>
      <c r="G259" s="45"/>
      <c r="H259" s="20"/>
      <c r="I259" s="20"/>
      <c r="J259" s="20"/>
      <c r="K259" s="20"/>
      <c r="L259" s="21"/>
      <c r="M259" s="33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4" t="str">
        <f>IFERROR(__xludf.DUMMYFUNCTION("IF(Account!$F259&lt;&gt;"""", VALUE(REGEXREPLACE($I259, ""\,"", ""."")), """")"),"")</f>
        <v/>
      </c>
      <c r="O259" s="35" t="str">
        <f>IF(Account!$F259&lt;&gt;"", DATEVALUE(MID($A259,4,3) &amp; LEFT($A259,3) &amp; RIGHT($A259,4)) + TIMEVALUE($B259), "")</f>
        <v/>
      </c>
      <c r="P259" s="36" t="str">
        <f>IF(Account!$F259&lt;&gt;"", DATEVALUE(MID($C259,4,3) &amp; LEFT($C259,3) &amp; RIGHT($C259,4)), "")</f>
        <v/>
      </c>
      <c r="Q259" s="37" t="str">
        <f t="array" ref="Q259">IF($R259&lt;&gt;"",IFERROR(INDEX(ISIN!$B:$B,MATCH($R259,ISIN!$C:$C,0))),)</f>
        <v/>
      </c>
      <c r="R259" s="38" t="str">
        <f t="array" ref="R259">IF($E259&lt;&gt;""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7" t="str">
        <f t="shared" si="1"/>
        <v/>
      </c>
      <c r="T259" s="39" t="str">
        <f t="shared" si="2"/>
        <v/>
      </c>
      <c r="U259" s="40" t="str">
        <f t="shared" si="3"/>
        <v/>
      </c>
      <c r="V259" s="34" t="str">
        <f t="shared" si="4"/>
        <v/>
      </c>
      <c r="W259" s="41" t="str">
        <f>IFERROR(__xludf.DUMMYFUNCTION(" IF(Account!$F259&lt;&gt;"""", SPLIT(Account!$F259, "" ""), """")"),"")</f>
        <v/>
      </c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</row>
    <row r="260">
      <c r="A260" s="20"/>
      <c r="B260" s="20"/>
      <c r="C260" s="20"/>
      <c r="D260" s="20"/>
      <c r="E260" s="20"/>
      <c r="F260" s="21"/>
      <c r="G260" s="20"/>
      <c r="H260" s="20"/>
      <c r="I260" s="20"/>
      <c r="J260" s="20"/>
      <c r="K260" s="20"/>
      <c r="L260" s="21"/>
      <c r="M260" s="33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4" t="str">
        <f>IFERROR(__xludf.DUMMYFUNCTION("IF(Account!$F260&lt;&gt;"""", VALUE(REGEXREPLACE($I260, ""\,"", ""."")), """")"),"")</f>
        <v/>
      </c>
      <c r="O260" s="35" t="str">
        <f>IF(Account!$F260&lt;&gt;"", DATEVALUE(MID($A260,4,3) &amp; LEFT($A260,3) &amp; RIGHT($A260,4)) + TIMEVALUE($B260), "")</f>
        <v/>
      </c>
      <c r="P260" s="36" t="str">
        <f>IF(Account!$F260&lt;&gt;"", DATEVALUE(MID($C260,4,3) &amp; LEFT($C260,3) &amp; RIGHT($C260,4)), "")</f>
        <v/>
      </c>
      <c r="Q260" s="37" t="str">
        <f t="array" ref="Q260">IF($R260&lt;&gt;"",IFERROR(INDEX(ISIN!$B:$B,MATCH($R260,ISIN!$C:$C,0))),)</f>
        <v/>
      </c>
      <c r="R260" s="38" t="str">
        <f t="array" ref="R260">IF($E260&lt;&gt;""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7" t="str">
        <f t="shared" si="1"/>
        <v/>
      </c>
      <c r="T260" s="39" t="str">
        <f t="shared" si="2"/>
        <v/>
      </c>
      <c r="U260" s="40" t="str">
        <f t="shared" si="3"/>
        <v/>
      </c>
      <c r="V260" s="34" t="str">
        <f t="shared" si="4"/>
        <v/>
      </c>
      <c r="W260" s="41" t="str">
        <f>IFERROR(__xludf.DUMMYFUNCTION(" IF(Account!$F260&lt;&gt;"""", SPLIT(Account!$F260, "" ""), """")"),"")</f>
        <v/>
      </c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</row>
    <row r="261">
      <c r="A261" s="20"/>
      <c r="B261" s="20"/>
      <c r="C261" s="20"/>
      <c r="D261" s="20"/>
      <c r="E261" s="20"/>
      <c r="F261" s="21"/>
      <c r="G261" s="45"/>
      <c r="H261" s="20"/>
      <c r="I261" s="20"/>
      <c r="J261" s="20"/>
      <c r="K261" s="20"/>
      <c r="L261" s="21"/>
      <c r="M261" s="33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4" t="str">
        <f>IFERROR(__xludf.DUMMYFUNCTION("IF(Account!$F261&lt;&gt;"""", VALUE(REGEXREPLACE($I261, ""\,"", ""."")), """")"),"")</f>
        <v/>
      </c>
      <c r="O261" s="35" t="str">
        <f>IF(Account!$F261&lt;&gt;"", DATEVALUE(MID($A261,4,3) &amp; LEFT($A261,3) &amp; RIGHT($A261,4)) + TIMEVALUE($B261), "")</f>
        <v/>
      </c>
      <c r="P261" s="36" t="str">
        <f>IF(Account!$F261&lt;&gt;"", DATEVALUE(MID($C261,4,3) &amp; LEFT($C261,3) &amp; RIGHT($C261,4)), "")</f>
        <v/>
      </c>
      <c r="Q261" s="37" t="str">
        <f t="array" ref="Q261">IF($R261&lt;&gt;"",IFERROR(INDEX(ISIN!$B:$B,MATCH($R261,ISIN!$C:$C,0))),)</f>
        <v/>
      </c>
      <c r="R261" s="38" t="str">
        <f t="array" ref="R261">IF($E261&lt;&gt;""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7" t="str">
        <f t="shared" si="1"/>
        <v/>
      </c>
      <c r="T261" s="39" t="str">
        <f t="shared" si="2"/>
        <v/>
      </c>
      <c r="U261" s="40" t="str">
        <f t="shared" si="3"/>
        <v/>
      </c>
      <c r="V261" s="34" t="str">
        <f t="shared" si="4"/>
        <v/>
      </c>
      <c r="W261" s="41" t="str">
        <f>IFERROR(__xludf.DUMMYFUNCTION(" IF(Account!$F261&lt;&gt;"""", SPLIT(Account!$F261, "" ""), """")"),"")</f>
        <v/>
      </c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</row>
    <row r="262">
      <c r="A262" s="20"/>
      <c r="B262" s="20"/>
      <c r="C262" s="20"/>
      <c r="D262" s="20"/>
      <c r="E262" s="20"/>
      <c r="F262" s="21"/>
      <c r="G262" s="45"/>
      <c r="H262" s="20"/>
      <c r="I262" s="20"/>
      <c r="J262" s="20"/>
      <c r="K262" s="20"/>
      <c r="L262" s="21"/>
      <c r="M262" s="33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4" t="str">
        <f>IFERROR(__xludf.DUMMYFUNCTION("IF(Account!$F262&lt;&gt;"""", VALUE(REGEXREPLACE($I262, ""\,"", ""."")), """")"),"")</f>
        <v/>
      </c>
      <c r="O262" s="35" t="str">
        <f>IF(Account!$F262&lt;&gt;"", DATEVALUE(MID($A262,4,3) &amp; LEFT($A262,3) &amp; RIGHT($A262,4)) + TIMEVALUE($B262), "")</f>
        <v/>
      </c>
      <c r="P262" s="36" t="str">
        <f>IF(Account!$F262&lt;&gt;"", DATEVALUE(MID($C262,4,3) &amp; LEFT($C262,3) &amp; RIGHT($C262,4)), "")</f>
        <v/>
      </c>
      <c r="Q262" s="37" t="str">
        <f t="array" ref="Q262">IF($R262&lt;&gt;"",IFERROR(INDEX(ISIN!$B:$B,MATCH($R262,ISIN!$C:$C,0))),)</f>
        <v/>
      </c>
      <c r="R262" s="38" t="str">
        <f t="array" ref="R262">IF($E262&lt;&gt;""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7" t="str">
        <f t="shared" si="1"/>
        <v/>
      </c>
      <c r="T262" s="39" t="str">
        <f t="shared" si="2"/>
        <v/>
      </c>
      <c r="U262" s="40" t="str">
        <f t="shared" si="3"/>
        <v/>
      </c>
      <c r="V262" s="34" t="str">
        <f t="shared" si="4"/>
        <v/>
      </c>
      <c r="W262" s="41" t="str">
        <f>IFERROR(__xludf.DUMMYFUNCTION(" IF(Account!$F262&lt;&gt;"""", SPLIT(Account!$F262, "" ""), """")"),"")</f>
        <v/>
      </c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</row>
    <row r="263">
      <c r="A263" s="20"/>
      <c r="B263" s="20"/>
      <c r="C263" s="20"/>
      <c r="D263" s="20"/>
      <c r="E263" s="20"/>
      <c r="F263" s="21"/>
      <c r="G263" s="45"/>
      <c r="H263" s="20"/>
      <c r="I263" s="20"/>
      <c r="J263" s="20"/>
      <c r="K263" s="20"/>
      <c r="L263" s="21"/>
      <c r="M263" s="33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4" t="str">
        <f>IFERROR(__xludf.DUMMYFUNCTION("IF(Account!$F263&lt;&gt;"""", VALUE(REGEXREPLACE($I263, ""\,"", ""."")), """")"),"")</f>
        <v/>
      </c>
      <c r="O263" s="35" t="str">
        <f>IF(Account!$F263&lt;&gt;"", DATEVALUE(MID($A263,4,3) &amp; LEFT($A263,3) &amp; RIGHT($A263,4)) + TIMEVALUE($B263), "")</f>
        <v/>
      </c>
      <c r="P263" s="36" t="str">
        <f>IF(Account!$F263&lt;&gt;"", DATEVALUE(MID($C263,4,3) &amp; LEFT($C263,3) &amp; RIGHT($C263,4)), "")</f>
        <v/>
      </c>
      <c r="Q263" s="37" t="str">
        <f t="array" ref="Q263">IF($R263&lt;&gt;"",IFERROR(INDEX(ISIN!$B:$B,MATCH($R263,ISIN!$C:$C,0))),)</f>
        <v/>
      </c>
      <c r="R263" s="38" t="str">
        <f t="array" ref="R263">IF($E263&lt;&gt;""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7" t="str">
        <f t="shared" si="1"/>
        <v/>
      </c>
      <c r="T263" s="39" t="str">
        <f t="shared" si="2"/>
        <v/>
      </c>
      <c r="U263" s="40" t="str">
        <f t="shared" si="3"/>
        <v/>
      </c>
      <c r="V263" s="34" t="str">
        <f t="shared" si="4"/>
        <v/>
      </c>
      <c r="W263" s="41" t="str">
        <f>IFERROR(__xludf.DUMMYFUNCTION(" IF(Account!$F263&lt;&gt;"""", SPLIT(Account!$F263, "" ""), """")"),"")</f>
        <v/>
      </c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</row>
    <row r="264">
      <c r="A264" s="20"/>
      <c r="B264" s="20"/>
      <c r="C264" s="20"/>
      <c r="D264" s="20"/>
      <c r="E264" s="20"/>
      <c r="F264" s="21"/>
      <c r="G264" s="20"/>
      <c r="H264" s="20"/>
      <c r="I264" s="20"/>
      <c r="J264" s="20"/>
      <c r="K264" s="20"/>
      <c r="L264" s="21"/>
      <c r="M264" s="33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4" t="str">
        <f>IFERROR(__xludf.DUMMYFUNCTION("IF(Account!$F264&lt;&gt;"""", VALUE(REGEXREPLACE($I264, ""\,"", ""."")), """")"),"")</f>
        <v/>
      </c>
      <c r="O264" s="35" t="str">
        <f>IF(Account!$F264&lt;&gt;"", DATEVALUE(MID($A264,4,3) &amp; LEFT($A264,3) &amp; RIGHT($A264,4)) + TIMEVALUE($B264), "")</f>
        <v/>
      </c>
      <c r="P264" s="36" t="str">
        <f>IF(Account!$F264&lt;&gt;"", DATEVALUE(MID($C264,4,3) &amp; LEFT($C264,3) &amp; RIGHT($C264,4)), "")</f>
        <v/>
      </c>
      <c r="Q264" s="37" t="str">
        <f t="array" ref="Q264">IF($R264&lt;&gt;"",IFERROR(INDEX(ISIN!$B:$B,MATCH($R264,ISIN!$C:$C,0))),)</f>
        <v/>
      </c>
      <c r="R264" s="38" t="str">
        <f t="array" ref="R264">IF($E264&lt;&gt;""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7" t="str">
        <f t="shared" si="1"/>
        <v/>
      </c>
      <c r="T264" s="39" t="str">
        <f t="shared" si="2"/>
        <v/>
      </c>
      <c r="U264" s="40" t="str">
        <f t="shared" si="3"/>
        <v/>
      </c>
      <c r="V264" s="34" t="str">
        <f t="shared" si="4"/>
        <v/>
      </c>
      <c r="W264" s="41" t="str">
        <f>IFERROR(__xludf.DUMMYFUNCTION(" IF(Account!$F264&lt;&gt;"""", SPLIT(Account!$F264, "" ""), """")"),"")</f>
        <v/>
      </c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</row>
    <row r="265">
      <c r="A265" s="20"/>
      <c r="B265" s="20"/>
      <c r="C265" s="20"/>
      <c r="D265" s="20"/>
      <c r="E265" s="20"/>
      <c r="F265" s="21"/>
      <c r="G265" s="20"/>
      <c r="H265" s="20"/>
      <c r="I265" s="20"/>
      <c r="J265" s="20"/>
      <c r="K265" s="20"/>
      <c r="L265" s="21"/>
      <c r="M265" s="33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4" t="str">
        <f>IFERROR(__xludf.DUMMYFUNCTION("IF(Account!$F265&lt;&gt;"""", VALUE(REGEXREPLACE($I265, ""\,"", ""."")), """")"),"")</f>
        <v/>
      </c>
      <c r="O265" s="35" t="str">
        <f>IF(Account!$F265&lt;&gt;"", DATEVALUE(MID($A265,4,3) &amp; LEFT($A265,3) &amp; RIGHT($A265,4)) + TIMEVALUE($B265), "")</f>
        <v/>
      </c>
      <c r="P265" s="36" t="str">
        <f>IF(Account!$F265&lt;&gt;"", DATEVALUE(MID($C265,4,3) &amp; LEFT($C265,3) &amp; RIGHT($C265,4)), "")</f>
        <v/>
      </c>
      <c r="Q265" s="37" t="str">
        <f t="array" ref="Q265">IF($R265&lt;&gt;"",IFERROR(INDEX(ISIN!$B:$B,MATCH($R265,ISIN!$C:$C,0))),)</f>
        <v/>
      </c>
      <c r="R265" s="38" t="str">
        <f t="array" ref="R265">IF($E265&lt;&gt;""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7" t="str">
        <f t="shared" si="1"/>
        <v/>
      </c>
      <c r="T265" s="39" t="str">
        <f t="shared" si="2"/>
        <v/>
      </c>
      <c r="U265" s="40" t="str">
        <f t="shared" si="3"/>
        <v/>
      </c>
      <c r="V265" s="34" t="str">
        <f t="shared" si="4"/>
        <v/>
      </c>
      <c r="W265" s="41" t="str">
        <f>IFERROR(__xludf.DUMMYFUNCTION(" IF(Account!$F265&lt;&gt;"""", SPLIT(Account!$F265, "" ""), """")"),"")</f>
        <v/>
      </c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</row>
    <row r="266">
      <c r="A266" s="20"/>
      <c r="B266" s="20"/>
      <c r="C266" s="20"/>
      <c r="D266" s="20"/>
      <c r="E266" s="20"/>
      <c r="F266" s="21"/>
      <c r="G266" s="45"/>
      <c r="H266" s="20"/>
      <c r="I266" s="20"/>
      <c r="J266" s="20"/>
      <c r="K266" s="20"/>
      <c r="L266" s="21"/>
      <c r="M266" s="33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4" t="str">
        <f>IFERROR(__xludf.DUMMYFUNCTION("IF(Account!$F266&lt;&gt;"""", VALUE(REGEXREPLACE($I266, ""\,"", ""."")), """")"),"")</f>
        <v/>
      </c>
      <c r="O266" s="35" t="str">
        <f>IF(Account!$F266&lt;&gt;"", DATEVALUE(MID($A266,4,3) &amp; LEFT($A266,3) &amp; RIGHT($A266,4)) + TIMEVALUE($B266), "")</f>
        <v/>
      </c>
      <c r="P266" s="36" t="str">
        <f>IF(Account!$F266&lt;&gt;"", DATEVALUE(MID($C266,4,3) &amp; LEFT($C266,3) &amp; RIGHT($C266,4)), "")</f>
        <v/>
      </c>
      <c r="Q266" s="37" t="str">
        <f t="array" ref="Q266">IF($R266&lt;&gt;"",IFERROR(INDEX(ISIN!$B:$B,MATCH($R266,ISIN!$C:$C,0))),)</f>
        <v/>
      </c>
      <c r="R266" s="38" t="str">
        <f t="array" ref="R266">IF($E266&lt;&gt;""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7" t="str">
        <f t="shared" si="1"/>
        <v/>
      </c>
      <c r="T266" s="39" t="str">
        <f t="shared" si="2"/>
        <v/>
      </c>
      <c r="U266" s="40" t="str">
        <f t="shared" si="3"/>
        <v/>
      </c>
      <c r="V266" s="34" t="str">
        <f t="shared" si="4"/>
        <v/>
      </c>
      <c r="W266" s="41" t="str">
        <f>IFERROR(__xludf.DUMMYFUNCTION(" IF(Account!$F266&lt;&gt;"""", SPLIT(Account!$F266, "" ""), """")"),"")</f>
        <v/>
      </c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</row>
    <row r="267">
      <c r="A267" s="20"/>
      <c r="B267" s="20"/>
      <c r="C267" s="20"/>
      <c r="D267" s="20"/>
      <c r="E267" s="20"/>
      <c r="F267" s="21"/>
      <c r="G267" s="45"/>
      <c r="H267" s="20"/>
      <c r="I267" s="20"/>
      <c r="J267" s="20"/>
      <c r="K267" s="20"/>
      <c r="L267" s="21"/>
      <c r="M267" s="33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4" t="str">
        <f>IFERROR(__xludf.DUMMYFUNCTION("IF(Account!$F267&lt;&gt;"""", VALUE(REGEXREPLACE($I267, ""\,"", ""."")), """")"),"")</f>
        <v/>
      </c>
      <c r="O267" s="35" t="str">
        <f>IF(Account!$F267&lt;&gt;"", DATEVALUE(MID($A267,4,3) &amp; LEFT($A267,3) &amp; RIGHT($A267,4)) + TIMEVALUE($B267), "")</f>
        <v/>
      </c>
      <c r="P267" s="36" t="str">
        <f>IF(Account!$F267&lt;&gt;"", DATEVALUE(MID($C267,4,3) &amp; LEFT($C267,3) &amp; RIGHT($C267,4)), "")</f>
        <v/>
      </c>
      <c r="Q267" s="37" t="str">
        <f t="array" ref="Q267">IF($R267&lt;&gt;"",IFERROR(INDEX(ISIN!$B:$B,MATCH($R267,ISIN!$C:$C,0))),)</f>
        <v/>
      </c>
      <c r="R267" s="38" t="str">
        <f t="array" ref="R267">IF($E267&lt;&gt;""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7" t="str">
        <f t="shared" si="1"/>
        <v/>
      </c>
      <c r="T267" s="39" t="str">
        <f t="shared" si="2"/>
        <v/>
      </c>
      <c r="U267" s="40" t="str">
        <f t="shared" si="3"/>
        <v/>
      </c>
      <c r="V267" s="34" t="str">
        <f t="shared" si="4"/>
        <v/>
      </c>
      <c r="W267" s="41" t="str">
        <f>IFERROR(__xludf.DUMMYFUNCTION(" IF(Account!$F267&lt;&gt;"""", SPLIT(Account!$F267, "" ""), """")"),"")</f>
        <v/>
      </c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</row>
    <row r="268">
      <c r="A268" s="20"/>
      <c r="B268" s="20"/>
      <c r="C268" s="20"/>
      <c r="D268" s="20"/>
      <c r="E268" s="20"/>
      <c r="F268" s="21"/>
      <c r="G268" s="20"/>
      <c r="H268" s="20"/>
      <c r="I268" s="20"/>
      <c r="J268" s="20"/>
      <c r="K268" s="20"/>
      <c r="L268" s="21"/>
      <c r="M268" s="33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4" t="str">
        <f>IFERROR(__xludf.DUMMYFUNCTION("IF(Account!$F268&lt;&gt;"""", VALUE(REGEXREPLACE($I268, ""\,"", ""."")), """")"),"")</f>
        <v/>
      </c>
      <c r="O268" s="35" t="str">
        <f>IF(Account!$F268&lt;&gt;"", DATEVALUE(MID($A268,4,3) &amp; LEFT($A268,3) &amp; RIGHT($A268,4)) + TIMEVALUE($B268), "")</f>
        <v/>
      </c>
      <c r="P268" s="36" t="str">
        <f>IF(Account!$F268&lt;&gt;"", DATEVALUE(MID($C268,4,3) &amp; LEFT($C268,3) &amp; RIGHT($C268,4)), "")</f>
        <v/>
      </c>
      <c r="Q268" s="37" t="str">
        <f t="array" ref="Q268">IF($R268&lt;&gt;"",IFERROR(INDEX(ISIN!$B:$B,MATCH($R268,ISIN!$C:$C,0))),)</f>
        <v/>
      </c>
      <c r="R268" s="38" t="str">
        <f t="array" ref="R268">IF($E268&lt;&gt;""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7" t="str">
        <f t="shared" si="1"/>
        <v/>
      </c>
      <c r="T268" s="39" t="str">
        <f t="shared" si="2"/>
        <v/>
      </c>
      <c r="U268" s="40" t="str">
        <f t="shared" si="3"/>
        <v/>
      </c>
      <c r="V268" s="34" t="str">
        <f t="shared" si="4"/>
        <v/>
      </c>
      <c r="W268" s="41" t="str">
        <f>IFERROR(__xludf.DUMMYFUNCTION(" IF(Account!$F268&lt;&gt;"""", SPLIT(Account!$F268, "" ""), """")"),"")</f>
        <v/>
      </c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</row>
    <row r="269">
      <c r="A269" s="20"/>
      <c r="B269" s="20"/>
      <c r="C269" s="20"/>
      <c r="D269" s="20"/>
      <c r="E269" s="20"/>
      <c r="F269" s="21"/>
      <c r="G269" s="45"/>
      <c r="H269" s="20"/>
      <c r="I269" s="20"/>
      <c r="J269" s="20"/>
      <c r="K269" s="20"/>
      <c r="L269" s="21"/>
      <c r="M269" s="33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4" t="str">
        <f>IFERROR(__xludf.DUMMYFUNCTION("IF(Account!$F269&lt;&gt;"""", VALUE(REGEXREPLACE($I269, ""\,"", ""."")), """")"),"")</f>
        <v/>
      </c>
      <c r="O269" s="35" t="str">
        <f>IF(Account!$F269&lt;&gt;"", DATEVALUE(MID($A269,4,3) &amp; LEFT($A269,3) &amp; RIGHT($A269,4)) + TIMEVALUE($B269), "")</f>
        <v/>
      </c>
      <c r="P269" s="36" t="str">
        <f>IF(Account!$F269&lt;&gt;"", DATEVALUE(MID($C269,4,3) &amp; LEFT($C269,3) &amp; RIGHT($C269,4)), "")</f>
        <v/>
      </c>
      <c r="Q269" s="37" t="str">
        <f t="array" ref="Q269">IF($R269&lt;&gt;"",IFERROR(INDEX(ISIN!$B:$B,MATCH($R269,ISIN!$C:$C,0))),)</f>
        <v/>
      </c>
      <c r="R269" s="38" t="str">
        <f t="array" ref="R269">IF($E269&lt;&gt;""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7" t="str">
        <f t="shared" si="1"/>
        <v/>
      </c>
      <c r="T269" s="39" t="str">
        <f t="shared" si="2"/>
        <v/>
      </c>
      <c r="U269" s="40" t="str">
        <f t="shared" si="3"/>
        <v/>
      </c>
      <c r="V269" s="34" t="str">
        <f t="shared" si="4"/>
        <v/>
      </c>
      <c r="W269" s="41" t="str">
        <f>IFERROR(__xludf.DUMMYFUNCTION(" IF(Account!$F269&lt;&gt;"""", SPLIT(Account!$F269, "" ""), """")"),"")</f>
        <v/>
      </c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</row>
    <row r="270">
      <c r="A270" s="20"/>
      <c r="B270" s="20"/>
      <c r="C270" s="20"/>
      <c r="D270" s="20"/>
      <c r="E270" s="20"/>
      <c r="F270" s="21"/>
      <c r="G270" s="20"/>
      <c r="H270" s="20"/>
      <c r="I270" s="20"/>
      <c r="J270" s="20"/>
      <c r="K270" s="20"/>
      <c r="L270" s="21"/>
      <c r="M270" s="33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4" t="str">
        <f>IFERROR(__xludf.DUMMYFUNCTION("IF(Account!$F270&lt;&gt;"""", VALUE(REGEXREPLACE($I270, ""\,"", ""."")), """")"),"")</f>
        <v/>
      </c>
      <c r="O270" s="35" t="str">
        <f>IF(Account!$F270&lt;&gt;"", DATEVALUE(MID($A270,4,3) &amp; LEFT($A270,3) &amp; RIGHT($A270,4)) + TIMEVALUE($B270), "")</f>
        <v/>
      </c>
      <c r="P270" s="36" t="str">
        <f>IF(Account!$F270&lt;&gt;"", DATEVALUE(MID($C270,4,3) &amp; LEFT($C270,3) &amp; RIGHT($C270,4)), "")</f>
        <v/>
      </c>
      <c r="Q270" s="37" t="str">
        <f t="array" ref="Q270">IF($R270&lt;&gt;"",IFERROR(INDEX(ISIN!$B:$B,MATCH($R270,ISIN!$C:$C,0))),)</f>
        <v/>
      </c>
      <c r="R270" s="38" t="str">
        <f t="array" ref="R270">IF($E270&lt;&gt;""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7" t="str">
        <f t="shared" si="1"/>
        <v/>
      </c>
      <c r="T270" s="39" t="str">
        <f t="shared" si="2"/>
        <v/>
      </c>
      <c r="U270" s="40" t="str">
        <f t="shared" si="3"/>
        <v/>
      </c>
      <c r="V270" s="34" t="str">
        <f t="shared" si="4"/>
        <v/>
      </c>
      <c r="W270" s="41" t="str">
        <f>IFERROR(__xludf.DUMMYFUNCTION(" IF(Account!$F270&lt;&gt;"""", SPLIT(Account!$F270, "" ""), """")"),"")</f>
        <v/>
      </c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</row>
    <row r="271">
      <c r="A271" s="20"/>
      <c r="B271" s="20"/>
      <c r="C271" s="20"/>
      <c r="D271" s="20"/>
      <c r="E271" s="20"/>
      <c r="F271" s="21"/>
      <c r="G271" s="20"/>
      <c r="H271" s="20"/>
      <c r="I271" s="20"/>
      <c r="J271" s="20"/>
      <c r="K271" s="20"/>
      <c r="L271" s="21"/>
      <c r="M271" s="33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4" t="str">
        <f>IFERROR(__xludf.DUMMYFUNCTION("IF(Account!$F271&lt;&gt;"""", VALUE(REGEXREPLACE($I271, ""\,"", ""."")), """")"),"")</f>
        <v/>
      </c>
      <c r="O271" s="35" t="str">
        <f>IF(Account!$F271&lt;&gt;"", DATEVALUE(MID($A271,4,3) &amp; LEFT($A271,3) &amp; RIGHT($A271,4)) + TIMEVALUE($B271), "")</f>
        <v/>
      </c>
      <c r="P271" s="36" t="str">
        <f>IF(Account!$F271&lt;&gt;"", DATEVALUE(MID($C271,4,3) &amp; LEFT($C271,3) &amp; RIGHT($C271,4)), "")</f>
        <v/>
      </c>
      <c r="Q271" s="37" t="str">
        <f t="array" ref="Q271">IF($R271&lt;&gt;"",IFERROR(INDEX(ISIN!$B:$B,MATCH($R271,ISIN!$C:$C,0))),)</f>
        <v/>
      </c>
      <c r="R271" s="38" t="str">
        <f t="array" ref="R271">IF($E271&lt;&gt;""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7" t="str">
        <f t="shared" si="1"/>
        <v/>
      </c>
      <c r="T271" s="39" t="str">
        <f t="shared" si="2"/>
        <v/>
      </c>
      <c r="U271" s="40" t="str">
        <f t="shared" si="3"/>
        <v/>
      </c>
      <c r="V271" s="34" t="str">
        <f t="shared" si="4"/>
        <v/>
      </c>
      <c r="W271" s="41" t="str">
        <f>IFERROR(__xludf.DUMMYFUNCTION(" IF(Account!$F271&lt;&gt;"""", SPLIT(Account!$F271, "" ""), """")"),"")</f>
        <v/>
      </c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</row>
    <row r="272">
      <c r="A272" s="20"/>
      <c r="B272" s="20"/>
      <c r="C272" s="20"/>
      <c r="D272" s="20"/>
      <c r="E272" s="20"/>
      <c r="F272" s="21"/>
      <c r="G272" s="45"/>
      <c r="H272" s="20"/>
      <c r="I272" s="20"/>
      <c r="J272" s="20"/>
      <c r="K272" s="20"/>
      <c r="L272" s="21"/>
      <c r="M272" s="33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4" t="str">
        <f>IFERROR(__xludf.DUMMYFUNCTION("IF(Account!$F272&lt;&gt;"""", VALUE(REGEXREPLACE($I272, ""\,"", ""."")), """")"),"")</f>
        <v/>
      </c>
      <c r="O272" s="35" t="str">
        <f>IF(Account!$F272&lt;&gt;"", DATEVALUE(MID($A272,4,3) &amp; LEFT($A272,3) &amp; RIGHT($A272,4)) + TIMEVALUE($B272), "")</f>
        <v/>
      </c>
      <c r="P272" s="36" t="str">
        <f>IF(Account!$F272&lt;&gt;"", DATEVALUE(MID($C272,4,3) &amp; LEFT($C272,3) &amp; RIGHT($C272,4)), "")</f>
        <v/>
      </c>
      <c r="Q272" s="37" t="str">
        <f t="array" ref="Q272">IF($R272&lt;&gt;"",IFERROR(INDEX(ISIN!$B:$B,MATCH($R272,ISIN!$C:$C,0))),)</f>
        <v/>
      </c>
      <c r="R272" s="38" t="str">
        <f t="array" ref="R272">IF($E272&lt;&gt;""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7" t="str">
        <f t="shared" si="1"/>
        <v/>
      </c>
      <c r="T272" s="39" t="str">
        <f t="shared" si="2"/>
        <v/>
      </c>
      <c r="U272" s="40" t="str">
        <f t="shared" si="3"/>
        <v/>
      </c>
      <c r="V272" s="34" t="str">
        <f t="shared" si="4"/>
        <v/>
      </c>
      <c r="W272" s="41" t="str">
        <f>IFERROR(__xludf.DUMMYFUNCTION(" IF(Account!$F272&lt;&gt;"""", SPLIT(Account!$F272, "" ""), """")"),"")</f>
        <v/>
      </c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</row>
    <row r="273">
      <c r="A273" s="20"/>
      <c r="B273" s="20"/>
      <c r="C273" s="20"/>
      <c r="D273" s="20"/>
      <c r="E273" s="20"/>
      <c r="F273" s="21"/>
      <c r="G273" s="45"/>
      <c r="H273" s="20"/>
      <c r="I273" s="20"/>
      <c r="J273" s="20"/>
      <c r="K273" s="20"/>
      <c r="L273" s="21"/>
      <c r="M273" s="33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4" t="str">
        <f>IFERROR(__xludf.DUMMYFUNCTION("IF(Account!$F273&lt;&gt;"""", VALUE(REGEXREPLACE($I273, ""\,"", ""."")), """")"),"")</f>
        <v/>
      </c>
      <c r="O273" s="35" t="str">
        <f>IF(Account!$F273&lt;&gt;"", DATEVALUE(MID($A273,4,3) &amp; LEFT($A273,3) &amp; RIGHT($A273,4)) + TIMEVALUE($B273), "")</f>
        <v/>
      </c>
      <c r="P273" s="36" t="str">
        <f>IF(Account!$F273&lt;&gt;"", DATEVALUE(MID($C273,4,3) &amp; LEFT($C273,3) &amp; RIGHT($C273,4)), "")</f>
        <v/>
      </c>
      <c r="Q273" s="37" t="str">
        <f t="array" ref="Q273">IF($R273&lt;&gt;"",IFERROR(INDEX(ISIN!$B:$B,MATCH($R273,ISIN!$C:$C,0))),)</f>
        <v/>
      </c>
      <c r="R273" s="38" t="str">
        <f t="array" ref="R273">IF($E273&lt;&gt;""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7" t="str">
        <f t="shared" si="1"/>
        <v/>
      </c>
      <c r="T273" s="39" t="str">
        <f t="shared" si="2"/>
        <v/>
      </c>
      <c r="U273" s="40" t="str">
        <f t="shared" si="3"/>
        <v/>
      </c>
      <c r="V273" s="34" t="str">
        <f t="shared" si="4"/>
        <v/>
      </c>
      <c r="W273" s="41" t="str">
        <f>IFERROR(__xludf.DUMMYFUNCTION(" IF(Account!$F273&lt;&gt;"""", SPLIT(Account!$F273, "" ""), """")"),"")</f>
        <v/>
      </c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</row>
    <row r="274">
      <c r="A274" s="20"/>
      <c r="B274" s="20"/>
      <c r="C274" s="20"/>
      <c r="D274" s="20"/>
      <c r="E274" s="20"/>
      <c r="F274" s="21"/>
      <c r="G274" s="45"/>
      <c r="H274" s="20"/>
      <c r="I274" s="20"/>
      <c r="J274" s="20"/>
      <c r="K274" s="20"/>
      <c r="L274" s="21"/>
      <c r="M274" s="33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4" t="str">
        <f>IFERROR(__xludf.DUMMYFUNCTION("IF(Account!$F274&lt;&gt;"""", VALUE(REGEXREPLACE($I274, ""\,"", ""."")), """")"),"")</f>
        <v/>
      </c>
      <c r="O274" s="35" t="str">
        <f>IF(Account!$F274&lt;&gt;"", DATEVALUE(MID($A274,4,3) &amp; LEFT($A274,3) &amp; RIGHT($A274,4)) + TIMEVALUE($B274), "")</f>
        <v/>
      </c>
      <c r="P274" s="36" t="str">
        <f>IF(Account!$F274&lt;&gt;"", DATEVALUE(MID($C274,4,3) &amp; LEFT($C274,3) &amp; RIGHT($C274,4)), "")</f>
        <v/>
      </c>
      <c r="Q274" s="37" t="str">
        <f t="array" ref="Q274">IF($R274&lt;&gt;"",IFERROR(INDEX(ISIN!$B:$B,MATCH($R274,ISIN!$C:$C,0))),)</f>
        <v/>
      </c>
      <c r="R274" s="38" t="str">
        <f t="array" ref="R274">IF($E274&lt;&gt;""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7" t="str">
        <f t="shared" si="1"/>
        <v/>
      </c>
      <c r="T274" s="39" t="str">
        <f t="shared" si="2"/>
        <v/>
      </c>
      <c r="U274" s="40" t="str">
        <f t="shared" si="3"/>
        <v/>
      </c>
      <c r="V274" s="34" t="str">
        <f t="shared" si="4"/>
        <v/>
      </c>
      <c r="W274" s="41" t="str">
        <f>IFERROR(__xludf.DUMMYFUNCTION(" IF(Account!$F274&lt;&gt;"""", SPLIT(Account!$F274, "" ""), """")"),"")</f>
        <v/>
      </c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</row>
    <row r="275">
      <c r="A275" s="20"/>
      <c r="B275" s="20"/>
      <c r="C275" s="20"/>
      <c r="D275" s="20"/>
      <c r="E275" s="20"/>
      <c r="F275" s="21"/>
      <c r="G275" s="20"/>
      <c r="H275" s="20"/>
      <c r="I275" s="20"/>
      <c r="J275" s="20"/>
      <c r="K275" s="20"/>
      <c r="L275" s="21"/>
      <c r="M275" s="33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4" t="str">
        <f>IFERROR(__xludf.DUMMYFUNCTION("IF(Account!$F275&lt;&gt;"""", VALUE(REGEXREPLACE($I275, ""\,"", ""."")), """")"),"")</f>
        <v/>
      </c>
      <c r="O275" s="35" t="str">
        <f>IF(Account!$F275&lt;&gt;"", DATEVALUE(MID($A275,4,3) &amp; LEFT($A275,3) &amp; RIGHT($A275,4)) + TIMEVALUE($B275), "")</f>
        <v/>
      </c>
      <c r="P275" s="36" t="str">
        <f>IF(Account!$F275&lt;&gt;"", DATEVALUE(MID($C275,4,3) &amp; LEFT($C275,3) &amp; RIGHT($C275,4)), "")</f>
        <v/>
      </c>
      <c r="Q275" s="37" t="str">
        <f t="array" ref="Q275">IF($R275&lt;&gt;"",IFERROR(INDEX(ISIN!$B:$B,MATCH($R275,ISIN!$C:$C,0))),)</f>
        <v/>
      </c>
      <c r="R275" s="38" t="str">
        <f t="array" ref="R275">IF($E275&lt;&gt;""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7" t="str">
        <f t="shared" si="1"/>
        <v/>
      </c>
      <c r="T275" s="39" t="str">
        <f t="shared" si="2"/>
        <v/>
      </c>
      <c r="U275" s="40" t="str">
        <f t="shared" si="3"/>
        <v/>
      </c>
      <c r="V275" s="34" t="str">
        <f t="shared" si="4"/>
        <v/>
      </c>
      <c r="W275" s="41" t="str">
        <f>IFERROR(__xludf.DUMMYFUNCTION(" IF(Account!$F275&lt;&gt;"""", SPLIT(Account!$F275, "" ""), """")"),"")</f>
        <v/>
      </c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</row>
    <row r="276">
      <c r="A276" s="20"/>
      <c r="B276" s="20"/>
      <c r="C276" s="20"/>
      <c r="D276" s="20"/>
      <c r="E276" s="20"/>
      <c r="F276" s="21"/>
      <c r="G276" s="45"/>
      <c r="H276" s="20"/>
      <c r="I276" s="20"/>
      <c r="J276" s="20"/>
      <c r="K276" s="20"/>
      <c r="L276" s="21"/>
      <c r="M276" s="33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4" t="str">
        <f>IFERROR(__xludf.DUMMYFUNCTION("IF(Account!$F276&lt;&gt;"""", VALUE(REGEXREPLACE($I276, ""\,"", ""."")), """")"),"")</f>
        <v/>
      </c>
      <c r="O276" s="35" t="str">
        <f>IF(Account!$F276&lt;&gt;"", DATEVALUE(MID($A276,4,3) &amp; LEFT($A276,3) &amp; RIGHT($A276,4)) + TIMEVALUE($B276), "")</f>
        <v/>
      </c>
      <c r="P276" s="36" t="str">
        <f>IF(Account!$F276&lt;&gt;"", DATEVALUE(MID($C276,4,3) &amp; LEFT($C276,3) &amp; RIGHT($C276,4)), "")</f>
        <v/>
      </c>
      <c r="Q276" s="37" t="str">
        <f t="array" ref="Q276">IF($R276&lt;&gt;"",IFERROR(INDEX(ISIN!$B:$B,MATCH($R276,ISIN!$C:$C,0))),)</f>
        <v/>
      </c>
      <c r="R276" s="38" t="str">
        <f t="array" ref="R276">IF($E276&lt;&gt;""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7" t="str">
        <f t="shared" si="1"/>
        <v/>
      </c>
      <c r="T276" s="39" t="str">
        <f t="shared" si="2"/>
        <v/>
      </c>
      <c r="U276" s="40" t="str">
        <f t="shared" si="3"/>
        <v/>
      </c>
      <c r="V276" s="34" t="str">
        <f t="shared" si="4"/>
        <v/>
      </c>
      <c r="W276" s="41" t="str">
        <f>IFERROR(__xludf.DUMMYFUNCTION(" IF(Account!$F276&lt;&gt;"""", SPLIT(Account!$F276, "" ""), """")"),"")</f>
        <v/>
      </c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</row>
    <row r="277">
      <c r="A277" s="20"/>
      <c r="B277" s="20"/>
      <c r="C277" s="20"/>
      <c r="D277" s="20"/>
      <c r="E277" s="20"/>
      <c r="F277" s="21"/>
      <c r="G277" s="20"/>
      <c r="H277" s="20"/>
      <c r="I277" s="20"/>
      <c r="J277" s="20"/>
      <c r="K277" s="20"/>
      <c r="L277" s="21"/>
      <c r="M277" s="33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4" t="str">
        <f>IFERROR(__xludf.DUMMYFUNCTION("IF(Account!$F277&lt;&gt;"""", VALUE(REGEXREPLACE($I277, ""\,"", ""."")), """")"),"")</f>
        <v/>
      </c>
      <c r="O277" s="35" t="str">
        <f>IF(Account!$F277&lt;&gt;"", DATEVALUE(MID($A277,4,3) &amp; LEFT($A277,3) &amp; RIGHT($A277,4)) + TIMEVALUE($B277), "")</f>
        <v/>
      </c>
      <c r="P277" s="36" t="str">
        <f>IF(Account!$F277&lt;&gt;"", DATEVALUE(MID($C277,4,3) &amp; LEFT($C277,3) &amp; RIGHT($C277,4)), "")</f>
        <v/>
      </c>
      <c r="Q277" s="37" t="str">
        <f t="array" ref="Q277">IF($R277&lt;&gt;"",IFERROR(INDEX(ISIN!$B:$B,MATCH($R277,ISIN!$C:$C,0))),)</f>
        <v/>
      </c>
      <c r="R277" s="38" t="str">
        <f t="array" ref="R277">IF($E277&lt;&gt;""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7" t="str">
        <f t="shared" si="1"/>
        <v/>
      </c>
      <c r="T277" s="39" t="str">
        <f t="shared" si="2"/>
        <v/>
      </c>
      <c r="U277" s="40" t="str">
        <f t="shared" si="3"/>
        <v/>
      </c>
      <c r="V277" s="34" t="str">
        <f t="shared" si="4"/>
        <v/>
      </c>
      <c r="W277" s="41" t="str">
        <f>IFERROR(__xludf.DUMMYFUNCTION(" IF(Account!$F277&lt;&gt;"""", SPLIT(Account!$F277, "" ""), """")"),"")</f>
        <v/>
      </c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</row>
    <row r="278">
      <c r="A278" s="20"/>
      <c r="B278" s="20"/>
      <c r="C278" s="20"/>
      <c r="D278" s="20"/>
      <c r="E278" s="20"/>
      <c r="F278" s="21"/>
      <c r="G278" s="20"/>
      <c r="H278" s="20"/>
      <c r="I278" s="20"/>
      <c r="J278" s="20"/>
      <c r="K278" s="20"/>
      <c r="L278" s="21"/>
      <c r="M278" s="33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4" t="str">
        <f>IFERROR(__xludf.DUMMYFUNCTION("IF(Account!$F278&lt;&gt;"""", VALUE(REGEXREPLACE($I278, ""\,"", ""."")), """")"),"")</f>
        <v/>
      </c>
      <c r="O278" s="35" t="str">
        <f>IF(Account!$F278&lt;&gt;"", DATEVALUE(MID($A278,4,3) &amp; LEFT($A278,3) &amp; RIGHT($A278,4)) + TIMEVALUE($B278), "")</f>
        <v/>
      </c>
      <c r="P278" s="36" t="str">
        <f>IF(Account!$F278&lt;&gt;"", DATEVALUE(MID($C278,4,3) &amp; LEFT($C278,3) &amp; RIGHT($C278,4)), "")</f>
        <v/>
      </c>
      <c r="Q278" s="37" t="str">
        <f t="array" ref="Q278">IF($R278&lt;&gt;"",IFERROR(INDEX(ISIN!$B:$B,MATCH($R278,ISIN!$C:$C,0))),)</f>
        <v/>
      </c>
      <c r="R278" s="38" t="str">
        <f t="array" ref="R278">IF($E278&lt;&gt;""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7" t="str">
        <f t="shared" si="1"/>
        <v/>
      </c>
      <c r="T278" s="39" t="str">
        <f t="shared" si="2"/>
        <v/>
      </c>
      <c r="U278" s="40" t="str">
        <f t="shared" si="3"/>
        <v/>
      </c>
      <c r="V278" s="34" t="str">
        <f t="shared" si="4"/>
        <v/>
      </c>
      <c r="W278" s="41" t="str">
        <f>IFERROR(__xludf.DUMMYFUNCTION(" IF(Account!$F278&lt;&gt;"""", SPLIT(Account!$F278, "" ""), """")"),"")</f>
        <v/>
      </c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</row>
    <row r="279">
      <c r="A279" s="20"/>
      <c r="B279" s="20"/>
      <c r="C279" s="20"/>
      <c r="D279" s="20"/>
      <c r="E279" s="20"/>
      <c r="F279" s="21"/>
      <c r="G279" s="20"/>
      <c r="H279" s="20"/>
      <c r="I279" s="20"/>
      <c r="J279" s="20"/>
      <c r="K279" s="20"/>
      <c r="L279" s="21"/>
      <c r="M279" s="33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4" t="str">
        <f>IFERROR(__xludf.DUMMYFUNCTION("IF(Account!$F279&lt;&gt;"""", VALUE(REGEXREPLACE($I279, ""\,"", ""."")), """")"),"")</f>
        <v/>
      </c>
      <c r="O279" s="35" t="str">
        <f>IF(Account!$F279&lt;&gt;"", DATEVALUE(MID($A279,4,3) &amp; LEFT($A279,3) &amp; RIGHT($A279,4)) + TIMEVALUE($B279), "")</f>
        <v/>
      </c>
      <c r="P279" s="36" t="str">
        <f>IF(Account!$F279&lt;&gt;"", DATEVALUE(MID($C279,4,3) &amp; LEFT($C279,3) &amp; RIGHT($C279,4)), "")</f>
        <v/>
      </c>
      <c r="Q279" s="37" t="str">
        <f t="array" ref="Q279">IF($R279&lt;&gt;"",IFERROR(INDEX(ISIN!$B:$B,MATCH($R279,ISIN!$C:$C,0))),)</f>
        <v/>
      </c>
      <c r="R279" s="38" t="str">
        <f t="array" ref="R279">IF($E279&lt;&gt;""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7" t="str">
        <f t="shared" si="1"/>
        <v/>
      </c>
      <c r="T279" s="39" t="str">
        <f t="shared" si="2"/>
        <v/>
      </c>
      <c r="U279" s="40" t="str">
        <f t="shared" si="3"/>
        <v/>
      </c>
      <c r="V279" s="34" t="str">
        <f t="shared" si="4"/>
        <v/>
      </c>
      <c r="W279" s="41" t="str">
        <f>IFERROR(__xludf.DUMMYFUNCTION(" IF(Account!$F279&lt;&gt;"""", SPLIT(Account!$F279, "" ""), """")"),"")</f>
        <v/>
      </c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</row>
    <row r="280">
      <c r="A280" s="20"/>
      <c r="B280" s="20"/>
      <c r="C280" s="20"/>
      <c r="D280" s="20"/>
      <c r="E280" s="20"/>
      <c r="F280" s="21"/>
      <c r="G280" s="45"/>
      <c r="H280" s="20"/>
      <c r="I280" s="20"/>
      <c r="J280" s="20"/>
      <c r="K280" s="20"/>
      <c r="L280" s="21"/>
      <c r="M280" s="33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4" t="str">
        <f>IFERROR(__xludf.DUMMYFUNCTION("IF(Account!$F280&lt;&gt;"""", VALUE(REGEXREPLACE($I280, ""\,"", ""."")), """")"),"")</f>
        <v/>
      </c>
      <c r="O280" s="35" t="str">
        <f>IF(Account!$F280&lt;&gt;"", DATEVALUE(MID($A280,4,3) &amp; LEFT($A280,3) &amp; RIGHT($A280,4)) + TIMEVALUE($B280), "")</f>
        <v/>
      </c>
      <c r="P280" s="36" t="str">
        <f>IF(Account!$F280&lt;&gt;"", DATEVALUE(MID($C280,4,3) &amp; LEFT($C280,3) &amp; RIGHT($C280,4)), "")</f>
        <v/>
      </c>
      <c r="Q280" s="37" t="str">
        <f t="array" ref="Q280">IF($R280&lt;&gt;"",IFERROR(INDEX(ISIN!$B:$B,MATCH($R280,ISIN!$C:$C,0))),)</f>
        <v/>
      </c>
      <c r="R280" s="38" t="str">
        <f t="array" ref="R280">IF($E280&lt;&gt;""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7" t="str">
        <f t="shared" si="1"/>
        <v/>
      </c>
      <c r="T280" s="39" t="str">
        <f t="shared" si="2"/>
        <v/>
      </c>
      <c r="U280" s="40" t="str">
        <f t="shared" si="3"/>
        <v/>
      </c>
      <c r="V280" s="34" t="str">
        <f t="shared" si="4"/>
        <v/>
      </c>
      <c r="W280" s="41" t="str">
        <f>IFERROR(__xludf.DUMMYFUNCTION(" IF(Account!$F280&lt;&gt;"""", SPLIT(Account!$F280, "" ""), """")"),"")</f>
        <v/>
      </c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</row>
    <row r="281">
      <c r="A281" s="20"/>
      <c r="B281" s="20"/>
      <c r="C281" s="20"/>
      <c r="D281" s="20"/>
      <c r="E281" s="20"/>
      <c r="F281" s="21"/>
      <c r="G281" s="45"/>
      <c r="H281" s="20"/>
      <c r="I281" s="20"/>
      <c r="J281" s="20"/>
      <c r="K281" s="20"/>
      <c r="L281" s="21"/>
      <c r="M281" s="33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4" t="str">
        <f>IFERROR(__xludf.DUMMYFUNCTION("IF(Account!$F281&lt;&gt;"""", VALUE(REGEXREPLACE($I281, ""\,"", ""."")), """")"),"")</f>
        <v/>
      </c>
      <c r="O281" s="35" t="str">
        <f>IF(Account!$F281&lt;&gt;"", DATEVALUE(MID($A281,4,3) &amp; LEFT($A281,3) &amp; RIGHT($A281,4)) + TIMEVALUE($B281), "")</f>
        <v/>
      </c>
      <c r="P281" s="36" t="str">
        <f>IF(Account!$F281&lt;&gt;"", DATEVALUE(MID($C281,4,3) &amp; LEFT($C281,3) &amp; RIGHT($C281,4)), "")</f>
        <v/>
      </c>
      <c r="Q281" s="37" t="str">
        <f t="array" ref="Q281">IF($R281&lt;&gt;"",IFERROR(INDEX(ISIN!$B:$B,MATCH($R281,ISIN!$C:$C,0))),)</f>
        <v/>
      </c>
      <c r="R281" s="38" t="str">
        <f t="array" ref="R281">IF($E281&lt;&gt;""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7" t="str">
        <f t="shared" si="1"/>
        <v/>
      </c>
      <c r="T281" s="39" t="str">
        <f t="shared" si="2"/>
        <v/>
      </c>
      <c r="U281" s="40" t="str">
        <f t="shared" si="3"/>
        <v/>
      </c>
      <c r="V281" s="34" t="str">
        <f t="shared" si="4"/>
        <v/>
      </c>
      <c r="W281" s="41" t="str">
        <f>IFERROR(__xludf.DUMMYFUNCTION(" IF(Account!$F281&lt;&gt;"""", SPLIT(Account!$F281, "" ""), """")"),"")</f>
        <v/>
      </c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</row>
    <row r="282">
      <c r="A282" s="20"/>
      <c r="B282" s="20"/>
      <c r="C282" s="20"/>
      <c r="D282" s="20"/>
      <c r="E282" s="20"/>
      <c r="F282" s="21"/>
      <c r="G282" s="45"/>
      <c r="H282" s="20"/>
      <c r="I282" s="20"/>
      <c r="J282" s="20"/>
      <c r="K282" s="20"/>
      <c r="L282" s="21"/>
      <c r="M282" s="33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4" t="str">
        <f>IFERROR(__xludf.DUMMYFUNCTION("IF(Account!$F282&lt;&gt;"""", VALUE(REGEXREPLACE($I282, ""\,"", ""."")), """")"),"")</f>
        <v/>
      </c>
      <c r="O282" s="35" t="str">
        <f>IF(Account!$F282&lt;&gt;"", DATEVALUE(MID($A282,4,3) &amp; LEFT($A282,3) &amp; RIGHT($A282,4)) + TIMEVALUE($B282), "")</f>
        <v/>
      </c>
      <c r="P282" s="36" t="str">
        <f>IF(Account!$F282&lt;&gt;"", DATEVALUE(MID($C282,4,3) &amp; LEFT($C282,3) &amp; RIGHT($C282,4)), "")</f>
        <v/>
      </c>
      <c r="Q282" s="37" t="str">
        <f t="array" ref="Q282">IF($R282&lt;&gt;"",IFERROR(INDEX(ISIN!$B:$B,MATCH($R282,ISIN!$C:$C,0))),)</f>
        <v/>
      </c>
      <c r="R282" s="38" t="str">
        <f t="array" ref="R282">IF($E282&lt;&gt;""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7" t="str">
        <f t="shared" si="1"/>
        <v/>
      </c>
      <c r="T282" s="39" t="str">
        <f t="shared" si="2"/>
        <v/>
      </c>
      <c r="U282" s="40" t="str">
        <f t="shared" si="3"/>
        <v/>
      </c>
      <c r="V282" s="34" t="str">
        <f t="shared" si="4"/>
        <v/>
      </c>
      <c r="W282" s="41" t="str">
        <f>IFERROR(__xludf.DUMMYFUNCTION(" IF(Account!$F282&lt;&gt;"""", SPLIT(Account!$F282, "" ""), """")"),"")</f>
        <v/>
      </c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</row>
    <row r="283">
      <c r="A283" s="20"/>
      <c r="B283" s="20"/>
      <c r="C283" s="20"/>
      <c r="D283" s="20"/>
      <c r="E283" s="20"/>
      <c r="F283" s="21"/>
      <c r="G283" s="20"/>
      <c r="H283" s="20"/>
      <c r="I283" s="20"/>
      <c r="J283" s="20"/>
      <c r="K283" s="20"/>
      <c r="L283" s="21"/>
      <c r="M283" s="33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4" t="str">
        <f>IFERROR(__xludf.DUMMYFUNCTION("IF(Account!$F283&lt;&gt;"""", VALUE(REGEXREPLACE($I283, ""\,"", ""."")), """")"),"")</f>
        <v/>
      </c>
      <c r="O283" s="35" t="str">
        <f>IF(Account!$F283&lt;&gt;"", DATEVALUE(MID($A283,4,3) &amp; LEFT($A283,3) &amp; RIGHT($A283,4)) + TIMEVALUE($B283), "")</f>
        <v/>
      </c>
      <c r="P283" s="36" t="str">
        <f>IF(Account!$F283&lt;&gt;"", DATEVALUE(MID($C283,4,3) &amp; LEFT($C283,3) &amp; RIGHT($C283,4)), "")</f>
        <v/>
      </c>
      <c r="Q283" s="37" t="str">
        <f t="array" ref="Q283">IF($R283&lt;&gt;"",IFERROR(INDEX(ISIN!$B:$B,MATCH($R283,ISIN!$C:$C,0))),)</f>
        <v/>
      </c>
      <c r="R283" s="38" t="str">
        <f t="array" ref="R283">IF($E283&lt;&gt;""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7" t="str">
        <f t="shared" si="1"/>
        <v/>
      </c>
      <c r="T283" s="39" t="str">
        <f t="shared" si="2"/>
        <v/>
      </c>
      <c r="U283" s="40" t="str">
        <f t="shared" si="3"/>
        <v/>
      </c>
      <c r="V283" s="34" t="str">
        <f t="shared" si="4"/>
        <v/>
      </c>
      <c r="W283" s="41" t="str">
        <f>IFERROR(__xludf.DUMMYFUNCTION(" IF(Account!$F283&lt;&gt;"""", SPLIT(Account!$F283, "" ""), """")"),"")</f>
        <v/>
      </c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</row>
    <row r="284">
      <c r="A284" s="20"/>
      <c r="B284" s="20"/>
      <c r="C284" s="20"/>
      <c r="D284" s="20"/>
      <c r="E284" s="20"/>
      <c r="F284" s="21"/>
      <c r="G284" s="45"/>
      <c r="H284" s="20"/>
      <c r="I284" s="20"/>
      <c r="J284" s="20"/>
      <c r="K284" s="20"/>
      <c r="L284" s="21"/>
      <c r="M284" s="33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4" t="str">
        <f>IFERROR(__xludf.DUMMYFUNCTION("IF(Account!$F284&lt;&gt;"""", VALUE(REGEXREPLACE($I284, ""\,"", ""."")), """")"),"")</f>
        <v/>
      </c>
      <c r="O284" s="35" t="str">
        <f>IF(Account!$F284&lt;&gt;"", DATEVALUE(MID($A284,4,3) &amp; LEFT($A284,3) &amp; RIGHT($A284,4)) + TIMEVALUE($B284), "")</f>
        <v/>
      </c>
      <c r="P284" s="36" t="str">
        <f>IF(Account!$F284&lt;&gt;"", DATEVALUE(MID($C284,4,3) &amp; LEFT($C284,3) &amp; RIGHT($C284,4)), "")</f>
        <v/>
      </c>
      <c r="Q284" s="37" t="str">
        <f t="array" ref="Q284">IF($R284&lt;&gt;"",IFERROR(INDEX(ISIN!$B:$B,MATCH($R284,ISIN!$C:$C,0))),)</f>
        <v/>
      </c>
      <c r="R284" s="38" t="str">
        <f t="array" ref="R284">IF($E284&lt;&gt;""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7" t="str">
        <f t="shared" si="1"/>
        <v/>
      </c>
      <c r="T284" s="39" t="str">
        <f t="shared" si="2"/>
        <v/>
      </c>
      <c r="U284" s="40" t="str">
        <f t="shared" si="3"/>
        <v/>
      </c>
      <c r="V284" s="34" t="str">
        <f t="shared" si="4"/>
        <v/>
      </c>
      <c r="W284" s="41" t="str">
        <f>IFERROR(__xludf.DUMMYFUNCTION(" IF(Account!$F284&lt;&gt;"""", SPLIT(Account!$F284, "" ""), """")"),"")</f>
        <v/>
      </c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</row>
    <row r="285">
      <c r="A285" s="20"/>
      <c r="B285" s="20"/>
      <c r="C285" s="20"/>
      <c r="D285" s="20"/>
      <c r="E285" s="20"/>
      <c r="F285" s="21"/>
      <c r="G285" s="45"/>
      <c r="H285" s="20"/>
      <c r="I285" s="20"/>
      <c r="J285" s="20"/>
      <c r="K285" s="20"/>
      <c r="L285" s="21"/>
      <c r="M285" s="33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4" t="str">
        <f>IFERROR(__xludf.DUMMYFUNCTION("IF(Account!$F285&lt;&gt;"""", VALUE(REGEXREPLACE($I285, ""\,"", ""."")), """")"),"")</f>
        <v/>
      </c>
      <c r="O285" s="35" t="str">
        <f>IF(Account!$F285&lt;&gt;"", DATEVALUE(MID($A285,4,3) &amp; LEFT($A285,3) &amp; RIGHT($A285,4)) + TIMEVALUE($B285), "")</f>
        <v/>
      </c>
      <c r="P285" s="36" t="str">
        <f>IF(Account!$F285&lt;&gt;"", DATEVALUE(MID($C285,4,3) &amp; LEFT($C285,3) &amp; RIGHT($C285,4)), "")</f>
        <v/>
      </c>
      <c r="Q285" s="37" t="str">
        <f t="array" ref="Q285">IF($R285&lt;&gt;"",IFERROR(INDEX(ISIN!$B:$B,MATCH($R285,ISIN!$C:$C,0))),)</f>
        <v/>
      </c>
      <c r="R285" s="38" t="str">
        <f t="array" ref="R285">IF($E285&lt;&gt;""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7" t="str">
        <f t="shared" si="1"/>
        <v/>
      </c>
      <c r="T285" s="39" t="str">
        <f t="shared" si="2"/>
        <v/>
      </c>
      <c r="U285" s="40" t="str">
        <f t="shared" si="3"/>
        <v/>
      </c>
      <c r="V285" s="34" t="str">
        <f t="shared" si="4"/>
        <v/>
      </c>
      <c r="W285" s="41" t="str">
        <f>IFERROR(__xludf.DUMMYFUNCTION(" IF(Account!$F285&lt;&gt;"""", SPLIT(Account!$F285, "" ""), """")"),"")</f>
        <v/>
      </c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</row>
    <row r="286">
      <c r="A286" s="20"/>
      <c r="B286" s="20"/>
      <c r="C286" s="20"/>
      <c r="D286" s="20"/>
      <c r="E286" s="20"/>
      <c r="F286" s="21"/>
      <c r="G286" s="20"/>
      <c r="H286" s="20"/>
      <c r="I286" s="20"/>
      <c r="J286" s="20"/>
      <c r="K286" s="20"/>
      <c r="L286" s="21"/>
      <c r="M286" s="33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4" t="str">
        <f>IFERROR(__xludf.DUMMYFUNCTION("IF(Account!$F286&lt;&gt;"""", VALUE(REGEXREPLACE($I286, ""\,"", ""."")), """")"),"")</f>
        <v/>
      </c>
      <c r="O286" s="35" t="str">
        <f>IF(Account!$F286&lt;&gt;"", DATEVALUE(MID($A286,4,3) &amp; LEFT($A286,3) &amp; RIGHT($A286,4)) + TIMEVALUE($B286), "")</f>
        <v/>
      </c>
      <c r="P286" s="36" t="str">
        <f>IF(Account!$F286&lt;&gt;"", DATEVALUE(MID($C286,4,3) &amp; LEFT($C286,3) &amp; RIGHT($C286,4)), "")</f>
        <v/>
      </c>
      <c r="Q286" s="37" t="str">
        <f t="array" ref="Q286">IF($R286&lt;&gt;"",IFERROR(INDEX(ISIN!$B:$B,MATCH($R286,ISIN!$C:$C,0))),)</f>
        <v/>
      </c>
      <c r="R286" s="38" t="str">
        <f t="array" ref="R286">IF($E286&lt;&gt;""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7" t="str">
        <f t="shared" si="1"/>
        <v/>
      </c>
      <c r="T286" s="39" t="str">
        <f t="shared" si="2"/>
        <v/>
      </c>
      <c r="U286" s="40" t="str">
        <f t="shared" si="3"/>
        <v/>
      </c>
      <c r="V286" s="34" t="str">
        <f t="shared" si="4"/>
        <v/>
      </c>
      <c r="W286" s="41" t="str">
        <f>IFERROR(__xludf.DUMMYFUNCTION(" IF(Account!$F286&lt;&gt;"""", SPLIT(Account!$F286, "" ""), """")"),"")</f>
        <v/>
      </c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</row>
    <row r="287">
      <c r="A287" s="20"/>
      <c r="B287" s="20"/>
      <c r="C287" s="20"/>
      <c r="D287" s="20"/>
      <c r="E287" s="20"/>
      <c r="F287" s="21"/>
      <c r="G287" s="45"/>
      <c r="H287" s="20"/>
      <c r="I287" s="20"/>
      <c r="J287" s="20"/>
      <c r="K287" s="20"/>
      <c r="L287" s="21"/>
      <c r="M287" s="33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4" t="str">
        <f>IFERROR(__xludf.DUMMYFUNCTION("IF(Account!$F287&lt;&gt;"""", VALUE(REGEXREPLACE($I287, ""\,"", ""."")), """")"),"")</f>
        <v/>
      </c>
      <c r="O287" s="35" t="str">
        <f>IF(Account!$F287&lt;&gt;"", DATEVALUE(MID($A287,4,3) &amp; LEFT($A287,3) &amp; RIGHT($A287,4)) + TIMEVALUE($B287), "")</f>
        <v/>
      </c>
      <c r="P287" s="36" t="str">
        <f>IF(Account!$F287&lt;&gt;"", DATEVALUE(MID($C287,4,3) &amp; LEFT($C287,3) &amp; RIGHT($C287,4)), "")</f>
        <v/>
      </c>
      <c r="Q287" s="37" t="str">
        <f t="array" ref="Q287">IF($R287&lt;&gt;"",IFERROR(INDEX(ISIN!$B:$B,MATCH($R287,ISIN!$C:$C,0))),)</f>
        <v/>
      </c>
      <c r="R287" s="38" t="str">
        <f t="array" ref="R287">IF($E287&lt;&gt;""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7" t="str">
        <f t="shared" si="1"/>
        <v/>
      </c>
      <c r="T287" s="39" t="str">
        <f t="shared" si="2"/>
        <v/>
      </c>
      <c r="U287" s="40" t="str">
        <f t="shared" si="3"/>
        <v/>
      </c>
      <c r="V287" s="34" t="str">
        <f t="shared" si="4"/>
        <v/>
      </c>
      <c r="W287" s="41" t="str">
        <f>IFERROR(__xludf.DUMMYFUNCTION(" IF(Account!$F287&lt;&gt;"""", SPLIT(Account!$F287, "" ""), """")"),"")</f>
        <v/>
      </c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</row>
    <row r="288">
      <c r="A288" s="20"/>
      <c r="B288" s="20"/>
      <c r="C288" s="20"/>
      <c r="D288" s="20"/>
      <c r="E288" s="20"/>
      <c r="F288" s="21"/>
      <c r="G288" s="20"/>
      <c r="H288" s="20"/>
      <c r="I288" s="20"/>
      <c r="J288" s="20"/>
      <c r="K288" s="20"/>
      <c r="L288" s="21"/>
      <c r="M288" s="33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4" t="str">
        <f>IFERROR(__xludf.DUMMYFUNCTION("IF(Account!$F288&lt;&gt;"""", VALUE(REGEXREPLACE($I288, ""\,"", ""."")), """")"),"")</f>
        <v/>
      </c>
      <c r="O288" s="35" t="str">
        <f>IF(Account!$F288&lt;&gt;"", DATEVALUE(MID($A288,4,3) &amp; LEFT($A288,3) &amp; RIGHT($A288,4)) + TIMEVALUE($B288), "")</f>
        <v/>
      </c>
      <c r="P288" s="36" t="str">
        <f>IF(Account!$F288&lt;&gt;"", DATEVALUE(MID($C288,4,3) &amp; LEFT($C288,3) &amp; RIGHT($C288,4)), "")</f>
        <v/>
      </c>
      <c r="Q288" s="37" t="str">
        <f t="array" ref="Q288">IF($R288&lt;&gt;"",IFERROR(INDEX(ISIN!$B:$B,MATCH($R288,ISIN!$C:$C,0))),)</f>
        <v/>
      </c>
      <c r="R288" s="38" t="str">
        <f t="array" ref="R288">IF($E288&lt;&gt;""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7" t="str">
        <f t="shared" si="1"/>
        <v/>
      </c>
      <c r="T288" s="39" t="str">
        <f t="shared" si="2"/>
        <v/>
      </c>
      <c r="U288" s="40" t="str">
        <f t="shared" si="3"/>
        <v/>
      </c>
      <c r="V288" s="34" t="str">
        <f t="shared" si="4"/>
        <v/>
      </c>
      <c r="W288" s="41" t="str">
        <f>IFERROR(__xludf.DUMMYFUNCTION(" IF(Account!$F288&lt;&gt;"""", SPLIT(Account!$F288, "" ""), """")"),"")</f>
        <v/>
      </c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</row>
    <row r="289">
      <c r="A289" s="20"/>
      <c r="B289" s="20"/>
      <c r="C289" s="20"/>
      <c r="D289" s="20"/>
      <c r="E289" s="20"/>
      <c r="F289" s="21"/>
      <c r="G289" s="20"/>
      <c r="H289" s="20"/>
      <c r="I289" s="20"/>
      <c r="J289" s="20"/>
      <c r="K289" s="20"/>
      <c r="L289" s="21"/>
      <c r="M289" s="33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4" t="str">
        <f>IFERROR(__xludf.DUMMYFUNCTION("IF(Account!$F289&lt;&gt;"""", VALUE(REGEXREPLACE($I289, ""\,"", ""."")), """")"),"")</f>
        <v/>
      </c>
      <c r="O289" s="35" t="str">
        <f>IF(Account!$F289&lt;&gt;"", DATEVALUE(MID($A289,4,3) &amp; LEFT($A289,3) &amp; RIGHT($A289,4)) + TIMEVALUE($B289), "")</f>
        <v/>
      </c>
      <c r="P289" s="36" t="str">
        <f>IF(Account!$F289&lt;&gt;"", DATEVALUE(MID($C289,4,3) &amp; LEFT($C289,3) &amp; RIGHT($C289,4)), "")</f>
        <v/>
      </c>
      <c r="Q289" s="37" t="str">
        <f t="array" ref="Q289">IF($R289&lt;&gt;"",IFERROR(INDEX(ISIN!$B:$B,MATCH($R289,ISIN!$C:$C,0))),)</f>
        <v/>
      </c>
      <c r="R289" s="38" t="str">
        <f t="array" ref="R289">IF($E289&lt;&gt;""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7" t="str">
        <f t="shared" si="1"/>
        <v/>
      </c>
      <c r="T289" s="39" t="str">
        <f t="shared" si="2"/>
        <v/>
      </c>
      <c r="U289" s="40" t="str">
        <f t="shared" si="3"/>
        <v/>
      </c>
      <c r="V289" s="34" t="str">
        <f t="shared" si="4"/>
        <v/>
      </c>
      <c r="W289" s="41" t="str">
        <f>IFERROR(__xludf.DUMMYFUNCTION(" IF(Account!$F289&lt;&gt;"""", SPLIT(Account!$F289, "" ""), """")"),"")</f>
        <v/>
      </c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</row>
    <row r="290">
      <c r="A290" s="20"/>
      <c r="B290" s="20"/>
      <c r="C290" s="20"/>
      <c r="D290" s="20"/>
      <c r="E290" s="20"/>
      <c r="F290" s="21"/>
      <c r="G290" s="20"/>
      <c r="H290" s="20"/>
      <c r="I290" s="20"/>
      <c r="J290" s="20"/>
      <c r="K290" s="20"/>
      <c r="L290" s="21"/>
      <c r="M290" s="33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4" t="str">
        <f>IFERROR(__xludf.DUMMYFUNCTION("IF(Account!$F290&lt;&gt;"""", VALUE(REGEXREPLACE($I290, ""\,"", ""."")), """")"),"")</f>
        <v/>
      </c>
      <c r="O290" s="35" t="str">
        <f>IF(Account!$F290&lt;&gt;"", DATEVALUE(MID($A290,4,3) &amp; LEFT($A290,3) &amp; RIGHT($A290,4)) + TIMEVALUE($B290), "")</f>
        <v/>
      </c>
      <c r="P290" s="36" t="str">
        <f>IF(Account!$F290&lt;&gt;"", DATEVALUE(MID($C290,4,3) &amp; LEFT($C290,3) &amp; RIGHT($C290,4)), "")</f>
        <v/>
      </c>
      <c r="Q290" s="37" t="str">
        <f t="array" ref="Q290">IF($R290&lt;&gt;"",IFERROR(INDEX(ISIN!$B:$B,MATCH($R290,ISIN!$C:$C,0))),)</f>
        <v/>
      </c>
      <c r="R290" s="38" t="str">
        <f t="array" ref="R290">IF($E290&lt;&gt;""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7" t="str">
        <f t="shared" si="1"/>
        <v/>
      </c>
      <c r="T290" s="39" t="str">
        <f t="shared" si="2"/>
        <v/>
      </c>
      <c r="U290" s="40" t="str">
        <f t="shared" si="3"/>
        <v/>
      </c>
      <c r="V290" s="34" t="str">
        <f t="shared" si="4"/>
        <v/>
      </c>
      <c r="W290" s="41" t="str">
        <f>IFERROR(__xludf.DUMMYFUNCTION(" IF(Account!$F290&lt;&gt;"""", SPLIT(Account!$F290, "" ""), """")"),"")</f>
        <v/>
      </c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</row>
    <row r="291">
      <c r="A291" s="20"/>
      <c r="B291" s="20"/>
      <c r="C291" s="20"/>
      <c r="D291" s="20"/>
      <c r="E291" s="20"/>
      <c r="F291" s="21"/>
      <c r="G291" s="45"/>
      <c r="H291" s="20"/>
      <c r="I291" s="20"/>
      <c r="J291" s="20"/>
      <c r="K291" s="20"/>
      <c r="L291" s="21"/>
      <c r="M291" s="33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4" t="str">
        <f>IFERROR(__xludf.DUMMYFUNCTION("IF(Account!$F291&lt;&gt;"""", VALUE(REGEXREPLACE($I291, ""\,"", ""."")), """")"),"")</f>
        <v/>
      </c>
      <c r="O291" s="35" t="str">
        <f>IF(Account!$F291&lt;&gt;"", DATEVALUE(MID($A291,4,3) &amp; LEFT($A291,3) &amp; RIGHT($A291,4)) + TIMEVALUE($B291), "")</f>
        <v/>
      </c>
      <c r="P291" s="36" t="str">
        <f>IF(Account!$F291&lt;&gt;"", DATEVALUE(MID($C291,4,3) &amp; LEFT($C291,3) &amp; RIGHT($C291,4)), "")</f>
        <v/>
      </c>
      <c r="Q291" s="37" t="str">
        <f t="array" ref="Q291">IF($R291&lt;&gt;"",IFERROR(INDEX(ISIN!$B:$B,MATCH($R291,ISIN!$C:$C,0))),)</f>
        <v/>
      </c>
      <c r="R291" s="38" t="str">
        <f t="array" ref="R291">IF($E291&lt;&gt;""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7" t="str">
        <f t="shared" si="1"/>
        <v/>
      </c>
      <c r="T291" s="39" t="str">
        <f t="shared" si="2"/>
        <v/>
      </c>
      <c r="U291" s="40" t="str">
        <f t="shared" si="3"/>
        <v/>
      </c>
      <c r="V291" s="34" t="str">
        <f t="shared" si="4"/>
        <v/>
      </c>
      <c r="W291" s="41" t="str">
        <f>IFERROR(__xludf.DUMMYFUNCTION(" IF(Account!$F291&lt;&gt;"""", SPLIT(Account!$F291, "" ""), """")"),"")</f>
        <v/>
      </c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</row>
    <row r="292">
      <c r="A292" s="20"/>
      <c r="B292" s="20"/>
      <c r="C292" s="20"/>
      <c r="D292" s="20"/>
      <c r="E292" s="20"/>
      <c r="F292" s="21"/>
      <c r="G292" s="20"/>
      <c r="H292" s="20"/>
      <c r="I292" s="20"/>
      <c r="J292" s="20"/>
      <c r="K292" s="20"/>
      <c r="L292" s="21"/>
      <c r="M292" s="33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4" t="str">
        <f>IFERROR(__xludf.DUMMYFUNCTION("IF(Account!$F292&lt;&gt;"""", VALUE(REGEXREPLACE($I292, ""\,"", ""."")), """")"),"")</f>
        <v/>
      </c>
      <c r="O292" s="35" t="str">
        <f>IF(Account!$F292&lt;&gt;"", DATEVALUE(MID($A292,4,3) &amp; LEFT($A292,3) &amp; RIGHT($A292,4)) + TIMEVALUE($B292), "")</f>
        <v/>
      </c>
      <c r="P292" s="36" t="str">
        <f>IF(Account!$F292&lt;&gt;"", DATEVALUE(MID($C292,4,3) &amp; LEFT($C292,3) &amp; RIGHT($C292,4)), "")</f>
        <v/>
      </c>
      <c r="Q292" s="37" t="str">
        <f t="array" ref="Q292">IF($R292&lt;&gt;"",IFERROR(INDEX(ISIN!$B:$B,MATCH($R292,ISIN!$C:$C,0))),)</f>
        <v/>
      </c>
      <c r="R292" s="38" t="str">
        <f t="array" ref="R292">IF($E292&lt;&gt;""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7" t="str">
        <f t="shared" si="1"/>
        <v/>
      </c>
      <c r="T292" s="39" t="str">
        <f t="shared" si="2"/>
        <v/>
      </c>
      <c r="U292" s="40" t="str">
        <f t="shared" si="3"/>
        <v/>
      </c>
      <c r="V292" s="34" t="str">
        <f t="shared" si="4"/>
        <v/>
      </c>
      <c r="W292" s="41" t="str">
        <f>IFERROR(__xludf.DUMMYFUNCTION(" IF(Account!$F292&lt;&gt;"""", SPLIT(Account!$F292, "" ""), """")"),"")</f>
        <v/>
      </c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</row>
    <row r="293">
      <c r="A293" s="20"/>
      <c r="B293" s="20"/>
      <c r="C293" s="20"/>
      <c r="D293" s="20"/>
      <c r="E293" s="20"/>
      <c r="F293" s="21"/>
      <c r="G293" s="45"/>
      <c r="H293" s="20"/>
      <c r="I293" s="20"/>
      <c r="J293" s="20"/>
      <c r="K293" s="20"/>
      <c r="L293" s="21"/>
      <c r="M293" s="33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4" t="str">
        <f>IFERROR(__xludf.DUMMYFUNCTION("IF(Account!$F293&lt;&gt;"""", VALUE(REGEXREPLACE($I293, ""\,"", ""."")), """")"),"")</f>
        <v/>
      </c>
      <c r="O293" s="35" t="str">
        <f>IF(Account!$F293&lt;&gt;"", DATEVALUE(MID($A293,4,3) &amp; LEFT($A293,3) &amp; RIGHT($A293,4)) + TIMEVALUE($B293), "")</f>
        <v/>
      </c>
      <c r="P293" s="36" t="str">
        <f>IF(Account!$F293&lt;&gt;"", DATEVALUE(MID($C293,4,3) &amp; LEFT($C293,3) &amp; RIGHT($C293,4)), "")</f>
        <v/>
      </c>
      <c r="Q293" s="37" t="str">
        <f t="array" ref="Q293">IF($R293&lt;&gt;"",IFERROR(INDEX(ISIN!$B:$B,MATCH($R293,ISIN!$C:$C,0))),)</f>
        <v/>
      </c>
      <c r="R293" s="38" t="str">
        <f t="array" ref="R293">IF($E293&lt;&gt;""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7" t="str">
        <f t="shared" si="1"/>
        <v/>
      </c>
      <c r="T293" s="39" t="str">
        <f t="shared" si="2"/>
        <v/>
      </c>
      <c r="U293" s="40" t="str">
        <f t="shared" si="3"/>
        <v/>
      </c>
      <c r="V293" s="34" t="str">
        <f t="shared" si="4"/>
        <v/>
      </c>
      <c r="W293" s="41" t="str">
        <f>IFERROR(__xludf.DUMMYFUNCTION(" IF(Account!$F293&lt;&gt;"""", SPLIT(Account!$F293, "" ""), """")"),"")</f>
        <v/>
      </c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</row>
    <row r="294">
      <c r="A294" s="20"/>
      <c r="B294" s="20"/>
      <c r="C294" s="20"/>
      <c r="D294" s="20"/>
      <c r="E294" s="20"/>
      <c r="F294" s="21"/>
      <c r="G294" s="20"/>
      <c r="H294" s="20"/>
      <c r="I294" s="20"/>
      <c r="J294" s="20"/>
      <c r="K294" s="20"/>
      <c r="L294" s="21"/>
      <c r="M294" s="33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4" t="str">
        <f>IFERROR(__xludf.DUMMYFUNCTION("IF(Account!$F294&lt;&gt;"""", VALUE(REGEXREPLACE($I294, ""\,"", ""."")), """")"),"")</f>
        <v/>
      </c>
      <c r="O294" s="35" t="str">
        <f>IF(Account!$F294&lt;&gt;"", DATEVALUE(MID($A294,4,3) &amp; LEFT($A294,3) &amp; RIGHT($A294,4)) + TIMEVALUE($B294), "")</f>
        <v/>
      </c>
      <c r="P294" s="36" t="str">
        <f>IF(Account!$F294&lt;&gt;"", DATEVALUE(MID($C294,4,3) &amp; LEFT($C294,3) &amp; RIGHT($C294,4)), "")</f>
        <v/>
      </c>
      <c r="Q294" s="37" t="str">
        <f t="array" ref="Q294">IF($R294&lt;&gt;"",IFERROR(INDEX(ISIN!$B:$B,MATCH($R294,ISIN!$C:$C,0))),)</f>
        <v/>
      </c>
      <c r="R294" s="38" t="str">
        <f t="array" ref="R294">IF($E294&lt;&gt;""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7" t="str">
        <f t="shared" si="1"/>
        <v/>
      </c>
      <c r="T294" s="39" t="str">
        <f t="shared" si="2"/>
        <v/>
      </c>
      <c r="U294" s="40" t="str">
        <f t="shared" si="3"/>
        <v/>
      </c>
      <c r="V294" s="34" t="str">
        <f t="shared" si="4"/>
        <v/>
      </c>
      <c r="W294" s="41" t="str">
        <f>IFERROR(__xludf.DUMMYFUNCTION(" IF(Account!$F294&lt;&gt;"""", SPLIT(Account!$F294, "" ""), """")"),"")</f>
        <v/>
      </c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</row>
    <row r="295">
      <c r="A295" s="20"/>
      <c r="B295" s="20"/>
      <c r="C295" s="20"/>
      <c r="D295" s="20"/>
      <c r="E295" s="20"/>
      <c r="F295" s="21"/>
      <c r="G295" s="20"/>
      <c r="H295" s="20"/>
      <c r="I295" s="20"/>
      <c r="J295" s="20"/>
      <c r="K295" s="20"/>
      <c r="L295" s="21"/>
      <c r="M295" s="33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4" t="str">
        <f>IFERROR(__xludf.DUMMYFUNCTION("IF(Account!$F295&lt;&gt;"""", VALUE(REGEXREPLACE($I295, ""\,"", ""."")), """")"),"")</f>
        <v/>
      </c>
      <c r="O295" s="35" t="str">
        <f>IF(Account!$F295&lt;&gt;"", DATEVALUE(MID($A295,4,3) &amp; LEFT($A295,3) &amp; RIGHT($A295,4)) + TIMEVALUE($B295), "")</f>
        <v/>
      </c>
      <c r="P295" s="36" t="str">
        <f>IF(Account!$F295&lt;&gt;"", DATEVALUE(MID($C295,4,3) &amp; LEFT($C295,3) &amp; RIGHT($C295,4)), "")</f>
        <v/>
      </c>
      <c r="Q295" s="37" t="str">
        <f t="array" ref="Q295">IF($R295&lt;&gt;"",IFERROR(INDEX(ISIN!$B:$B,MATCH($R295,ISIN!$C:$C,0))),)</f>
        <v/>
      </c>
      <c r="R295" s="38" t="str">
        <f t="array" ref="R295">IF($E295&lt;&gt;""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7" t="str">
        <f t="shared" si="1"/>
        <v/>
      </c>
      <c r="T295" s="39" t="str">
        <f t="shared" si="2"/>
        <v/>
      </c>
      <c r="U295" s="40" t="str">
        <f t="shared" si="3"/>
        <v/>
      </c>
      <c r="V295" s="34" t="str">
        <f t="shared" si="4"/>
        <v/>
      </c>
      <c r="W295" s="41" t="str">
        <f>IFERROR(__xludf.DUMMYFUNCTION(" IF(Account!$F295&lt;&gt;"""", SPLIT(Account!$F295, "" ""), """")"),"")</f>
        <v/>
      </c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</row>
    <row r="296">
      <c r="A296" s="20"/>
      <c r="B296" s="20"/>
      <c r="C296" s="20"/>
      <c r="D296" s="20"/>
      <c r="E296" s="20"/>
      <c r="F296" s="21"/>
      <c r="G296" s="20"/>
      <c r="H296" s="20"/>
      <c r="I296" s="20"/>
      <c r="J296" s="20"/>
      <c r="K296" s="20"/>
      <c r="L296" s="21"/>
      <c r="M296" s="33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4" t="str">
        <f>IFERROR(__xludf.DUMMYFUNCTION("IF(Account!$F296&lt;&gt;"""", VALUE(REGEXREPLACE($I296, ""\,"", ""."")), """")"),"")</f>
        <v/>
      </c>
      <c r="O296" s="35" t="str">
        <f>IF(Account!$F296&lt;&gt;"", DATEVALUE(MID($A296,4,3) &amp; LEFT($A296,3) &amp; RIGHT($A296,4)) + TIMEVALUE($B296), "")</f>
        <v/>
      </c>
      <c r="P296" s="36" t="str">
        <f>IF(Account!$F296&lt;&gt;"", DATEVALUE(MID($C296,4,3) &amp; LEFT($C296,3) &amp; RIGHT($C296,4)), "")</f>
        <v/>
      </c>
      <c r="Q296" s="37" t="str">
        <f t="array" ref="Q296">IF($R296&lt;&gt;"",IFERROR(INDEX(ISIN!$B:$B,MATCH($R296,ISIN!$C:$C,0))),)</f>
        <v/>
      </c>
      <c r="R296" s="38" t="str">
        <f t="array" ref="R296">IF($E296&lt;&gt;""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7" t="str">
        <f t="shared" si="1"/>
        <v/>
      </c>
      <c r="T296" s="39" t="str">
        <f t="shared" si="2"/>
        <v/>
      </c>
      <c r="U296" s="40" t="str">
        <f t="shared" si="3"/>
        <v/>
      </c>
      <c r="V296" s="34" t="str">
        <f t="shared" si="4"/>
        <v/>
      </c>
      <c r="W296" s="41" t="str">
        <f>IFERROR(__xludf.DUMMYFUNCTION(" IF(Account!$F296&lt;&gt;"""", SPLIT(Account!$F296, "" ""), """")"),"")</f>
        <v/>
      </c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</row>
    <row r="297">
      <c r="A297" s="20"/>
      <c r="B297" s="20"/>
      <c r="C297" s="20"/>
      <c r="D297" s="20"/>
      <c r="E297" s="20"/>
      <c r="F297" s="21"/>
      <c r="G297" s="45"/>
      <c r="H297" s="20"/>
      <c r="I297" s="20"/>
      <c r="J297" s="20"/>
      <c r="K297" s="20"/>
      <c r="L297" s="21"/>
      <c r="M297" s="33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4" t="str">
        <f>IFERROR(__xludf.DUMMYFUNCTION("IF(Account!$F297&lt;&gt;"""", VALUE(REGEXREPLACE($I297, ""\,"", ""."")), """")"),"")</f>
        <v/>
      </c>
      <c r="O297" s="35" t="str">
        <f>IF(Account!$F297&lt;&gt;"", DATEVALUE(MID($A297,4,3) &amp; LEFT($A297,3) &amp; RIGHT($A297,4)) + TIMEVALUE($B297), "")</f>
        <v/>
      </c>
      <c r="P297" s="36" t="str">
        <f>IF(Account!$F297&lt;&gt;"", DATEVALUE(MID($C297,4,3) &amp; LEFT($C297,3) &amp; RIGHT($C297,4)), "")</f>
        <v/>
      </c>
      <c r="Q297" s="37" t="str">
        <f t="array" ref="Q297">IF($R297&lt;&gt;"",IFERROR(INDEX(ISIN!$B:$B,MATCH($R297,ISIN!$C:$C,0))),)</f>
        <v/>
      </c>
      <c r="R297" s="38" t="str">
        <f t="array" ref="R297">IF($E297&lt;&gt;""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7" t="str">
        <f t="shared" si="1"/>
        <v/>
      </c>
      <c r="T297" s="39" t="str">
        <f t="shared" si="2"/>
        <v/>
      </c>
      <c r="U297" s="40" t="str">
        <f t="shared" si="3"/>
        <v/>
      </c>
      <c r="V297" s="34" t="str">
        <f t="shared" si="4"/>
        <v/>
      </c>
      <c r="W297" s="41" t="str">
        <f>IFERROR(__xludf.DUMMYFUNCTION(" IF(Account!$F297&lt;&gt;"""", SPLIT(Account!$F297, "" ""), """")"),"")</f>
        <v/>
      </c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</row>
    <row r="298">
      <c r="A298" s="20"/>
      <c r="B298" s="20"/>
      <c r="C298" s="20"/>
      <c r="D298" s="20"/>
      <c r="E298" s="20"/>
      <c r="F298" s="21"/>
      <c r="G298" s="20"/>
      <c r="H298" s="20"/>
      <c r="I298" s="20"/>
      <c r="J298" s="20"/>
      <c r="K298" s="20"/>
      <c r="L298" s="21"/>
      <c r="M298" s="33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4" t="str">
        <f>IFERROR(__xludf.DUMMYFUNCTION("IF(Account!$F298&lt;&gt;"""", VALUE(REGEXREPLACE($I298, ""\,"", ""."")), """")"),"")</f>
        <v/>
      </c>
      <c r="O298" s="35" t="str">
        <f>IF(Account!$F298&lt;&gt;"", DATEVALUE(MID($A298,4,3) &amp; LEFT($A298,3) &amp; RIGHT($A298,4)) + TIMEVALUE($B298), "")</f>
        <v/>
      </c>
      <c r="P298" s="36" t="str">
        <f>IF(Account!$F298&lt;&gt;"", DATEVALUE(MID($C298,4,3) &amp; LEFT($C298,3) &amp; RIGHT($C298,4)), "")</f>
        <v/>
      </c>
      <c r="Q298" s="37" t="str">
        <f t="array" ref="Q298">IF($R298&lt;&gt;"",IFERROR(INDEX(ISIN!$B:$B,MATCH($R298,ISIN!$C:$C,0))),)</f>
        <v/>
      </c>
      <c r="R298" s="38" t="str">
        <f t="array" ref="R298">IF($E298&lt;&gt;""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7" t="str">
        <f t="shared" si="1"/>
        <v/>
      </c>
      <c r="T298" s="39" t="str">
        <f t="shared" si="2"/>
        <v/>
      </c>
      <c r="U298" s="40" t="str">
        <f t="shared" si="3"/>
        <v/>
      </c>
      <c r="V298" s="34" t="str">
        <f t="shared" si="4"/>
        <v/>
      </c>
      <c r="W298" s="41" t="str">
        <f>IFERROR(__xludf.DUMMYFUNCTION(" IF(Account!$F298&lt;&gt;"""", SPLIT(Account!$F298, "" ""), """")"),"")</f>
        <v/>
      </c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</row>
    <row r="299">
      <c r="A299" s="20"/>
      <c r="B299" s="20"/>
      <c r="C299" s="20"/>
      <c r="D299" s="20"/>
      <c r="E299" s="20"/>
      <c r="F299" s="21"/>
      <c r="G299" s="45"/>
      <c r="H299" s="20"/>
      <c r="I299" s="20"/>
      <c r="J299" s="20"/>
      <c r="K299" s="20"/>
      <c r="L299" s="21"/>
      <c r="M299" s="33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4" t="str">
        <f>IFERROR(__xludf.DUMMYFUNCTION("IF(Account!$F299&lt;&gt;"""", VALUE(REGEXREPLACE($I299, ""\,"", ""."")), """")"),"")</f>
        <v/>
      </c>
      <c r="O299" s="35" t="str">
        <f>IF(Account!$F299&lt;&gt;"", DATEVALUE(MID($A299,4,3) &amp; LEFT($A299,3) &amp; RIGHT($A299,4)) + TIMEVALUE($B299), "")</f>
        <v/>
      </c>
      <c r="P299" s="36" t="str">
        <f>IF(Account!$F299&lt;&gt;"", DATEVALUE(MID($C299,4,3) &amp; LEFT($C299,3) &amp; RIGHT($C299,4)), "")</f>
        <v/>
      </c>
      <c r="Q299" s="37" t="str">
        <f t="array" ref="Q299">IF($R299&lt;&gt;"",IFERROR(INDEX(ISIN!$B:$B,MATCH($R299,ISIN!$C:$C,0))),)</f>
        <v/>
      </c>
      <c r="R299" s="38" t="str">
        <f t="array" ref="R299">IF($E299&lt;&gt;""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7" t="str">
        <f t="shared" si="1"/>
        <v/>
      </c>
      <c r="T299" s="39" t="str">
        <f t="shared" si="2"/>
        <v/>
      </c>
      <c r="U299" s="40" t="str">
        <f t="shared" si="3"/>
        <v/>
      </c>
      <c r="V299" s="34" t="str">
        <f t="shared" si="4"/>
        <v/>
      </c>
      <c r="W299" s="41" t="str">
        <f>IFERROR(__xludf.DUMMYFUNCTION(" IF(Account!$F299&lt;&gt;"""", SPLIT(Account!$F299, "" ""), """")"),"")</f>
        <v/>
      </c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</row>
    <row r="300">
      <c r="A300" s="20"/>
      <c r="B300" s="20"/>
      <c r="C300" s="20"/>
      <c r="D300" s="20"/>
      <c r="E300" s="20"/>
      <c r="F300" s="21"/>
      <c r="G300" s="20"/>
      <c r="H300" s="20"/>
      <c r="I300" s="20"/>
      <c r="J300" s="20"/>
      <c r="K300" s="20"/>
      <c r="L300" s="21"/>
      <c r="M300" s="33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4" t="str">
        <f>IFERROR(__xludf.DUMMYFUNCTION("IF(Account!$F300&lt;&gt;"""", VALUE(REGEXREPLACE($I300, ""\,"", ""."")), """")"),"")</f>
        <v/>
      </c>
      <c r="O300" s="35" t="str">
        <f>IF(Account!$F300&lt;&gt;"", DATEVALUE(MID($A300,4,3) &amp; LEFT($A300,3) &amp; RIGHT($A300,4)) + TIMEVALUE($B300), "")</f>
        <v/>
      </c>
      <c r="P300" s="36" t="str">
        <f>IF(Account!$F300&lt;&gt;"", DATEVALUE(MID($C300,4,3) &amp; LEFT($C300,3) &amp; RIGHT($C300,4)), "")</f>
        <v/>
      </c>
      <c r="Q300" s="37" t="str">
        <f t="array" ref="Q300">IF($R300&lt;&gt;"",IFERROR(INDEX(ISIN!$B:$B,MATCH($R300,ISIN!$C:$C,0))),)</f>
        <v/>
      </c>
      <c r="R300" s="38" t="str">
        <f t="array" ref="R300">IF($E300&lt;&gt;""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7" t="str">
        <f t="shared" si="1"/>
        <v/>
      </c>
      <c r="T300" s="39" t="str">
        <f t="shared" si="2"/>
        <v/>
      </c>
      <c r="U300" s="40" t="str">
        <f t="shared" si="3"/>
        <v/>
      </c>
      <c r="V300" s="34" t="str">
        <f t="shared" si="4"/>
        <v/>
      </c>
      <c r="W300" s="41" t="str">
        <f>IFERROR(__xludf.DUMMYFUNCTION(" IF(Account!$F300&lt;&gt;"""", SPLIT(Account!$F300, "" ""), """")"),"")</f>
        <v/>
      </c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</row>
    <row r="301">
      <c r="A301" s="20"/>
      <c r="B301" s="20"/>
      <c r="C301" s="20"/>
      <c r="D301" s="20"/>
      <c r="E301" s="20"/>
      <c r="F301" s="21"/>
      <c r="G301" s="45"/>
      <c r="H301" s="20"/>
      <c r="I301" s="20"/>
      <c r="J301" s="20"/>
      <c r="K301" s="20"/>
      <c r="L301" s="21"/>
      <c r="M301" s="33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4" t="str">
        <f>IFERROR(__xludf.DUMMYFUNCTION("IF(Account!$F301&lt;&gt;"""", VALUE(REGEXREPLACE($I301, ""\,"", ""."")), """")"),"")</f>
        <v/>
      </c>
      <c r="O301" s="35" t="str">
        <f>IF(Account!$F301&lt;&gt;"", DATEVALUE(MID($A301,4,3) &amp; LEFT($A301,3) &amp; RIGHT($A301,4)) + TIMEVALUE($B301), "")</f>
        <v/>
      </c>
      <c r="P301" s="36" t="str">
        <f>IF(Account!$F301&lt;&gt;"", DATEVALUE(MID($C301,4,3) &amp; LEFT($C301,3) &amp; RIGHT($C301,4)), "")</f>
        <v/>
      </c>
      <c r="Q301" s="37" t="str">
        <f t="array" ref="Q301">IF($R301&lt;&gt;"",IFERROR(INDEX(ISIN!$B:$B,MATCH($R301,ISIN!$C:$C,0))),)</f>
        <v/>
      </c>
      <c r="R301" s="38" t="str">
        <f t="array" ref="R301">IF($E301&lt;&gt;""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7" t="str">
        <f t="shared" si="1"/>
        <v/>
      </c>
      <c r="T301" s="39" t="str">
        <f t="shared" si="2"/>
        <v/>
      </c>
      <c r="U301" s="40" t="str">
        <f t="shared" si="3"/>
        <v/>
      </c>
      <c r="V301" s="34" t="str">
        <f t="shared" si="4"/>
        <v/>
      </c>
      <c r="W301" s="41" t="str">
        <f>IFERROR(__xludf.DUMMYFUNCTION(" IF(Account!$F301&lt;&gt;"""", SPLIT(Account!$F301, "" ""), """")"),"")</f>
        <v/>
      </c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</row>
    <row r="302">
      <c r="A302" s="20"/>
      <c r="B302" s="20"/>
      <c r="C302" s="20"/>
      <c r="D302" s="20"/>
      <c r="E302" s="20"/>
      <c r="F302" s="21"/>
      <c r="G302" s="20"/>
      <c r="H302" s="20"/>
      <c r="I302" s="20"/>
      <c r="J302" s="20"/>
      <c r="K302" s="20"/>
      <c r="L302" s="21"/>
      <c r="M302" s="33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4" t="str">
        <f>IFERROR(__xludf.DUMMYFUNCTION("IF(Account!$F302&lt;&gt;"""", VALUE(REGEXREPLACE($I302, ""\,"", ""."")), """")"),"")</f>
        <v/>
      </c>
      <c r="O302" s="35" t="str">
        <f>IF(Account!$F302&lt;&gt;"", DATEVALUE(MID($A302,4,3) &amp; LEFT($A302,3) &amp; RIGHT($A302,4)) + TIMEVALUE($B302), "")</f>
        <v/>
      </c>
      <c r="P302" s="36" t="str">
        <f>IF(Account!$F302&lt;&gt;"", DATEVALUE(MID($C302,4,3) &amp; LEFT($C302,3) &amp; RIGHT($C302,4)), "")</f>
        <v/>
      </c>
      <c r="Q302" s="37" t="str">
        <f t="array" ref="Q302">IF($R302&lt;&gt;"",IFERROR(INDEX(ISIN!$B:$B,MATCH($R302,ISIN!$C:$C,0))),)</f>
        <v/>
      </c>
      <c r="R302" s="38" t="str">
        <f t="array" ref="R302">IF($E302&lt;&gt;""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7" t="str">
        <f t="shared" si="1"/>
        <v/>
      </c>
      <c r="T302" s="39" t="str">
        <f t="shared" si="2"/>
        <v/>
      </c>
      <c r="U302" s="40" t="str">
        <f t="shared" si="3"/>
        <v/>
      </c>
      <c r="V302" s="34" t="str">
        <f t="shared" si="4"/>
        <v/>
      </c>
      <c r="W302" s="41" t="str">
        <f>IFERROR(__xludf.DUMMYFUNCTION(" IF(Account!$F302&lt;&gt;"""", SPLIT(Account!$F302, "" ""), """")"),"")</f>
        <v/>
      </c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</row>
    <row r="303">
      <c r="A303" s="20"/>
      <c r="B303" s="20"/>
      <c r="C303" s="20"/>
      <c r="D303" s="20"/>
      <c r="E303" s="20"/>
      <c r="F303" s="21"/>
      <c r="G303" s="45"/>
      <c r="H303" s="20"/>
      <c r="I303" s="20"/>
      <c r="J303" s="20"/>
      <c r="K303" s="20"/>
      <c r="L303" s="21"/>
      <c r="M303" s="33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4" t="str">
        <f>IFERROR(__xludf.DUMMYFUNCTION("IF(Account!$F303&lt;&gt;"""", VALUE(REGEXREPLACE($I303, ""\,"", ""."")), """")"),"")</f>
        <v/>
      </c>
      <c r="O303" s="35" t="str">
        <f>IF(Account!$F303&lt;&gt;"", DATEVALUE(MID($A303,4,3) &amp; LEFT($A303,3) &amp; RIGHT($A303,4)) + TIMEVALUE($B303), "")</f>
        <v/>
      </c>
      <c r="P303" s="36" t="str">
        <f>IF(Account!$F303&lt;&gt;"", DATEVALUE(MID($C303,4,3) &amp; LEFT($C303,3) &amp; RIGHT($C303,4)), "")</f>
        <v/>
      </c>
      <c r="Q303" s="37" t="str">
        <f t="array" ref="Q303">IF($R303&lt;&gt;"",IFERROR(INDEX(ISIN!$B:$B,MATCH($R303,ISIN!$C:$C,0))),)</f>
        <v/>
      </c>
      <c r="R303" s="38" t="str">
        <f t="array" ref="R303">IF($E303&lt;&gt;""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7" t="str">
        <f t="shared" si="1"/>
        <v/>
      </c>
      <c r="T303" s="39" t="str">
        <f t="shared" si="2"/>
        <v/>
      </c>
      <c r="U303" s="40" t="str">
        <f t="shared" si="3"/>
        <v/>
      </c>
      <c r="V303" s="34" t="str">
        <f t="shared" si="4"/>
        <v/>
      </c>
      <c r="W303" s="41" t="str">
        <f>IFERROR(__xludf.DUMMYFUNCTION(" IF(Account!$F303&lt;&gt;"""", SPLIT(Account!$F303, "" ""), """")"),"")</f>
        <v/>
      </c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</row>
    <row r="304">
      <c r="A304" s="20"/>
      <c r="B304" s="20"/>
      <c r="C304" s="20"/>
      <c r="D304" s="20"/>
      <c r="E304" s="20"/>
      <c r="F304" s="21"/>
      <c r="G304" s="20"/>
      <c r="H304" s="20"/>
      <c r="I304" s="20"/>
      <c r="J304" s="20"/>
      <c r="K304" s="20"/>
      <c r="L304" s="21"/>
      <c r="M304" s="33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4" t="str">
        <f>IFERROR(__xludf.DUMMYFUNCTION("IF(Account!$F304&lt;&gt;"""", VALUE(REGEXREPLACE($I304, ""\,"", ""."")), """")"),"")</f>
        <v/>
      </c>
      <c r="O304" s="35" t="str">
        <f>IF(Account!$F304&lt;&gt;"", DATEVALUE(MID($A304,4,3) &amp; LEFT($A304,3) &amp; RIGHT($A304,4)) + TIMEVALUE($B304), "")</f>
        <v/>
      </c>
      <c r="P304" s="36" t="str">
        <f>IF(Account!$F304&lt;&gt;"", DATEVALUE(MID($C304,4,3) &amp; LEFT($C304,3) &amp; RIGHT($C304,4)), "")</f>
        <v/>
      </c>
      <c r="Q304" s="37" t="str">
        <f t="array" ref="Q304">IF($R304&lt;&gt;"",IFERROR(INDEX(ISIN!$B:$B,MATCH($R304,ISIN!$C:$C,0))),)</f>
        <v/>
      </c>
      <c r="R304" s="38" t="str">
        <f t="array" ref="R304">IF($E304&lt;&gt;""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7" t="str">
        <f t="shared" si="1"/>
        <v/>
      </c>
      <c r="T304" s="39" t="str">
        <f t="shared" si="2"/>
        <v/>
      </c>
      <c r="U304" s="40" t="str">
        <f t="shared" si="3"/>
        <v/>
      </c>
      <c r="V304" s="34" t="str">
        <f t="shared" si="4"/>
        <v/>
      </c>
      <c r="W304" s="41" t="str">
        <f>IFERROR(__xludf.DUMMYFUNCTION(" IF(Account!$F304&lt;&gt;"""", SPLIT(Account!$F304, "" ""), """")"),"")</f>
        <v/>
      </c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</row>
    <row r="305">
      <c r="A305" s="20"/>
      <c r="B305" s="20"/>
      <c r="C305" s="20"/>
      <c r="D305" s="20"/>
      <c r="E305" s="20"/>
      <c r="F305" s="21"/>
      <c r="G305" s="45"/>
      <c r="H305" s="20"/>
      <c r="I305" s="20"/>
      <c r="J305" s="20"/>
      <c r="K305" s="20"/>
      <c r="L305" s="21"/>
      <c r="M305" s="33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4" t="str">
        <f>IFERROR(__xludf.DUMMYFUNCTION("IF(Account!$F305&lt;&gt;"""", VALUE(REGEXREPLACE($I305, ""\,"", ""."")), """")"),"")</f>
        <v/>
      </c>
      <c r="O305" s="35" t="str">
        <f>IF(Account!$F305&lt;&gt;"", DATEVALUE(MID($A305,4,3) &amp; LEFT($A305,3) &amp; RIGHT($A305,4)) + TIMEVALUE($B305), "")</f>
        <v/>
      </c>
      <c r="P305" s="36" t="str">
        <f>IF(Account!$F305&lt;&gt;"", DATEVALUE(MID($C305,4,3) &amp; LEFT($C305,3) &amp; RIGHT($C305,4)), "")</f>
        <v/>
      </c>
      <c r="Q305" s="37" t="str">
        <f t="array" ref="Q305">IF($R305&lt;&gt;"",IFERROR(INDEX(ISIN!$B:$B,MATCH($R305,ISIN!$C:$C,0))),)</f>
        <v/>
      </c>
      <c r="R305" s="38" t="str">
        <f t="array" ref="R305">IF($E305&lt;&gt;""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7" t="str">
        <f t="shared" si="1"/>
        <v/>
      </c>
      <c r="T305" s="39" t="str">
        <f t="shared" si="2"/>
        <v/>
      </c>
      <c r="U305" s="40" t="str">
        <f t="shared" si="3"/>
        <v/>
      </c>
      <c r="V305" s="34" t="str">
        <f t="shared" si="4"/>
        <v/>
      </c>
      <c r="W305" s="41" t="str">
        <f>IFERROR(__xludf.DUMMYFUNCTION(" IF(Account!$F305&lt;&gt;"""", SPLIT(Account!$F305, "" ""), """")"),"")</f>
        <v/>
      </c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</row>
    <row r="306">
      <c r="A306" s="20"/>
      <c r="B306" s="20"/>
      <c r="C306" s="20"/>
      <c r="D306" s="20"/>
      <c r="E306" s="20"/>
      <c r="F306" s="21"/>
      <c r="G306" s="20"/>
      <c r="H306" s="20"/>
      <c r="I306" s="20"/>
      <c r="J306" s="20"/>
      <c r="K306" s="20"/>
      <c r="L306" s="21"/>
      <c r="M306" s="33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4" t="str">
        <f>IFERROR(__xludf.DUMMYFUNCTION("IF(Account!$F306&lt;&gt;"""", VALUE(REGEXREPLACE($I306, ""\,"", ""."")), """")"),"")</f>
        <v/>
      </c>
      <c r="O306" s="35" t="str">
        <f>IF(Account!$F306&lt;&gt;"", DATEVALUE(MID($A306,4,3) &amp; LEFT($A306,3) &amp; RIGHT($A306,4)) + TIMEVALUE($B306), "")</f>
        <v/>
      </c>
      <c r="P306" s="36" t="str">
        <f>IF(Account!$F306&lt;&gt;"", DATEVALUE(MID($C306,4,3) &amp; LEFT($C306,3) &amp; RIGHT($C306,4)), "")</f>
        <v/>
      </c>
      <c r="Q306" s="37" t="str">
        <f t="array" ref="Q306">IF($R306&lt;&gt;"",IFERROR(INDEX(ISIN!$B:$B,MATCH($R306,ISIN!$C:$C,0))),)</f>
        <v/>
      </c>
      <c r="R306" s="38" t="str">
        <f t="array" ref="R306">IF($E306&lt;&gt;""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7" t="str">
        <f t="shared" si="1"/>
        <v/>
      </c>
      <c r="T306" s="39" t="str">
        <f t="shared" si="2"/>
        <v/>
      </c>
      <c r="U306" s="40" t="str">
        <f t="shared" si="3"/>
        <v/>
      </c>
      <c r="V306" s="34" t="str">
        <f t="shared" si="4"/>
        <v/>
      </c>
      <c r="W306" s="41" t="str">
        <f>IFERROR(__xludf.DUMMYFUNCTION(" IF(Account!$F306&lt;&gt;"""", SPLIT(Account!$F306, "" ""), """")"),"")</f>
        <v/>
      </c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</row>
    <row r="307">
      <c r="A307" s="20"/>
      <c r="B307" s="20"/>
      <c r="C307" s="20"/>
      <c r="D307" s="20"/>
      <c r="E307" s="20"/>
      <c r="F307" s="21"/>
      <c r="G307" s="20"/>
      <c r="H307" s="20"/>
      <c r="I307" s="20"/>
      <c r="J307" s="20"/>
      <c r="K307" s="20"/>
      <c r="L307" s="21"/>
      <c r="M307" s="33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4" t="str">
        <f>IFERROR(__xludf.DUMMYFUNCTION("IF(Account!$F307&lt;&gt;"""", VALUE(REGEXREPLACE($I307, ""\,"", ""."")), """")"),"")</f>
        <v/>
      </c>
      <c r="O307" s="35" t="str">
        <f>IF(Account!$F307&lt;&gt;"", DATEVALUE(MID($A307,4,3) &amp; LEFT($A307,3) &amp; RIGHT($A307,4)) + TIMEVALUE($B307), "")</f>
        <v/>
      </c>
      <c r="P307" s="36" t="str">
        <f>IF(Account!$F307&lt;&gt;"", DATEVALUE(MID($C307,4,3) &amp; LEFT($C307,3) &amp; RIGHT($C307,4)), "")</f>
        <v/>
      </c>
      <c r="Q307" s="37" t="str">
        <f t="array" ref="Q307">IF($R307&lt;&gt;"",IFERROR(INDEX(ISIN!$B:$B,MATCH($R307,ISIN!$C:$C,0))),)</f>
        <v/>
      </c>
      <c r="R307" s="38" t="str">
        <f t="array" ref="R307">IF($E307&lt;&gt;""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7" t="str">
        <f t="shared" si="1"/>
        <v/>
      </c>
      <c r="T307" s="39" t="str">
        <f t="shared" si="2"/>
        <v/>
      </c>
      <c r="U307" s="40" t="str">
        <f t="shared" si="3"/>
        <v/>
      </c>
      <c r="V307" s="34" t="str">
        <f t="shared" si="4"/>
        <v/>
      </c>
      <c r="W307" s="41" t="str">
        <f>IFERROR(__xludf.DUMMYFUNCTION(" IF(Account!$F307&lt;&gt;"""", SPLIT(Account!$F307, "" ""), """")"),"")</f>
        <v/>
      </c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</row>
    <row r="308">
      <c r="A308" s="20"/>
      <c r="B308" s="20"/>
      <c r="C308" s="20"/>
      <c r="D308" s="20"/>
      <c r="E308" s="20"/>
      <c r="F308" s="21"/>
      <c r="G308" s="20"/>
      <c r="H308" s="20"/>
      <c r="I308" s="20"/>
      <c r="J308" s="20"/>
      <c r="K308" s="20"/>
      <c r="L308" s="21"/>
      <c r="M308" s="33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4" t="str">
        <f>IFERROR(__xludf.DUMMYFUNCTION("IF(Account!$F308&lt;&gt;"""", VALUE(REGEXREPLACE($I308, ""\,"", ""."")), """")"),"")</f>
        <v/>
      </c>
      <c r="O308" s="35" t="str">
        <f>IF(Account!$F308&lt;&gt;"", DATEVALUE(MID($A308,4,3) &amp; LEFT($A308,3) &amp; RIGHT($A308,4)) + TIMEVALUE($B308), "")</f>
        <v/>
      </c>
      <c r="P308" s="36" t="str">
        <f>IF(Account!$F308&lt;&gt;"", DATEVALUE(MID($C308,4,3) &amp; LEFT($C308,3) &amp; RIGHT($C308,4)), "")</f>
        <v/>
      </c>
      <c r="Q308" s="37" t="str">
        <f t="array" ref="Q308">IF($R308&lt;&gt;"",IFERROR(INDEX(ISIN!$B:$B,MATCH($R308,ISIN!$C:$C,0))),)</f>
        <v/>
      </c>
      <c r="R308" s="38" t="str">
        <f t="array" ref="R308">IF($E308&lt;&gt;""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7" t="str">
        <f t="shared" si="1"/>
        <v/>
      </c>
      <c r="T308" s="39" t="str">
        <f t="shared" si="2"/>
        <v/>
      </c>
      <c r="U308" s="40" t="str">
        <f t="shared" si="3"/>
        <v/>
      </c>
      <c r="V308" s="34" t="str">
        <f t="shared" si="4"/>
        <v/>
      </c>
      <c r="W308" s="41" t="str">
        <f>IFERROR(__xludf.DUMMYFUNCTION(" IF(Account!$F308&lt;&gt;"""", SPLIT(Account!$F308, "" ""), """")"),"")</f>
        <v/>
      </c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</row>
    <row r="309">
      <c r="A309" s="20"/>
      <c r="B309" s="20"/>
      <c r="C309" s="20"/>
      <c r="D309" s="20"/>
      <c r="E309" s="20"/>
      <c r="F309" s="21"/>
      <c r="G309" s="45"/>
      <c r="H309" s="20"/>
      <c r="I309" s="20"/>
      <c r="J309" s="20"/>
      <c r="K309" s="20"/>
      <c r="L309" s="21"/>
      <c r="M309" s="33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4" t="str">
        <f>IFERROR(__xludf.DUMMYFUNCTION("IF(Account!$F309&lt;&gt;"""", VALUE(REGEXREPLACE($I309, ""\,"", ""."")), """")"),"")</f>
        <v/>
      </c>
      <c r="O309" s="35" t="str">
        <f>IF(Account!$F309&lt;&gt;"", DATEVALUE(MID($A309,4,3) &amp; LEFT($A309,3) &amp; RIGHT($A309,4)) + TIMEVALUE($B309), "")</f>
        <v/>
      </c>
      <c r="P309" s="36" t="str">
        <f>IF(Account!$F309&lt;&gt;"", DATEVALUE(MID($C309,4,3) &amp; LEFT($C309,3) &amp; RIGHT($C309,4)), "")</f>
        <v/>
      </c>
      <c r="Q309" s="37" t="str">
        <f t="array" ref="Q309">IF($R309&lt;&gt;"",IFERROR(INDEX(ISIN!$B:$B,MATCH($R309,ISIN!$C:$C,0))),)</f>
        <v/>
      </c>
      <c r="R309" s="38" t="str">
        <f t="array" ref="R309">IF($E309&lt;&gt;""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7" t="str">
        <f t="shared" si="1"/>
        <v/>
      </c>
      <c r="T309" s="39" t="str">
        <f t="shared" si="2"/>
        <v/>
      </c>
      <c r="U309" s="40" t="str">
        <f t="shared" si="3"/>
        <v/>
      </c>
      <c r="V309" s="34" t="str">
        <f t="shared" si="4"/>
        <v/>
      </c>
      <c r="W309" s="41" t="str">
        <f>IFERROR(__xludf.DUMMYFUNCTION(" IF(Account!$F309&lt;&gt;"""", SPLIT(Account!$F309, "" ""), """")"),"")</f>
        <v/>
      </c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</row>
    <row r="310">
      <c r="A310" s="20"/>
      <c r="B310" s="20"/>
      <c r="C310" s="20"/>
      <c r="D310" s="20"/>
      <c r="E310" s="20"/>
      <c r="F310" s="21"/>
      <c r="G310" s="20"/>
      <c r="H310" s="20"/>
      <c r="I310" s="20"/>
      <c r="J310" s="20"/>
      <c r="K310" s="20"/>
      <c r="L310" s="21"/>
      <c r="M310" s="33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4" t="str">
        <f>IFERROR(__xludf.DUMMYFUNCTION("IF(Account!$F310&lt;&gt;"""", VALUE(REGEXREPLACE($I310, ""\,"", ""."")), """")"),"")</f>
        <v/>
      </c>
      <c r="O310" s="35" t="str">
        <f>IF(Account!$F310&lt;&gt;"", DATEVALUE(MID($A310,4,3) &amp; LEFT($A310,3) &amp; RIGHT($A310,4)) + TIMEVALUE($B310), "")</f>
        <v/>
      </c>
      <c r="P310" s="36" t="str">
        <f>IF(Account!$F310&lt;&gt;"", DATEVALUE(MID($C310,4,3) &amp; LEFT($C310,3) &amp; RIGHT($C310,4)), "")</f>
        <v/>
      </c>
      <c r="Q310" s="37" t="str">
        <f t="array" ref="Q310">IF($R310&lt;&gt;"",IFERROR(INDEX(ISIN!$B:$B,MATCH($R310,ISIN!$C:$C,0))),)</f>
        <v/>
      </c>
      <c r="R310" s="38" t="str">
        <f t="array" ref="R310">IF($E310&lt;&gt;""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7" t="str">
        <f t="shared" si="1"/>
        <v/>
      </c>
      <c r="T310" s="39" t="str">
        <f t="shared" si="2"/>
        <v/>
      </c>
      <c r="U310" s="40" t="str">
        <f t="shared" si="3"/>
        <v/>
      </c>
      <c r="V310" s="34" t="str">
        <f t="shared" si="4"/>
        <v/>
      </c>
      <c r="W310" s="41" t="str">
        <f>IFERROR(__xludf.DUMMYFUNCTION(" IF(Account!$F310&lt;&gt;"""", SPLIT(Account!$F310, "" ""), """")"),"")</f>
        <v/>
      </c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</row>
    <row r="311">
      <c r="A311" s="20"/>
      <c r="B311" s="20"/>
      <c r="C311" s="20"/>
      <c r="D311" s="20"/>
      <c r="E311" s="20"/>
      <c r="F311" s="21"/>
      <c r="G311" s="20"/>
      <c r="H311" s="20"/>
      <c r="I311" s="20"/>
      <c r="J311" s="20"/>
      <c r="K311" s="20"/>
      <c r="L311" s="21"/>
      <c r="M311" s="33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4" t="str">
        <f>IFERROR(__xludf.DUMMYFUNCTION("IF(Account!$F311&lt;&gt;"""", VALUE(REGEXREPLACE($I311, ""\,"", ""."")), """")"),"")</f>
        <v/>
      </c>
      <c r="O311" s="35" t="str">
        <f>IF(Account!$F311&lt;&gt;"", DATEVALUE(MID($A311,4,3) &amp; LEFT($A311,3) &amp; RIGHT($A311,4)) + TIMEVALUE($B311), "")</f>
        <v/>
      </c>
      <c r="P311" s="36" t="str">
        <f>IF(Account!$F311&lt;&gt;"", DATEVALUE(MID($C311,4,3) &amp; LEFT($C311,3) &amp; RIGHT($C311,4)), "")</f>
        <v/>
      </c>
      <c r="Q311" s="37" t="str">
        <f t="array" ref="Q311">IF($R311&lt;&gt;"",IFERROR(INDEX(ISIN!$B:$B,MATCH($R311,ISIN!$C:$C,0))),)</f>
        <v/>
      </c>
      <c r="R311" s="38" t="str">
        <f t="array" ref="R311">IF($E311&lt;&gt;""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7" t="str">
        <f t="shared" si="1"/>
        <v/>
      </c>
      <c r="T311" s="39" t="str">
        <f t="shared" si="2"/>
        <v/>
      </c>
      <c r="U311" s="40" t="str">
        <f t="shared" si="3"/>
        <v/>
      </c>
      <c r="V311" s="34" t="str">
        <f t="shared" si="4"/>
        <v/>
      </c>
      <c r="W311" s="41" t="str">
        <f>IFERROR(__xludf.DUMMYFUNCTION(" IF(Account!$F311&lt;&gt;"""", SPLIT(Account!$F311, "" ""), """")"),"")</f>
        <v/>
      </c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</row>
    <row r="312">
      <c r="A312" s="20"/>
      <c r="B312" s="20"/>
      <c r="C312" s="20"/>
      <c r="D312" s="20"/>
      <c r="E312" s="20"/>
      <c r="F312" s="21"/>
      <c r="G312" s="45"/>
      <c r="H312" s="20"/>
      <c r="I312" s="20"/>
      <c r="J312" s="20"/>
      <c r="K312" s="20"/>
      <c r="L312" s="21"/>
      <c r="M312" s="33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4" t="str">
        <f>IFERROR(__xludf.DUMMYFUNCTION("IF(Account!$F312&lt;&gt;"""", VALUE(REGEXREPLACE($I312, ""\,"", ""."")), """")"),"")</f>
        <v/>
      </c>
      <c r="O312" s="35" t="str">
        <f>IF(Account!$F312&lt;&gt;"", DATEVALUE(MID($A312,4,3) &amp; LEFT($A312,3) &amp; RIGHT($A312,4)) + TIMEVALUE($B312), "")</f>
        <v/>
      </c>
      <c r="P312" s="36" t="str">
        <f>IF(Account!$F312&lt;&gt;"", DATEVALUE(MID($C312,4,3) &amp; LEFT($C312,3) &amp; RIGHT($C312,4)), "")</f>
        <v/>
      </c>
      <c r="Q312" s="37" t="str">
        <f t="array" ref="Q312">IF($R312&lt;&gt;"",IFERROR(INDEX(ISIN!$B:$B,MATCH($R312,ISIN!$C:$C,0))),)</f>
        <v/>
      </c>
      <c r="R312" s="38" t="str">
        <f t="array" ref="R312">IF($E312&lt;&gt;""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7" t="str">
        <f t="shared" si="1"/>
        <v/>
      </c>
      <c r="T312" s="39" t="str">
        <f t="shared" si="2"/>
        <v/>
      </c>
      <c r="U312" s="40" t="str">
        <f t="shared" si="3"/>
        <v/>
      </c>
      <c r="V312" s="34" t="str">
        <f t="shared" si="4"/>
        <v/>
      </c>
      <c r="W312" s="41" t="str">
        <f>IFERROR(__xludf.DUMMYFUNCTION(" IF(Account!$F312&lt;&gt;"""", SPLIT(Account!$F312, "" ""), """")"),"")</f>
        <v/>
      </c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</row>
    <row r="313">
      <c r="A313" s="20"/>
      <c r="B313" s="20"/>
      <c r="C313" s="20"/>
      <c r="D313" s="20"/>
      <c r="E313" s="20"/>
      <c r="F313" s="21"/>
      <c r="G313" s="45"/>
      <c r="H313" s="20"/>
      <c r="I313" s="20"/>
      <c r="J313" s="20"/>
      <c r="K313" s="20"/>
      <c r="L313" s="21"/>
      <c r="M313" s="33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4" t="str">
        <f>IFERROR(__xludf.DUMMYFUNCTION("IF(Account!$F313&lt;&gt;"""", VALUE(REGEXREPLACE($I313, ""\,"", ""."")), """")"),"")</f>
        <v/>
      </c>
      <c r="O313" s="35" t="str">
        <f>IF(Account!$F313&lt;&gt;"", DATEVALUE(MID($A313,4,3) &amp; LEFT($A313,3) &amp; RIGHT($A313,4)) + TIMEVALUE($B313), "")</f>
        <v/>
      </c>
      <c r="P313" s="36" t="str">
        <f>IF(Account!$F313&lt;&gt;"", DATEVALUE(MID($C313,4,3) &amp; LEFT($C313,3) &amp; RIGHT($C313,4)), "")</f>
        <v/>
      </c>
      <c r="Q313" s="37" t="str">
        <f t="array" ref="Q313">IF($R313&lt;&gt;"",IFERROR(INDEX(ISIN!$B:$B,MATCH($R313,ISIN!$C:$C,0))),)</f>
        <v/>
      </c>
      <c r="R313" s="38" t="str">
        <f t="array" ref="R313">IF($E313&lt;&gt;""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7" t="str">
        <f t="shared" si="1"/>
        <v/>
      </c>
      <c r="T313" s="39" t="str">
        <f t="shared" si="2"/>
        <v/>
      </c>
      <c r="U313" s="40" t="str">
        <f t="shared" si="3"/>
        <v/>
      </c>
      <c r="V313" s="34" t="str">
        <f t="shared" si="4"/>
        <v/>
      </c>
      <c r="W313" s="41" t="str">
        <f>IFERROR(__xludf.DUMMYFUNCTION(" IF(Account!$F313&lt;&gt;"""", SPLIT(Account!$F313, "" ""), """")"),"")</f>
        <v/>
      </c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</row>
    <row r="314">
      <c r="A314" s="20"/>
      <c r="B314" s="20"/>
      <c r="C314" s="20"/>
      <c r="D314" s="20"/>
      <c r="E314" s="20"/>
      <c r="F314" s="21"/>
      <c r="G314" s="45"/>
      <c r="H314" s="20"/>
      <c r="I314" s="20"/>
      <c r="J314" s="20"/>
      <c r="K314" s="20"/>
      <c r="L314" s="21"/>
      <c r="M314" s="33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4" t="str">
        <f>IFERROR(__xludf.DUMMYFUNCTION("IF(Account!$F314&lt;&gt;"""", VALUE(REGEXREPLACE($I314, ""\,"", ""."")), """")"),"")</f>
        <v/>
      </c>
      <c r="O314" s="35" t="str">
        <f>IF(Account!$F314&lt;&gt;"", DATEVALUE(MID($A314,4,3) &amp; LEFT($A314,3) &amp; RIGHT($A314,4)) + TIMEVALUE($B314), "")</f>
        <v/>
      </c>
      <c r="P314" s="36" t="str">
        <f>IF(Account!$F314&lt;&gt;"", DATEVALUE(MID($C314,4,3) &amp; LEFT($C314,3) &amp; RIGHT($C314,4)), "")</f>
        <v/>
      </c>
      <c r="Q314" s="37" t="str">
        <f t="array" ref="Q314">IF($R314&lt;&gt;"",IFERROR(INDEX(ISIN!$B:$B,MATCH($R314,ISIN!$C:$C,0))),)</f>
        <v/>
      </c>
      <c r="R314" s="38" t="str">
        <f t="array" ref="R314">IF($E314&lt;&gt;""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7" t="str">
        <f t="shared" si="1"/>
        <v/>
      </c>
      <c r="T314" s="39" t="str">
        <f t="shared" si="2"/>
        <v/>
      </c>
      <c r="U314" s="40" t="str">
        <f t="shared" si="3"/>
        <v/>
      </c>
      <c r="V314" s="34" t="str">
        <f t="shared" si="4"/>
        <v/>
      </c>
      <c r="W314" s="41" t="str">
        <f>IFERROR(__xludf.DUMMYFUNCTION(" IF(Account!$F314&lt;&gt;"""", SPLIT(Account!$F314, "" ""), """")"),"")</f>
        <v/>
      </c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</row>
    <row r="315">
      <c r="A315" s="20"/>
      <c r="B315" s="20"/>
      <c r="C315" s="20"/>
      <c r="D315" s="20"/>
      <c r="E315" s="20"/>
      <c r="F315" s="21"/>
      <c r="G315" s="20"/>
      <c r="H315" s="20"/>
      <c r="I315" s="20"/>
      <c r="J315" s="20"/>
      <c r="K315" s="20"/>
      <c r="L315" s="21"/>
      <c r="M315" s="33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4" t="str">
        <f>IFERROR(__xludf.DUMMYFUNCTION("IF(Account!$F315&lt;&gt;"""", VALUE(REGEXREPLACE($I315, ""\,"", ""."")), """")"),"")</f>
        <v/>
      </c>
      <c r="O315" s="35" t="str">
        <f>IF(Account!$F315&lt;&gt;"", DATEVALUE(MID($A315,4,3) &amp; LEFT($A315,3) &amp; RIGHT($A315,4)) + TIMEVALUE($B315), "")</f>
        <v/>
      </c>
      <c r="P315" s="36" t="str">
        <f>IF(Account!$F315&lt;&gt;"", DATEVALUE(MID($C315,4,3) &amp; LEFT($C315,3) &amp; RIGHT($C315,4)), "")</f>
        <v/>
      </c>
      <c r="Q315" s="37" t="str">
        <f t="array" ref="Q315">IF($R315&lt;&gt;"",IFERROR(INDEX(ISIN!$B:$B,MATCH($R315,ISIN!$C:$C,0))),)</f>
        <v/>
      </c>
      <c r="R315" s="38" t="str">
        <f t="array" ref="R315">IF($E315&lt;&gt;""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7" t="str">
        <f t="shared" si="1"/>
        <v/>
      </c>
      <c r="T315" s="39" t="str">
        <f t="shared" si="2"/>
        <v/>
      </c>
      <c r="U315" s="40" t="str">
        <f t="shared" si="3"/>
        <v/>
      </c>
      <c r="V315" s="34" t="str">
        <f t="shared" si="4"/>
        <v/>
      </c>
      <c r="W315" s="41" t="str">
        <f>IFERROR(__xludf.DUMMYFUNCTION(" IF(Account!$F315&lt;&gt;"""", SPLIT(Account!$F315, "" ""), """")"),"")</f>
        <v/>
      </c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</row>
    <row r="316">
      <c r="A316" s="20"/>
      <c r="B316" s="20"/>
      <c r="C316" s="20"/>
      <c r="D316" s="20"/>
      <c r="E316" s="20"/>
      <c r="F316" s="21"/>
      <c r="G316" s="45"/>
      <c r="H316" s="20"/>
      <c r="I316" s="20"/>
      <c r="J316" s="20"/>
      <c r="K316" s="20"/>
      <c r="L316" s="21"/>
      <c r="M316" s="33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4" t="str">
        <f>IFERROR(__xludf.DUMMYFUNCTION("IF(Account!$F316&lt;&gt;"""", VALUE(REGEXREPLACE($I316, ""\,"", ""."")), """")"),"")</f>
        <v/>
      </c>
      <c r="O316" s="35" t="str">
        <f>IF(Account!$F316&lt;&gt;"", DATEVALUE(MID($A316,4,3) &amp; LEFT($A316,3) &amp; RIGHT($A316,4)) + TIMEVALUE($B316), "")</f>
        <v/>
      </c>
      <c r="P316" s="36" t="str">
        <f>IF(Account!$F316&lt;&gt;"", DATEVALUE(MID($C316,4,3) &amp; LEFT($C316,3) &amp; RIGHT($C316,4)), "")</f>
        <v/>
      </c>
      <c r="Q316" s="37" t="str">
        <f t="array" ref="Q316">IF($R316&lt;&gt;"",IFERROR(INDEX(ISIN!$B:$B,MATCH($R316,ISIN!$C:$C,0))),)</f>
        <v/>
      </c>
      <c r="R316" s="38" t="str">
        <f t="array" ref="R316">IF($E316&lt;&gt;""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7" t="str">
        <f t="shared" si="1"/>
        <v/>
      </c>
      <c r="T316" s="39" t="str">
        <f t="shared" si="2"/>
        <v/>
      </c>
      <c r="U316" s="40" t="str">
        <f t="shared" si="3"/>
        <v/>
      </c>
      <c r="V316" s="34" t="str">
        <f t="shared" si="4"/>
        <v/>
      </c>
      <c r="W316" s="41" t="str">
        <f>IFERROR(__xludf.DUMMYFUNCTION(" IF(Account!$F316&lt;&gt;"""", SPLIT(Account!$F316, "" ""), """")"),"")</f>
        <v/>
      </c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</row>
    <row r="317">
      <c r="A317" s="20"/>
      <c r="B317" s="20"/>
      <c r="C317" s="20"/>
      <c r="D317" s="20"/>
      <c r="E317" s="20"/>
      <c r="F317" s="21"/>
      <c r="G317" s="45"/>
      <c r="H317" s="20"/>
      <c r="I317" s="20"/>
      <c r="J317" s="20"/>
      <c r="K317" s="20"/>
      <c r="L317" s="21"/>
      <c r="M317" s="33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4" t="str">
        <f>IFERROR(__xludf.DUMMYFUNCTION("IF(Account!$F317&lt;&gt;"""", VALUE(REGEXREPLACE($I317, ""\,"", ""."")), """")"),"")</f>
        <v/>
      </c>
      <c r="O317" s="35" t="str">
        <f>IF(Account!$F317&lt;&gt;"", DATEVALUE(MID($A317,4,3) &amp; LEFT($A317,3) &amp; RIGHT($A317,4)) + TIMEVALUE($B317), "")</f>
        <v/>
      </c>
      <c r="P317" s="36" t="str">
        <f>IF(Account!$F317&lt;&gt;"", DATEVALUE(MID($C317,4,3) &amp; LEFT($C317,3) &amp; RIGHT($C317,4)), "")</f>
        <v/>
      </c>
      <c r="Q317" s="37" t="str">
        <f t="array" ref="Q317">IF($R317&lt;&gt;"",IFERROR(INDEX(ISIN!$B:$B,MATCH($R317,ISIN!$C:$C,0))),)</f>
        <v/>
      </c>
      <c r="R317" s="38" t="str">
        <f t="array" ref="R317">IF($E317&lt;&gt;""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7" t="str">
        <f t="shared" si="1"/>
        <v/>
      </c>
      <c r="T317" s="39" t="str">
        <f t="shared" si="2"/>
        <v/>
      </c>
      <c r="U317" s="40" t="str">
        <f t="shared" si="3"/>
        <v/>
      </c>
      <c r="V317" s="34" t="str">
        <f t="shared" si="4"/>
        <v/>
      </c>
      <c r="W317" s="41" t="str">
        <f>IFERROR(__xludf.DUMMYFUNCTION(" IF(Account!$F317&lt;&gt;"""", SPLIT(Account!$F317, "" ""), """")"),"")</f>
        <v/>
      </c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</row>
    <row r="318">
      <c r="A318" s="20"/>
      <c r="B318" s="20"/>
      <c r="C318" s="20"/>
      <c r="D318" s="20"/>
      <c r="E318" s="20"/>
      <c r="F318" s="21"/>
      <c r="G318" s="45"/>
      <c r="H318" s="20"/>
      <c r="I318" s="20"/>
      <c r="J318" s="20"/>
      <c r="K318" s="20"/>
      <c r="L318" s="21"/>
      <c r="M318" s="33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4" t="str">
        <f>IFERROR(__xludf.DUMMYFUNCTION("IF(Account!$F318&lt;&gt;"""", VALUE(REGEXREPLACE($I318, ""\,"", ""."")), """")"),"")</f>
        <v/>
      </c>
      <c r="O318" s="35" t="str">
        <f>IF(Account!$F318&lt;&gt;"", DATEVALUE(MID($A318,4,3) &amp; LEFT($A318,3) &amp; RIGHT($A318,4)) + TIMEVALUE($B318), "")</f>
        <v/>
      </c>
      <c r="P318" s="36" t="str">
        <f>IF(Account!$F318&lt;&gt;"", DATEVALUE(MID($C318,4,3) &amp; LEFT($C318,3) &amp; RIGHT($C318,4)), "")</f>
        <v/>
      </c>
      <c r="Q318" s="37" t="str">
        <f t="array" ref="Q318">IF($R318&lt;&gt;"",IFERROR(INDEX(ISIN!$B:$B,MATCH($R318,ISIN!$C:$C,0))),)</f>
        <v/>
      </c>
      <c r="R318" s="38" t="str">
        <f t="array" ref="R318">IF($E318&lt;&gt;""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7" t="str">
        <f t="shared" si="1"/>
        <v/>
      </c>
      <c r="T318" s="39" t="str">
        <f t="shared" si="2"/>
        <v/>
      </c>
      <c r="U318" s="40" t="str">
        <f t="shared" si="3"/>
        <v/>
      </c>
      <c r="V318" s="34" t="str">
        <f t="shared" si="4"/>
        <v/>
      </c>
      <c r="W318" s="41" t="str">
        <f>IFERROR(__xludf.DUMMYFUNCTION(" IF(Account!$F318&lt;&gt;"""", SPLIT(Account!$F318, "" ""), """")"),"")</f>
        <v/>
      </c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</row>
    <row r="319">
      <c r="A319" s="20"/>
      <c r="B319" s="20"/>
      <c r="C319" s="20"/>
      <c r="D319" s="20"/>
      <c r="E319" s="20"/>
      <c r="F319" s="21"/>
      <c r="G319" s="45"/>
      <c r="H319" s="20"/>
      <c r="I319" s="20"/>
      <c r="J319" s="20"/>
      <c r="K319" s="20"/>
      <c r="L319" s="21"/>
      <c r="M319" s="33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4" t="str">
        <f>IFERROR(__xludf.DUMMYFUNCTION("IF(Account!$F319&lt;&gt;"""", VALUE(REGEXREPLACE($I319, ""\,"", ""."")), """")"),"")</f>
        <v/>
      </c>
      <c r="O319" s="35" t="str">
        <f>IF(Account!$F319&lt;&gt;"", DATEVALUE(MID($A319,4,3) &amp; LEFT($A319,3) &amp; RIGHT($A319,4)) + TIMEVALUE($B319), "")</f>
        <v/>
      </c>
      <c r="P319" s="36" t="str">
        <f>IF(Account!$F319&lt;&gt;"", DATEVALUE(MID($C319,4,3) &amp; LEFT($C319,3) &amp; RIGHT($C319,4)), "")</f>
        <v/>
      </c>
      <c r="Q319" s="37" t="str">
        <f t="array" ref="Q319">IF($R319&lt;&gt;"",IFERROR(INDEX(ISIN!$B:$B,MATCH($R319,ISIN!$C:$C,0))),)</f>
        <v/>
      </c>
      <c r="R319" s="38" t="str">
        <f t="array" ref="R319">IF($E319&lt;&gt;""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7" t="str">
        <f t="shared" si="1"/>
        <v/>
      </c>
      <c r="T319" s="39" t="str">
        <f t="shared" si="2"/>
        <v/>
      </c>
      <c r="U319" s="40" t="str">
        <f t="shared" si="3"/>
        <v/>
      </c>
      <c r="V319" s="34" t="str">
        <f t="shared" si="4"/>
        <v/>
      </c>
      <c r="W319" s="41" t="str">
        <f>IFERROR(__xludf.DUMMYFUNCTION(" IF(Account!$F319&lt;&gt;"""", SPLIT(Account!$F319, "" ""), """")"),"")</f>
        <v/>
      </c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</row>
    <row r="320">
      <c r="A320" s="20"/>
      <c r="B320" s="20"/>
      <c r="C320" s="20"/>
      <c r="D320" s="20"/>
      <c r="E320" s="20"/>
      <c r="F320" s="21"/>
      <c r="G320" s="45"/>
      <c r="H320" s="20"/>
      <c r="I320" s="20"/>
      <c r="J320" s="20"/>
      <c r="K320" s="20"/>
      <c r="L320" s="21"/>
      <c r="M320" s="33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4" t="str">
        <f>IFERROR(__xludf.DUMMYFUNCTION("IF(Account!$F320&lt;&gt;"""", VALUE(REGEXREPLACE($I320, ""\,"", ""."")), """")"),"")</f>
        <v/>
      </c>
      <c r="O320" s="35" t="str">
        <f>IF(Account!$F320&lt;&gt;"", DATEVALUE(MID($A320,4,3) &amp; LEFT($A320,3) &amp; RIGHT($A320,4)) + TIMEVALUE($B320), "")</f>
        <v/>
      </c>
      <c r="P320" s="36" t="str">
        <f>IF(Account!$F320&lt;&gt;"", DATEVALUE(MID($C320,4,3) &amp; LEFT($C320,3) &amp; RIGHT($C320,4)), "")</f>
        <v/>
      </c>
      <c r="Q320" s="37" t="str">
        <f t="array" ref="Q320">IF($R320&lt;&gt;"",IFERROR(INDEX(ISIN!$B:$B,MATCH($R320,ISIN!$C:$C,0))),)</f>
        <v/>
      </c>
      <c r="R320" s="38" t="str">
        <f t="array" ref="R320">IF($E320&lt;&gt;""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7" t="str">
        <f t="shared" si="1"/>
        <v/>
      </c>
      <c r="T320" s="39" t="str">
        <f t="shared" si="2"/>
        <v/>
      </c>
      <c r="U320" s="40" t="str">
        <f t="shared" si="3"/>
        <v/>
      </c>
      <c r="V320" s="34" t="str">
        <f t="shared" si="4"/>
        <v/>
      </c>
      <c r="W320" s="41" t="str">
        <f>IFERROR(__xludf.DUMMYFUNCTION(" IF(Account!$F320&lt;&gt;"""", SPLIT(Account!$F320, "" ""), """")"),"")</f>
        <v/>
      </c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</row>
    <row r="321">
      <c r="A321" s="20"/>
      <c r="B321" s="20"/>
      <c r="C321" s="20"/>
      <c r="D321" s="20"/>
      <c r="E321" s="20"/>
      <c r="F321" s="21"/>
      <c r="G321" s="20"/>
      <c r="H321" s="20"/>
      <c r="I321" s="20"/>
      <c r="J321" s="20"/>
      <c r="K321" s="20"/>
      <c r="L321" s="21"/>
      <c r="M321" s="33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4" t="str">
        <f>IFERROR(__xludf.DUMMYFUNCTION("IF(Account!$F321&lt;&gt;"""", VALUE(REGEXREPLACE($I321, ""\,"", ""."")), """")"),"")</f>
        <v/>
      </c>
      <c r="O321" s="35" t="str">
        <f>IF(Account!$F321&lt;&gt;"", DATEVALUE(MID($A321,4,3) &amp; LEFT($A321,3) &amp; RIGHT($A321,4)) + TIMEVALUE($B321), "")</f>
        <v/>
      </c>
      <c r="P321" s="36" t="str">
        <f>IF(Account!$F321&lt;&gt;"", DATEVALUE(MID($C321,4,3) &amp; LEFT($C321,3) &amp; RIGHT($C321,4)), "")</f>
        <v/>
      </c>
      <c r="Q321" s="37" t="str">
        <f t="array" ref="Q321">IF($R321&lt;&gt;"",IFERROR(INDEX(ISIN!$B:$B,MATCH($R321,ISIN!$C:$C,0))),)</f>
        <v/>
      </c>
      <c r="R321" s="38" t="str">
        <f t="array" ref="R321">IF($E321&lt;&gt;""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7" t="str">
        <f t="shared" si="1"/>
        <v/>
      </c>
      <c r="T321" s="39" t="str">
        <f t="shared" si="2"/>
        <v/>
      </c>
      <c r="U321" s="40" t="str">
        <f t="shared" si="3"/>
        <v/>
      </c>
      <c r="V321" s="34" t="str">
        <f t="shared" si="4"/>
        <v/>
      </c>
      <c r="W321" s="41" t="str">
        <f>IFERROR(__xludf.DUMMYFUNCTION(" IF(Account!$F321&lt;&gt;"""", SPLIT(Account!$F321, "" ""), """")"),"")</f>
        <v/>
      </c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</row>
    <row r="322">
      <c r="A322" s="20"/>
      <c r="B322" s="20"/>
      <c r="C322" s="20"/>
      <c r="D322" s="20"/>
      <c r="E322" s="20"/>
      <c r="F322" s="21"/>
      <c r="G322" s="45"/>
      <c r="H322" s="20"/>
      <c r="I322" s="20"/>
      <c r="J322" s="20"/>
      <c r="K322" s="20"/>
      <c r="L322" s="21"/>
      <c r="M322" s="33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4" t="str">
        <f>IFERROR(__xludf.DUMMYFUNCTION("IF(Account!$F322&lt;&gt;"""", VALUE(REGEXREPLACE($I322, ""\,"", ""."")), """")"),"")</f>
        <v/>
      </c>
      <c r="O322" s="35" t="str">
        <f>IF(Account!$F322&lt;&gt;"", DATEVALUE(MID($A322,4,3) &amp; LEFT($A322,3) &amp; RIGHT($A322,4)) + TIMEVALUE($B322), "")</f>
        <v/>
      </c>
      <c r="P322" s="36" t="str">
        <f>IF(Account!$F322&lt;&gt;"", DATEVALUE(MID($C322,4,3) &amp; LEFT($C322,3) &amp; RIGHT($C322,4)), "")</f>
        <v/>
      </c>
      <c r="Q322" s="37" t="str">
        <f t="array" ref="Q322">IF($R322&lt;&gt;"",IFERROR(INDEX(ISIN!$B:$B,MATCH($R322,ISIN!$C:$C,0))),)</f>
        <v/>
      </c>
      <c r="R322" s="38" t="str">
        <f t="array" ref="R322">IF($E322&lt;&gt;""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7" t="str">
        <f t="shared" si="1"/>
        <v/>
      </c>
      <c r="T322" s="39" t="str">
        <f t="shared" si="2"/>
        <v/>
      </c>
      <c r="U322" s="40" t="str">
        <f t="shared" si="3"/>
        <v/>
      </c>
      <c r="V322" s="34" t="str">
        <f t="shared" si="4"/>
        <v/>
      </c>
      <c r="W322" s="41" t="str">
        <f>IFERROR(__xludf.DUMMYFUNCTION(" IF(Account!$F322&lt;&gt;"""", SPLIT(Account!$F322, "" ""), """")"),"")</f>
        <v/>
      </c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</row>
    <row r="323">
      <c r="A323" s="20"/>
      <c r="B323" s="20"/>
      <c r="C323" s="20"/>
      <c r="D323" s="20"/>
      <c r="E323" s="20"/>
      <c r="F323" s="21"/>
      <c r="G323" s="20"/>
      <c r="H323" s="20"/>
      <c r="I323" s="20"/>
      <c r="J323" s="20"/>
      <c r="K323" s="20"/>
      <c r="L323" s="21"/>
      <c r="M323" s="33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4" t="str">
        <f>IFERROR(__xludf.DUMMYFUNCTION("IF(Account!$F323&lt;&gt;"""", VALUE(REGEXREPLACE($I323, ""\,"", ""."")), """")"),"")</f>
        <v/>
      </c>
      <c r="O323" s="35" t="str">
        <f>IF(Account!$F323&lt;&gt;"", DATEVALUE(MID($A323,4,3) &amp; LEFT($A323,3) &amp; RIGHT($A323,4)) + TIMEVALUE($B323), "")</f>
        <v/>
      </c>
      <c r="P323" s="36" t="str">
        <f>IF(Account!$F323&lt;&gt;"", DATEVALUE(MID($C323,4,3) &amp; LEFT($C323,3) &amp; RIGHT($C323,4)), "")</f>
        <v/>
      </c>
      <c r="Q323" s="37" t="str">
        <f t="array" ref="Q323">IF($R323&lt;&gt;"",IFERROR(INDEX(ISIN!$B:$B,MATCH($R323,ISIN!$C:$C,0))),)</f>
        <v/>
      </c>
      <c r="R323" s="38" t="str">
        <f t="array" ref="R323">IF($E323&lt;&gt;""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7" t="str">
        <f t="shared" si="1"/>
        <v/>
      </c>
      <c r="T323" s="39" t="str">
        <f t="shared" si="2"/>
        <v/>
      </c>
      <c r="U323" s="40" t="str">
        <f t="shared" si="3"/>
        <v/>
      </c>
      <c r="V323" s="34" t="str">
        <f t="shared" si="4"/>
        <v/>
      </c>
      <c r="W323" s="41" t="str">
        <f>IFERROR(__xludf.DUMMYFUNCTION(" IF(Account!$F323&lt;&gt;"""", SPLIT(Account!$F323, "" ""), """")"),"")</f>
        <v/>
      </c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</row>
    <row r="324">
      <c r="A324" s="20"/>
      <c r="B324" s="20"/>
      <c r="C324" s="20"/>
      <c r="D324" s="20"/>
      <c r="E324" s="20"/>
      <c r="F324" s="21"/>
      <c r="G324" s="20"/>
      <c r="H324" s="20"/>
      <c r="I324" s="20"/>
      <c r="J324" s="20"/>
      <c r="K324" s="20"/>
      <c r="L324" s="21"/>
      <c r="M324" s="33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4" t="str">
        <f>IFERROR(__xludf.DUMMYFUNCTION("IF(Account!$F324&lt;&gt;"""", VALUE(REGEXREPLACE($I324, ""\,"", ""."")), """")"),"")</f>
        <v/>
      </c>
      <c r="O324" s="35" t="str">
        <f>IF(Account!$F324&lt;&gt;"", DATEVALUE(MID($A324,4,3) &amp; LEFT($A324,3) &amp; RIGHT($A324,4)) + TIMEVALUE($B324), "")</f>
        <v/>
      </c>
      <c r="P324" s="36" t="str">
        <f>IF(Account!$F324&lt;&gt;"", DATEVALUE(MID($C324,4,3) &amp; LEFT($C324,3) &amp; RIGHT($C324,4)), "")</f>
        <v/>
      </c>
      <c r="Q324" s="37" t="str">
        <f t="array" ref="Q324">IF($R324&lt;&gt;"",IFERROR(INDEX(ISIN!$B:$B,MATCH($R324,ISIN!$C:$C,0))),)</f>
        <v/>
      </c>
      <c r="R324" s="38" t="str">
        <f t="array" ref="R324">IF($E324&lt;&gt;""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7" t="str">
        <f t="shared" si="1"/>
        <v/>
      </c>
      <c r="T324" s="39" t="str">
        <f t="shared" si="2"/>
        <v/>
      </c>
      <c r="U324" s="40" t="str">
        <f t="shared" si="3"/>
        <v/>
      </c>
      <c r="V324" s="34" t="str">
        <f t="shared" si="4"/>
        <v/>
      </c>
      <c r="W324" s="41" t="str">
        <f>IFERROR(__xludf.DUMMYFUNCTION(" IF(Account!$F324&lt;&gt;"""", SPLIT(Account!$F324, "" ""), """")"),"")</f>
        <v/>
      </c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</row>
    <row r="325">
      <c r="A325" s="20"/>
      <c r="B325" s="20"/>
      <c r="C325" s="20"/>
      <c r="D325" s="20"/>
      <c r="E325" s="20"/>
      <c r="F325" s="21"/>
      <c r="G325" s="20"/>
      <c r="H325" s="20"/>
      <c r="I325" s="20"/>
      <c r="J325" s="20"/>
      <c r="K325" s="20"/>
      <c r="L325" s="21"/>
      <c r="M325" s="33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4" t="str">
        <f>IFERROR(__xludf.DUMMYFUNCTION("IF(Account!$F325&lt;&gt;"""", VALUE(REGEXREPLACE($I325, ""\,"", ""."")), """")"),"")</f>
        <v/>
      </c>
      <c r="O325" s="35" t="str">
        <f>IF(Account!$F325&lt;&gt;"", DATEVALUE(MID($A325,4,3) &amp; LEFT($A325,3) &amp; RIGHT($A325,4)) + TIMEVALUE($B325), "")</f>
        <v/>
      </c>
      <c r="P325" s="36" t="str">
        <f>IF(Account!$F325&lt;&gt;"", DATEVALUE(MID($C325,4,3) &amp; LEFT($C325,3) &amp; RIGHT($C325,4)), "")</f>
        <v/>
      </c>
      <c r="Q325" s="37" t="str">
        <f t="array" ref="Q325">IF($R325&lt;&gt;"",IFERROR(INDEX(ISIN!$B:$B,MATCH($R325,ISIN!$C:$C,0))),)</f>
        <v/>
      </c>
      <c r="R325" s="38" t="str">
        <f t="array" ref="R325">IF($E325&lt;&gt;""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7" t="str">
        <f t="shared" si="1"/>
        <v/>
      </c>
      <c r="T325" s="39" t="str">
        <f t="shared" si="2"/>
        <v/>
      </c>
      <c r="U325" s="40" t="str">
        <f t="shared" si="3"/>
        <v/>
      </c>
      <c r="V325" s="34" t="str">
        <f t="shared" si="4"/>
        <v/>
      </c>
      <c r="W325" s="41" t="str">
        <f>IFERROR(__xludf.DUMMYFUNCTION(" IF(Account!$F325&lt;&gt;"""", SPLIT(Account!$F325, "" ""), """")"),"")</f>
        <v/>
      </c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</row>
    <row r="326">
      <c r="A326" s="20"/>
      <c r="B326" s="20"/>
      <c r="C326" s="20"/>
      <c r="D326" s="20"/>
      <c r="E326" s="20"/>
      <c r="F326" s="21"/>
      <c r="G326" s="20"/>
      <c r="H326" s="20"/>
      <c r="I326" s="20"/>
      <c r="J326" s="20"/>
      <c r="K326" s="20"/>
      <c r="L326" s="21"/>
      <c r="M326" s="33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4" t="str">
        <f>IFERROR(__xludf.DUMMYFUNCTION("IF(Account!$F326&lt;&gt;"""", VALUE(REGEXREPLACE($I326, ""\,"", ""."")), """")"),"")</f>
        <v/>
      </c>
      <c r="O326" s="35" t="str">
        <f>IF(Account!$F326&lt;&gt;"", DATEVALUE(MID($A326,4,3) &amp; LEFT($A326,3) &amp; RIGHT($A326,4)) + TIMEVALUE($B326), "")</f>
        <v/>
      </c>
      <c r="P326" s="36" t="str">
        <f>IF(Account!$F326&lt;&gt;"", DATEVALUE(MID($C326,4,3) &amp; LEFT($C326,3) &amp; RIGHT($C326,4)), "")</f>
        <v/>
      </c>
      <c r="Q326" s="37" t="str">
        <f t="array" ref="Q326">IF($R326&lt;&gt;"",IFERROR(INDEX(ISIN!$B:$B,MATCH($R326,ISIN!$C:$C,0))),)</f>
        <v/>
      </c>
      <c r="R326" s="38" t="str">
        <f t="array" ref="R326">IF($E326&lt;&gt;""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7" t="str">
        <f t="shared" si="1"/>
        <v/>
      </c>
      <c r="T326" s="39" t="str">
        <f t="shared" si="2"/>
        <v/>
      </c>
      <c r="U326" s="40" t="str">
        <f t="shared" si="3"/>
        <v/>
      </c>
      <c r="V326" s="34" t="str">
        <f t="shared" si="4"/>
        <v/>
      </c>
      <c r="W326" s="41" t="str">
        <f>IFERROR(__xludf.DUMMYFUNCTION(" IF(Account!$F326&lt;&gt;"""", SPLIT(Account!$F326, "" ""), """")"),"")</f>
        <v/>
      </c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</row>
    <row r="327">
      <c r="A327" s="20"/>
      <c r="B327" s="20"/>
      <c r="C327" s="20"/>
      <c r="D327" s="20"/>
      <c r="E327" s="20"/>
      <c r="F327" s="21"/>
      <c r="G327" s="20"/>
      <c r="H327" s="20"/>
      <c r="I327" s="20"/>
      <c r="J327" s="20"/>
      <c r="K327" s="20"/>
      <c r="L327" s="21"/>
      <c r="M327" s="33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4" t="str">
        <f>IFERROR(__xludf.DUMMYFUNCTION("IF(Account!$F327&lt;&gt;"""", VALUE(REGEXREPLACE($I327, ""\,"", ""."")), """")"),"")</f>
        <v/>
      </c>
      <c r="O327" s="35" t="str">
        <f>IF(Account!$F327&lt;&gt;"", DATEVALUE(MID($A327,4,3) &amp; LEFT($A327,3) &amp; RIGHT($A327,4)) + TIMEVALUE($B327), "")</f>
        <v/>
      </c>
      <c r="P327" s="36" t="str">
        <f>IF(Account!$F327&lt;&gt;"", DATEVALUE(MID($C327,4,3) &amp; LEFT($C327,3) &amp; RIGHT($C327,4)), "")</f>
        <v/>
      </c>
      <c r="Q327" s="37" t="str">
        <f t="array" ref="Q327">IF($R327&lt;&gt;"",IFERROR(INDEX(ISIN!$B:$B,MATCH($R327,ISIN!$C:$C,0))),)</f>
        <v/>
      </c>
      <c r="R327" s="38" t="str">
        <f t="array" ref="R327">IF($E327&lt;&gt;""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7" t="str">
        <f t="shared" si="1"/>
        <v/>
      </c>
      <c r="T327" s="39" t="str">
        <f t="shared" si="2"/>
        <v/>
      </c>
      <c r="U327" s="40" t="str">
        <f t="shared" si="3"/>
        <v/>
      </c>
      <c r="V327" s="34" t="str">
        <f t="shared" si="4"/>
        <v/>
      </c>
      <c r="W327" s="41" t="str">
        <f>IFERROR(__xludf.DUMMYFUNCTION(" IF(Account!$F327&lt;&gt;"""", SPLIT(Account!$F327, "" ""), """")"),"")</f>
        <v/>
      </c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</row>
    <row r="328">
      <c r="A328" s="20"/>
      <c r="B328" s="20"/>
      <c r="C328" s="20"/>
      <c r="D328" s="20"/>
      <c r="E328" s="20"/>
      <c r="F328" s="21"/>
      <c r="G328" s="20"/>
      <c r="H328" s="20"/>
      <c r="I328" s="20"/>
      <c r="J328" s="20"/>
      <c r="K328" s="20"/>
      <c r="L328" s="21"/>
      <c r="M328" s="33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4" t="str">
        <f>IFERROR(__xludf.DUMMYFUNCTION("IF(Account!$F328&lt;&gt;"""", VALUE(REGEXREPLACE($I328, ""\,"", ""."")), """")"),"")</f>
        <v/>
      </c>
      <c r="O328" s="35" t="str">
        <f>IF(Account!$F328&lt;&gt;"", DATEVALUE(MID($A328,4,3) &amp; LEFT($A328,3) &amp; RIGHT($A328,4)) + TIMEVALUE($B328), "")</f>
        <v/>
      </c>
      <c r="P328" s="36" t="str">
        <f>IF(Account!$F328&lt;&gt;"", DATEVALUE(MID($C328,4,3) &amp; LEFT($C328,3) &amp; RIGHT($C328,4)), "")</f>
        <v/>
      </c>
      <c r="Q328" s="37" t="str">
        <f t="array" ref="Q328">IF($R328&lt;&gt;"",IFERROR(INDEX(ISIN!$B:$B,MATCH($R328,ISIN!$C:$C,0))),)</f>
        <v/>
      </c>
      <c r="R328" s="38" t="str">
        <f t="array" ref="R328">IF($E328&lt;&gt;""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7" t="str">
        <f t="shared" si="1"/>
        <v/>
      </c>
      <c r="T328" s="39" t="str">
        <f t="shared" si="2"/>
        <v/>
      </c>
      <c r="U328" s="40" t="str">
        <f t="shared" si="3"/>
        <v/>
      </c>
      <c r="V328" s="34" t="str">
        <f t="shared" si="4"/>
        <v/>
      </c>
      <c r="W328" s="41" t="str">
        <f>IFERROR(__xludf.DUMMYFUNCTION(" IF(Account!$F328&lt;&gt;"""", SPLIT(Account!$F328, "" ""), """")"),"")</f>
        <v/>
      </c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</row>
    <row r="329">
      <c r="A329" s="20"/>
      <c r="B329" s="20"/>
      <c r="C329" s="20"/>
      <c r="D329" s="20"/>
      <c r="E329" s="20"/>
      <c r="F329" s="21"/>
      <c r="G329" s="20"/>
      <c r="H329" s="20"/>
      <c r="I329" s="20"/>
      <c r="J329" s="20"/>
      <c r="K329" s="20"/>
      <c r="L329" s="21"/>
      <c r="M329" s="33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4" t="str">
        <f>IFERROR(__xludf.DUMMYFUNCTION("IF(Account!$F329&lt;&gt;"""", VALUE(REGEXREPLACE($I329, ""\,"", ""."")), """")"),"")</f>
        <v/>
      </c>
      <c r="O329" s="35" t="str">
        <f>IF(Account!$F329&lt;&gt;"", DATEVALUE(MID($A329,4,3) &amp; LEFT($A329,3) &amp; RIGHT($A329,4)) + TIMEVALUE($B329), "")</f>
        <v/>
      </c>
      <c r="P329" s="36" t="str">
        <f>IF(Account!$F329&lt;&gt;"", DATEVALUE(MID($C329,4,3) &amp; LEFT($C329,3) &amp; RIGHT($C329,4)), "")</f>
        <v/>
      </c>
      <c r="Q329" s="37" t="str">
        <f t="array" ref="Q329">IF($R329&lt;&gt;"",IFERROR(INDEX(ISIN!$B:$B,MATCH($R329,ISIN!$C:$C,0))),)</f>
        <v/>
      </c>
      <c r="R329" s="38" t="str">
        <f t="array" ref="R329">IF($E329&lt;&gt;""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7" t="str">
        <f t="shared" si="1"/>
        <v/>
      </c>
      <c r="T329" s="39" t="str">
        <f t="shared" si="2"/>
        <v/>
      </c>
      <c r="U329" s="40" t="str">
        <f t="shared" si="3"/>
        <v/>
      </c>
      <c r="V329" s="34" t="str">
        <f t="shared" si="4"/>
        <v/>
      </c>
      <c r="W329" s="41" t="str">
        <f>IFERROR(__xludf.DUMMYFUNCTION(" IF(Account!$F329&lt;&gt;"""", SPLIT(Account!$F329, "" ""), """")"),"")</f>
        <v/>
      </c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</row>
    <row r="330">
      <c r="A330" s="20"/>
      <c r="B330" s="20"/>
      <c r="C330" s="20"/>
      <c r="D330" s="20"/>
      <c r="E330" s="20"/>
      <c r="F330" s="21"/>
      <c r="G330" s="20"/>
      <c r="H330" s="20"/>
      <c r="I330" s="20"/>
      <c r="J330" s="20"/>
      <c r="K330" s="20"/>
      <c r="L330" s="21"/>
      <c r="M330" s="33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4" t="str">
        <f>IFERROR(__xludf.DUMMYFUNCTION("IF(Account!$F330&lt;&gt;"""", VALUE(REGEXREPLACE($I330, ""\,"", ""."")), """")"),"")</f>
        <v/>
      </c>
      <c r="O330" s="35" t="str">
        <f>IF(Account!$F330&lt;&gt;"", DATEVALUE(MID($A330,4,3) &amp; LEFT($A330,3) &amp; RIGHT($A330,4)) + TIMEVALUE($B330), "")</f>
        <v/>
      </c>
      <c r="P330" s="36" t="str">
        <f>IF(Account!$F330&lt;&gt;"", DATEVALUE(MID($C330,4,3) &amp; LEFT($C330,3) &amp; RIGHT($C330,4)), "")</f>
        <v/>
      </c>
      <c r="Q330" s="37" t="str">
        <f t="array" ref="Q330">IF($R330&lt;&gt;"",IFERROR(INDEX(ISIN!$B:$B,MATCH($R330,ISIN!$C:$C,0))),)</f>
        <v/>
      </c>
      <c r="R330" s="38" t="str">
        <f t="array" ref="R330">IF($E330&lt;&gt;""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7" t="str">
        <f t="shared" si="1"/>
        <v/>
      </c>
      <c r="T330" s="39" t="str">
        <f t="shared" si="2"/>
        <v/>
      </c>
      <c r="U330" s="40" t="str">
        <f t="shared" si="3"/>
        <v/>
      </c>
      <c r="V330" s="34" t="str">
        <f t="shared" si="4"/>
        <v/>
      </c>
      <c r="W330" s="41" t="str">
        <f>IFERROR(__xludf.DUMMYFUNCTION(" IF(Account!$F330&lt;&gt;"""", SPLIT(Account!$F330, "" ""), """")"),"")</f>
        <v/>
      </c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</row>
    <row r="331">
      <c r="A331" s="20"/>
      <c r="B331" s="20"/>
      <c r="C331" s="20"/>
      <c r="D331" s="20"/>
      <c r="E331" s="20"/>
      <c r="F331" s="21"/>
      <c r="G331" s="20"/>
      <c r="H331" s="20"/>
      <c r="I331" s="20"/>
      <c r="J331" s="20"/>
      <c r="K331" s="20"/>
      <c r="L331" s="21"/>
      <c r="M331" s="33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4" t="str">
        <f>IFERROR(__xludf.DUMMYFUNCTION("IF(Account!$F331&lt;&gt;"""", VALUE(REGEXREPLACE($I331, ""\,"", ""."")), """")"),"")</f>
        <v/>
      </c>
      <c r="O331" s="35" t="str">
        <f>IF(Account!$F331&lt;&gt;"", DATEVALUE(MID($A331,4,3) &amp; LEFT($A331,3) &amp; RIGHT($A331,4)) + TIMEVALUE($B331), "")</f>
        <v/>
      </c>
      <c r="P331" s="36" t="str">
        <f>IF(Account!$F331&lt;&gt;"", DATEVALUE(MID($C331,4,3) &amp; LEFT($C331,3) &amp; RIGHT($C331,4)), "")</f>
        <v/>
      </c>
      <c r="Q331" s="37" t="str">
        <f t="array" ref="Q331">IF($R331&lt;&gt;"",IFERROR(INDEX(ISIN!$B:$B,MATCH($R331,ISIN!$C:$C,0))),)</f>
        <v/>
      </c>
      <c r="R331" s="38" t="str">
        <f t="array" ref="R331">IF($E331&lt;&gt;""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7" t="str">
        <f t="shared" si="1"/>
        <v/>
      </c>
      <c r="T331" s="39" t="str">
        <f t="shared" si="2"/>
        <v/>
      </c>
      <c r="U331" s="40" t="str">
        <f t="shared" si="3"/>
        <v/>
      </c>
      <c r="V331" s="34" t="str">
        <f t="shared" si="4"/>
        <v/>
      </c>
      <c r="W331" s="41" t="str">
        <f>IFERROR(__xludf.DUMMYFUNCTION(" IF(Account!$F331&lt;&gt;"""", SPLIT(Account!$F331, "" ""), """")"),"")</f>
        <v/>
      </c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</row>
    <row r="332">
      <c r="A332" s="20"/>
      <c r="B332" s="20"/>
      <c r="C332" s="20"/>
      <c r="D332" s="20"/>
      <c r="E332" s="20"/>
      <c r="F332" s="21"/>
      <c r="G332" s="20"/>
      <c r="H332" s="20"/>
      <c r="I332" s="20"/>
      <c r="J332" s="20"/>
      <c r="K332" s="20"/>
      <c r="L332" s="21"/>
      <c r="M332" s="33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4" t="str">
        <f>IFERROR(__xludf.DUMMYFUNCTION("IF(Account!$F332&lt;&gt;"""", VALUE(REGEXREPLACE($I332, ""\,"", ""."")), """")"),"")</f>
        <v/>
      </c>
      <c r="O332" s="35" t="str">
        <f>IF(Account!$F332&lt;&gt;"", DATEVALUE(MID($A332,4,3) &amp; LEFT($A332,3) &amp; RIGHT($A332,4)) + TIMEVALUE($B332), "")</f>
        <v/>
      </c>
      <c r="P332" s="36" t="str">
        <f>IF(Account!$F332&lt;&gt;"", DATEVALUE(MID($C332,4,3) &amp; LEFT($C332,3) &amp; RIGHT($C332,4)), "")</f>
        <v/>
      </c>
      <c r="Q332" s="37" t="str">
        <f t="array" ref="Q332">IF($R332&lt;&gt;"",IFERROR(INDEX(ISIN!$B:$B,MATCH($R332,ISIN!$C:$C,0))),)</f>
        <v/>
      </c>
      <c r="R332" s="38" t="str">
        <f t="array" ref="R332">IF($E332&lt;&gt;""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7" t="str">
        <f t="shared" si="1"/>
        <v/>
      </c>
      <c r="T332" s="39" t="str">
        <f t="shared" si="2"/>
        <v/>
      </c>
      <c r="U332" s="40" t="str">
        <f t="shared" si="3"/>
        <v/>
      </c>
      <c r="V332" s="34" t="str">
        <f t="shared" si="4"/>
        <v/>
      </c>
      <c r="W332" s="41" t="str">
        <f>IFERROR(__xludf.DUMMYFUNCTION(" IF(Account!$F332&lt;&gt;"""", SPLIT(Account!$F332, "" ""), """")"),"")</f>
        <v/>
      </c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</row>
    <row r="333">
      <c r="A333" s="20"/>
      <c r="B333" s="20"/>
      <c r="C333" s="20"/>
      <c r="D333" s="20"/>
      <c r="E333" s="20"/>
      <c r="F333" s="21"/>
      <c r="G333" s="20"/>
      <c r="H333" s="20"/>
      <c r="I333" s="20"/>
      <c r="J333" s="20"/>
      <c r="K333" s="20"/>
      <c r="L333" s="21"/>
      <c r="M333" s="33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4" t="str">
        <f>IFERROR(__xludf.DUMMYFUNCTION("IF(Account!$F333&lt;&gt;"""", VALUE(REGEXREPLACE($I333, ""\,"", ""."")), """")"),"")</f>
        <v/>
      </c>
      <c r="O333" s="35" t="str">
        <f>IF(Account!$F333&lt;&gt;"", DATEVALUE(MID($A333,4,3) &amp; LEFT($A333,3) &amp; RIGHT($A333,4)) + TIMEVALUE($B333), "")</f>
        <v/>
      </c>
      <c r="P333" s="36" t="str">
        <f>IF(Account!$F333&lt;&gt;"", DATEVALUE(MID($C333,4,3) &amp; LEFT($C333,3) &amp; RIGHT($C333,4)), "")</f>
        <v/>
      </c>
      <c r="Q333" s="37" t="str">
        <f t="array" ref="Q333">IF($R333&lt;&gt;"",IFERROR(INDEX(ISIN!$B:$B,MATCH($R333,ISIN!$C:$C,0))),)</f>
        <v/>
      </c>
      <c r="R333" s="38" t="str">
        <f t="array" ref="R333">IF($E333&lt;&gt;""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7" t="str">
        <f t="shared" si="1"/>
        <v/>
      </c>
      <c r="T333" s="39" t="str">
        <f t="shared" si="2"/>
        <v/>
      </c>
      <c r="U333" s="40" t="str">
        <f t="shared" si="3"/>
        <v/>
      </c>
      <c r="V333" s="34" t="str">
        <f t="shared" si="4"/>
        <v/>
      </c>
      <c r="W333" s="41" t="str">
        <f>IFERROR(__xludf.DUMMYFUNCTION(" IF(Account!$F333&lt;&gt;"""", SPLIT(Account!$F333, "" ""), """")"),"")</f>
        <v/>
      </c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</row>
    <row r="334">
      <c r="A334" s="20"/>
      <c r="B334" s="20"/>
      <c r="C334" s="20"/>
      <c r="D334" s="20"/>
      <c r="E334" s="20"/>
      <c r="F334" s="21"/>
      <c r="G334" s="20"/>
      <c r="H334" s="20"/>
      <c r="I334" s="20"/>
      <c r="J334" s="20"/>
      <c r="K334" s="20"/>
      <c r="L334" s="21"/>
      <c r="M334" s="33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4" t="str">
        <f>IFERROR(__xludf.DUMMYFUNCTION("IF(Account!$F334&lt;&gt;"""", VALUE(REGEXREPLACE($I334, ""\,"", ""."")), """")"),"")</f>
        <v/>
      </c>
      <c r="O334" s="35" t="str">
        <f>IF(Account!$F334&lt;&gt;"", DATEVALUE(MID($A334,4,3) &amp; LEFT($A334,3) &amp; RIGHT($A334,4)) + TIMEVALUE($B334), "")</f>
        <v/>
      </c>
      <c r="P334" s="36" t="str">
        <f>IF(Account!$F334&lt;&gt;"", DATEVALUE(MID($C334,4,3) &amp; LEFT($C334,3) &amp; RIGHT($C334,4)), "")</f>
        <v/>
      </c>
      <c r="Q334" s="37" t="str">
        <f t="array" ref="Q334">IF($R334&lt;&gt;"",IFERROR(INDEX(ISIN!$B:$B,MATCH($R334,ISIN!$C:$C,0))),)</f>
        <v/>
      </c>
      <c r="R334" s="38" t="str">
        <f t="array" ref="R334">IF($E334&lt;&gt;""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7" t="str">
        <f t="shared" si="1"/>
        <v/>
      </c>
      <c r="T334" s="39" t="str">
        <f t="shared" si="2"/>
        <v/>
      </c>
      <c r="U334" s="40" t="str">
        <f t="shared" si="3"/>
        <v/>
      </c>
      <c r="V334" s="34" t="str">
        <f t="shared" si="4"/>
        <v/>
      </c>
      <c r="W334" s="41" t="str">
        <f>IFERROR(__xludf.DUMMYFUNCTION(" IF(Account!$F334&lt;&gt;"""", SPLIT(Account!$F334, "" ""), """")"),"")</f>
        <v/>
      </c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</row>
    <row r="335">
      <c r="A335" s="20"/>
      <c r="B335" s="20"/>
      <c r="C335" s="20"/>
      <c r="D335" s="20"/>
      <c r="E335" s="20"/>
      <c r="F335" s="21"/>
      <c r="G335" s="20"/>
      <c r="H335" s="20"/>
      <c r="I335" s="20"/>
      <c r="J335" s="20"/>
      <c r="K335" s="20"/>
      <c r="L335" s="21"/>
      <c r="M335" s="33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4" t="str">
        <f>IFERROR(__xludf.DUMMYFUNCTION("IF(Account!$F335&lt;&gt;"""", VALUE(REGEXREPLACE($I335, ""\,"", ""."")), """")"),"")</f>
        <v/>
      </c>
      <c r="O335" s="35" t="str">
        <f>IF(Account!$F335&lt;&gt;"", DATEVALUE(MID($A335,4,3) &amp; LEFT($A335,3) &amp; RIGHT($A335,4)) + TIMEVALUE($B335), "")</f>
        <v/>
      </c>
      <c r="P335" s="36" t="str">
        <f>IF(Account!$F335&lt;&gt;"", DATEVALUE(MID($C335,4,3) &amp; LEFT($C335,3) &amp; RIGHT($C335,4)), "")</f>
        <v/>
      </c>
      <c r="Q335" s="37" t="str">
        <f t="array" ref="Q335">IF($R335&lt;&gt;"",IFERROR(INDEX(ISIN!$B:$B,MATCH($R335,ISIN!$C:$C,0))),)</f>
        <v/>
      </c>
      <c r="R335" s="38" t="str">
        <f t="array" ref="R335">IF($E335&lt;&gt;""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7" t="str">
        <f t="shared" si="1"/>
        <v/>
      </c>
      <c r="T335" s="39" t="str">
        <f t="shared" si="2"/>
        <v/>
      </c>
      <c r="U335" s="40" t="str">
        <f t="shared" si="3"/>
        <v/>
      </c>
      <c r="V335" s="34" t="str">
        <f t="shared" si="4"/>
        <v/>
      </c>
      <c r="W335" s="41" t="str">
        <f>IFERROR(__xludf.DUMMYFUNCTION(" IF(Account!$F335&lt;&gt;"""", SPLIT(Account!$F335, "" ""), """")"),"")</f>
        <v/>
      </c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</row>
    <row r="336">
      <c r="A336" s="20"/>
      <c r="B336" s="20"/>
      <c r="C336" s="20"/>
      <c r="D336" s="20"/>
      <c r="E336" s="20"/>
      <c r="F336" s="21"/>
      <c r="G336" s="20"/>
      <c r="H336" s="20"/>
      <c r="I336" s="20"/>
      <c r="J336" s="20"/>
      <c r="K336" s="20"/>
      <c r="L336" s="21"/>
      <c r="M336" s="33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4" t="str">
        <f>IFERROR(__xludf.DUMMYFUNCTION("IF(Account!$F336&lt;&gt;"""", VALUE(REGEXREPLACE($I336, ""\,"", ""."")), """")"),"")</f>
        <v/>
      </c>
      <c r="O336" s="35" t="str">
        <f>IF(Account!$F336&lt;&gt;"", DATEVALUE(MID($A336,4,3) &amp; LEFT($A336,3) &amp; RIGHT($A336,4)) + TIMEVALUE($B336), "")</f>
        <v/>
      </c>
      <c r="P336" s="36" t="str">
        <f>IF(Account!$F336&lt;&gt;"", DATEVALUE(MID($C336,4,3) &amp; LEFT($C336,3) &amp; RIGHT($C336,4)), "")</f>
        <v/>
      </c>
      <c r="Q336" s="37" t="str">
        <f t="array" ref="Q336">IF($R336&lt;&gt;"",IFERROR(INDEX(ISIN!$B:$B,MATCH($R336,ISIN!$C:$C,0))),)</f>
        <v/>
      </c>
      <c r="R336" s="38" t="str">
        <f t="array" ref="R336">IF($E336&lt;&gt;""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7" t="str">
        <f t="shared" si="1"/>
        <v/>
      </c>
      <c r="T336" s="39" t="str">
        <f t="shared" si="2"/>
        <v/>
      </c>
      <c r="U336" s="40" t="str">
        <f t="shared" si="3"/>
        <v/>
      </c>
      <c r="V336" s="34" t="str">
        <f t="shared" si="4"/>
        <v/>
      </c>
      <c r="W336" s="41" t="str">
        <f>IFERROR(__xludf.DUMMYFUNCTION(" IF(Account!$F336&lt;&gt;"""", SPLIT(Account!$F336, "" ""), """")"),"")</f>
        <v/>
      </c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</row>
    <row r="337">
      <c r="A337" s="20"/>
      <c r="B337" s="20"/>
      <c r="C337" s="20"/>
      <c r="D337" s="20"/>
      <c r="E337" s="20"/>
      <c r="F337" s="21"/>
      <c r="G337" s="20"/>
      <c r="H337" s="20"/>
      <c r="I337" s="20"/>
      <c r="J337" s="20"/>
      <c r="K337" s="20"/>
      <c r="L337" s="21"/>
      <c r="M337" s="33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4" t="str">
        <f>IFERROR(__xludf.DUMMYFUNCTION("IF(Account!$F337&lt;&gt;"""", VALUE(REGEXREPLACE($I337, ""\,"", ""."")), """")"),"")</f>
        <v/>
      </c>
      <c r="O337" s="35" t="str">
        <f>IF(Account!$F337&lt;&gt;"", DATEVALUE(MID($A337,4,3) &amp; LEFT($A337,3) &amp; RIGHT($A337,4)) + TIMEVALUE($B337), "")</f>
        <v/>
      </c>
      <c r="P337" s="36" t="str">
        <f>IF(Account!$F337&lt;&gt;"", DATEVALUE(MID($C337,4,3) &amp; LEFT($C337,3) &amp; RIGHT($C337,4)), "")</f>
        <v/>
      </c>
      <c r="Q337" s="37" t="str">
        <f t="array" ref="Q337">IF($R337&lt;&gt;"",IFERROR(INDEX(ISIN!$B:$B,MATCH($R337,ISIN!$C:$C,0))),)</f>
        <v/>
      </c>
      <c r="R337" s="38" t="str">
        <f t="array" ref="R337">IF($E337&lt;&gt;""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7" t="str">
        <f t="shared" si="1"/>
        <v/>
      </c>
      <c r="T337" s="39" t="str">
        <f t="shared" si="2"/>
        <v/>
      </c>
      <c r="U337" s="40" t="str">
        <f t="shared" si="3"/>
        <v/>
      </c>
      <c r="V337" s="34" t="str">
        <f t="shared" si="4"/>
        <v/>
      </c>
      <c r="W337" s="41" t="str">
        <f>IFERROR(__xludf.DUMMYFUNCTION(" IF(Account!$F337&lt;&gt;"""", SPLIT(Account!$F337, "" ""), """")"),"")</f>
        <v/>
      </c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</row>
    <row r="338">
      <c r="A338" s="20"/>
      <c r="B338" s="20"/>
      <c r="C338" s="20"/>
      <c r="D338" s="20"/>
      <c r="E338" s="20"/>
      <c r="F338" s="21"/>
      <c r="G338" s="20"/>
      <c r="H338" s="20"/>
      <c r="I338" s="20"/>
      <c r="J338" s="20"/>
      <c r="K338" s="20"/>
      <c r="L338" s="21"/>
      <c r="M338" s="33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4" t="str">
        <f>IFERROR(__xludf.DUMMYFUNCTION("IF(Account!$F338&lt;&gt;"""", VALUE(REGEXREPLACE($I338, ""\,"", ""."")), """")"),"")</f>
        <v/>
      </c>
      <c r="O338" s="35" t="str">
        <f>IF(Account!$F338&lt;&gt;"", DATEVALUE(MID($A338,4,3) &amp; LEFT($A338,3) &amp; RIGHT($A338,4)) + TIMEVALUE($B338), "")</f>
        <v/>
      </c>
      <c r="P338" s="36" t="str">
        <f>IF(Account!$F338&lt;&gt;"", DATEVALUE(MID($C338,4,3) &amp; LEFT($C338,3) &amp; RIGHT($C338,4)), "")</f>
        <v/>
      </c>
      <c r="Q338" s="37" t="str">
        <f t="array" ref="Q338">IF($R338&lt;&gt;"",IFERROR(INDEX(ISIN!$B:$B,MATCH($R338,ISIN!$C:$C,0))),)</f>
        <v/>
      </c>
      <c r="R338" s="38" t="str">
        <f t="array" ref="R338">IF($E338&lt;&gt;""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7" t="str">
        <f t="shared" si="1"/>
        <v/>
      </c>
      <c r="T338" s="39" t="str">
        <f t="shared" si="2"/>
        <v/>
      </c>
      <c r="U338" s="40" t="str">
        <f t="shared" si="3"/>
        <v/>
      </c>
      <c r="V338" s="34" t="str">
        <f t="shared" si="4"/>
        <v/>
      </c>
      <c r="W338" s="41" t="str">
        <f>IFERROR(__xludf.DUMMYFUNCTION(" IF(Account!$F338&lt;&gt;"""", SPLIT(Account!$F338, "" ""), """")"),"")</f>
        <v/>
      </c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</row>
    <row r="339">
      <c r="A339" s="20"/>
      <c r="B339" s="20"/>
      <c r="C339" s="20"/>
      <c r="D339" s="20"/>
      <c r="E339" s="20"/>
      <c r="F339" s="21"/>
      <c r="G339" s="45"/>
      <c r="H339" s="20"/>
      <c r="I339" s="20"/>
      <c r="J339" s="20"/>
      <c r="K339" s="20"/>
      <c r="L339" s="21"/>
      <c r="M339" s="33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4" t="str">
        <f>IFERROR(__xludf.DUMMYFUNCTION("IF(Account!$F339&lt;&gt;"""", VALUE(REGEXREPLACE($I339, ""\,"", ""."")), """")"),"")</f>
        <v/>
      </c>
      <c r="O339" s="35" t="str">
        <f>IF(Account!$F339&lt;&gt;"", DATEVALUE(MID($A339,4,3) &amp; LEFT($A339,3) &amp; RIGHT($A339,4)) + TIMEVALUE($B339), "")</f>
        <v/>
      </c>
      <c r="P339" s="36" t="str">
        <f>IF(Account!$F339&lt;&gt;"", DATEVALUE(MID($C339,4,3) &amp; LEFT($C339,3) &amp; RIGHT($C339,4)), "")</f>
        <v/>
      </c>
      <c r="Q339" s="37" t="str">
        <f t="array" ref="Q339">IF($R339&lt;&gt;"",IFERROR(INDEX(ISIN!$B:$B,MATCH($R339,ISIN!$C:$C,0))),)</f>
        <v/>
      </c>
      <c r="R339" s="38" t="str">
        <f t="array" ref="R339">IF($E339&lt;&gt;""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7" t="str">
        <f t="shared" si="1"/>
        <v/>
      </c>
      <c r="T339" s="39" t="str">
        <f t="shared" si="2"/>
        <v/>
      </c>
      <c r="U339" s="40" t="str">
        <f t="shared" si="3"/>
        <v/>
      </c>
      <c r="V339" s="34" t="str">
        <f t="shared" si="4"/>
        <v/>
      </c>
      <c r="W339" s="41" t="str">
        <f>IFERROR(__xludf.DUMMYFUNCTION(" IF(Account!$F339&lt;&gt;"""", SPLIT(Account!$F339, "" ""), """")"),"")</f>
        <v/>
      </c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</row>
    <row r="340">
      <c r="A340" s="20"/>
      <c r="B340" s="20"/>
      <c r="C340" s="20"/>
      <c r="D340" s="20"/>
      <c r="E340" s="20"/>
      <c r="F340" s="21"/>
      <c r="G340" s="20"/>
      <c r="H340" s="20"/>
      <c r="I340" s="20"/>
      <c r="J340" s="20"/>
      <c r="K340" s="20"/>
      <c r="L340" s="21"/>
      <c r="M340" s="33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4" t="str">
        <f>IFERROR(__xludf.DUMMYFUNCTION("IF(Account!$F340&lt;&gt;"""", VALUE(REGEXREPLACE($I340, ""\,"", ""."")), """")"),"")</f>
        <v/>
      </c>
      <c r="O340" s="35" t="str">
        <f>IF(Account!$F340&lt;&gt;"", DATEVALUE(MID($A340,4,3) &amp; LEFT($A340,3) &amp; RIGHT($A340,4)) + TIMEVALUE($B340), "")</f>
        <v/>
      </c>
      <c r="P340" s="36" t="str">
        <f>IF(Account!$F340&lt;&gt;"", DATEVALUE(MID($C340,4,3) &amp; LEFT($C340,3) &amp; RIGHT($C340,4)), "")</f>
        <v/>
      </c>
      <c r="Q340" s="37" t="str">
        <f t="array" ref="Q340">IF($R340&lt;&gt;"",IFERROR(INDEX(ISIN!$B:$B,MATCH($R340,ISIN!$C:$C,0))),)</f>
        <v/>
      </c>
      <c r="R340" s="38" t="str">
        <f t="array" ref="R340">IF($E340&lt;&gt;""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7" t="str">
        <f t="shared" si="1"/>
        <v/>
      </c>
      <c r="T340" s="39" t="str">
        <f t="shared" si="2"/>
        <v/>
      </c>
      <c r="U340" s="40" t="str">
        <f t="shared" si="3"/>
        <v/>
      </c>
      <c r="V340" s="34" t="str">
        <f t="shared" si="4"/>
        <v/>
      </c>
      <c r="W340" s="41" t="str">
        <f>IFERROR(__xludf.DUMMYFUNCTION(" IF(Account!$F340&lt;&gt;"""", SPLIT(Account!$F340, "" ""), """")"),"")</f>
        <v/>
      </c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</row>
    <row r="341">
      <c r="A341" s="20"/>
      <c r="B341" s="20"/>
      <c r="C341" s="20"/>
      <c r="D341" s="20"/>
      <c r="E341" s="20"/>
      <c r="F341" s="21"/>
      <c r="G341" s="20"/>
      <c r="H341" s="20"/>
      <c r="I341" s="20"/>
      <c r="J341" s="20"/>
      <c r="K341" s="20"/>
      <c r="L341" s="21"/>
      <c r="M341" s="33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4" t="str">
        <f>IFERROR(__xludf.DUMMYFUNCTION("IF(Account!$F341&lt;&gt;"""", VALUE(REGEXREPLACE($I341, ""\,"", ""."")), """")"),"")</f>
        <v/>
      </c>
      <c r="O341" s="35" t="str">
        <f>IF(Account!$F341&lt;&gt;"", DATEVALUE(MID($A341,4,3) &amp; LEFT($A341,3) &amp; RIGHT($A341,4)) + TIMEVALUE($B341), "")</f>
        <v/>
      </c>
      <c r="P341" s="36" t="str">
        <f>IF(Account!$F341&lt;&gt;"", DATEVALUE(MID($C341,4,3) &amp; LEFT($C341,3) &amp; RIGHT($C341,4)), "")</f>
        <v/>
      </c>
      <c r="Q341" s="37" t="str">
        <f t="array" ref="Q341">IF($R341&lt;&gt;"",IFERROR(INDEX(ISIN!$B:$B,MATCH($R341,ISIN!$C:$C,0))),)</f>
        <v/>
      </c>
      <c r="R341" s="38" t="str">
        <f t="array" ref="R341">IF($E341&lt;&gt;""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7" t="str">
        <f t="shared" si="1"/>
        <v/>
      </c>
      <c r="T341" s="39" t="str">
        <f t="shared" si="2"/>
        <v/>
      </c>
      <c r="U341" s="40" t="str">
        <f t="shared" si="3"/>
        <v/>
      </c>
      <c r="V341" s="34" t="str">
        <f t="shared" si="4"/>
        <v/>
      </c>
      <c r="W341" s="41" t="str">
        <f>IFERROR(__xludf.DUMMYFUNCTION(" IF(Account!$F341&lt;&gt;"""", SPLIT(Account!$F341, "" ""), """")"),"")</f>
        <v/>
      </c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</row>
    <row r="342">
      <c r="A342" s="20"/>
      <c r="B342" s="20"/>
      <c r="C342" s="20"/>
      <c r="D342" s="20"/>
      <c r="E342" s="20"/>
      <c r="F342" s="21"/>
      <c r="G342" s="20"/>
      <c r="H342" s="20"/>
      <c r="I342" s="20"/>
      <c r="J342" s="20"/>
      <c r="K342" s="20"/>
      <c r="L342" s="21"/>
      <c r="M342" s="33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4" t="str">
        <f>IFERROR(__xludf.DUMMYFUNCTION("IF(Account!$F342&lt;&gt;"""", VALUE(REGEXREPLACE($I342, ""\,"", ""."")), """")"),"")</f>
        <v/>
      </c>
      <c r="O342" s="35" t="str">
        <f>IF(Account!$F342&lt;&gt;"", DATEVALUE(MID($A342,4,3) &amp; LEFT($A342,3) &amp; RIGHT($A342,4)) + TIMEVALUE($B342), "")</f>
        <v/>
      </c>
      <c r="P342" s="36" t="str">
        <f>IF(Account!$F342&lt;&gt;"", DATEVALUE(MID($C342,4,3) &amp; LEFT($C342,3) &amp; RIGHT($C342,4)), "")</f>
        <v/>
      </c>
      <c r="Q342" s="37" t="str">
        <f t="array" ref="Q342">IF($R342&lt;&gt;"",IFERROR(INDEX(ISIN!$B:$B,MATCH($R342,ISIN!$C:$C,0))),)</f>
        <v/>
      </c>
      <c r="R342" s="38" t="str">
        <f t="array" ref="R342">IF($E342&lt;&gt;""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7" t="str">
        <f t="shared" si="1"/>
        <v/>
      </c>
      <c r="T342" s="39" t="str">
        <f t="shared" si="2"/>
        <v/>
      </c>
      <c r="U342" s="40" t="str">
        <f t="shared" si="3"/>
        <v/>
      </c>
      <c r="V342" s="34" t="str">
        <f t="shared" si="4"/>
        <v/>
      </c>
      <c r="W342" s="41" t="str">
        <f>IFERROR(__xludf.DUMMYFUNCTION(" IF(Account!$F342&lt;&gt;"""", SPLIT(Account!$F342, "" ""), """")"),"")</f>
        <v/>
      </c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</row>
    <row r="343">
      <c r="A343" s="20"/>
      <c r="B343" s="20"/>
      <c r="C343" s="20"/>
      <c r="D343" s="20"/>
      <c r="E343" s="20"/>
      <c r="F343" s="21"/>
      <c r="G343" s="45"/>
      <c r="H343" s="20"/>
      <c r="I343" s="20"/>
      <c r="J343" s="20"/>
      <c r="K343" s="20"/>
      <c r="L343" s="21"/>
      <c r="M343" s="33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4" t="str">
        <f>IFERROR(__xludf.DUMMYFUNCTION("IF(Account!$F343&lt;&gt;"""", VALUE(REGEXREPLACE($I343, ""\,"", ""."")), """")"),"")</f>
        <v/>
      </c>
      <c r="O343" s="35" t="str">
        <f>IF(Account!$F343&lt;&gt;"", DATEVALUE(MID($A343,4,3) &amp; LEFT($A343,3) &amp; RIGHT($A343,4)) + TIMEVALUE($B343), "")</f>
        <v/>
      </c>
      <c r="P343" s="36" t="str">
        <f>IF(Account!$F343&lt;&gt;"", DATEVALUE(MID($C343,4,3) &amp; LEFT($C343,3) &amp; RIGHT($C343,4)), "")</f>
        <v/>
      </c>
      <c r="Q343" s="37" t="str">
        <f t="array" ref="Q343">IF($R343&lt;&gt;"",IFERROR(INDEX(ISIN!$B:$B,MATCH($R343,ISIN!$C:$C,0))),)</f>
        <v/>
      </c>
      <c r="R343" s="38" t="str">
        <f t="array" ref="R343">IF($E343&lt;&gt;""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7" t="str">
        <f t="shared" si="1"/>
        <v/>
      </c>
      <c r="T343" s="39" t="str">
        <f t="shared" si="2"/>
        <v/>
      </c>
      <c r="U343" s="40" t="str">
        <f t="shared" si="3"/>
        <v/>
      </c>
      <c r="V343" s="34" t="str">
        <f t="shared" si="4"/>
        <v/>
      </c>
      <c r="W343" s="41" t="str">
        <f>IFERROR(__xludf.DUMMYFUNCTION(" IF(Account!$F343&lt;&gt;"""", SPLIT(Account!$F343, "" ""), """")"),"")</f>
        <v/>
      </c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</row>
    <row r="344">
      <c r="A344" s="20"/>
      <c r="B344" s="20"/>
      <c r="C344" s="20"/>
      <c r="D344" s="20"/>
      <c r="E344" s="20"/>
      <c r="F344" s="21"/>
      <c r="G344" s="20"/>
      <c r="H344" s="20"/>
      <c r="I344" s="20"/>
      <c r="J344" s="20"/>
      <c r="K344" s="20"/>
      <c r="L344" s="21"/>
      <c r="M344" s="33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4" t="str">
        <f>IFERROR(__xludf.DUMMYFUNCTION("IF(Account!$F344&lt;&gt;"""", VALUE(REGEXREPLACE($I344, ""\,"", ""."")), """")"),"")</f>
        <v/>
      </c>
      <c r="O344" s="35" t="str">
        <f>IF(Account!$F344&lt;&gt;"", DATEVALUE(MID($A344,4,3) &amp; LEFT($A344,3) &amp; RIGHT($A344,4)) + TIMEVALUE($B344), "")</f>
        <v/>
      </c>
      <c r="P344" s="36" t="str">
        <f>IF(Account!$F344&lt;&gt;"", DATEVALUE(MID($C344,4,3) &amp; LEFT($C344,3) &amp; RIGHT($C344,4)), "")</f>
        <v/>
      </c>
      <c r="Q344" s="37" t="str">
        <f t="array" ref="Q344">IF($R344&lt;&gt;"",IFERROR(INDEX(ISIN!$B:$B,MATCH($R344,ISIN!$C:$C,0))),)</f>
        <v/>
      </c>
      <c r="R344" s="38" t="str">
        <f t="array" ref="R344">IF($E344&lt;&gt;""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7" t="str">
        <f t="shared" si="1"/>
        <v/>
      </c>
      <c r="T344" s="39" t="str">
        <f t="shared" si="2"/>
        <v/>
      </c>
      <c r="U344" s="40" t="str">
        <f t="shared" si="3"/>
        <v/>
      </c>
      <c r="V344" s="34" t="str">
        <f t="shared" si="4"/>
        <v/>
      </c>
      <c r="W344" s="41" t="str">
        <f>IFERROR(__xludf.DUMMYFUNCTION(" IF(Account!$F344&lt;&gt;"""", SPLIT(Account!$F344, "" ""), """")"),"")</f>
        <v/>
      </c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</row>
    <row r="345">
      <c r="A345" s="20"/>
      <c r="B345" s="20"/>
      <c r="C345" s="20"/>
      <c r="D345" s="20"/>
      <c r="E345" s="20"/>
      <c r="F345" s="21"/>
      <c r="G345" s="20"/>
      <c r="H345" s="20"/>
      <c r="I345" s="20"/>
      <c r="J345" s="20"/>
      <c r="K345" s="20"/>
      <c r="L345" s="21"/>
      <c r="M345" s="33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4" t="str">
        <f>IFERROR(__xludf.DUMMYFUNCTION("IF(Account!$F345&lt;&gt;"""", VALUE(REGEXREPLACE($I345, ""\,"", ""."")), """")"),"")</f>
        <v/>
      </c>
      <c r="O345" s="35" t="str">
        <f>IF(Account!$F345&lt;&gt;"", DATEVALUE(MID($A345,4,3) &amp; LEFT($A345,3) &amp; RIGHT($A345,4)) + TIMEVALUE($B345), "")</f>
        <v/>
      </c>
      <c r="P345" s="36" t="str">
        <f>IF(Account!$F345&lt;&gt;"", DATEVALUE(MID($C345,4,3) &amp; LEFT($C345,3) &amp; RIGHT($C345,4)), "")</f>
        <v/>
      </c>
      <c r="Q345" s="37" t="str">
        <f t="array" ref="Q345">IF($R345&lt;&gt;"",IFERROR(INDEX(ISIN!$B:$B,MATCH($R345,ISIN!$C:$C,0))),)</f>
        <v/>
      </c>
      <c r="R345" s="38" t="str">
        <f t="array" ref="R345">IF($E345&lt;&gt;""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7" t="str">
        <f t="shared" si="1"/>
        <v/>
      </c>
      <c r="T345" s="39" t="str">
        <f t="shared" si="2"/>
        <v/>
      </c>
      <c r="U345" s="40" t="str">
        <f t="shared" si="3"/>
        <v/>
      </c>
      <c r="V345" s="34" t="str">
        <f t="shared" si="4"/>
        <v/>
      </c>
      <c r="W345" s="41" t="str">
        <f>IFERROR(__xludf.DUMMYFUNCTION(" IF(Account!$F345&lt;&gt;"""", SPLIT(Account!$F345, "" ""), """")"),"")</f>
        <v/>
      </c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</row>
    <row r="346">
      <c r="A346" s="20"/>
      <c r="B346" s="20"/>
      <c r="C346" s="20"/>
      <c r="D346" s="20"/>
      <c r="E346" s="20"/>
      <c r="F346" s="21"/>
      <c r="G346" s="45"/>
      <c r="H346" s="20"/>
      <c r="I346" s="20"/>
      <c r="J346" s="20"/>
      <c r="K346" s="20"/>
      <c r="L346" s="21"/>
      <c r="M346" s="33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4" t="str">
        <f>IFERROR(__xludf.DUMMYFUNCTION("IF(Account!$F346&lt;&gt;"""", VALUE(REGEXREPLACE($I346, ""\,"", ""."")), """")"),"")</f>
        <v/>
      </c>
      <c r="O346" s="35" t="str">
        <f>IF(Account!$F346&lt;&gt;"", DATEVALUE(MID($A346,4,3) &amp; LEFT($A346,3) &amp; RIGHT($A346,4)) + TIMEVALUE($B346), "")</f>
        <v/>
      </c>
      <c r="P346" s="36" t="str">
        <f>IF(Account!$F346&lt;&gt;"", DATEVALUE(MID($C346,4,3) &amp; LEFT($C346,3) &amp; RIGHT($C346,4)), "")</f>
        <v/>
      </c>
      <c r="Q346" s="37" t="str">
        <f t="array" ref="Q346">IF($R346&lt;&gt;"",IFERROR(INDEX(ISIN!$B:$B,MATCH($R346,ISIN!$C:$C,0))),)</f>
        <v/>
      </c>
      <c r="R346" s="38" t="str">
        <f t="array" ref="R346">IF($E346&lt;&gt;""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7" t="str">
        <f t="shared" si="1"/>
        <v/>
      </c>
      <c r="T346" s="39" t="str">
        <f t="shared" si="2"/>
        <v/>
      </c>
      <c r="U346" s="40" t="str">
        <f t="shared" si="3"/>
        <v/>
      </c>
      <c r="V346" s="34" t="str">
        <f t="shared" si="4"/>
        <v/>
      </c>
      <c r="W346" s="41" t="str">
        <f>IFERROR(__xludf.DUMMYFUNCTION(" IF(Account!$F346&lt;&gt;"""", SPLIT(Account!$F346, "" ""), """")"),"")</f>
        <v/>
      </c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</row>
    <row r="347">
      <c r="A347" s="20"/>
      <c r="B347" s="20"/>
      <c r="C347" s="20"/>
      <c r="D347" s="20"/>
      <c r="E347" s="20"/>
      <c r="F347" s="21"/>
      <c r="G347" s="45"/>
      <c r="H347" s="20"/>
      <c r="I347" s="20"/>
      <c r="J347" s="20"/>
      <c r="K347" s="20"/>
      <c r="L347" s="21"/>
      <c r="M347" s="33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4" t="str">
        <f>IFERROR(__xludf.DUMMYFUNCTION("IF(Account!$F347&lt;&gt;"""", VALUE(REGEXREPLACE($I347, ""\,"", ""."")), """")"),"")</f>
        <v/>
      </c>
      <c r="O347" s="35" t="str">
        <f>IF(Account!$F347&lt;&gt;"", DATEVALUE(MID($A347,4,3) &amp; LEFT($A347,3) &amp; RIGHT($A347,4)) + TIMEVALUE($B347), "")</f>
        <v/>
      </c>
      <c r="P347" s="36" t="str">
        <f>IF(Account!$F347&lt;&gt;"", DATEVALUE(MID($C347,4,3) &amp; LEFT($C347,3) &amp; RIGHT($C347,4)), "")</f>
        <v/>
      </c>
      <c r="Q347" s="37" t="str">
        <f t="array" ref="Q347">IF($R347&lt;&gt;"",IFERROR(INDEX(ISIN!$B:$B,MATCH($R347,ISIN!$C:$C,0))),)</f>
        <v/>
      </c>
      <c r="R347" s="38" t="str">
        <f t="array" ref="R347">IF($E347&lt;&gt;""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7" t="str">
        <f t="shared" si="1"/>
        <v/>
      </c>
      <c r="T347" s="39" t="str">
        <f t="shared" si="2"/>
        <v/>
      </c>
      <c r="U347" s="40" t="str">
        <f t="shared" si="3"/>
        <v/>
      </c>
      <c r="V347" s="34" t="str">
        <f t="shared" si="4"/>
        <v/>
      </c>
      <c r="W347" s="41" t="str">
        <f>IFERROR(__xludf.DUMMYFUNCTION(" IF(Account!$F347&lt;&gt;"""", SPLIT(Account!$F347, "" ""), """")"),"")</f>
        <v/>
      </c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</row>
    <row r="348">
      <c r="A348" s="20"/>
      <c r="B348" s="20"/>
      <c r="C348" s="20"/>
      <c r="D348" s="20"/>
      <c r="E348" s="20"/>
      <c r="F348" s="21"/>
      <c r="G348" s="45"/>
      <c r="H348" s="20"/>
      <c r="I348" s="20"/>
      <c r="J348" s="20"/>
      <c r="K348" s="20"/>
      <c r="L348" s="21"/>
      <c r="M348" s="33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4" t="str">
        <f>IFERROR(__xludf.DUMMYFUNCTION("IF(Account!$F348&lt;&gt;"""", VALUE(REGEXREPLACE($I348, ""\,"", ""."")), """")"),"")</f>
        <v/>
      </c>
      <c r="O348" s="35" t="str">
        <f>IF(Account!$F348&lt;&gt;"", DATEVALUE(MID($A348,4,3) &amp; LEFT($A348,3) &amp; RIGHT($A348,4)) + TIMEVALUE($B348), "")</f>
        <v/>
      </c>
      <c r="P348" s="36" t="str">
        <f>IF(Account!$F348&lt;&gt;"", DATEVALUE(MID($C348,4,3) &amp; LEFT($C348,3) &amp; RIGHT($C348,4)), "")</f>
        <v/>
      </c>
      <c r="Q348" s="37" t="str">
        <f t="array" ref="Q348">IF($R348&lt;&gt;"",IFERROR(INDEX(ISIN!$B:$B,MATCH($R348,ISIN!$C:$C,0))),)</f>
        <v/>
      </c>
      <c r="R348" s="38" t="str">
        <f t="array" ref="R348">IF($E348&lt;&gt;""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7" t="str">
        <f t="shared" si="1"/>
        <v/>
      </c>
      <c r="T348" s="39" t="str">
        <f t="shared" si="2"/>
        <v/>
      </c>
      <c r="U348" s="40" t="str">
        <f t="shared" si="3"/>
        <v/>
      </c>
      <c r="V348" s="34" t="str">
        <f t="shared" si="4"/>
        <v/>
      </c>
      <c r="W348" s="41" t="str">
        <f>IFERROR(__xludf.DUMMYFUNCTION(" IF(Account!$F348&lt;&gt;"""", SPLIT(Account!$F348, "" ""), """")"),"")</f>
        <v/>
      </c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</row>
    <row r="349">
      <c r="A349" s="20"/>
      <c r="B349" s="20"/>
      <c r="C349" s="20"/>
      <c r="D349" s="20"/>
      <c r="E349" s="20"/>
      <c r="F349" s="21"/>
      <c r="G349" s="20"/>
      <c r="H349" s="20"/>
      <c r="I349" s="20"/>
      <c r="J349" s="20"/>
      <c r="K349" s="20"/>
      <c r="L349" s="21"/>
      <c r="M349" s="33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4" t="str">
        <f>IFERROR(__xludf.DUMMYFUNCTION("IF(Account!$F349&lt;&gt;"""", VALUE(REGEXREPLACE($I349, ""\,"", ""."")), """")"),"")</f>
        <v/>
      </c>
      <c r="O349" s="35" t="str">
        <f>IF(Account!$F349&lt;&gt;"", DATEVALUE(MID($A349,4,3) &amp; LEFT($A349,3) &amp; RIGHT($A349,4)) + TIMEVALUE($B349), "")</f>
        <v/>
      </c>
      <c r="P349" s="36" t="str">
        <f>IF(Account!$F349&lt;&gt;"", DATEVALUE(MID($C349,4,3) &amp; LEFT($C349,3) &amp; RIGHT($C349,4)), "")</f>
        <v/>
      </c>
      <c r="Q349" s="37" t="str">
        <f t="array" ref="Q349">IF($R349&lt;&gt;"",IFERROR(INDEX(ISIN!$B:$B,MATCH($R349,ISIN!$C:$C,0))),)</f>
        <v/>
      </c>
      <c r="R349" s="38" t="str">
        <f t="array" ref="R349">IF($E349&lt;&gt;""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7" t="str">
        <f t="shared" si="1"/>
        <v/>
      </c>
      <c r="T349" s="39" t="str">
        <f t="shared" si="2"/>
        <v/>
      </c>
      <c r="U349" s="40" t="str">
        <f t="shared" si="3"/>
        <v/>
      </c>
      <c r="V349" s="34" t="str">
        <f t="shared" si="4"/>
        <v/>
      </c>
      <c r="W349" s="41" t="str">
        <f>IFERROR(__xludf.DUMMYFUNCTION(" IF(Account!$F349&lt;&gt;"""", SPLIT(Account!$F349, "" ""), """")"),"")</f>
        <v/>
      </c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</row>
    <row r="350">
      <c r="A350" s="20"/>
      <c r="B350" s="20"/>
      <c r="C350" s="20"/>
      <c r="D350" s="20"/>
      <c r="E350" s="20"/>
      <c r="F350" s="21"/>
      <c r="G350" s="45"/>
      <c r="H350" s="20"/>
      <c r="I350" s="20"/>
      <c r="J350" s="20"/>
      <c r="K350" s="20"/>
      <c r="L350" s="21"/>
      <c r="M350" s="33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4" t="str">
        <f>IFERROR(__xludf.DUMMYFUNCTION("IF(Account!$F350&lt;&gt;"""", VALUE(REGEXREPLACE($I350, ""\,"", ""."")), """")"),"")</f>
        <v/>
      </c>
      <c r="O350" s="35" t="str">
        <f>IF(Account!$F350&lt;&gt;"", DATEVALUE(MID($A350,4,3) &amp; LEFT($A350,3) &amp; RIGHT($A350,4)) + TIMEVALUE($B350), "")</f>
        <v/>
      </c>
      <c r="P350" s="36" t="str">
        <f>IF(Account!$F350&lt;&gt;"", DATEVALUE(MID($C350,4,3) &amp; LEFT($C350,3) &amp; RIGHT($C350,4)), "")</f>
        <v/>
      </c>
      <c r="Q350" s="37" t="str">
        <f t="array" ref="Q350">IF($R350&lt;&gt;"",IFERROR(INDEX(ISIN!$B:$B,MATCH($R350,ISIN!$C:$C,0))),)</f>
        <v/>
      </c>
      <c r="R350" s="38" t="str">
        <f t="array" ref="R350">IF($E350&lt;&gt;""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7" t="str">
        <f t="shared" si="1"/>
        <v/>
      </c>
      <c r="T350" s="39" t="str">
        <f t="shared" si="2"/>
        <v/>
      </c>
      <c r="U350" s="40" t="str">
        <f t="shared" si="3"/>
        <v/>
      </c>
      <c r="V350" s="34" t="str">
        <f t="shared" si="4"/>
        <v/>
      </c>
      <c r="W350" s="41" t="str">
        <f>IFERROR(__xludf.DUMMYFUNCTION(" IF(Account!$F350&lt;&gt;"""", SPLIT(Account!$F350, "" ""), """")"),"")</f>
        <v/>
      </c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</row>
    <row r="351">
      <c r="A351" s="20"/>
      <c r="B351" s="20"/>
      <c r="C351" s="20"/>
      <c r="D351" s="20"/>
      <c r="E351" s="20"/>
      <c r="F351" s="21"/>
      <c r="G351" s="20"/>
      <c r="H351" s="20"/>
      <c r="I351" s="20"/>
      <c r="J351" s="20"/>
      <c r="K351" s="20"/>
      <c r="L351" s="21"/>
      <c r="M351" s="33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4" t="str">
        <f>IFERROR(__xludf.DUMMYFUNCTION("IF(Account!$F351&lt;&gt;"""", VALUE(REGEXREPLACE($I351, ""\,"", ""."")), """")"),"")</f>
        <v/>
      </c>
      <c r="O351" s="35" t="str">
        <f>IF(Account!$F351&lt;&gt;"", DATEVALUE(MID($A351,4,3) &amp; LEFT($A351,3) &amp; RIGHT($A351,4)) + TIMEVALUE($B351), "")</f>
        <v/>
      </c>
      <c r="P351" s="36" t="str">
        <f>IF(Account!$F351&lt;&gt;"", DATEVALUE(MID($C351,4,3) &amp; LEFT($C351,3) &amp; RIGHT($C351,4)), "")</f>
        <v/>
      </c>
      <c r="Q351" s="37" t="str">
        <f t="array" ref="Q351">IF($R351&lt;&gt;"",IFERROR(INDEX(ISIN!$B:$B,MATCH($R351,ISIN!$C:$C,0))),)</f>
        <v/>
      </c>
      <c r="R351" s="38" t="str">
        <f t="array" ref="R351">IF($E351&lt;&gt;""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7" t="str">
        <f t="shared" si="1"/>
        <v/>
      </c>
      <c r="T351" s="39" t="str">
        <f t="shared" si="2"/>
        <v/>
      </c>
      <c r="U351" s="40" t="str">
        <f t="shared" si="3"/>
        <v/>
      </c>
      <c r="V351" s="34" t="str">
        <f t="shared" si="4"/>
        <v/>
      </c>
      <c r="W351" s="41" t="str">
        <f>IFERROR(__xludf.DUMMYFUNCTION(" IF(Account!$F351&lt;&gt;"""", SPLIT(Account!$F351, "" ""), """")"),"")</f>
        <v/>
      </c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</row>
    <row r="352">
      <c r="A352" s="20"/>
      <c r="B352" s="20"/>
      <c r="C352" s="20"/>
      <c r="D352" s="20"/>
      <c r="E352" s="20"/>
      <c r="F352" s="21"/>
      <c r="G352" s="45"/>
      <c r="H352" s="20"/>
      <c r="I352" s="20"/>
      <c r="J352" s="20"/>
      <c r="K352" s="20"/>
      <c r="L352" s="21"/>
      <c r="M352" s="33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4" t="str">
        <f>IFERROR(__xludf.DUMMYFUNCTION("IF(Account!$F352&lt;&gt;"""", VALUE(REGEXREPLACE($I352, ""\,"", ""."")), """")"),"")</f>
        <v/>
      </c>
      <c r="O352" s="35" t="str">
        <f>IF(Account!$F352&lt;&gt;"", DATEVALUE(MID($A352,4,3) &amp; LEFT($A352,3) &amp; RIGHT($A352,4)) + TIMEVALUE($B352), "")</f>
        <v/>
      </c>
      <c r="P352" s="36" t="str">
        <f>IF(Account!$F352&lt;&gt;"", DATEVALUE(MID($C352,4,3) &amp; LEFT($C352,3) &amp; RIGHT($C352,4)), "")</f>
        <v/>
      </c>
      <c r="Q352" s="37" t="str">
        <f t="array" ref="Q352">IF($R352&lt;&gt;"",IFERROR(INDEX(ISIN!$B:$B,MATCH($R352,ISIN!$C:$C,0))),)</f>
        <v/>
      </c>
      <c r="R352" s="38" t="str">
        <f t="array" ref="R352">IF($E352&lt;&gt;""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7" t="str">
        <f t="shared" si="1"/>
        <v/>
      </c>
      <c r="T352" s="39" t="str">
        <f t="shared" si="2"/>
        <v/>
      </c>
      <c r="U352" s="40" t="str">
        <f t="shared" si="3"/>
        <v/>
      </c>
      <c r="V352" s="34" t="str">
        <f t="shared" si="4"/>
        <v/>
      </c>
      <c r="W352" s="41" t="str">
        <f>IFERROR(__xludf.DUMMYFUNCTION(" IF(Account!$F352&lt;&gt;"""", SPLIT(Account!$F352, "" ""), """")"),"")</f>
        <v/>
      </c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</row>
    <row r="353">
      <c r="A353" s="20"/>
      <c r="B353" s="20"/>
      <c r="C353" s="20"/>
      <c r="D353" s="20"/>
      <c r="E353" s="20"/>
      <c r="F353" s="21"/>
      <c r="G353" s="20"/>
      <c r="H353" s="20"/>
      <c r="I353" s="20"/>
      <c r="J353" s="20"/>
      <c r="K353" s="20"/>
      <c r="L353" s="21"/>
      <c r="M353" s="33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4" t="str">
        <f>IFERROR(__xludf.DUMMYFUNCTION("IF(Account!$F353&lt;&gt;"""", VALUE(REGEXREPLACE($I353, ""\,"", ""."")), """")"),"")</f>
        <v/>
      </c>
      <c r="O353" s="35" t="str">
        <f>IF(Account!$F353&lt;&gt;"", DATEVALUE(MID($A353,4,3) &amp; LEFT($A353,3) &amp; RIGHT($A353,4)) + TIMEVALUE($B353), "")</f>
        <v/>
      </c>
      <c r="P353" s="36" t="str">
        <f>IF(Account!$F353&lt;&gt;"", DATEVALUE(MID($C353,4,3) &amp; LEFT($C353,3) &amp; RIGHT($C353,4)), "")</f>
        <v/>
      </c>
      <c r="Q353" s="37" t="str">
        <f t="array" ref="Q353">IF($R353&lt;&gt;"",IFERROR(INDEX(ISIN!$B:$B,MATCH($R353,ISIN!$C:$C,0))),)</f>
        <v/>
      </c>
      <c r="R353" s="38" t="str">
        <f t="array" ref="R353">IF($E353&lt;&gt;""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7" t="str">
        <f t="shared" si="1"/>
        <v/>
      </c>
      <c r="T353" s="39" t="str">
        <f t="shared" si="2"/>
        <v/>
      </c>
      <c r="U353" s="40" t="str">
        <f t="shared" si="3"/>
        <v/>
      </c>
      <c r="V353" s="34" t="str">
        <f t="shared" si="4"/>
        <v/>
      </c>
      <c r="W353" s="41" t="str">
        <f>IFERROR(__xludf.DUMMYFUNCTION(" IF(Account!$F353&lt;&gt;"""", SPLIT(Account!$F353, "" ""), """")"),"")</f>
        <v/>
      </c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</row>
    <row r="354">
      <c r="A354" s="20"/>
      <c r="B354" s="20"/>
      <c r="C354" s="20"/>
      <c r="D354" s="20"/>
      <c r="E354" s="20"/>
      <c r="F354" s="21"/>
      <c r="G354" s="45"/>
      <c r="H354" s="20"/>
      <c r="I354" s="20"/>
      <c r="J354" s="20"/>
      <c r="K354" s="20"/>
      <c r="L354" s="21"/>
      <c r="M354" s="33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4" t="str">
        <f>IFERROR(__xludf.DUMMYFUNCTION("IF(Account!$F354&lt;&gt;"""", VALUE(REGEXREPLACE($I354, ""\,"", ""."")), """")"),"")</f>
        <v/>
      </c>
      <c r="O354" s="35" t="str">
        <f>IF(Account!$F354&lt;&gt;"", DATEVALUE(MID($A354,4,3) &amp; LEFT($A354,3) &amp; RIGHT($A354,4)) + TIMEVALUE($B354), "")</f>
        <v/>
      </c>
      <c r="P354" s="36" t="str">
        <f>IF(Account!$F354&lt;&gt;"", DATEVALUE(MID($C354,4,3) &amp; LEFT($C354,3) &amp; RIGHT($C354,4)), "")</f>
        <v/>
      </c>
      <c r="Q354" s="37" t="str">
        <f t="array" ref="Q354">IF($R354&lt;&gt;"",IFERROR(INDEX(ISIN!$B:$B,MATCH($R354,ISIN!$C:$C,0))),)</f>
        <v/>
      </c>
      <c r="R354" s="38" t="str">
        <f t="array" ref="R354">IF($E354&lt;&gt;""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7" t="str">
        <f t="shared" si="1"/>
        <v/>
      </c>
      <c r="T354" s="39" t="str">
        <f t="shared" si="2"/>
        <v/>
      </c>
      <c r="U354" s="40" t="str">
        <f t="shared" si="3"/>
        <v/>
      </c>
      <c r="V354" s="34" t="str">
        <f t="shared" si="4"/>
        <v/>
      </c>
      <c r="W354" s="41" t="str">
        <f>IFERROR(__xludf.DUMMYFUNCTION(" IF(Account!$F354&lt;&gt;"""", SPLIT(Account!$F354, "" ""), """")"),"")</f>
        <v/>
      </c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</row>
    <row r="355">
      <c r="A355" s="20"/>
      <c r="B355" s="20"/>
      <c r="C355" s="20"/>
      <c r="D355" s="20"/>
      <c r="E355" s="20"/>
      <c r="F355" s="21"/>
      <c r="G355" s="20"/>
      <c r="H355" s="20"/>
      <c r="I355" s="20"/>
      <c r="J355" s="20"/>
      <c r="K355" s="20"/>
      <c r="L355" s="21"/>
      <c r="M355" s="33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4" t="str">
        <f>IFERROR(__xludf.DUMMYFUNCTION("IF(Account!$F355&lt;&gt;"""", VALUE(REGEXREPLACE($I355, ""\,"", ""."")), """")"),"")</f>
        <v/>
      </c>
      <c r="O355" s="35" t="str">
        <f>IF(Account!$F355&lt;&gt;"", DATEVALUE(MID($A355,4,3) &amp; LEFT($A355,3) &amp; RIGHT($A355,4)) + TIMEVALUE($B355), "")</f>
        <v/>
      </c>
      <c r="P355" s="36" t="str">
        <f>IF(Account!$F355&lt;&gt;"", DATEVALUE(MID($C355,4,3) &amp; LEFT($C355,3) &amp; RIGHT($C355,4)), "")</f>
        <v/>
      </c>
      <c r="Q355" s="37" t="str">
        <f t="array" ref="Q355">IF($R355&lt;&gt;"",IFERROR(INDEX(ISIN!$B:$B,MATCH($R355,ISIN!$C:$C,0))),)</f>
        <v/>
      </c>
      <c r="R355" s="38" t="str">
        <f t="array" ref="R355">IF($E355&lt;&gt;""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7" t="str">
        <f t="shared" si="1"/>
        <v/>
      </c>
      <c r="T355" s="39" t="str">
        <f t="shared" si="2"/>
        <v/>
      </c>
      <c r="U355" s="40" t="str">
        <f t="shared" si="3"/>
        <v/>
      </c>
      <c r="V355" s="34" t="str">
        <f t="shared" si="4"/>
        <v/>
      </c>
      <c r="W355" s="41" t="str">
        <f>IFERROR(__xludf.DUMMYFUNCTION(" IF(Account!$F355&lt;&gt;"""", SPLIT(Account!$F355, "" ""), """")"),"")</f>
        <v/>
      </c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</row>
    <row r="356">
      <c r="A356" s="20"/>
      <c r="B356" s="20"/>
      <c r="C356" s="20"/>
      <c r="D356" s="20"/>
      <c r="E356" s="20"/>
      <c r="F356" s="21"/>
      <c r="G356" s="45"/>
      <c r="H356" s="20"/>
      <c r="I356" s="20"/>
      <c r="J356" s="20"/>
      <c r="K356" s="20"/>
      <c r="L356" s="21"/>
      <c r="M356" s="33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4" t="str">
        <f>IFERROR(__xludf.DUMMYFUNCTION("IF(Account!$F356&lt;&gt;"""", VALUE(REGEXREPLACE($I356, ""\,"", ""."")), """")"),"")</f>
        <v/>
      </c>
      <c r="O356" s="35" t="str">
        <f>IF(Account!$F356&lt;&gt;"", DATEVALUE(MID($A356,4,3) &amp; LEFT($A356,3) &amp; RIGHT($A356,4)) + TIMEVALUE($B356), "")</f>
        <v/>
      </c>
      <c r="P356" s="36" t="str">
        <f>IF(Account!$F356&lt;&gt;"", DATEVALUE(MID($C356,4,3) &amp; LEFT($C356,3) &amp; RIGHT($C356,4)), "")</f>
        <v/>
      </c>
      <c r="Q356" s="37" t="str">
        <f t="array" ref="Q356">IF($R356&lt;&gt;"",IFERROR(INDEX(ISIN!$B:$B,MATCH($R356,ISIN!$C:$C,0))),)</f>
        <v/>
      </c>
      <c r="R356" s="38" t="str">
        <f t="array" ref="R356">IF($E356&lt;&gt;""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7" t="str">
        <f t="shared" si="1"/>
        <v/>
      </c>
      <c r="T356" s="39" t="str">
        <f t="shared" si="2"/>
        <v/>
      </c>
      <c r="U356" s="40" t="str">
        <f t="shared" si="3"/>
        <v/>
      </c>
      <c r="V356" s="34" t="str">
        <f t="shared" si="4"/>
        <v/>
      </c>
      <c r="W356" s="41" t="str">
        <f>IFERROR(__xludf.DUMMYFUNCTION(" IF(Account!$F356&lt;&gt;"""", SPLIT(Account!$F356, "" ""), """")"),"")</f>
        <v/>
      </c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</row>
    <row r="357">
      <c r="A357" s="20"/>
      <c r="B357" s="20"/>
      <c r="C357" s="20"/>
      <c r="D357" s="20"/>
      <c r="E357" s="20"/>
      <c r="F357" s="21"/>
      <c r="G357" s="20"/>
      <c r="H357" s="20"/>
      <c r="I357" s="20"/>
      <c r="J357" s="20"/>
      <c r="K357" s="20"/>
      <c r="L357" s="21"/>
      <c r="M357" s="33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4" t="str">
        <f>IFERROR(__xludf.DUMMYFUNCTION("IF(Account!$F357&lt;&gt;"""", VALUE(REGEXREPLACE($I357, ""\,"", ""."")), """")"),"")</f>
        <v/>
      </c>
      <c r="O357" s="35" t="str">
        <f>IF(Account!$F357&lt;&gt;"", DATEVALUE(MID($A357,4,3) &amp; LEFT($A357,3) &amp; RIGHT($A357,4)) + TIMEVALUE($B357), "")</f>
        <v/>
      </c>
      <c r="P357" s="36" t="str">
        <f>IF(Account!$F357&lt;&gt;"", DATEVALUE(MID($C357,4,3) &amp; LEFT($C357,3) &amp; RIGHT($C357,4)), "")</f>
        <v/>
      </c>
      <c r="Q357" s="37" t="str">
        <f t="array" ref="Q357">IF($R357&lt;&gt;"",IFERROR(INDEX(ISIN!$B:$B,MATCH($R357,ISIN!$C:$C,0))),)</f>
        <v/>
      </c>
      <c r="R357" s="38" t="str">
        <f t="array" ref="R357">IF($E357&lt;&gt;""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7" t="str">
        <f t="shared" si="1"/>
        <v/>
      </c>
      <c r="T357" s="39" t="str">
        <f t="shared" si="2"/>
        <v/>
      </c>
      <c r="U357" s="40" t="str">
        <f t="shared" si="3"/>
        <v/>
      </c>
      <c r="V357" s="34" t="str">
        <f t="shared" si="4"/>
        <v/>
      </c>
      <c r="W357" s="41" t="str">
        <f>IFERROR(__xludf.DUMMYFUNCTION(" IF(Account!$F357&lt;&gt;"""", SPLIT(Account!$F357, "" ""), """")"),"")</f>
        <v/>
      </c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</row>
    <row r="358">
      <c r="A358" s="20"/>
      <c r="B358" s="20"/>
      <c r="C358" s="20"/>
      <c r="D358" s="20"/>
      <c r="E358" s="20"/>
      <c r="F358" s="21"/>
      <c r="G358" s="20"/>
      <c r="H358" s="20"/>
      <c r="I358" s="20"/>
      <c r="J358" s="20"/>
      <c r="K358" s="20"/>
      <c r="L358" s="21"/>
      <c r="M358" s="33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4" t="str">
        <f>IFERROR(__xludf.DUMMYFUNCTION("IF(Account!$F358&lt;&gt;"""", VALUE(REGEXREPLACE($I358, ""\,"", ""."")), """")"),"")</f>
        <v/>
      </c>
      <c r="O358" s="35" t="str">
        <f>IF(Account!$F358&lt;&gt;"", DATEVALUE(MID($A358,4,3) &amp; LEFT($A358,3) &amp; RIGHT($A358,4)) + TIMEVALUE($B358), "")</f>
        <v/>
      </c>
      <c r="P358" s="36" t="str">
        <f>IF(Account!$F358&lt;&gt;"", DATEVALUE(MID($C358,4,3) &amp; LEFT($C358,3) &amp; RIGHT($C358,4)), "")</f>
        <v/>
      </c>
      <c r="Q358" s="37" t="str">
        <f t="array" ref="Q358">IF($R358&lt;&gt;"",IFERROR(INDEX(ISIN!$B:$B,MATCH($R358,ISIN!$C:$C,0))),)</f>
        <v/>
      </c>
      <c r="R358" s="38" t="str">
        <f t="array" ref="R358">IF($E358&lt;&gt;""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7" t="str">
        <f t="shared" si="1"/>
        <v/>
      </c>
      <c r="T358" s="39" t="str">
        <f t="shared" si="2"/>
        <v/>
      </c>
      <c r="U358" s="40" t="str">
        <f t="shared" si="3"/>
        <v/>
      </c>
      <c r="V358" s="34" t="str">
        <f t="shared" si="4"/>
        <v/>
      </c>
      <c r="W358" s="41" t="str">
        <f>IFERROR(__xludf.DUMMYFUNCTION(" IF(Account!$F358&lt;&gt;"""", SPLIT(Account!$F358, "" ""), """")"),"")</f>
        <v/>
      </c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</row>
    <row r="359">
      <c r="A359" s="20"/>
      <c r="B359" s="20"/>
      <c r="C359" s="20"/>
      <c r="D359" s="20"/>
      <c r="E359" s="20"/>
      <c r="F359" s="21"/>
      <c r="G359" s="45"/>
      <c r="H359" s="20"/>
      <c r="I359" s="20"/>
      <c r="J359" s="20"/>
      <c r="K359" s="20"/>
      <c r="L359" s="21"/>
      <c r="M359" s="33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4" t="str">
        <f>IFERROR(__xludf.DUMMYFUNCTION("IF(Account!$F359&lt;&gt;"""", VALUE(REGEXREPLACE($I359, ""\,"", ""."")), """")"),"")</f>
        <v/>
      </c>
      <c r="O359" s="35" t="str">
        <f>IF(Account!$F359&lt;&gt;"", DATEVALUE(MID($A359,4,3) &amp; LEFT($A359,3) &amp; RIGHT($A359,4)) + TIMEVALUE($B359), "")</f>
        <v/>
      </c>
      <c r="P359" s="36" t="str">
        <f>IF(Account!$F359&lt;&gt;"", DATEVALUE(MID($C359,4,3) &amp; LEFT($C359,3) &amp; RIGHT($C359,4)), "")</f>
        <v/>
      </c>
      <c r="Q359" s="37" t="str">
        <f t="array" ref="Q359">IF($R359&lt;&gt;"",IFERROR(INDEX(ISIN!$B:$B,MATCH($R359,ISIN!$C:$C,0))),)</f>
        <v/>
      </c>
      <c r="R359" s="38" t="str">
        <f t="array" ref="R359">IF($E359&lt;&gt;""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7" t="str">
        <f t="shared" si="1"/>
        <v/>
      </c>
      <c r="T359" s="39" t="str">
        <f t="shared" si="2"/>
        <v/>
      </c>
      <c r="U359" s="40" t="str">
        <f t="shared" si="3"/>
        <v/>
      </c>
      <c r="V359" s="34" t="str">
        <f t="shared" si="4"/>
        <v/>
      </c>
      <c r="W359" s="41" t="str">
        <f>IFERROR(__xludf.DUMMYFUNCTION(" IF(Account!$F359&lt;&gt;"""", SPLIT(Account!$F359, "" ""), """")"),"")</f>
        <v/>
      </c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</row>
    <row r="360">
      <c r="A360" s="20"/>
      <c r="B360" s="20"/>
      <c r="C360" s="20"/>
      <c r="D360" s="20"/>
      <c r="E360" s="20"/>
      <c r="F360" s="21"/>
      <c r="G360" s="20"/>
      <c r="H360" s="20"/>
      <c r="I360" s="20"/>
      <c r="J360" s="20"/>
      <c r="K360" s="20"/>
      <c r="L360" s="21"/>
      <c r="M360" s="33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4" t="str">
        <f>IFERROR(__xludf.DUMMYFUNCTION("IF(Account!$F360&lt;&gt;"""", VALUE(REGEXREPLACE($I360, ""\,"", ""."")), """")"),"")</f>
        <v/>
      </c>
      <c r="O360" s="35" t="str">
        <f>IF(Account!$F360&lt;&gt;"", DATEVALUE(MID($A360,4,3) &amp; LEFT($A360,3) &amp; RIGHT($A360,4)) + TIMEVALUE($B360), "")</f>
        <v/>
      </c>
      <c r="P360" s="36" t="str">
        <f>IF(Account!$F360&lt;&gt;"", DATEVALUE(MID($C360,4,3) &amp; LEFT($C360,3) &amp; RIGHT($C360,4)), "")</f>
        <v/>
      </c>
      <c r="Q360" s="37" t="str">
        <f t="array" ref="Q360">IF($R360&lt;&gt;"",IFERROR(INDEX(ISIN!$B:$B,MATCH($R360,ISIN!$C:$C,0))),)</f>
        <v/>
      </c>
      <c r="R360" s="38" t="str">
        <f t="array" ref="R360">IF($E360&lt;&gt;""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7" t="str">
        <f t="shared" si="1"/>
        <v/>
      </c>
      <c r="T360" s="39" t="str">
        <f t="shared" si="2"/>
        <v/>
      </c>
      <c r="U360" s="40" t="str">
        <f t="shared" si="3"/>
        <v/>
      </c>
      <c r="V360" s="34" t="str">
        <f t="shared" si="4"/>
        <v/>
      </c>
      <c r="W360" s="41" t="str">
        <f>IFERROR(__xludf.DUMMYFUNCTION(" IF(Account!$F360&lt;&gt;"""", SPLIT(Account!$F360, "" ""), """")"),"")</f>
        <v/>
      </c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</row>
    <row r="361">
      <c r="A361" s="20"/>
      <c r="B361" s="20"/>
      <c r="C361" s="20"/>
      <c r="D361" s="20"/>
      <c r="E361" s="20"/>
      <c r="F361" s="21"/>
      <c r="G361" s="20"/>
      <c r="H361" s="20"/>
      <c r="I361" s="20"/>
      <c r="J361" s="20"/>
      <c r="K361" s="20"/>
      <c r="L361" s="21"/>
      <c r="M361" s="33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4" t="str">
        <f>IFERROR(__xludf.DUMMYFUNCTION("IF(Account!$F361&lt;&gt;"""", VALUE(REGEXREPLACE($I361, ""\,"", ""."")), """")"),"")</f>
        <v/>
      </c>
      <c r="O361" s="35" t="str">
        <f>IF(Account!$F361&lt;&gt;"", DATEVALUE(MID($A361,4,3) &amp; LEFT($A361,3) &amp; RIGHT($A361,4)) + TIMEVALUE($B361), "")</f>
        <v/>
      </c>
      <c r="P361" s="36" t="str">
        <f>IF(Account!$F361&lt;&gt;"", DATEVALUE(MID($C361,4,3) &amp; LEFT($C361,3) &amp; RIGHT($C361,4)), "")</f>
        <v/>
      </c>
      <c r="Q361" s="37" t="str">
        <f t="array" ref="Q361">IF($R361&lt;&gt;"",IFERROR(INDEX(ISIN!$B:$B,MATCH($R361,ISIN!$C:$C,0))),)</f>
        <v/>
      </c>
      <c r="R361" s="38" t="str">
        <f t="array" ref="R361">IF($E361&lt;&gt;""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7" t="str">
        <f t="shared" si="1"/>
        <v/>
      </c>
      <c r="T361" s="39" t="str">
        <f t="shared" si="2"/>
        <v/>
      </c>
      <c r="U361" s="40" t="str">
        <f t="shared" si="3"/>
        <v/>
      </c>
      <c r="V361" s="34" t="str">
        <f t="shared" si="4"/>
        <v/>
      </c>
      <c r="W361" s="41" t="str">
        <f>IFERROR(__xludf.DUMMYFUNCTION(" IF(Account!$F361&lt;&gt;"""", SPLIT(Account!$F361, "" ""), """")"),"")</f>
        <v/>
      </c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</row>
    <row r="362">
      <c r="A362" s="20"/>
      <c r="B362" s="20"/>
      <c r="C362" s="20"/>
      <c r="D362" s="20"/>
      <c r="E362" s="20"/>
      <c r="F362" s="21"/>
      <c r="G362" s="45"/>
      <c r="H362" s="20"/>
      <c r="I362" s="20"/>
      <c r="J362" s="20"/>
      <c r="K362" s="20"/>
      <c r="L362" s="21"/>
      <c r="M362" s="33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4" t="str">
        <f>IFERROR(__xludf.DUMMYFUNCTION("IF(Account!$F362&lt;&gt;"""", VALUE(REGEXREPLACE($I362, ""\,"", ""."")), """")"),"")</f>
        <v/>
      </c>
      <c r="O362" s="35" t="str">
        <f>IF(Account!$F362&lt;&gt;"", DATEVALUE(MID($A362,4,3) &amp; LEFT($A362,3) &amp; RIGHT($A362,4)) + TIMEVALUE($B362), "")</f>
        <v/>
      </c>
      <c r="P362" s="36" t="str">
        <f>IF(Account!$F362&lt;&gt;"", DATEVALUE(MID($C362,4,3) &amp; LEFT($C362,3) &amp; RIGHT($C362,4)), "")</f>
        <v/>
      </c>
      <c r="Q362" s="37" t="str">
        <f t="array" ref="Q362">IF($R362&lt;&gt;"",IFERROR(INDEX(ISIN!$B:$B,MATCH($R362,ISIN!$C:$C,0))),)</f>
        <v/>
      </c>
      <c r="R362" s="38" t="str">
        <f t="array" ref="R362">IF($E362&lt;&gt;""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7" t="str">
        <f t="shared" si="1"/>
        <v/>
      </c>
      <c r="T362" s="39" t="str">
        <f t="shared" si="2"/>
        <v/>
      </c>
      <c r="U362" s="40" t="str">
        <f t="shared" si="3"/>
        <v/>
      </c>
      <c r="V362" s="34" t="str">
        <f t="shared" si="4"/>
        <v/>
      </c>
      <c r="W362" s="41" t="str">
        <f>IFERROR(__xludf.DUMMYFUNCTION(" IF(Account!$F362&lt;&gt;"""", SPLIT(Account!$F362, "" ""), """")"),"")</f>
        <v/>
      </c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</row>
    <row r="363">
      <c r="A363" s="20"/>
      <c r="B363" s="20"/>
      <c r="C363" s="20"/>
      <c r="D363" s="20"/>
      <c r="E363" s="20"/>
      <c r="F363" s="21"/>
      <c r="G363" s="45"/>
      <c r="H363" s="20"/>
      <c r="I363" s="20"/>
      <c r="J363" s="20"/>
      <c r="K363" s="20"/>
      <c r="L363" s="21"/>
      <c r="M363" s="33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4" t="str">
        <f>IFERROR(__xludf.DUMMYFUNCTION("IF(Account!$F363&lt;&gt;"""", VALUE(REGEXREPLACE($I363, ""\,"", ""."")), """")"),"")</f>
        <v/>
      </c>
      <c r="O363" s="35" t="str">
        <f>IF(Account!$F363&lt;&gt;"", DATEVALUE(MID($A363,4,3) &amp; LEFT($A363,3) &amp; RIGHT($A363,4)) + TIMEVALUE($B363), "")</f>
        <v/>
      </c>
      <c r="P363" s="36" t="str">
        <f>IF(Account!$F363&lt;&gt;"", DATEVALUE(MID($C363,4,3) &amp; LEFT($C363,3) &amp; RIGHT($C363,4)), "")</f>
        <v/>
      </c>
      <c r="Q363" s="37" t="str">
        <f t="array" ref="Q363">IF($R363&lt;&gt;"",IFERROR(INDEX(ISIN!$B:$B,MATCH($R363,ISIN!$C:$C,0))),)</f>
        <v/>
      </c>
      <c r="R363" s="38" t="str">
        <f t="array" ref="R363">IF($E363&lt;&gt;""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7" t="str">
        <f t="shared" si="1"/>
        <v/>
      </c>
      <c r="T363" s="39" t="str">
        <f t="shared" si="2"/>
        <v/>
      </c>
      <c r="U363" s="40" t="str">
        <f t="shared" si="3"/>
        <v/>
      </c>
      <c r="V363" s="34" t="str">
        <f t="shared" si="4"/>
        <v/>
      </c>
      <c r="W363" s="41" t="str">
        <f>IFERROR(__xludf.DUMMYFUNCTION(" IF(Account!$F363&lt;&gt;"""", SPLIT(Account!$F363, "" ""), """")"),"")</f>
        <v/>
      </c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</row>
    <row r="364">
      <c r="A364" s="20"/>
      <c r="B364" s="20"/>
      <c r="C364" s="20"/>
      <c r="D364" s="20"/>
      <c r="E364" s="20"/>
      <c r="F364" s="21"/>
      <c r="G364" s="45"/>
      <c r="H364" s="20"/>
      <c r="I364" s="20"/>
      <c r="J364" s="20"/>
      <c r="K364" s="20"/>
      <c r="L364" s="21"/>
      <c r="M364" s="33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4" t="str">
        <f>IFERROR(__xludf.DUMMYFUNCTION("IF(Account!$F364&lt;&gt;"""", VALUE(REGEXREPLACE($I364, ""\,"", ""."")), """")"),"")</f>
        <v/>
      </c>
      <c r="O364" s="35" t="str">
        <f>IF(Account!$F364&lt;&gt;"", DATEVALUE(MID($A364,4,3) &amp; LEFT($A364,3) &amp; RIGHT($A364,4)) + TIMEVALUE($B364), "")</f>
        <v/>
      </c>
      <c r="P364" s="36" t="str">
        <f>IF(Account!$F364&lt;&gt;"", DATEVALUE(MID($C364,4,3) &amp; LEFT($C364,3) &amp; RIGHT($C364,4)), "")</f>
        <v/>
      </c>
      <c r="Q364" s="37" t="str">
        <f t="array" ref="Q364">IF($R364&lt;&gt;"",IFERROR(INDEX(ISIN!$B:$B,MATCH($R364,ISIN!$C:$C,0))),)</f>
        <v/>
      </c>
      <c r="R364" s="38" t="str">
        <f t="array" ref="R364">IF($E364&lt;&gt;""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7" t="str">
        <f t="shared" si="1"/>
        <v/>
      </c>
      <c r="T364" s="39" t="str">
        <f t="shared" si="2"/>
        <v/>
      </c>
      <c r="U364" s="40" t="str">
        <f t="shared" si="3"/>
        <v/>
      </c>
      <c r="V364" s="34" t="str">
        <f t="shared" si="4"/>
        <v/>
      </c>
      <c r="W364" s="41" t="str">
        <f>IFERROR(__xludf.DUMMYFUNCTION(" IF(Account!$F364&lt;&gt;"""", SPLIT(Account!$F364, "" ""), """")"),"")</f>
        <v/>
      </c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</row>
    <row r="365">
      <c r="A365" s="20"/>
      <c r="B365" s="20"/>
      <c r="C365" s="20"/>
      <c r="D365" s="20"/>
      <c r="E365" s="20"/>
      <c r="F365" s="21"/>
      <c r="G365" s="45"/>
      <c r="H365" s="20"/>
      <c r="I365" s="20"/>
      <c r="J365" s="20"/>
      <c r="K365" s="20"/>
      <c r="L365" s="21"/>
      <c r="M365" s="33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4" t="str">
        <f>IFERROR(__xludf.DUMMYFUNCTION("IF(Account!$F365&lt;&gt;"""", VALUE(REGEXREPLACE($I365, ""\,"", ""."")), """")"),"")</f>
        <v/>
      </c>
      <c r="O365" s="35" t="str">
        <f>IF(Account!$F365&lt;&gt;"", DATEVALUE(MID($A365,4,3) &amp; LEFT($A365,3) &amp; RIGHT($A365,4)) + TIMEVALUE($B365), "")</f>
        <v/>
      </c>
      <c r="P365" s="36" t="str">
        <f>IF(Account!$F365&lt;&gt;"", DATEVALUE(MID($C365,4,3) &amp; LEFT($C365,3) &amp; RIGHT($C365,4)), "")</f>
        <v/>
      </c>
      <c r="Q365" s="37" t="str">
        <f t="array" ref="Q365">IF($R365&lt;&gt;"",IFERROR(INDEX(ISIN!$B:$B,MATCH($R365,ISIN!$C:$C,0))),)</f>
        <v/>
      </c>
      <c r="R365" s="38" t="str">
        <f t="array" ref="R365">IF($E365&lt;&gt;""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7" t="str">
        <f t="shared" si="1"/>
        <v/>
      </c>
      <c r="T365" s="39" t="str">
        <f t="shared" si="2"/>
        <v/>
      </c>
      <c r="U365" s="40" t="str">
        <f t="shared" si="3"/>
        <v/>
      </c>
      <c r="V365" s="34" t="str">
        <f t="shared" si="4"/>
        <v/>
      </c>
      <c r="W365" s="41" t="str">
        <f>IFERROR(__xludf.DUMMYFUNCTION(" IF(Account!$F365&lt;&gt;"""", SPLIT(Account!$F365, "" ""), """")"),"")</f>
        <v/>
      </c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</row>
    <row r="366">
      <c r="A366" s="20"/>
      <c r="B366" s="20"/>
      <c r="C366" s="20"/>
      <c r="D366" s="20"/>
      <c r="E366" s="20"/>
      <c r="F366" s="21"/>
      <c r="G366" s="20"/>
      <c r="H366" s="20"/>
      <c r="I366" s="20"/>
      <c r="J366" s="20"/>
      <c r="K366" s="20"/>
      <c r="L366" s="21"/>
      <c r="M366" s="33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4" t="str">
        <f>IFERROR(__xludf.DUMMYFUNCTION("IF(Account!$F366&lt;&gt;"""", VALUE(REGEXREPLACE($I366, ""\,"", ""."")), """")"),"")</f>
        <v/>
      </c>
      <c r="O366" s="35" t="str">
        <f>IF(Account!$F366&lt;&gt;"", DATEVALUE(MID($A366,4,3) &amp; LEFT($A366,3) &amp; RIGHT($A366,4)) + TIMEVALUE($B366), "")</f>
        <v/>
      </c>
      <c r="P366" s="36" t="str">
        <f>IF(Account!$F366&lt;&gt;"", DATEVALUE(MID($C366,4,3) &amp; LEFT($C366,3) &amp; RIGHT($C366,4)), "")</f>
        <v/>
      </c>
      <c r="Q366" s="37" t="str">
        <f t="array" ref="Q366">IF($R366&lt;&gt;"",IFERROR(INDEX(ISIN!$B:$B,MATCH($R366,ISIN!$C:$C,0))),)</f>
        <v/>
      </c>
      <c r="R366" s="38" t="str">
        <f t="array" ref="R366">IF($E366&lt;&gt;""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7" t="str">
        <f t="shared" si="1"/>
        <v/>
      </c>
      <c r="T366" s="39" t="str">
        <f t="shared" si="2"/>
        <v/>
      </c>
      <c r="U366" s="40" t="str">
        <f t="shared" si="3"/>
        <v/>
      </c>
      <c r="V366" s="34" t="str">
        <f t="shared" si="4"/>
        <v/>
      </c>
      <c r="W366" s="41" t="str">
        <f>IFERROR(__xludf.DUMMYFUNCTION(" IF(Account!$F366&lt;&gt;"""", SPLIT(Account!$F366, "" ""), """")"),"")</f>
        <v/>
      </c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</row>
    <row r="367">
      <c r="A367" s="20"/>
      <c r="B367" s="20"/>
      <c r="C367" s="20"/>
      <c r="D367" s="20"/>
      <c r="E367" s="20"/>
      <c r="F367" s="21"/>
      <c r="G367" s="45"/>
      <c r="H367" s="20"/>
      <c r="I367" s="20"/>
      <c r="J367" s="20"/>
      <c r="K367" s="20"/>
      <c r="L367" s="21"/>
      <c r="M367" s="33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4" t="str">
        <f>IFERROR(__xludf.DUMMYFUNCTION("IF(Account!$F367&lt;&gt;"""", VALUE(REGEXREPLACE($I367, ""\,"", ""."")), """")"),"")</f>
        <v/>
      </c>
      <c r="O367" s="35" t="str">
        <f>IF(Account!$F367&lt;&gt;"", DATEVALUE(MID($A367,4,3) &amp; LEFT($A367,3) &amp; RIGHT($A367,4)) + TIMEVALUE($B367), "")</f>
        <v/>
      </c>
      <c r="P367" s="36" t="str">
        <f>IF(Account!$F367&lt;&gt;"", DATEVALUE(MID($C367,4,3) &amp; LEFT($C367,3) &amp; RIGHT($C367,4)), "")</f>
        <v/>
      </c>
      <c r="Q367" s="37" t="str">
        <f t="array" ref="Q367">IF($R367&lt;&gt;"",IFERROR(INDEX(ISIN!$B:$B,MATCH($R367,ISIN!$C:$C,0))),)</f>
        <v/>
      </c>
      <c r="R367" s="38" t="str">
        <f t="array" ref="R367">IF($E367&lt;&gt;""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7" t="str">
        <f t="shared" si="1"/>
        <v/>
      </c>
      <c r="T367" s="39" t="str">
        <f t="shared" si="2"/>
        <v/>
      </c>
      <c r="U367" s="40" t="str">
        <f t="shared" si="3"/>
        <v/>
      </c>
      <c r="V367" s="34" t="str">
        <f t="shared" si="4"/>
        <v/>
      </c>
      <c r="W367" s="41" t="str">
        <f>IFERROR(__xludf.DUMMYFUNCTION(" IF(Account!$F367&lt;&gt;"""", SPLIT(Account!$F367, "" ""), """")"),"")</f>
        <v/>
      </c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</row>
    <row r="368">
      <c r="A368" s="20"/>
      <c r="B368" s="20"/>
      <c r="C368" s="20"/>
      <c r="D368" s="20"/>
      <c r="E368" s="20"/>
      <c r="F368" s="21"/>
      <c r="G368" s="20"/>
      <c r="H368" s="20"/>
      <c r="I368" s="20"/>
      <c r="J368" s="20"/>
      <c r="K368" s="20"/>
      <c r="L368" s="21"/>
      <c r="M368" s="33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4" t="str">
        <f>IFERROR(__xludf.DUMMYFUNCTION("IF(Account!$F368&lt;&gt;"""", VALUE(REGEXREPLACE($I368, ""\,"", ""."")), """")"),"")</f>
        <v/>
      </c>
      <c r="O368" s="35" t="str">
        <f>IF(Account!$F368&lt;&gt;"", DATEVALUE(MID($A368,4,3) &amp; LEFT($A368,3) &amp; RIGHT($A368,4)) + TIMEVALUE($B368), "")</f>
        <v/>
      </c>
      <c r="P368" s="36" t="str">
        <f>IF(Account!$F368&lt;&gt;"", DATEVALUE(MID($C368,4,3) &amp; LEFT($C368,3) &amp; RIGHT($C368,4)), "")</f>
        <v/>
      </c>
      <c r="Q368" s="37" t="str">
        <f t="array" ref="Q368">IF($R368&lt;&gt;"",IFERROR(INDEX(ISIN!$B:$B,MATCH($R368,ISIN!$C:$C,0))),)</f>
        <v/>
      </c>
      <c r="R368" s="38" t="str">
        <f t="array" ref="R368">IF($E368&lt;&gt;""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7" t="str">
        <f t="shared" si="1"/>
        <v/>
      </c>
      <c r="T368" s="39" t="str">
        <f t="shared" si="2"/>
        <v/>
      </c>
      <c r="U368" s="40" t="str">
        <f t="shared" si="3"/>
        <v/>
      </c>
      <c r="V368" s="34" t="str">
        <f t="shared" si="4"/>
        <v/>
      </c>
      <c r="W368" s="41" t="str">
        <f>IFERROR(__xludf.DUMMYFUNCTION(" IF(Account!$F368&lt;&gt;"""", SPLIT(Account!$F368, "" ""), """")"),"")</f>
        <v/>
      </c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</row>
    <row r="369">
      <c r="A369" s="20"/>
      <c r="B369" s="20"/>
      <c r="C369" s="20"/>
      <c r="D369" s="20"/>
      <c r="E369" s="20"/>
      <c r="F369" s="21"/>
      <c r="G369" s="45"/>
      <c r="H369" s="20"/>
      <c r="I369" s="20"/>
      <c r="J369" s="20"/>
      <c r="K369" s="20"/>
      <c r="L369" s="21"/>
      <c r="M369" s="33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4" t="str">
        <f>IFERROR(__xludf.DUMMYFUNCTION("IF(Account!$F369&lt;&gt;"""", VALUE(REGEXREPLACE($I369, ""\,"", ""."")), """")"),"")</f>
        <v/>
      </c>
      <c r="O369" s="35" t="str">
        <f>IF(Account!$F369&lt;&gt;"", DATEVALUE(MID($A369,4,3) &amp; LEFT($A369,3) &amp; RIGHT($A369,4)) + TIMEVALUE($B369), "")</f>
        <v/>
      </c>
      <c r="P369" s="36" t="str">
        <f>IF(Account!$F369&lt;&gt;"", DATEVALUE(MID($C369,4,3) &amp; LEFT($C369,3) &amp; RIGHT($C369,4)), "")</f>
        <v/>
      </c>
      <c r="Q369" s="37" t="str">
        <f t="array" ref="Q369">IF($R369&lt;&gt;"",IFERROR(INDEX(ISIN!$B:$B,MATCH($R369,ISIN!$C:$C,0))),)</f>
        <v/>
      </c>
      <c r="R369" s="38" t="str">
        <f t="array" ref="R369">IF($E369&lt;&gt;""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7" t="str">
        <f t="shared" si="1"/>
        <v/>
      </c>
      <c r="T369" s="39" t="str">
        <f t="shared" si="2"/>
        <v/>
      </c>
      <c r="U369" s="40" t="str">
        <f t="shared" si="3"/>
        <v/>
      </c>
      <c r="V369" s="34" t="str">
        <f t="shared" si="4"/>
        <v/>
      </c>
      <c r="W369" s="41" t="str">
        <f>IFERROR(__xludf.DUMMYFUNCTION(" IF(Account!$F369&lt;&gt;"""", SPLIT(Account!$F369, "" ""), """")"),"")</f>
        <v/>
      </c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</row>
    <row r="370">
      <c r="A370" s="20"/>
      <c r="B370" s="20"/>
      <c r="C370" s="20"/>
      <c r="D370" s="20"/>
      <c r="E370" s="20"/>
      <c r="F370" s="21"/>
      <c r="G370" s="20"/>
      <c r="H370" s="20"/>
      <c r="I370" s="20"/>
      <c r="J370" s="20"/>
      <c r="K370" s="20"/>
      <c r="L370" s="21"/>
      <c r="M370" s="33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4" t="str">
        <f>IFERROR(__xludf.DUMMYFUNCTION("IF(Account!$F370&lt;&gt;"""", VALUE(REGEXREPLACE($I370, ""\,"", ""."")), """")"),"")</f>
        <v/>
      </c>
      <c r="O370" s="35" t="str">
        <f>IF(Account!$F370&lt;&gt;"", DATEVALUE(MID($A370,4,3) &amp; LEFT($A370,3) &amp; RIGHT($A370,4)) + TIMEVALUE($B370), "")</f>
        <v/>
      </c>
      <c r="P370" s="36" t="str">
        <f>IF(Account!$F370&lt;&gt;"", DATEVALUE(MID($C370,4,3) &amp; LEFT($C370,3) &amp; RIGHT($C370,4)), "")</f>
        <v/>
      </c>
      <c r="Q370" s="37" t="str">
        <f t="array" ref="Q370">IF($R370&lt;&gt;"",IFERROR(INDEX(ISIN!$B:$B,MATCH($R370,ISIN!$C:$C,0))),)</f>
        <v/>
      </c>
      <c r="R370" s="38" t="str">
        <f t="array" ref="R370">IF($E370&lt;&gt;""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7" t="str">
        <f t="shared" si="1"/>
        <v/>
      </c>
      <c r="T370" s="39" t="str">
        <f t="shared" si="2"/>
        <v/>
      </c>
      <c r="U370" s="40" t="str">
        <f t="shared" si="3"/>
        <v/>
      </c>
      <c r="V370" s="34" t="str">
        <f t="shared" si="4"/>
        <v/>
      </c>
      <c r="W370" s="41" t="str">
        <f>IFERROR(__xludf.DUMMYFUNCTION(" IF(Account!$F370&lt;&gt;"""", SPLIT(Account!$F370, "" ""), """")"),"")</f>
        <v/>
      </c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</row>
    <row r="371">
      <c r="A371" s="20"/>
      <c r="B371" s="20"/>
      <c r="C371" s="20"/>
      <c r="D371" s="20"/>
      <c r="E371" s="20"/>
      <c r="F371" s="21"/>
      <c r="G371" s="20"/>
      <c r="H371" s="20"/>
      <c r="I371" s="20"/>
      <c r="J371" s="20"/>
      <c r="K371" s="20"/>
      <c r="L371" s="21"/>
      <c r="M371" s="33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4" t="str">
        <f>IFERROR(__xludf.DUMMYFUNCTION("IF(Account!$F371&lt;&gt;"""", VALUE(REGEXREPLACE($I371, ""\,"", ""."")), """")"),"")</f>
        <v/>
      </c>
      <c r="O371" s="35" t="str">
        <f>IF(Account!$F371&lt;&gt;"", DATEVALUE(MID($A371,4,3) &amp; LEFT($A371,3) &amp; RIGHT($A371,4)) + TIMEVALUE($B371), "")</f>
        <v/>
      </c>
      <c r="P371" s="36" t="str">
        <f>IF(Account!$F371&lt;&gt;"", DATEVALUE(MID($C371,4,3) &amp; LEFT($C371,3) &amp; RIGHT($C371,4)), "")</f>
        <v/>
      </c>
      <c r="Q371" s="37" t="str">
        <f t="array" ref="Q371">IF($R371&lt;&gt;"",IFERROR(INDEX(ISIN!$B:$B,MATCH($R371,ISIN!$C:$C,0))),)</f>
        <v/>
      </c>
      <c r="R371" s="38" t="str">
        <f t="array" ref="R371">IF($E371&lt;&gt;""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7" t="str">
        <f t="shared" si="1"/>
        <v/>
      </c>
      <c r="T371" s="39" t="str">
        <f t="shared" si="2"/>
        <v/>
      </c>
      <c r="U371" s="40" t="str">
        <f t="shared" si="3"/>
        <v/>
      </c>
      <c r="V371" s="34" t="str">
        <f t="shared" si="4"/>
        <v/>
      </c>
      <c r="W371" s="41" t="str">
        <f>IFERROR(__xludf.DUMMYFUNCTION(" IF(Account!$F371&lt;&gt;"""", SPLIT(Account!$F371, "" ""), """")"),"")</f>
        <v/>
      </c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</row>
    <row r="372">
      <c r="A372" s="20"/>
      <c r="B372" s="20"/>
      <c r="C372" s="20"/>
      <c r="D372" s="20"/>
      <c r="E372" s="20"/>
      <c r="F372" s="21"/>
      <c r="G372" s="20"/>
      <c r="H372" s="20"/>
      <c r="I372" s="20"/>
      <c r="J372" s="20"/>
      <c r="K372" s="20"/>
      <c r="L372" s="21"/>
      <c r="M372" s="33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4" t="str">
        <f>IFERROR(__xludf.DUMMYFUNCTION("IF(Account!$F372&lt;&gt;"""", VALUE(REGEXREPLACE($I372, ""\,"", ""."")), """")"),"")</f>
        <v/>
      </c>
      <c r="O372" s="35" t="str">
        <f>IF(Account!$F372&lt;&gt;"", DATEVALUE(MID($A372,4,3) &amp; LEFT($A372,3) &amp; RIGHT($A372,4)) + TIMEVALUE($B372), "")</f>
        <v/>
      </c>
      <c r="P372" s="36" t="str">
        <f>IF(Account!$F372&lt;&gt;"", DATEVALUE(MID($C372,4,3) &amp; LEFT($C372,3) &amp; RIGHT($C372,4)), "")</f>
        <v/>
      </c>
      <c r="Q372" s="37" t="str">
        <f t="array" ref="Q372">IF($R372&lt;&gt;"",IFERROR(INDEX(ISIN!$B:$B,MATCH($R372,ISIN!$C:$C,0))),)</f>
        <v/>
      </c>
      <c r="R372" s="38" t="str">
        <f t="array" ref="R372">IF($E372&lt;&gt;""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7" t="str">
        <f t="shared" si="1"/>
        <v/>
      </c>
      <c r="T372" s="39" t="str">
        <f t="shared" si="2"/>
        <v/>
      </c>
      <c r="U372" s="40" t="str">
        <f t="shared" si="3"/>
        <v/>
      </c>
      <c r="V372" s="34" t="str">
        <f t="shared" si="4"/>
        <v/>
      </c>
      <c r="W372" s="41" t="str">
        <f>IFERROR(__xludf.DUMMYFUNCTION(" IF(Account!$F372&lt;&gt;"""", SPLIT(Account!$F372, "" ""), """")"),"")</f>
        <v/>
      </c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</row>
    <row r="373">
      <c r="A373" s="20"/>
      <c r="B373" s="20"/>
      <c r="C373" s="20"/>
      <c r="D373" s="20"/>
      <c r="E373" s="20"/>
      <c r="F373" s="21"/>
      <c r="G373" s="45"/>
      <c r="H373" s="20"/>
      <c r="I373" s="20"/>
      <c r="J373" s="20"/>
      <c r="K373" s="20"/>
      <c r="L373" s="21"/>
      <c r="M373" s="33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4" t="str">
        <f>IFERROR(__xludf.DUMMYFUNCTION("IF(Account!$F373&lt;&gt;"""", VALUE(REGEXREPLACE($I373, ""\,"", ""."")), """")"),"")</f>
        <v/>
      </c>
      <c r="O373" s="35" t="str">
        <f>IF(Account!$F373&lt;&gt;"", DATEVALUE(MID($A373,4,3) &amp; LEFT($A373,3) &amp; RIGHT($A373,4)) + TIMEVALUE($B373), "")</f>
        <v/>
      </c>
      <c r="P373" s="36" t="str">
        <f>IF(Account!$F373&lt;&gt;"", DATEVALUE(MID($C373,4,3) &amp; LEFT($C373,3) &amp; RIGHT($C373,4)), "")</f>
        <v/>
      </c>
      <c r="Q373" s="37" t="str">
        <f t="array" ref="Q373">IF($R373&lt;&gt;"",IFERROR(INDEX(ISIN!$B:$B,MATCH($R373,ISIN!$C:$C,0))),)</f>
        <v/>
      </c>
      <c r="R373" s="38" t="str">
        <f t="array" ref="R373">IF($E373&lt;&gt;""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7" t="str">
        <f t="shared" si="1"/>
        <v/>
      </c>
      <c r="T373" s="39" t="str">
        <f t="shared" si="2"/>
        <v/>
      </c>
      <c r="U373" s="40" t="str">
        <f t="shared" si="3"/>
        <v/>
      </c>
      <c r="V373" s="34" t="str">
        <f t="shared" si="4"/>
        <v/>
      </c>
      <c r="W373" s="41" t="str">
        <f>IFERROR(__xludf.DUMMYFUNCTION(" IF(Account!$F373&lt;&gt;"""", SPLIT(Account!$F373, "" ""), """")"),"")</f>
        <v/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</row>
    <row r="374">
      <c r="A374" s="20"/>
      <c r="B374" s="20"/>
      <c r="C374" s="20"/>
      <c r="D374" s="20"/>
      <c r="E374" s="20"/>
      <c r="F374" s="21"/>
      <c r="G374" s="20"/>
      <c r="H374" s="20"/>
      <c r="I374" s="20"/>
      <c r="J374" s="20"/>
      <c r="K374" s="20"/>
      <c r="L374" s="21"/>
      <c r="M374" s="33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4" t="str">
        <f>IFERROR(__xludf.DUMMYFUNCTION("IF(Account!$F374&lt;&gt;"""", VALUE(REGEXREPLACE($I374, ""\,"", ""."")), """")"),"")</f>
        <v/>
      </c>
      <c r="O374" s="35" t="str">
        <f>IF(Account!$F374&lt;&gt;"", DATEVALUE(MID($A374,4,3) &amp; LEFT($A374,3) &amp; RIGHT($A374,4)) + TIMEVALUE($B374), "")</f>
        <v/>
      </c>
      <c r="P374" s="36" t="str">
        <f>IF(Account!$F374&lt;&gt;"", DATEVALUE(MID($C374,4,3) &amp; LEFT($C374,3) &amp; RIGHT($C374,4)), "")</f>
        <v/>
      </c>
      <c r="Q374" s="37" t="str">
        <f t="array" ref="Q374">IF($R374&lt;&gt;"",IFERROR(INDEX(ISIN!$B:$B,MATCH($R374,ISIN!$C:$C,0))),)</f>
        <v/>
      </c>
      <c r="R374" s="38" t="str">
        <f t="array" ref="R374">IF($E374&lt;&gt;""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7" t="str">
        <f t="shared" si="1"/>
        <v/>
      </c>
      <c r="T374" s="39" t="str">
        <f t="shared" si="2"/>
        <v/>
      </c>
      <c r="U374" s="40" t="str">
        <f t="shared" si="3"/>
        <v/>
      </c>
      <c r="V374" s="34" t="str">
        <f t="shared" si="4"/>
        <v/>
      </c>
      <c r="W374" s="41" t="str">
        <f>IFERROR(__xludf.DUMMYFUNCTION(" IF(Account!$F374&lt;&gt;"""", SPLIT(Account!$F374, "" ""), """")"),"")</f>
        <v/>
      </c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</row>
    <row r="375">
      <c r="A375" s="20"/>
      <c r="B375" s="20"/>
      <c r="C375" s="20"/>
      <c r="D375" s="20"/>
      <c r="E375" s="20"/>
      <c r="F375" s="21"/>
      <c r="G375" s="45"/>
      <c r="H375" s="20"/>
      <c r="I375" s="20"/>
      <c r="J375" s="20"/>
      <c r="K375" s="20"/>
      <c r="L375" s="21"/>
      <c r="M375" s="33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4" t="str">
        <f>IFERROR(__xludf.DUMMYFUNCTION("IF(Account!$F375&lt;&gt;"""", VALUE(REGEXREPLACE($I375, ""\,"", ""."")), """")"),"")</f>
        <v/>
      </c>
      <c r="O375" s="35" t="str">
        <f>IF(Account!$F375&lt;&gt;"", DATEVALUE(MID($A375,4,3) &amp; LEFT($A375,3) &amp; RIGHT($A375,4)) + TIMEVALUE($B375), "")</f>
        <v/>
      </c>
      <c r="P375" s="36" t="str">
        <f>IF(Account!$F375&lt;&gt;"", DATEVALUE(MID($C375,4,3) &amp; LEFT($C375,3) &amp; RIGHT($C375,4)), "")</f>
        <v/>
      </c>
      <c r="Q375" s="37" t="str">
        <f t="array" ref="Q375">IF($R375&lt;&gt;"",IFERROR(INDEX(ISIN!$B:$B,MATCH($R375,ISIN!$C:$C,0))),)</f>
        <v/>
      </c>
      <c r="R375" s="38" t="str">
        <f t="array" ref="R375">IF($E375&lt;&gt;""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7" t="str">
        <f t="shared" si="1"/>
        <v/>
      </c>
      <c r="T375" s="39" t="str">
        <f t="shared" si="2"/>
        <v/>
      </c>
      <c r="U375" s="40" t="str">
        <f t="shared" si="3"/>
        <v/>
      </c>
      <c r="V375" s="34" t="str">
        <f t="shared" si="4"/>
        <v/>
      </c>
      <c r="W375" s="41" t="str">
        <f>IFERROR(__xludf.DUMMYFUNCTION(" IF(Account!$F375&lt;&gt;"""", SPLIT(Account!$F375, "" ""), """")"),"")</f>
        <v/>
      </c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</row>
    <row r="376">
      <c r="A376" s="20"/>
      <c r="B376" s="20"/>
      <c r="C376" s="20"/>
      <c r="D376" s="20"/>
      <c r="E376" s="20"/>
      <c r="F376" s="21"/>
      <c r="G376" s="20"/>
      <c r="H376" s="20"/>
      <c r="I376" s="20"/>
      <c r="J376" s="20"/>
      <c r="K376" s="20"/>
      <c r="L376" s="21"/>
      <c r="M376" s="33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4" t="str">
        <f>IFERROR(__xludf.DUMMYFUNCTION("IF(Account!$F376&lt;&gt;"""", VALUE(REGEXREPLACE($I376, ""\,"", ""."")), """")"),"")</f>
        <v/>
      </c>
      <c r="O376" s="35" t="str">
        <f>IF(Account!$F376&lt;&gt;"", DATEVALUE(MID($A376,4,3) &amp; LEFT($A376,3) &amp; RIGHT($A376,4)) + TIMEVALUE($B376), "")</f>
        <v/>
      </c>
      <c r="P376" s="36" t="str">
        <f>IF(Account!$F376&lt;&gt;"", DATEVALUE(MID($C376,4,3) &amp; LEFT($C376,3) &amp; RIGHT($C376,4)), "")</f>
        <v/>
      </c>
      <c r="Q376" s="37" t="str">
        <f t="array" ref="Q376">IF($R376&lt;&gt;"",IFERROR(INDEX(ISIN!$B:$B,MATCH($R376,ISIN!$C:$C,0))),)</f>
        <v/>
      </c>
      <c r="R376" s="38" t="str">
        <f t="array" ref="R376">IF($E376&lt;&gt;""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7" t="str">
        <f t="shared" si="1"/>
        <v/>
      </c>
      <c r="T376" s="39" t="str">
        <f t="shared" si="2"/>
        <v/>
      </c>
      <c r="U376" s="40" t="str">
        <f t="shared" si="3"/>
        <v/>
      </c>
      <c r="V376" s="34" t="str">
        <f t="shared" si="4"/>
        <v/>
      </c>
      <c r="W376" s="41" t="str">
        <f>IFERROR(__xludf.DUMMYFUNCTION(" IF(Account!$F376&lt;&gt;"""", SPLIT(Account!$F376, "" ""), """")"),"")</f>
        <v/>
      </c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</row>
    <row r="377">
      <c r="A377" s="20"/>
      <c r="B377" s="20"/>
      <c r="C377" s="20"/>
      <c r="D377" s="20"/>
      <c r="E377" s="20"/>
      <c r="F377" s="21"/>
      <c r="G377" s="45"/>
      <c r="H377" s="20"/>
      <c r="I377" s="20"/>
      <c r="J377" s="20"/>
      <c r="K377" s="20"/>
      <c r="L377" s="21"/>
      <c r="M377" s="33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4" t="str">
        <f>IFERROR(__xludf.DUMMYFUNCTION("IF(Account!$F377&lt;&gt;"""", VALUE(REGEXREPLACE($I377, ""\,"", ""."")), """")"),"")</f>
        <v/>
      </c>
      <c r="O377" s="35" t="str">
        <f>IF(Account!$F377&lt;&gt;"", DATEVALUE(MID($A377,4,3) &amp; LEFT($A377,3) &amp; RIGHT($A377,4)) + TIMEVALUE($B377), "")</f>
        <v/>
      </c>
      <c r="P377" s="36" t="str">
        <f>IF(Account!$F377&lt;&gt;"", DATEVALUE(MID($C377,4,3) &amp; LEFT($C377,3) &amp; RIGHT($C377,4)), "")</f>
        <v/>
      </c>
      <c r="Q377" s="37" t="str">
        <f t="array" ref="Q377">IF($R377&lt;&gt;"",IFERROR(INDEX(ISIN!$B:$B,MATCH($R377,ISIN!$C:$C,0))),)</f>
        <v/>
      </c>
      <c r="R377" s="38" t="str">
        <f t="array" ref="R377">IF($E377&lt;&gt;""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7" t="str">
        <f t="shared" si="1"/>
        <v/>
      </c>
      <c r="T377" s="39" t="str">
        <f t="shared" si="2"/>
        <v/>
      </c>
      <c r="U377" s="40" t="str">
        <f t="shared" si="3"/>
        <v/>
      </c>
      <c r="V377" s="34" t="str">
        <f t="shared" si="4"/>
        <v/>
      </c>
      <c r="W377" s="41" t="str">
        <f>IFERROR(__xludf.DUMMYFUNCTION(" IF(Account!$F377&lt;&gt;"""", SPLIT(Account!$F377, "" ""), """")"),"")</f>
        <v/>
      </c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</row>
    <row r="378">
      <c r="A378" s="20"/>
      <c r="B378" s="20"/>
      <c r="C378" s="20"/>
      <c r="D378" s="20"/>
      <c r="E378" s="20"/>
      <c r="F378" s="21"/>
      <c r="G378" s="20"/>
      <c r="H378" s="20"/>
      <c r="I378" s="20"/>
      <c r="J378" s="20"/>
      <c r="K378" s="20"/>
      <c r="L378" s="21"/>
      <c r="M378" s="33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4" t="str">
        <f>IFERROR(__xludf.DUMMYFUNCTION("IF(Account!$F378&lt;&gt;"""", VALUE(REGEXREPLACE($I378, ""\,"", ""."")), """")"),"")</f>
        <v/>
      </c>
      <c r="O378" s="35" t="str">
        <f>IF(Account!$F378&lt;&gt;"", DATEVALUE(MID($A378,4,3) &amp; LEFT($A378,3) &amp; RIGHT($A378,4)) + TIMEVALUE($B378), "")</f>
        <v/>
      </c>
      <c r="P378" s="36" t="str">
        <f>IF(Account!$F378&lt;&gt;"", DATEVALUE(MID($C378,4,3) &amp; LEFT($C378,3) &amp; RIGHT($C378,4)), "")</f>
        <v/>
      </c>
      <c r="Q378" s="37" t="str">
        <f t="array" ref="Q378">IF($R378&lt;&gt;"",IFERROR(INDEX(ISIN!$B:$B,MATCH($R378,ISIN!$C:$C,0))),)</f>
        <v/>
      </c>
      <c r="R378" s="38" t="str">
        <f t="array" ref="R378">IF($E378&lt;&gt;""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7" t="str">
        <f t="shared" si="1"/>
        <v/>
      </c>
      <c r="T378" s="39" t="str">
        <f t="shared" si="2"/>
        <v/>
      </c>
      <c r="U378" s="40" t="str">
        <f t="shared" si="3"/>
        <v/>
      </c>
      <c r="V378" s="34" t="str">
        <f t="shared" si="4"/>
        <v/>
      </c>
      <c r="W378" s="41" t="str">
        <f>IFERROR(__xludf.DUMMYFUNCTION(" IF(Account!$F378&lt;&gt;"""", SPLIT(Account!$F378, "" ""), """")"),"")</f>
        <v/>
      </c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</row>
    <row r="379">
      <c r="A379" s="20"/>
      <c r="B379" s="20"/>
      <c r="C379" s="20"/>
      <c r="D379" s="20"/>
      <c r="E379" s="20"/>
      <c r="F379" s="21"/>
      <c r="G379" s="45"/>
      <c r="H379" s="20"/>
      <c r="I379" s="20"/>
      <c r="J379" s="20"/>
      <c r="K379" s="20"/>
      <c r="L379" s="21"/>
      <c r="M379" s="33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4" t="str">
        <f>IFERROR(__xludf.DUMMYFUNCTION("IF(Account!$F379&lt;&gt;"""", VALUE(REGEXREPLACE($I379, ""\,"", ""."")), """")"),"")</f>
        <v/>
      </c>
      <c r="O379" s="35" t="str">
        <f>IF(Account!$F379&lt;&gt;"", DATEVALUE(MID($A379,4,3) &amp; LEFT($A379,3) &amp; RIGHT($A379,4)) + TIMEVALUE($B379), "")</f>
        <v/>
      </c>
      <c r="P379" s="36" t="str">
        <f>IF(Account!$F379&lt;&gt;"", DATEVALUE(MID($C379,4,3) &amp; LEFT($C379,3) &amp; RIGHT($C379,4)), "")</f>
        <v/>
      </c>
      <c r="Q379" s="37" t="str">
        <f t="array" ref="Q379">IF($R379&lt;&gt;"",IFERROR(INDEX(ISIN!$B:$B,MATCH($R379,ISIN!$C:$C,0))),)</f>
        <v/>
      </c>
      <c r="R379" s="38" t="str">
        <f t="array" ref="R379">IF($E379&lt;&gt;""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7" t="str">
        <f t="shared" si="1"/>
        <v/>
      </c>
      <c r="T379" s="39" t="str">
        <f t="shared" si="2"/>
        <v/>
      </c>
      <c r="U379" s="40" t="str">
        <f t="shared" si="3"/>
        <v/>
      </c>
      <c r="V379" s="34" t="str">
        <f t="shared" si="4"/>
        <v/>
      </c>
      <c r="W379" s="41" t="str">
        <f>IFERROR(__xludf.DUMMYFUNCTION(" IF(Account!$F379&lt;&gt;"""", SPLIT(Account!$F379, "" ""), """")"),"")</f>
        <v/>
      </c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</row>
    <row r="380">
      <c r="A380" s="20"/>
      <c r="B380" s="20"/>
      <c r="C380" s="20"/>
      <c r="D380" s="20"/>
      <c r="E380" s="20"/>
      <c r="F380" s="21"/>
      <c r="G380" s="20"/>
      <c r="H380" s="20"/>
      <c r="I380" s="20"/>
      <c r="J380" s="20"/>
      <c r="K380" s="20"/>
      <c r="L380" s="21"/>
      <c r="M380" s="33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4" t="str">
        <f>IFERROR(__xludf.DUMMYFUNCTION("IF(Account!$F380&lt;&gt;"""", VALUE(REGEXREPLACE($I380, ""\,"", ""."")), """")"),"")</f>
        <v/>
      </c>
      <c r="O380" s="35" t="str">
        <f>IF(Account!$F380&lt;&gt;"", DATEVALUE(MID($A380,4,3) &amp; LEFT($A380,3) &amp; RIGHT($A380,4)) + TIMEVALUE($B380), "")</f>
        <v/>
      </c>
      <c r="P380" s="36" t="str">
        <f>IF(Account!$F380&lt;&gt;"", DATEVALUE(MID($C380,4,3) &amp; LEFT($C380,3) &amp; RIGHT($C380,4)), "")</f>
        <v/>
      </c>
      <c r="Q380" s="37" t="str">
        <f t="array" ref="Q380">IF($R380&lt;&gt;"",IFERROR(INDEX(ISIN!$B:$B,MATCH($R380,ISIN!$C:$C,0))),)</f>
        <v/>
      </c>
      <c r="R380" s="38" t="str">
        <f t="array" ref="R380">IF($E380&lt;&gt;""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7" t="str">
        <f t="shared" si="1"/>
        <v/>
      </c>
      <c r="T380" s="39" t="str">
        <f t="shared" si="2"/>
        <v/>
      </c>
      <c r="U380" s="40" t="str">
        <f t="shared" si="3"/>
        <v/>
      </c>
      <c r="V380" s="34" t="str">
        <f t="shared" si="4"/>
        <v/>
      </c>
      <c r="W380" s="41" t="str">
        <f>IFERROR(__xludf.DUMMYFUNCTION(" IF(Account!$F380&lt;&gt;"""", SPLIT(Account!$F380, "" ""), """")"),"")</f>
        <v/>
      </c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</row>
    <row r="381">
      <c r="A381" s="20"/>
      <c r="B381" s="20"/>
      <c r="C381" s="20"/>
      <c r="D381" s="20"/>
      <c r="E381" s="20"/>
      <c r="F381" s="21"/>
      <c r="G381" s="45"/>
      <c r="H381" s="20"/>
      <c r="I381" s="20"/>
      <c r="J381" s="20"/>
      <c r="K381" s="20"/>
      <c r="L381" s="21"/>
      <c r="M381" s="33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4" t="str">
        <f>IFERROR(__xludf.DUMMYFUNCTION("IF(Account!$F381&lt;&gt;"""", VALUE(REGEXREPLACE($I381, ""\,"", ""."")), """")"),"")</f>
        <v/>
      </c>
      <c r="O381" s="35" t="str">
        <f>IF(Account!$F381&lt;&gt;"", DATEVALUE(MID($A381,4,3) &amp; LEFT($A381,3) &amp; RIGHT($A381,4)) + TIMEVALUE($B381), "")</f>
        <v/>
      </c>
      <c r="P381" s="36" t="str">
        <f>IF(Account!$F381&lt;&gt;"", DATEVALUE(MID($C381,4,3) &amp; LEFT($C381,3) &amp; RIGHT($C381,4)), "")</f>
        <v/>
      </c>
      <c r="Q381" s="37" t="str">
        <f t="array" ref="Q381">IF($R381&lt;&gt;"",IFERROR(INDEX(ISIN!$B:$B,MATCH($R381,ISIN!$C:$C,0))),)</f>
        <v/>
      </c>
      <c r="R381" s="38" t="str">
        <f t="array" ref="R381">IF($E381&lt;&gt;""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7" t="str">
        <f t="shared" si="1"/>
        <v/>
      </c>
      <c r="T381" s="39" t="str">
        <f t="shared" si="2"/>
        <v/>
      </c>
      <c r="U381" s="40" t="str">
        <f t="shared" si="3"/>
        <v/>
      </c>
      <c r="V381" s="34" t="str">
        <f t="shared" si="4"/>
        <v/>
      </c>
      <c r="W381" s="41" t="str">
        <f>IFERROR(__xludf.DUMMYFUNCTION(" IF(Account!$F381&lt;&gt;"""", SPLIT(Account!$F381, "" ""), """")"),"")</f>
        <v/>
      </c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</row>
    <row r="382">
      <c r="A382" s="20"/>
      <c r="B382" s="20"/>
      <c r="C382" s="20"/>
      <c r="D382" s="20"/>
      <c r="E382" s="20"/>
      <c r="F382" s="21"/>
      <c r="G382" s="45"/>
      <c r="H382" s="20"/>
      <c r="I382" s="20"/>
      <c r="J382" s="20"/>
      <c r="K382" s="20"/>
      <c r="L382" s="21"/>
      <c r="M382" s="33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4" t="str">
        <f>IFERROR(__xludf.DUMMYFUNCTION("IF(Account!$F382&lt;&gt;"""", VALUE(REGEXREPLACE($I382, ""\,"", ""."")), """")"),"")</f>
        <v/>
      </c>
      <c r="O382" s="35" t="str">
        <f>IF(Account!$F382&lt;&gt;"", DATEVALUE(MID($A382,4,3) &amp; LEFT($A382,3) &amp; RIGHT($A382,4)) + TIMEVALUE($B382), "")</f>
        <v/>
      </c>
      <c r="P382" s="36" t="str">
        <f>IF(Account!$F382&lt;&gt;"", DATEVALUE(MID($C382,4,3) &amp; LEFT($C382,3) &amp; RIGHT($C382,4)), "")</f>
        <v/>
      </c>
      <c r="Q382" s="37" t="str">
        <f t="array" ref="Q382">IF($R382&lt;&gt;"",IFERROR(INDEX(ISIN!$B:$B,MATCH($R382,ISIN!$C:$C,0))),)</f>
        <v/>
      </c>
      <c r="R382" s="38" t="str">
        <f t="array" ref="R382">IF($E382&lt;&gt;""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7" t="str">
        <f t="shared" si="1"/>
        <v/>
      </c>
      <c r="T382" s="39" t="str">
        <f t="shared" si="2"/>
        <v/>
      </c>
      <c r="U382" s="40" t="str">
        <f t="shared" si="3"/>
        <v/>
      </c>
      <c r="V382" s="34" t="str">
        <f t="shared" si="4"/>
        <v/>
      </c>
      <c r="W382" s="41" t="str">
        <f>IFERROR(__xludf.DUMMYFUNCTION(" IF(Account!$F382&lt;&gt;"""", SPLIT(Account!$F382, "" ""), """")"),"")</f>
        <v/>
      </c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</row>
    <row r="383">
      <c r="A383" s="20"/>
      <c r="B383" s="20"/>
      <c r="C383" s="20"/>
      <c r="D383" s="20"/>
      <c r="E383" s="20"/>
      <c r="F383" s="21"/>
      <c r="G383" s="45"/>
      <c r="H383" s="20"/>
      <c r="I383" s="20"/>
      <c r="J383" s="20"/>
      <c r="K383" s="20"/>
      <c r="L383" s="21"/>
      <c r="M383" s="33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4" t="str">
        <f>IFERROR(__xludf.DUMMYFUNCTION("IF(Account!$F383&lt;&gt;"""", VALUE(REGEXREPLACE($I383, ""\,"", ""."")), """")"),"")</f>
        <v/>
      </c>
      <c r="O383" s="35" t="str">
        <f>IF(Account!$F383&lt;&gt;"", DATEVALUE(MID($A383,4,3) &amp; LEFT($A383,3) &amp; RIGHT($A383,4)) + TIMEVALUE($B383), "")</f>
        <v/>
      </c>
      <c r="P383" s="36" t="str">
        <f>IF(Account!$F383&lt;&gt;"", DATEVALUE(MID($C383,4,3) &amp; LEFT($C383,3) &amp; RIGHT($C383,4)), "")</f>
        <v/>
      </c>
      <c r="Q383" s="37" t="str">
        <f t="array" ref="Q383">IF($R383&lt;&gt;"",IFERROR(INDEX(ISIN!$B:$B,MATCH($R383,ISIN!$C:$C,0))),)</f>
        <v/>
      </c>
      <c r="R383" s="38" t="str">
        <f t="array" ref="R383">IF($E383&lt;&gt;""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7" t="str">
        <f t="shared" si="1"/>
        <v/>
      </c>
      <c r="T383" s="39" t="str">
        <f t="shared" si="2"/>
        <v/>
      </c>
      <c r="U383" s="40" t="str">
        <f t="shared" si="3"/>
        <v/>
      </c>
      <c r="V383" s="34" t="str">
        <f t="shared" si="4"/>
        <v/>
      </c>
      <c r="W383" s="41" t="str">
        <f>IFERROR(__xludf.DUMMYFUNCTION(" IF(Account!$F383&lt;&gt;"""", SPLIT(Account!$F383, "" ""), """")"),"")</f>
        <v/>
      </c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</row>
    <row r="384">
      <c r="A384" s="20"/>
      <c r="B384" s="20"/>
      <c r="C384" s="20"/>
      <c r="D384" s="20"/>
      <c r="E384" s="20"/>
      <c r="F384" s="21"/>
      <c r="G384" s="45"/>
      <c r="H384" s="20"/>
      <c r="I384" s="20"/>
      <c r="J384" s="20"/>
      <c r="K384" s="20"/>
      <c r="L384" s="21"/>
      <c r="M384" s="33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4" t="str">
        <f>IFERROR(__xludf.DUMMYFUNCTION("IF(Account!$F384&lt;&gt;"""", VALUE(REGEXREPLACE($I384, ""\,"", ""."")), """")"),"")</f>
        <v/>
      </c>
      <c r="O384" s="35" t="str">
        <f>IF(Account!$F384&lt;&gt;"", DATEVALUE(MID($A384,4,3) &amp; LEFT($A384,3) &amp; RIGHT($A384,4)) + TIMEVALUE($B384), "")</f>
        <v/>
      </c>
      <c r="P384" s="36" t="str">
        <f>IF(Account!$F384&lt;&gt;"", DATEVALUE(MID($C384,4,3) &amp; LEFT($C384,3) &amp; RIGHT($C384,4)), "")</f>
        <v/>
      </c>
      <c r="Q384" s="37" t="str">
        <f t="array" ref="Q384">IF($R384&lt;&gt;"",IFERROR(INDEX(ISIN!$B:$B,MATCH($R384,ISIN!$C:$C,0))),)</f>
        <v/>
      </c>
      <c r="R384" s="38" t="str">
        <f t="array" ref="R384">IF($E384&lt;&gt;""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7" t="str">
        <f t="shared" si="1"/>
        <v/>
      </c>
      <c r="T384" s="39" t="str">
        <f t="shared" si="2"/>
        <v/>
      </c>
      <c r="U384" s="40" t="str">
        <f t="shared" si="3"/>
        <v/>
      </c>
      <c r="V384" s="34" t="str">
        <f t="shared" si="4"/>
        <v/>
      </c>
      <c r="W384" s="41" t="str">
        <f>IFERROR(__xludf.DUMMYFUNCTION(" IF(Account!$F384&lt;&gt;"""", SPLIT(Account!$F384, "" ""), """")"),"")</f>
        <v/>
      </c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</row>
    <row r="385">
      <c r="A385" s="20"/>
      <c r="B385" s="20"/>
      <c r="C385" s="20"/>
      <c r="D385" s="20"/>
      <c r="E385" s="20"/>
      <c r="F385" s="21"/>
      <c r="G385" s="45"/>
      <c r="H385" s="20"/>
      <c r="I385" s="20"/>
      <c r="J385" s="20"/>
      <c r="K385" s="20"/>
      <c r="L385" s="21"/>
      <c r="M385" s="33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4" t="str">
        <f>IFERROR(__xludf.DUMMYFUNCTION("IF(Account!$F385&lt;&gt;"""", VALUE(REGEXREPLACE($I385, ""\,"", ""."")), """")"),"")</f>
        <v/>
      </c>
      <c r="O385" s="35" t="str">
        <f>IF(Account!$F385&lt;&gt;"", DATEVALUE(MID($A385,4,3) &amp; LEFT($A385,3) &amp; RIGHT($A385,4)) + TIMEVALUE($B385), "")</f>
        <v/>
      </c>
      <c r="P385" s="36" t="str">
        <f>IF(Account!$F385&lt;&gt;"", DATEVALUE(MID($C385,4,3) &amp; LEFT($C385,3) &amp; RIGHT($C385,4)), "")</f>
        <v/>
      </c>
      <c r="Q385" s="37" t="str">
        <f t="array" ref="Q385">IF($R385&lt;&gt;"",IFERROR(INDEX(ISIN!$B:$B,MATCH($R385,ISIN!$C:$C,0))),)</f>
        <v/>
      </c>
      <c r="R385" s="38" t="str">
        <f t="array" ref="R385">IF($E385&lt;&gt;""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7" t="str">
        <f t="shared" si="1"/>
        <v/>
      </c>
      <c r="T385" s="39" t="str">
        <f t="shared" si="2"/>
        <v/>
      </c>
      <c r="U385" s="40" t="str">
        <f t="shared" si="3"/>
        <v/>
      </c>
      <c r="V385" s="34" t="str">
        <f t="shared" si="4"/>
        <v/>
      </c>
      <c r="W385" s="41" t="str">
        <f>IFERROR(__xludf.DUMMYFUNCTION(" IF(Account!$F385&lt;&gt;"""", SPLIT(Account!$F385, "" ""), """")"),"")</f>
        <v/>
      </c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</row>
    <row r="386">
      <c r="A386" s="20"/>
      <c r="B386" s="20"/>
      <c r="C386" s="20"/>
      <c r="D386" s="20"/>
      <c r="E386" s="20"/>
      <c r="F386" s="21"/>
      <c r="G386" s="45"/>
      <c r="H386" s="20"/>
      <c r="I386" s="20"/>
      <c r="J386" s="20"/>
      <c r="K386" s="20"/>
      <c r="L386" s="21"/>
      <c r="M386" s="33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4" t="str">
        <f>IFERROR(__xludf.DUMMYFUNCTION("IF(Account!$F386&lt;&gt;"""", VALUE(REGEXREPLACE($I386, ""\,"", ""."")), """")"),"")</f>
        <v/>
      </c>
      <c r="O386" s="35" t="str">
        <f>IF(Account!$F386&lt;&gt;"", DATEVALUE(MID($A386,4,3) &amp; LEFT($A386,3) &amp; RIGHT($A386,4)) + TIMEVALUE($B386), "")</f>
        <v/>
      </c>
      <c r="P386" s="36" t="str">
        <f>IF(Account!$F386&lt;&gt;"", DATEVALUE(MID($C386,4,3) &amp; LEFT($C386,3) &amp; RIGHT($C386,4)), "")</f>
        <v/>
      </c>
      <c r="Q386" s="37" t="str">
        <f t="array" ref="Q386">IF($R386&lt;&gt;"",IFERROR(INDEX(ISIN!$B:$B,MATCH($R386,ISIN!$C:$C,0))),)</f>
        <v/>
      </c>
      <c r="R386" s="38" t="str">
        <f t="array" ref="R386">IF($E386&lt;&gt;""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7" t="str">
        <f t="shared" si="1"/>
        <v/>
      </c>
      <c r="T386" s="39" t="str">
        <f t="shared" si="2"/>
        <v/>
      </c>
      <c r="U386" s="40" t="str">
        <f t="shared" si="3"/>
        <v/>
      </c>
      <c r="V386" s="34" t="str">
        <f t="shared" si="4"/>
        <v/>
      </c>
      <c r="W386" s="41" t="str">
        <f>IFERROR(__xludf.DUMMYFUNCTION(" IF(Account!$F386&lt;&gt;"""", SPLIT(Account!$F386, "" ""), """")"),"")</f>
        <v/>
      </c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</row>
    <row r="387">
      <c r="A387" s="20"/>
      <c r="B387" s="20"/>
      <c r="C387" s="20"/>
      <c r="D387" s="20"/>
      <c r="E387" s="20"/>
      <c r="F387" s="21"/>
      <c r="G387" s="45"/>
      <c r="H387" s="20"/>
      <c r="I387" s="20"/>
      <c r="J387" s="20"/>
      <c r="K387" s="20"/>
      <c r="L387" s="21"/>
      <c r="M387" s="33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4" t="str">
        <f>IFERROR(__xludf.DUMMYFUNCTION("IF(Account!$F387&lt;&gt;"""", VALUE(REGEXREPLACE($I387, ""\,"", ""."")), """")"),"")</f>
        <v/>
      </c>
      <c r="O387" s="35" t="str">
        <f>IF(Account!$F387&lt;&gt;"", DATEVALUE(MID($A387,4,3) &amp; LEFT($A387,3) &amp; RIGHT($A387,4)) + TIMEVALUE($B387), "")</f>
        <v/>
      </c>
      <c r="P387" s="36" t="str">
        <f>IF(Account!$F387&lt;&gt;"", DATEVALUE(MID($C387,4,3) &amp; LEFT($C387,3) &amp; RIGHT($C387,4)), "")</f>
        <v/>
      </c>
      <c r="Q387" s="37" t="str">
        <f t="array" ref="Q387">IF($R387&lt;&gt;"",IFERROR(INDEX(ISIN!$B:$B,MATCH($R387,ISIN!$C:$C,0))),)</f>
        <v/>
      </c>
      <c r="R387" s="38" t="str">
        <f t="array" ref="R387">IF($E387&lt;&gt;""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7" t="str">
        <f t="shared" si="1"/>
        <v/>
      </c>
      <c r="T387" s="39" t="str">
        <f t="shared" si="2"/>
        <v/>
      </c>
      <c r="U387" s="40" t="str">
        <f t="shared" si="3"/>
        <v/>
      </c>
      <c r="V387" s="34" t="str">
        <f t="shared" si="4"/>
        <v/>
      </c>
      <c r="W387" s="41" t="str">
        <f>IFERROR(__xludf.DUMMYFUNCTION(" IF(Account!$F387&lt;&gt;"""", SPLIT(Account!$F387, "" ""), """")"),"")</f>
        <v/>
      </c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</row>
    <row r="388">
      <c r="A388" s="20"/>
      <c r="B388" s="20"/>
      <c r="C388" s="20"/>
      <c r="D388" s="20"/>
      <c r="E388" s="20"/>
      <c r="F388" s="21"/>
      <c r="G388" s="45"/>
      <c r="H388" s="20"/>
      <c r="I388" s="20"/>
      <c r="J388" s="20"/>
      <c r="K388" s="20"/>
      <c r="L388" s="21"/>
      <c r="M388" s="33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4" t="str">
        <f>IFERROR(__xludf.DUMMYFUNCTION("IF(Account!$F388&lt;&gt;"""", VALUE(REGEXREPLACE($I388, ""\,"", ""."")), """")"),"")</f>
        <v/>
      </c>
      <c r="O388" s="35" t="str">
        <f>IF(Account!$F388&lt;&gt;"", DATEVALUE(MID($A388,4,3) &amp; LEFT($A388,3) &amp; RIGHT($A388,4)) + TIMEVALUE($B388), "")</f>
        <v/>
      </c>
      <c r="P388" s="36" t="str">
        <f>IF(Account!$F388&lt;&gt;"", DATEVALUE(MID($C388,4,3) &amp; LEFT($C388,3) &amp; RIGHT($C388,4)), "")</f>
        <v/>
      </c>
      <c r="Q388" s="37" t="str">
        <f t="array" ref="Q388">IF($R388&lt;&gt;"",IFERROR(INDEX(ISIN!$B:$B,MATCH($R388,ISIN!$C:$C,0))),)</f>
        <v/>
      </c>
      <c r="R388" s="38" t="str">
        <f t="array" ref="R388">IF($E388&lt;&gt;""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7" t="str">
        <f t="shared" si="1"/>
        <v/>
      </c>
      <c r="T388" s="39" t="str">
        <f t="shared" si="2"/>
        <v/>
      </c>
      <c r="U388" s="40" t="str">
        <f t="shared" si="3"/>
        <v/>
      </c>
      <c r="V388" s="34" t="str">
        <f t="shared" si="4"/>
        <v/>
      </c>
      <c r="W388" s="41" t="str">
        <f>IFERROR(__xludf.DUMMYFUNCTION(" IF(Account!$F388&lt;&gt;"""", SPLIT(Account!$F388, "" ""), """")"),"")</f>
        <v/>
      </c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</row>
    <row r="389">
      <c r="A389" s="20"/>
      <c r="B389" s="20"/>
      <c r="C389" s="20"/>
      <c r="D389" s="20"/>
      <c r="E389" s="20"/>
      <c r="F389" s="21"/>
      <c r="G389" s="20"/>
      <c r="H389" s="20"/>
      <c r="I389" s="20"/>
      <c r="J389" s="20"/>
      <c r="K389" s="20"/>
      <c r="L389" s="21"/>
      <c r="M389" s="33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4" t="str">
        <f>IFERROR(__xludf.DUMMYFUNCTION("IF(Account!$F389&lt;&gt;"""", VALUE(REGEXREPLACE($I389, ""\,"", ""."")), """")"),"")</f>
        <v/>
      </c>
      <c r="O389" s="35" t="str">
        <f>IF(Account!$F389&lt;&gt;"", DATEVALUE(MID($A389,4,3) &amp; LEFT($A389,3) &amp; RIGHT($A389,4)) + TIMEVALUE($B389), "")</f>
        <v/>
      </c>
      <c r="P389" s="36" t="str">
        <f>IF(Account!$F389&lt;&gt;"", DATEVALUE(MID($C389,4,3) &amp; LEFT($C389,3) &amp; RIGHT($C389,4)), "")</f>
        <v/>
      </c>
      <c r="Q389" s="37" t="str">
        <f t="array" ref="Q389">IF($R389&lt;&gt;"",IFERROR(INDEX(ISIN!$B:$B,MATCH($R389,ISIN!$C:$C,0))),)</f>
        <v/>
      </c>
      <c r="R389" s="38" t="str">
        <f t="array" ref="R389">IF($E389&lt;&gt;""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7" t="str">
        <f t="shared" si="1"/>
        <v/>
      </c>
      <c r="T389" s="39" t="str">
        <f t="shared" si="2"/>
        <v/>
      </c>
      <c r="U389" s="40" t="str">
        <f t="shared" si="3"/>
        <v/>
      </c>
      <c r="V389" s="34" t="str">
        <f t="shared" si="4"/>
        <v/>
      </c>
      <c r="W389" s="41" t="str">
        <f>IFERROR(__xludf.DUMMYFUNCTION(" IF(Account!$F389&lt;&gt;"""", SPLIT(Account!$F389, "" ""), """")"),"")</f>
        <v/>
      </c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</row>
    <row r="390">
      <c r="A390" s="20"/>
      <c r="B390" s="20"/>
      <c r="C390" s="20"/>
      <c r="D390" s="20"/>
      <c r="E390" s="20"/>
      <c r="F390" s="21"/>
      <c r="G390" s="45"/>
      <c r="H390" s="20"/>
      <c r="I390" s="20"/>
      <c r="J390" s="20"/>
      <c r="K390" s="20"/>
      <c r="L390" s="21"/>
      <c r="M390" s="33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4" t="str">
        <f>IFERROR(__xludf.DUMMYFUNCTION("IF(Account!$F390&lt;&gt;"""", VALUE(REGEXREPLACE($I390, ""\,"", ""."")), """")"),"")</f>
        <v/>
      </c>
      <c r="O390" s="35" t="str">
        <f>IF(Account!$F390&lt;&gt;"", DATEVALUE(MID($A390,4,3) &amp; LEFT($A390,3) &amp; RIGHT($A390,4)) + TIMEVALUE($B390), "")</f>
        <v/>
      </c>
      <c r="P390" s="36" t="str">
        <f>IF(Account!$F390&lt;&gt;"", DATEVALUE(MID($C390,4,3) &amp; LEFT($C390,3) &amp; RIGHT($C390,4)), "")</f>
        <v/>
      </c>
      <c r="Q390" s="37" t="str">
        <f t="array" ref="Q390">IF($R390&lt;&gt;"",IFERROR(INDEX(ISIN!$B:$B,MATCH($R390,ISIN!$C:$C,0))),)</f>
        <v/>
      </c>
      <c r="R390" s="38" t="str">
        <f t="array" ref="R390">IF($E390&lt;&gt;""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7" t="str">
        <f t="shared" si="1"/>
        <v/>
      </c>
      <c r="T390" s="39" t="str">
        <f t="shared" si="2"/>
        <v/>
      </c>
      <c r="U390" s="40" t="str">
        <f t="shared" si="3"/>
        <v/>
      </c>
      <c r="V390" s="34" t="str">
        <f t="shared" si="4"/>
        <v/>
      </c>
      <c r="W390" s="41" t="str">
        <f>IFERROR(__xludf.DUMMYFUNCTION(" IF(Account!$F390&lt;&gt;"""", SPLIT(Account!$F390, "" ""), """")"),"")</f>
        <v/>
      </c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</row>
    <row r="391">
      <c r="A391" s="20"/>
      <c r="B391" s="20"/>
      <c r="C391" s="20"/>
      <c r="D391" s="20"/>
      <c r="E391" s="20"/>
      <c r="F391" s="21"/>
      <c r="G391" s="20"/>
      <c r="H391" s="20"/>
      <c r="I391" s="20"/>
      <c r="J391" s="20"/>
      <c r="K391" s="20"/>
      <c r="L391" s="21"/>
      <c r="M391" s="33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4" t="str">
        <f>IFERROR(__xludf.DUMMYFUNCTION("IF(Account!$F391&lt;&gt;"""", VALUE(REGEXREPLACE($I391, ""\,"", ""."")), """")"),"")</f>
        <v/>
      </c>
      <c r="O391" s="35" t="str">
        <f>IF(Account!$F391&lt;&gt;"", DATEVALUE(MID($A391,4,3) &amp; LEFT($A391,3) &amp; RIGHT($A391,4)) + TIMEVALUE($B391), "")</f>
        <v/>
      </c>
      <c r="P391" s="36" t="str">
        <f>IF(Account!$F391&lt;&gt;"", DATEVALUE(MID($C391,4,3) &amp; LEFT($C391,3) &amp; RIGHT($C391,4)), "")</f>
        <v/>
      </c>
      <c r="Q391" s="37" t="str">
        <f t="array" ref="Q391">IF($R391&lt;&gt;"",IFERROR(INDEX(ISIN!$B:$B,MATCH($R391,ISIN!$C:$C,0))),)</f>
        <v/>
      </c>
      <c r="R391" s="38" t="str">
        <f t="array" ref="R391">IF($E391&lt;&gt;""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7" t="str">
        <f t="shared" si="1"/>
        <v/>
      </c>
      <c r="T391" s="39" t="str">
        <f t="shared" si="2"/>
        <v/>
      </c>
      <c r="U391" s="40" t="str">
        <f t="shared" si="3"/>
        <v/>
      </c>
      <c r="V391" s="34" t="str">
        <f t="shared" si="4"/>
        <v/>
      </c>
      <c r="W391" s="41" t="str">
        <f>IFERROR(__xludf.DUMMYFUNCTION(" IF(Account!$F391&lt;&gt;"""", SPLIT(Account!$F391, "" ""), """")"),"")</f>
        <v/>
      </c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</row>
    <row r="392">
      <c r="A392" s="20"/>
      <c r="B392" s="20"/>
      <c r="C392" s="20"/>
      <c r="D392" s="20"/>
      <c r="E392" s="20"/>
      <c r="F392" s="21"/>
      <c r="G392" s="45"/>
      <c r="H392" s="20"/>
      <c r="I392" s="20"/>
      <c r="J392" s="20"/>
      <c r="K392" s="20"/>
      <c r="L392" s="21"/>
      <c r="M392" s="33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4" t="str">
        <f>IFERROR(__xludf.DUMMYFUNCTION("IF(Account!$F392&lt;&gt;"""", VALUE(REGEXREPLACE($I392, ""\,"", ""."")), """")"),"")</f>
        <v/>
      </c>
      <c r="O392" s="35" t="str">
        <f>IF(Account!$F392&lt;&gt;"", DATEVALUE(MID($A392,4,3) &amp; LEFT($A392,3) &amp; RIGHT($A392,4)) + TIMEVALUE($B392), "")</f>
        <v/>
      </c>
      <c r="P392" s="36" t="str">
        <f>IF(Account!$F392&lt;&gt;"", DATEVALUE(MID($C392,4,3) &amp; LEFT($C392,3) &amp; RIGHT($C392,4)), "")</f>
        <v/>
      </c>
      <c r="Q392" s="37" t="str">
        <f t="array" ref="Q392">IF($R392&lt;&gt;"",IFERROR(INDEX(ISIN!$B:$B,MATCH($R392,ISIN!$C:$C,0))),)</f>
        <v/>
      </c>
      <c r="R392" s="38" t="str">
        <f t="array" ref="R392">IF($E392&lt;&gt;""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7" t="str">
        <f t="shared" si="1"/>
        <v/>
      </c>
      <c r="T392" s="39" t="str">
        <f t="shared" si="2"/>
        <v/>
      </c>
      <c r="U392" s="40" t="str">
        <f t="shared" si="3"/>
        <v/>
      </c>
      <c r="V392" s="34" t="str">
        <f t="shared" si="4"/>
        <v/>
      </c>
      <c r="W392" s="41" t="str">
        <f>IFERROR(__xludf.DUMMYFUNCTION(" IF(Account!$F392&lt;&gt;"""", SPLIT(Account!$F392, "" ""), """")"),"")</f>
        <v/>
      </c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</row>
    <row r="393">
      <c r="A393" s="20"/>
      <c r="B393" s="20"/>
      <c r="C393" s="20"/>
      <c r="D393" s="20"/>
      <c r="E393" s="20"/>
      <c r="F393" s="21"/>
      <c r="G393" s="45"/>
      <c r="H393" s="20"/>
      <c r="I393" s="20"/>
      <c r="J393" s="20"/>
      <c r="K393" s="20"/>
      <c r="L393" s="21"/>
      <c r="M393" s="33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4" t="str">
        <f>IFERROR(__xludf.DUMMYFUNCTION("IF(Account!$F393&lt;&gt;"""", VALUE(REGEXREPLACE($I393, ""\,"", ""."")), """")"),"")</f>
        <v/>
      </c>
      <c r="O393" s="35" t="str">
        <f>IF(Account!$F393&lt;&gt;"", DATEVALUE(MID($A393,4,3) &amp; LEFT($A393,3) &amp; RIGHT($A393,4)) + TIMEVALUE($B393), "")</f>
        <v/>
      </c>
      <c r="P393" s="36" t="str">
        <f>IF(Account!$F393&lt;&gt;"", DATEVALUE(MID($C393,4,3) &amp; LEFT($C393,3) &amp; RIGHT($C393,4)), "")</f>
        <v/>
      </c>
      <c r="Q393" s="37" t="str">
        <f t="array" ref="Q393">IF($R393&lt;&gt;"",IFERROR(INDEX(ISIN!$B:$B,MATCH($R393,ISIN!$C:$C,0))),)</f>
        <v/>
      </c>
      <c r="R393" s="38" t="str">
        <f t="array" ref="R393">IF($E393&lt;&gt;""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7" t="str">
        <f t="shared" si="1"/>
        <v/>
      </c>
      <c r="T393" s="39" t="str">
        <f t="shared" si="2"/>
        <v/>
      </c>
      <c r="U393" s="40" t="str">
        <f t="shared" si="3"/>
        <v/>
      </c>
      <c r="V393" s="34" t="str">
        <f t="shared" si="4"/>
        <v/>
      </c>
      <c r="W393" s="41" t="str">
        <f>IFERROR(__xludf.DUMMYFUNCTION(" IF(Account!$F393&lt;&gt;"""", SPLIT(Account!$F393, "" ""), """")"),"")</f>
        <v/>
      </c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</row>
    <row r="394">
      <c r="A394" s="20"/>
      <c r="B394" s="20"/>
      <c r="C394" s="20"/>
      <c r="D394" s="20"/>
      <c r="E394" s="20"/>
      <c r="F394" s="21"/>
      <c r="G394" s="20"/>
      <c r="H394" s="20"/>
      <c r="I394" s="20"/>
      <c r="J394" s="20"/>
      <c r="K394" s="20"/>
      <c r="L394" s="21"/>
      <c r="M394" s="33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4" t="str">
        <f>IFERROR(__xludf.DUMMYFUNCTION("IF(Account!$F394&lt;&gt;"""", VALUE(REGEXREPLACE($I394, ""\,"", ""."")), """")"),"")</f>
        <v/>
      </c>
      <c r="O394" s="35" t="str">
        <f>IF(Account!$F394&lt;&gt;"", DATEVALUE(MID($A394,4,3) &amp; LEFT($A394,3) &amp; RIGHT($A394,4)) + TIMEVALUE($B394), "")</f>
        <v/>
      </c>
      <c r="P394" s="36" t="str">
        <f>IF(Account!$F394&lt;&gt;"", DATEVALUE(MID($C394,4,3) &amp; LEFT($C394,3) &amp; RIGHT($C394,4)), "")</f>
        <v/>
      </c>
      <c r="Q394" s="37" t="str">
        <f t="array" ref="Q394">IF($R394&lt;&gt;"",IFERROR(INDEX(ISIN!$B:$B,MATCH($R394,ISIN!$C:$C,0))),)</f>
        <v/>
      </c>
      <c r="R394" s="38" t="str">
        <f t="array" ref="R394">IF($E394&lt;&gt;""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7" t="str">
        <f t="shared" si="1"/>
        <v/>
      </c>
      <c r="T394" s="39" t="str">
        <f t="shared" si="2"/>
        <v/>
      </c>
      <c r="U394" s="40" t="str">
        <f t="shared" si="3"/>
        <v/>
      </c>
      <c r="V394" s="34" t="str">
        <f t="shared" si="4"/>
        <v/>
      </c>
      <c r="W394" s="41" t="str">
        <f>IFERROR(__xludf.DUMMYFUNCTION(" IF(Account!$F394&lt;&gt;"""", SPLIT(Account!$F394, "" ""), """")"),"")</f>
        <v/>
      </c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</row>
    <row r="395">
      <c r="A395" s="20"/>
      <c r="B395" s="20"/>
      <c r="C395" s="20"/>
      <c r="D395" s="20"/>
      <c r="E395" s="20"/>
      <c r="F395" s="21"/>
      <c r="G395" s="45"/>
      <c r="H395" s="20"/>
      <c r="I395" s="20"/>
      <c r="J395" s="20"/>
      <c r="K395" s="20"/>
      <c r="L395" s="21"/>
      <c r="M395" s="33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4" t="str">
        <f>IFERROR(__xludf.DUMMYFUNCTION("IF(Account!$F395&lt;&gt;"""", VALUE(REGEXREPLACE($I395, ""\,"", ""."")), """")"),"")</f>
        <v/>
      </c>
      <c r="O395" s="35" t="str">
        <f>IF(Account!$F395&lt;&gt;"", DATEVALUE(MID($A395,4,3) &amp; LEFT($A395,3) &amp; RIGHT($A395,4)) + TIMEVALUE($B395), "")</f>
        <v/>
      </c>
      <c r="P395" s="36" t="str">
        <f>IF(Account!$F395&lt;&gt;"", DATEVALUE(MID($C395,4,3) &amp; LEFT($C395,3) &amp; RIGHT($C395,4)), "")</f>
        <v/>
      </c>
      <c r="Q395" s="37" t="str">
        <f t="array" ref="Q395">IF($R395&lt;&gt;"",IFERROR(INDEX(ISIN!$B:$B,MATCH($R395,ISIN!$C:$C,0))),)</f>
        <v/>
      </c>
      <c r="R395" s="38" t="str">
        <f t="array" ref="R395">IF($E395&lt;&gt;""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7" t="str">
        <f t="shared" si="1"/>
        <v/>
      </c>
      <c r="T395" s="39" t="str">
        <f t="shared" si="2"/>
        <v/>
      </c>
      <c r="U395" s="40" t="str">
        <f t="shared" si="3"/>
        <v/>
      </c>
      <c r="V395" s="34" t="str">
        <f t="shared" si="4"/>
        <v/>
      </c>
      <c r="W395" s="41" t="str">
        <f>IFERROR(__xludf.DUMMYFUNCTION(" IF(Account!$F395&lt;&gt;"""", SPLIT(Account!$F395, "" ""), """")"),"")</f>
        <v/>
      </c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</row>
    <row r="396">
      <c r="A396" s="20"/>
      <c r="B396" s="20"/>
      <c r="C396" s="20"/>
      <c r="D396" s="20"/>
      <c r="E396" s="20"/>
      <c r="F396" s="21"/>
      <c r="G396" s="20"/>
      <c r="H396" s="20"/>
      <c r="I396" s="20"/>
      <c r="J396" s="20"/>
      <c r="K396" s="20"/>
      <c r="L396" s="21"/>
      <c r="M396" s="33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4" t="str">
        <f>IFERROR(__xludf.DUMMYFUNCTION("IF(Account!$F396&lt;&gt;"""", VALUE(REGEXREPLACE($I396, ""\,"", ""."")), """")"),"")</f>
        <v/>
      </c>
      <c r="O396" s="35" t="str">
        <f>IF(Account!$F396&lt;&gt;"", DATEVALUE(MID($A396,4,3) &amp; LEFT($A396,3) &amp; RIGHT($A396,4)) + TIMEVALUE($B396), "")</f>
        <v/>
      </c>
      <c r="P396" s="36" t="str">
        <f>IF(Account!$F396&lt;&gt;"", DATEVALUE(MID($C396,4,3) &amp; LEFT($C396,3) &amp; RIGHT($C396,4)), "")</f>
        <v/>
      </c>
      <c r="Q396" s="37" t="str">
        <f t="array" ref="Q396">IF($R396&lt;&gt;"",IFERROR(INDEX(ISIN!$B:$B,MATCH($R396,ISIN!$C:$C,0))),)</f>
        <v/>
      </c>
      <c r="R396" s="38" t="str">
        <f t="array" ref="R396">IF($E396&lt;&gt;""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7" t="str">
        <f t="shared" si="1"/>
        <v/>
      </c>
      <c r="T396" s="39" t="str">
        <f t="shared" si="2"/>
        <v/>
      </c>
      <c r="U396" s="40" t="str">
        <f t="shared" si="3"/>
        <v/>
      </c>
      <c r="V396" s="34" t="str">
        <f t="shared" si="4"/>
        <v/>
      </c>
      <c r="W396" s="41" t="str">
        <f>IFERROR(__xludf.DUMMYFUNCTION(" IF(Account!$F396&lt;&gt;"""", SPLIT(Account!$F396, "" ""), """")"),"")</f>
        <v/>
      </c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</row>
    <row r="397">
      <c r="A397" s="20"/>
      <c r="B397" s="20"/>
      <c r="C397" s="20"/>
      <c r="D397" s="20"/>
      <c r="E397" s="20"/>
      <c r="F397" s="21"/>
      <c r="G397" s="45"/>
      <c r="H397" s="20"/>
      <c r="I397" s="20"/>
      <c r="J397" s="20"/>
      <c r="K397" s="20"/>
      <c r="L397" s="21"/>
      <c r="M397" s="33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4" t="str">
        <f>IFERROR(__xludf.DUMMYFUNCTION("IF(Account!$F397&lt;&gt;"""", VALUE(REGEXREPLACE($I397, ""\,"", ""."")), """")"),"")</f>
        <v/>
      </c>
      <c r="O397" s="35" t="str">
        <f>IF(Account!$F397&lt;&gt;"", DATEVALUE(MID($A397,4,3) &amp; LEFT($A397,3) &amp; RIGHT($A397,4)) + TIMEVALUE($B397), "")</f>
        <v/>
      </c>
      <c r="P397" s="36" t="str">
        <f>IF(Account!$F397&lt;&gt;"", DATEVALUE(MID($C397,4,3) &amp; LEFT($C397,3) &amp; RIGHT($C397,4)), "")</f>
        <v/>
      </c>
      <c r="Q397" s="37" t="str">
        <f t="array" ref="Q397">IF($R397&lt;&gt;"",IFERROR(INDEX(ISIN!$B:$B,MATCH($R397,ISIN!$C:$C,0))),)</f>
        <v/>
      </c>
      <c r="R397" s="38" t="str">
        <f t="array" ref="R397">IF($E397&lt;&gt;""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7" t="str">
        <f t="shared" si="1"/>
        <v/>
      </c>
      <c r="T397" s="39" t="str">
        <f t="shared" si="2"/>
        <v/>
      </c>
      <c r="U397" s="40" t="str">
        <f t="shared" si="3"/>
        <v/>
      </c>
      <c r="V397" s="34" t="str">
        <f t="shared" si="4"/>
        <v/>
      </c>
      <c r="W397" s="41" t="str">
        <f>IFERROR(__xludf.DUMMYFUNCTION(" IF(Account!$F397&lt;&gt;"""", SPLIT(Account!$F397, "" ""), """")"),"")</f>
        <v/>
      </c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</row>
    <row r="398">
      <c r="A398" s="20"/>
      <c r="B398" s="20"/>
      <c r="C398" s="20"/>
      <c r="D398" s="20"/>
      <c r="E398" s="20"/>
      <c r="F398" s="21"/>
      <c r="G398" s="20"/>
      <c r="H398" s="20"/>
      <c r="I398" s="20"/>
      <c r="J398" s="20"/>
      <c r="K398" s="20"/>
      <c r="L398" s="21"/>
      <c r="M398" s="33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4" t="str">
        <f>IFERROR(__xludf.DUMMYFUNCTION("IF(Account!$F398&lt;&gt;"""", VALUE(REGEXREPLACE($I398, ""\,"", ""."")), """")"),"")</f>
        <v/>
      </c>
      <c r="O398" s="35" t="str">
        <f>IF(Account!$F398&lt;&gt;"", DATEVALUE(MID($A398,4,3) &amp; LEFT($A398,3) &amp; RIGHT($A398,4)) + TIMEVALUE($B398), "")</f>
        <v/>
      </c>
      <c r="P398" s="36" t="str">
        <f>IF(Account!$F398&lt;&gt;"", DATEVALUE(MID($C398,4,3) &amp; LEFT($C398,3) &amp; RIGHT($C398,4)), "")</f>
        <v/>
      </c>
      <c r="Q398" s="37" t="str">
        <f t="array" ref="Q398">IF($R398&lt;&gt;"",IFERROR(INDEX(ISIN!$B:$B,MATCH($R398,ISIN!$C:$C,0))),)</f>
        <v/>
      </c>
      <c r="R398" s="38" t="str">
        <f t="array" ref="R398">IF($E398&lt;&gt;""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7" t="str">
        <f t="shared" si="1"/>
        <v/>
      </c>
      <c r="T398" s="39" t="str">
        <f t="shared" si="2"/>
        <v/>
      </c>
      <c r="U398" s="40" t="str">
        <f t="shared" si="3"/>
        <v/>
      </c>
      <c r="V398" s="34" t="str">
        <f t="shared" si="4"/>
        <v/>
      </c>
      <c r="W398" s="41" t="str">
        <f>IFERROR(__xludf.DUMMYFUNCTION(" IF(Account!$F398&lt;&gt;"""", SPLIT(Account!$F398, "" ""), """")"),"")</f>
        <v/>
      </c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</row>
    <row r="399">
      <c r="A399" s="20"/>
      <c r="B399" s="20"/>
      <c r="C399" s="20"/>
      <c r="D399" s="20"/>
      <c r="E399" s="20"/>
      <c r="F399" s="21"/>
      <c r="G399" s="45"/>
      <c r="H399" s="20"/>
      <c r="I399" s="20"/>
      <c r="J399" s="20"/>
      <c r="K399" s="20"/>
      <c r="L399" s="21"/>
      <c r="M399" s="33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4" t="str">
        <f>IFERROR(__xludf.DUMMYFUNCTION("IF(Account!$F399&lt;&gt;"""", VALUE(REGEXREPLACE($I399, ""\,"", ""."")), """")"),"")</f>
        <v/>
      </c>
      <c r="O399" s="35" t="str">
        <f>IF(Account!$F399&lt;&gt;"", DATEVALUE(MID($A399,4,3) &amp; LEFT($A399,3) &amp; RIGHT($A399,4)) + TIMEVALUE($B399), "")</f>
        <v/>
      </c>
      <c r="P399" s="36" t="str">
        <f>IF(Account!$F399&lt;&gt;"", DATEVALUE(MID($C399,4,3) &amp; LEFT($C399,3) &amp; RIGHT($C399,4)), "")</f>
        <v/>
      </c>
      <c r="Q399" s="37" t="str">
        <f t="array" ref="Q399">IF($R399&lt;&gt;"",IFERROR(INDEX(ISIN!$B:$B,MATCH($R399,ISIN!$C:$C,0))),)</f>
        <v/>
      </c>
      <c r="R399" s="38" t="str">
        <f t="array" ref="R399">IF($E399&lt;&gt;""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7" t="str">
        <f t="shared" si="1"/>
        <v/>
      </c>
      <c r="T399" s="39" t="str">
        <f t="shared" si="2"/>
        <v/>
      </c>
      <c r="U399" s="40" t="str">
        <f t="shared" si="3"/>
        <v/>
      </c>
      <c r="V399" s="34" t="str">
        <f t="shared" si="4"/>
        <v/>
      </c>
      <c r="W399" s="41" t="str">
        <f>IFERROR(__xludf.DUMMYFUNCTION(" IF(Account!$F399&lt;&gt;"""", SPLIT(Account!$F399, "" ""), """")"),"")</f>
        <v/>
      </c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</row>
    <row r="400">
      <c r="A400" s="20"/>
      <c r="B400" s="20"/>
      <c r="C400" s="20"/>
      <c r="D400" s="20"/>
      <c r="E400" s="20"/>
      <c r="F400" s="21"/>
      <c r="G400" s="20"/>
      <c r="H400" s="20"/>
      <c r="I400" s="20"/>
      <c r="J400" s="20"/>
      <c r="K400" s="20"/>
      <c r="L400" s="21"/>
      <c r="M400" s="33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4" t="str">
        <f>IFERROR(__xludf.DUMMYFUNCTION("IF(Account!$F400&lt;&gt;"""", VALUE(REGEXREPLACE($I400, ""\,"", ""."")), """")"),"")</f>
        <v/>
      </c>
      <c r="O400" s="35" t="str">
        <f>IF(Account!$F400&lt;&gt;"", DATEVALUE(MID($A400,4,3) &amp; LEFT($A400,3) &amp; RIGHT($A400,4)) + TIMEVALUE($B400), "")</f>
        <v/>
      </c>
      <c r="P400" s="36" t="str">
        <f>IF(Account!$F400&lt;&gt;"", DATEVALUE(MID($C400,4,3) &amp; LEFT($C400,3) &amp; RIGHT($C400,4)), "")</f>
        <v/>
      </c>
      <c r="Q400" s="37" t="str">
        <f t="array" ref="Q400">IF($R400&lt;&gt;"",IFERROR(INDEX(ISIN!$B:$B,MATCH($R400,ISIN!$C:$C,0))),)</f>
        <v/>
      </c>
      <c r="R400" s="38" t="str">
        <f t="array" ref="R400">IF($E400&lt;&gt;""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7" t="str">
        <f t="shared" si="1"/>
        <v/>
      </c>
      <c r="T400" s="39" t="str">
        <f t="shared" si="2"/>
        <v/>
      </c>
      <c r="U400" s="40" t="str">
        <f t="shared" si="3"/>
        <v/>
      </c>
      <c r="V400" s="34" t="str">
        <f t="shared" si="4"/>
        <v/>
      </c>
      <c r="W400" s="41" t="str">
        <f>IFERROR(__xludf.DUMMYFUNCTION(" IF(Account!$F400&lt;&gt;"""", SPLIT(Account!$F400, "" ""), """")"),"")</f>
        <v/>
      </c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</row>
    <row r="401">
      <c r="A401" s="20"/>
      <c r="B401" s="20"/>
      <c r="C401" s="20"/>
      <c r="D401" s="20"/>
      <c r="E401" s="20"/>
      <c r="F401" s="21"/>
      <c r="G401" s="45"/>
      <c r="H401" s="20"/>
      <c r="I401" s="20"/>
      <c r="J401" s="20"/>
      <c r="K401" s="20"/>
      <c r="L401" s="21"/>
      <c r="M401" s="33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4" t="str">
        <f>IFERROR(__xludf.DUMMYFUNCTION("IF(Account!$F401&lt;&gt;"""", VALUE(REGEXREPLACE($I401, ""\,"", ""."")), """")"),"")</f>
        <v/>
      </c>
      <c r="O401" s="35" t="str">
        <f>IF(Account!$F401&lt;&gt;"", DATEVALUE(MID($A401,4,3) &amp; LEFT($A401,3) &amp; RIGHT($A401,4)) + TIMEVALUE($B401), "")</f>
        <v/>
      </c>
      <c r="P401" s="36" t="str">
        <f>IF(Account!$F401&lt;&gt;"", DATEVALUE(MID($C401,4,3) &amp; LEFT($C401,3) &amp; RIGHT($C401,4)), "")</f>
        <v/>
      </c>
      <c r="Q401" s="37" t="str">
        <f t="array" ref="Q401">IF($R401&lt;&gt;"",IFERROR(INDEX(ISIN!$B:$B,MATCH($R401,ISIN!$C:$C,0))),)</f>
        <v/>
      </c>
      <c r="R401" s="38" t="str">
        <f t="array" ref="R401">IF($E401&lt;&gt;""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7" t="str">
        <f t="shared" si="1"/>
        <v/>
      </c>
      <c r="T401" s="39" t="str">
        <f t="shared" si="2"/>
        <v/>
      </c>
      <c r="U401" s="40" t="str">
        <f t="shared" si="3"/>
        <v/>
      </c>
      <c r="V401" s="34" t="str">
        <f t="shared" si="4"/>
        <v/>
      </c>
      <c r="W401" s="41" t="str">
        <f>IFERROR(__xludf.DUMMYFUNCTION(" IF(Account!$F401&lt;&gt;"""", SPLIT(Account!$F401, "" ""), """")"),"")</f>
        <v/>
      </c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</row>
    <row r="402">
      <c r="A402" s="20"/>
      <c r="B402" s="20"/>
      <c r="C402" s="20"/>
      <c r="D402" s="20"/>
      <c r="E402" s="20"/>
      <c r="F402" s="21"/>
      <c r="G402" s="20"/>
      <c r="H402" s="20"/>
      <c r="I402" s="20"/>
      <c r="J402" s="20"/>
      <c r="K402" s="20"/>
      <c r="L402" s="21"/>
      <c r="M402" s="33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4" t="str">
        <f>IFERROR(__xludf.DUMMYFUNCTION("IF(Account!$F402&lt;&gt;"""", VALUE(REGEXREPLACE($I402, ""\,"", ""."")), """")"),"")</f>
        <v/>
      </c>
      <c r="O402" s="35" t="str">
        <f>IF(Account!$F402&lt;&gt;"", DATEVALUE(MID($A402,4,3) &amp; LEFT($A402,3) &amp; RIGHT($A402,4)) + TIMEVALUE($B402), "")</f>
        <v/>
      </c>
      <c r="P402" s="36" t="str">
        <f>IF(Account!$F402&lt;&gt;"", DATEVALUE(MID($C402,4,3) &amp; LEFT($C402,3) &amp; RIGHT($C402,4)), "")</f>
        <v/>
      </c>
      <c r="Q402" s="37" t="str">
        <f t="array" ref="Q402">IF($R402&lt;&gt;"",IFERROR(INDEX(ISIN!$B:$B,MATCH($R402,ISIN!$C:$C,0))),)</f>
        <v/>
      </c>
      <c r="R402" s="38" t="str">
        <f t="array" ref="R402">IF($E402&lt;&gt;""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7" t="str">
        <f t="shared" si="1"/>
        <v/>
      </c>
      <c r="T402" s="39" t="str">
        <f t="shared" si="2"/>
        <v/>
      </c>
      <c r="U402" s="40" t="str">
        <f t="shared" si="3"/>
        <v/>
      </c>
      <c r="V402" s="34" t="str">
        <f t="shared" si="4"/>
        <v/>
      </c>
      <c r="W402" s="41" t="str">
        <f>IFERROR(__xludf.DUMMYFUNCTION(" IF(Account!$F402&lt;&gt;"""", SPLIT(Account!$F402, "" ""), """")"),"")</f>
        <v/>
      </c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</row>
    <row r="403">
      <c r="A403" s="20"/>
      <c r="B403" s="20"/>
      <c r="C403" s="20"/>
      <c r="D403" s="20"/>
      <c r="E403" s="20"/>
      <c r="F403" s="21"/>
      <c r="G403" s="20"/>
      <c r="H403" s="20"/>
      <c r="I403" s="20"/>
      <c r="J403" s="20"/>
      <c r="K403" s="20"/>
      <c r="L403" s="21"/>
      <c r="M403" s="33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4" t="str">
        <f>IFERROR(__xludf.DUMMYFUNCTION("IF(Account!$F403&lt;&gt;"""", VALUE(REGEXREPLACE($I403, ""\,"", ""."")), """")"),"")</f>
        <v/>
      </c>
      <c r="O403" s="35" t="str">
        <f>IF(Account!$F403&lt;&gt;"", DATEVALUE(MID($A403,4,3) &amp; LEFT($A403,3) &amp; RIGHT($A403,4)) + TIMEVALUE($B403), "")</f>
        <v/>
      </c>
      <c r="P403" s="36" t="str">
        <f>IF(Account!$F403&lt;&gt;"", DATEVALUE(MID($C403,4,3) &amp; LEFT($C403,3) &amp; RIGHT($C403,4)), "")</f>
        <v/>
      </c>
      <c r="Q403" s="37" t="str">
        <f t="array" ref="Q403">IF($R403&lt;&gt;"",IFERROR(INDEX(ISIN!$B:$B,MATCH($R403,ISIN!$C:$C,0))),)</f>
        <v/>
      </c>
      <c r="R403" s="38" t="str">
        <f t="array" ref="R403">IF($E403&lt;&gt;""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7" t="str">
        <f t="shared" si="1"/>
        <v/>
      </c>
      <c r="T403" s="39" t="str">
        <f t="shared" si="2"/>
        <v/>
      </c>
      <c r="U403" s="40" t="str">
        <f t="shared" si="3"/>
        <v/>
      </c>
      <c r="V403" s="34" t="str">
        <f t="shared" si="4"/>
        <v/>
      </c>
      <c r="W403" s="41" t="str">
        <f>IFERROR(__xludf.DUMMYFUNCTION(" IF(Account!$F403&lt;&gt;"""", SPLIT(Account!$F403, "" ""), """")"),"")</f>
        <v/>
      </c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</row>
    <row r="404">
      <c r="A404" s="20"/>
      <c r="B404" s="20"/>
      <c r="C404" s="20"/>
      <c r="D404" s="20"/>
      <c r="E404" s="20"/>
      <c r="F404" s="21"/>
      <c r="G404" s="20"/>
      <c r="H404" s="20"/>
      <c r="I404" s="20"/>
      <c r="J404" s="20"/>
      <c r="K404" s="20"/>
      <c r="L404" s="21"/>
      <c r="M404" s="33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4" t="str">
        <f>IFERROR(__xludf.DUMMYFUNCTION("IF(Account!$F404&lt;&gt;"""", VALUE(REGEXREPLACE($I404, ""\,"", ""."")), """")"),"")</f>
        <v/>
      </c>
      <c r="O404" s="35" t="str">
        <f>IF(Account!$F404&lt;&gt;"", DATEVALUE(MID($A404,4,3) &amp; LEFT($A404,3) &amp; RIGHT($A404,4)) + TIMEVALUE($B404), "")</f>
        <v/>
      </c>
      <c r="P404" s="36" t="str">
        <f>IF(Account!$F404&lt;&gt;"", DATEVALUE(MID($C404,4,3) &amp; LEFT($C404,3) &amp; RIGHT($C404,4)), "")</f>
        <v/>
      </c>
      <c r="Q404" s="37" t="str">
        <f t="array" ref="Q404">IF($R404&lt;&gt;"",IFERROR(INDEX(ISIN!$B:$B,MATCH($R404,ISIN!$C:$C,0))),)</f>
        <v/>
      </c>
      <c r="R404" s="38" t="str">
        <f t="array" ref="R404">IF($E404&lt;&gt;""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7" t="str">
        <f t="shared" si="1"/>
        <v/>
      </c>
      <c r="T404" s="39" t="str">
        <f t="shared" si="2"/>
        <v/>
      </c>
      <c r="U404" s="40" t="str">
        <f t="shared" si="3"/>
        <v/>
      </c>
      <c r="V404" s="34" t="str">
        <f t="shared" si="4"/>
        <v/>
      </c>
      <c r="W404" s="41" t="str">
        <f>IFERROR(__xludf.DUMMYFUNCTION(" IF(Account!$F404&lt;&gt;"""", SPLIT(Account!$F404, "" ""), """")"),"")</f>
        <v/>
      </c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</row>
    <row r="405">
      <c r="A405" s="20"/>
      <c r="B405" s="20"/>
      <c r="C405" s="20"/>
      <c r="D405" s="20"/>
      <c r="E405" s="20"/>
      <c r="F405" s="21"/>
      <c r="G405" s="45"/>
      <c r="H405" s="20"/>
      <c r="I405" s="20"/>
      <c r="J405" s="20"/>
      <c r="K405" s="20"/>
      <c r="L405" s="21"/>
      <c r="M405" s="33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4" t="str">
        <f>IFERROR(__xludf.DUMMYFUNCTION("IF(Account!$F405&lt;&gt;"""", VALUE(REGEXREPLACE($I405, ""\,"", ""."")), """")"),"")</f>
        <v/>
      </c>
      <c r="O405" s="35" t="str">
        <f>IF(Account!$F405&lt;&gt;"", DATEVALUE(MID($A405,4,3) &amp; LEFT($A405,3) &amp; RIGHT($A405,4)) + TIMEVALUE($B405), "")</f>
        <v/>
      </c>
      <c r="P405" s="36" t="str">
        <f>IF(Account!$F405&lt;&gt;"", DATEVALUE(MID($C405,4,3) &amp; LEFT($C405,3) &amp; RIGHT($C405,4)), "")</f>
        <v/>
      </c>
      <c r="Q405" s="37" t="str">
        <f t="array" ref="Q405">IF($R405&lt;&gt;"",IFERROR(INDEX(ISIN!$B:$B,MATCH($R405,ISIN!$C:$C,0))),)</f>
        <v/>
      </c>
      <c r="R405" s="38" t="str">
        <f t="array" ref="R405">IF($E405&lt;&gt;""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7" t="str">
        <f t="shared" si="1"/>
        <v/>
      </c>
      <c r="T405" s="39" t="str">
        <f t="shared" si="2"/>
        <v/>
      </c>
      <c r="U405" s="40" t="str">
        <f t="shared" si="3"/>
        <v/>
      </c>
      <c r="V405" s="34" t="str">
        <f t="shared" si="4"/>
        <v/>
      </c>
      <c r="W405" s="41" t="str">
        <f>IFERROR(__xludf.DUMMYFUNCTION(" IF(Account!$F405&lt;&gt;"""", SPLIT(Account!$F405, "" ""), """")"),"")</f>
        <v/>
      </c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</row>
    <row r="406">
      <c r="A406" s="20"/>
      <c r="B406" s="20"/>
      <c r="C406" s="20"/>
      <c r="D406" s="20"/>
      <c r="E406" s="20"/>
      <c r="F406" s="21"/>
      <c r="G406" s="20"/>
      <c r="H406" s="20"/>
      <c r="I406" s="20"/>
      <c r="J406" s="20"/>
      <c r="K406" s="20"/>
      <c r="L406" s="21"/>
      <c r="M406" s="33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4" t="str">
        <f>IFERROR(__xludf.DUMMYFUNCTION("IF(Account!$F406&lt;&gt;"""", VALUE(REGEXREPLACE($I406, ""\,"", ""."")), """")"),"")</f>
        <v/>
      </c>
      <c r="O406" s="35" t="str">
        <f>IF(Account!$F406&lt;&gt;"", DATEVALUE(MID($A406,4,3) &amp; LEFT($A406,3) &amp; RIGHT($A406,4)) + TIMEVALUE($B406), "")</f>
        <v/>
      </c>
      <c r="P406" s="36" t="str">
        <f>IF(Account!$F406&lt;&gt;"", DATEVALUE(MID($C406,4,3) &amp; LEFT($C406,3) &amp; RIGHT($C406,4)), "")</f>
        <v/>
      </c>
      <c r="Q406" s="37" t="str">
        <f t="array" ref="Q406">IF($R406&lt;&gt;"",IFERROR(INDEX(ISIN!$B:$B,MATCH($R406,ISIN!$C:$C,0))),)</f>
        <v/>
      </c>
      <c r="R406" s="38" t="str">
        <f t="array" ref="R406">IF($E406&lt;&gt;""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7" t="str">
        <f t="shared" si="1"/>
        <v/>
      </c>
      <c r="T406" s="39" t="str">
        <f t="shared" si="2"/>
        <v/>
      </c>
      <c r="U406" s="40" t="str">
        <f t="shared" si="3"/>
        <v/>
      </c>
      <c r="V406" s="34" t="str">
        <f t="shared" si="4"/>
        <v/>
      </c>
      <c r="W406" s="41" t="str">
        <f>IFERROR(__xludf.DUMMYFUNCTION(" IF(Account!$F406&lt;&gt;"""", SPLIT(Account!$F406, "" ""), """")"),"")</f>
        <v/>
      </c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</row>
    <row r="407">
      <c r="A407" s="20"/>
      <c r="B407" s="20"/>
      <c r="C407" s="20"/>
      <c r="D407" s="20"/>
      <c r="E407" s="20"/>
      <c r="F407" s="21"/>
      <c r="G407" s="45"/>
      <c r="H407" s="20"/>
      <c r="I407" s="20"/>
      <c r="J407" s="20"/>
      <c r="K407" s="20"/>
      <c r="L407" s="21"/>
      <c r="M407" s="33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4" t="str">
        <f>IFERROR(__xludf.DUMMYFUNCTION("IF(Account!$F407&lt;&gt;"""", VALUE(REGEXREPLACE($I407, ""\,"", ""."")), """")"),"")</f>
        <v/>
      </c>
      <c r="O407" s="35" t="str">
        <f>IF(Account!$F407&lt;&gt;"", DATEVALUE(MID($A407,4,3) &amp; LEFT($A407,3) &amp; RIGHT($A407,4)) + TIMEVALUE($B407), "")</f>
        <v/>
      </c>
      <c r="P407" s="36" t="str">
        <f>IF(Account!$F407&lt;&gt;"", DATEVALUE(MID($C407,4,3) &amp; LEFT($C407,3) &amp; RIGHT($C407,4)), "")</f>
        <v/>
      </c>
      <c r="Q407" s="37" t="str">
        <f t="array" ref="Q407">IF($R407&lt;&gt;"",IFERROR(INDEX(ISIN!$B:$B,MATCH($R407,ISIN!$C:$C,0))),)</f>
        <v/>
      </c>
      <c r="R407" s="38" t="str">
        <f t="array" ref="R407">IF($E407&lt;&gt;""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7" t="str">
        <f t="shared" si="1"/>
        <v/>
      </c>
      <c r="T407" s="39" t="str">
        <f t="shared" si="2"/>
        <v/>
      </c>
      <c r="U407" s="40" t="str">
        <f t="shared" si="3"/>
        <v/>
      </c>
      <c r="V407" s="34" t="str">
        <f t="shared" si="4"/>
        <v/>
      </c>
      <c r="W407" s="41" t="str">
        <f>IFERROR(__xludf.DUMMYFUNCTION(" IF(Account!$F407&lt;&gt;"""", SPLIT(Account!$F407, "" ""), """")"),"")</f>
        <v/>
      </c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</row>
    <row r="408">
      <c r="A408" s="20"/>
      <c r="B408" s="20"/>
      <c r="C408" s="20"/>
      <c r="D408" s="20"/>
      <c r="E408" s="20"/>
      <c r="F408" s="21"/>
      <c r="G408" s="20"/>
      <c r="H408" s="20"/>
      <c r="I408" s="20"/>
      <c r="J408" s="20"/>
      <c r="K408" s="20"/>
      <c r="L408" s="21"/>
      <c r="M408" s="33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4" t="str">
        <f>IFERROR(__xludf.DUMMYFUNCTION("IF(Account!$F408&lt;&gt;"""", VALUE(REGEXREPLACE($I408, ""\,"", ""."")), """")"),"")</f>
        <v/>
      </c>
      <c r="O408" s="35" t="str">
        <f>IF(Account!$F408&lt;&gt;"", DATEVALUE(MID($A408,4,3) &amp; LEFT($A408,3) &amp; RIGHT($A408,4)) + TIMEVALUE($B408), "")</f>
        <v/>
      </c>
      <c r="P408" s="36" t="str">
        <f>IF(Account!$F408&lt;&gt;"", DATEVALUE(MID($C408,4,3) &amp; LEFT($C408,3) &amp; RIGHT($C408,4)), "")</f>
        <v/>
      </c>
      <c r="Q408" s="37" t="str">
        <f t="array" ref="Q408">IF($R408&lt;&gt;"",IFERROR(INDEX(ISIN!$B:$B,MATCH($R408,ISIN!$C:$C,0))),)</f>
        <v/>
      </c>
      <c r="R408" s="38" t="str">
        <f t="array" ref="R408">IF($E408&lt;&gt;""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7" t="str">
        <f t="shared" si="1"/>
        <v/>
      </c>
      <c r="T408" s="39" t="str">
        <f t="shared" si="2"/>
        <v/>
      </c>
      <c r="U408" s="40" t="str">
        <f t="shared" si="3"/>
        <v/>
      </c>
      <c r="V408" s="34" t="str">
        <f t="shared" si="4"/>
        <v/>
      </c>
      <c r="W408" s="41" t="str">
        <f>IFERROR(__xludf.DUMMYFUNCTION(" IF(Account!$F408&lt;&gt;"""", SPLIT(Account!$F408, "" ""), """")"),"")</f>
        <v/>
      </c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</row>
    <row r="409">
      <c r="A409" s="20"/>
      <c r="B409" s="20"/>
      <c r="C409" s="20"/>
      <c r="D409" s="20"/>
      <c r="E409" s="20"/>
      <c r="F409" s="21"/>
      <c r="G409" s="45"/>
      <c r="H409" s="20"/>
      <c r="I409" s="20"/>
      <c r="J409" s="20"/>
      <c r="K409" s="20"/>
      <c r="L409" s="21"/>
      <c r="M409" s="33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4" t="str">
        <f>IFERROR(__xludf.DUMMYFUNCTION("IF(Account!$F409&lt;&gt;"""", VALUE(REGEXREPLACE($I409, ""\,"", ""."")), """")"),"")</f>
        <v/>
      </c>
      <c r="O409" s="35" t="str">
        <f>IF(Account!$F409&lt;&gt;"", DATEVALUE(MID($A409,4,3) &amp; LEFT($A409,3) &amp; RIGHT($A409,4)) + TIMEVALUE($B409), "")</f>
        <v/>
      </c>
      <c r="P409" s="36" t="str">
        <f>IF(Account!$F409&lt;&gt;"", DATEVALUE(MID($C409,4,3) &amp; LEFT($C409,3) &amp; RIGHT($C409,4)), "")</f>
        <v/>
      </c>
      <c r="Q409" s="37" t="str">
        <f t="array" ref="Q409">IF($R409&lt;&gt;"",IFERROR(INDEX(ISIN!$B:$B,MATCH($R409,ISIN!$C:$C,0))),)</f>
        <v/>
      </c>
      <c r="R409" s="38" t="str">
        <f t="array" ref="R409">IF($E409&lt;&gt;""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7" t="str">
        <f t="shared" si="1"/>
        <v/>
      </c>
      <c r="T409" s="39" t="str">
        <f t="shared" si="2"/>
        <v/>
      </c>
      <c r="U409" s="40" t="str">
        <f t="shared" si="3"/>
        <v/>
      </c>
      <c r="V409" s="34" t="str">
        <f t="shared" si="4"/>
        <v/>
      </c>
      <c r="W409" s="41" t="str">
        <f>IFERROR(__xludf.DUMMYFUNCTION(" IF(Account!$F409&lt;&gt;"""", SPLIT(Account!$F409, "" ""), """")"),"")</f>
        <v/>
      </c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</row>
    <row r="410">
      <c r="A410" s="20"/>
      <c r="B410" s="20"/>
      <c r="C410" s="20"/>
      <c r="D410" s="20"/>
      <c r="E410" s="20"/>
      <c r="F410" s="21"/>
      <c r="G410" s="20"/>
      <c r="H410" s="20"/>
      <c r="I410" s="20"/>
      <c r="J410" s="20"/>
      <c r="K410" s="20"/>
      <c r="L410" s="21"/>
      <c r="M410" s="33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4" t="str">
        <f>IFERROR(__xludf.DUMMYFUNCTION("IF(Account!$F410&lt;&gt;"""", VALUE(REGEXREPLACE($I410, ""\,"", ""."")), """")"),"")</f>
        <v/>
      </c>
      <c r="O410" s="35" t="str">
        <f>IF(Account!$F410&lt;&gt;"", DATEVALUE(MID($A410,4,3) &amp; LEFT($A410,3) &amp; RIGHT($A410,4)) + TIMEVALUE($B410), "")</f>
        <v/>
      </c>
      <c r="P410" s="36" t="str">
        <f>IF(Account!$F410&lt;&gt;"", DATEVALUE(MID($C410,4,3) &amp; LEFT($C410,3) &amp; RIGHT($C410,4)), "")</f>
        <v/>
      </c>
      <c r="Q410" s="37" t="str">
        <f t="array" ref="Q410">IF($R410&lt;&gt;"",IFERROR(INDEX(ISIN!$B:$B,MATCH($R410,ISIN!$C:$C,0))),)</f>
        <v/>
      </c>
      <c r="R410" s="38" t="str">
        <f t="array" ref="R410">IF($E410&lt;&gt;""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7" t="str">
        <f t="shared" si="1"/>
        <v/>
      </c>
      <c r="T410" s="39" t="str">
        <f t="shared" si="2"/>
        <v/>
      </c>
      <c r="U410" s="40" t="str">
        <f t="shared" si="3"/>
        <v/>
      </c>
      <c r="V410" s="34" t="str">
        <f t="shared" si="4"/>
        <v/>
      </c>
      <c r="W410" s="41" t="str">
        <f>IFERROR(__xludf.DUMMYFUNCTION(" IF(Account!$F410&lt;&gt;"""", SPLIT(Account!$F410, "" ""), """")"),"")</f>
        <v/>
      </c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</row>
    <row r="411">
      <c r="A411" s="20"/>
      <c r="B411" s="20"/>
      <c r="C411" s="20"/>
      <c r="D411" s="20"/>
      <c r="E411" s="20"/>
      <c r="F411" s="21"/>
      <c r="G411" s="45"/>
      <c r="H411" s="20"/>
      <c r="I411" s="20"/>
      <c r="J411" s="20"/>
      <c r="K411" s="20"/>
      <c r="L411" s="21"/>
      <c r="M411" s="33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4" t="str">
        <f>IFERROR(__xludf.DUMMYFUNCTION("IF(Account!$F411&lt;&gt;"""", VALUE(REGEXREPLACE($I411, ""\,"", ""."")), """")"),"")</f>
        <v/>
      </c>
      <c r="O411" s="35" t="str">
        <f>IF(Account!$F411&lt;&gt;"", DATEVALUE(MID($A411,4,3) &amp; LEFT($A411,3) &amp; RIGHT($A411,4)) + TIMEVALUE($B411), "")</f>
        <v/>
      </c>
      <c r="P411" s="36" t="str">
        <f>IF(Account!$F411&lt;&gt;"", DATEVALUE(MID($C411,4,3) &amp; LEFT($C411,3) &amp; RIGHT($C411,4)), "")</f>
        <v/>
      </c>
      <c r="Q411" s="37" t="str">
        <f t="array" ref="Q411">IF($R411&lt;&gt;"",IFERROR(INDEX(ISIN!$B:$B,MATCH($R411,ISIN!$C:$C,0))),)</f>
        <v/>
      </c>
      <c r="R411" s="38" t="str">
        <f t="array" ref="R411">IF($E411&lt;&gt;""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7" t="str">
        <f t="shared" si="1"/>
        <v/>
      </c>
      <c r="T411" s="39" t="str">
        <f t="shared" si="2"/>
        <v/>
      </c>
      <c r="U411" s="40" t="str">
        <f t="shared" si="3"/>
        <v/>
      </c>
      <c r="V411" s="34" t="str">
        <f t="shared" si="4"/>
        <v/>
      </c>
      <c r="W411" s="41" t="str">
        <f>IFERROR(__xludf.DUMMYFUNCTION(" IF(Account!$F411&lt;&gt;"""", SPLIT(Account!$F411, "" ""), """")"),"")</f>
        <v/>
      </c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</row>
    <row r="412">
      <c r="A412" s="20"/>
      <c r="B412" s="20"/>
      <c r="C412" s="20"/>
      <c r="D412" s="20"/>
      <c r="E412" s="20"/>
      <c r="F412" s="21"/>
      <c r="G412" s="45"/>
      <c r="H412" s="20"/>
      <c r="I412" s="20"/>
      <c r="J412" s="20"/>
      <c r="K412" s="20"/>
      <c r="L412" s="21"/>
      <c r="M412" s="33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4" t="str">
        <f>IFERROR(__xludf.DUMMYFUNCTION("IF(Account!$F412&lt;&gt;"""", VALUE(REGEXREPLACE($I412, ""\,"", ""."")), """")"),"")</f>
        <v/>
      </c>
      <c r="O412" s="35" t="str">
        <f>IF(Account!$F412&lt;&gt;"", DATEVALUE(MID($A412,4,3) &amp; LEFT($A412,3) &amp; RIGHT($A412,4)) + TIMEVALUE($B412), "")</f>
        <v/>
      </c>
      <c r="P412" s="36" t="str">
        <f>IF(Account!$F412&lt;&gt;"", DATEVALUE(MID($C412,4,3) &amp; LEFT($C412,3) &amp; RIGHT($C412,4)), "")</f>
        <v/>
      </c>
      <c r="Q412" s="37" t="str">
        <f t="array" ref="Q412">IF($R412&lt;&gt;"",IFERROR(INDEX(ISIN!$B:$B,MATCH($R412,ISIN!$C:$C,0))),)</f>
        <v/>
      </c>
      <c r="R412" s="38" t="str">
        <f t="array" ref="R412">IF($E412&lt;&gt;""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7" t="str">
        <f t="shared" si="1"/>
        <v/>
      </c>
      <c r="T412" s="39" t="str">
        <f t="shared" si="2"/>
        <v/>
      </c>
      <c r="U412" s="40" t="str">
        <f t="shared" si="3"/>
        <v/>
      </c>
      <c r="V412" s="34" t="str">
        <f t="shared" si="4"/>
        <v/>
      </c>
      <c r="W412" s="41" t="str">
        <f>IFERROR(__xludf.DUMMYFUNCTION(" IF(Account!$F412&lt;&gt;"""", SPLIT(Account!$F412, "" ""), """")"),"")</f>
        <v/>
      </c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</row>
    <row r="413">
      <c r="A413" s="20"/>
      <c r="B413" s="20"/>
      <c r="C413" s="20"/>
      <c r="D413" s="20"/>
      <c r="E413" s="20"/>
      <c r="F413" s="21"/>
      <c r="G413" s="45"/>
      <c r="H413" s="20"/>
      <c r="I413" s="20"/>
      <c r="J413" s="20"/>
      <c r="K413" s="20"/>
      <c r="L413" s="21"/>
      <c r="M413" s="33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4" t="str">
        <f>IFERROR(__xludf.DUMMYFUNCTION("IF(Account!$F413&lt;&gt;"""", VALUE(REGEXREPLACE($I413, ""\,"", ""."")), """")"),"")</f>
        <v/>
      </c>
      <c r="O413" s="35" t="str">
        <f>IF(Account!$F413&lt;&gt;"", DATEVALUE(MID($A413,4,3) &amp; LEFT($A413,3) &amp; RIGHT($A413,4)) + TIMEVALUE($B413), "")</f>
        <v/>
      </c>
      <c r="P413" s="36" t="str">
        <f>IF(Account!$F413&lt;&gt;"", DATEVALUE(MID($C413,4,3) &amp; LEFT($C413,3) &amp; RIGHT($C413,4)), "")</f>
        <v/>
      </c>
      <c r="Q413" s="37" t="str">
        <f t="array" ref="Q413">IF($R413&lt;&gt;"",IFERROR(INDEX(ISIN!$B:$B,MATCH($R413,ISIN!$C:$C,0))),)</f>
        <v/>
      </c>
      <c r="R413" s="38" t="str">
        <f t="array" ref="R413">IF($E413&lt;&gt;""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7" t="str">
        <f t="shared" si="1"/>
        <v/>
      </c>
      <c r="T413" s="39" t="str">
        <f t="shared" si="2"/>
        <v/>
      </c>
      <c r="U413" s="40" t="str">
        <f t="shared" si="3"/>
        <v/>
      </c>
      <c r="V413" s="34" t="str">
        <f t="shared" si="4"/>
        <v/>
      </c>
      <c r="W413" s="41" t="str">
        <f>IFERROR(__xludf.DUMMYFUNCTION(" IF(Account!$F413&lt;&gt;"""", SPLIT(Account!$F413, "" ""), """")"),"")</f>
        <v/>
      </c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</row>
    <row r="414">
      <c r="A414" s="20"/>
      <c r="B414" s="20"/>
      <c r="C414" s="20"/>
      <c r="D414" s="20"/>
      <c r="E414" s="20"/>
      <c r="F414" s="21"/>
      <c r="G414" s="45"/>
      <c r="H414" s="20"/>
      <c r="I414" s="20"/>
      <c r="J414" s="20"/>
      <c r="K414" s="20"/>
      <c r="L414" s="21"/>
      <c r="M414" s="33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4" t="str">
        <f>IFERROR(__xludf.DUMMYFUNCTION("IF(Account!$F414&lt;&gt;"""", VALUE(REGEXREPLACE($I414, ""\,"", ""."")), """")"),"")</f>
        <v/>
      </c>
      <c r="O414" s="35" t="str">
        <f>IF(Account!$F414&lt;&gt;"", DATEVALUE(MID($A414,4,3) &amp; LEFT($A414,3) &amp; RIGHT($A414,4)) + TIMEVALUE($B414), "")</f>
        <v/>
      </c>
      <c r="P414" s="36" t="str">
        <f>IF(Account!$F414&lt;&gt;"", DATEVALUE(MID($C414,4,3) &amp; LEFT($C414,3) &amp; RIGHT($C414,4)), "")</f>
        <v/>
      </c>
      <c r="Q414" s="37" t="str">
        <f t="array" ref="Q414">IF($R414&lt;&gt;"",IFERROR(INDEX(ISIN!$B:$B,MATCH($R414,ISIN!$C:$C,0))),)</f>
        <v/>
      </c>
      <c r="R414" s="38" t="str">
        <f t="array" ref="R414">IF($E414&lt;&gt;""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7" t="str">
        <f t="shared" si="1"/>
        <v/>
      </c>
      <c r="T414" s="39" t="str">
        <f t="shared" si="2"/>
        <v/>
      </c>
      <c r="U414" s="40" t="str">
        <f t="shared" si="3"/>
        <v/>
      </c>
      <c r="V414" s="34" t="str">
        <f t="shared" si="4"/>
        <v/>
      </c>
      <c r="W414" s="41" t="str">
        <f>IFERROR(__xludf.DUMMYFUNCTION(" IF(Account!$F414&lt;&gt;"""", SPLIT(Account!$F414, "" ""), """")"),"")</f>
        <v/>
      </c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</row>
    <row r="415">
      <c r="A415" s="20"/>
      <c r="B415" s="20"/>
      <c r="C415" s="20"/>
      <c r="D415" s="20"/>
      <c r="E415" s="20"/>
      <c r="F415" s="21"/>
      <c r="G415" s="20"/>
      <c r="H415" s="20"/>
      <c r="I415" s="20"/>
      <c r="J415" s="20"/>
      <c r="K415" s="20"/>
      <c r="L415" s="21"/>
      <c r="M415" s="33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4" t="str">
        <f>IFERROR(__xludf.DUMMYFUNCTION("IF(Account!$F415&lt;&gt;"""", VALUE(REGEXREPLACE($I415, ""\,"", ""."")), """")"),"")</f>
        <v/>
      </c>
      <c r="O415" s="35" t="str">
        <f>IF(Account!$F415&lt;&gt;"", DATEVALUE(MID($A415,4,3) &amp; LEFT($A415,3) &amp; RIGHT($A415,4)) + TIMEVALUE($B415), "")</f>
        <v/>
      </c>
      <c r="P415" s="36" t="str">
        <f>IF(Account!$F415&lt;&gt;"", DATEVALUE(MID($C415,4,3) &amp; LEFT($C415,3) &amp; RIGHT($C415,4)), "")</f>
        <v/>
      </c>
      <c r="Q415" s="37" t="str">
        <f t="array" ref="Q415">IF($R415&lt;&gt;"",IFERROR(INDEX(ISIN!$B:$B,MATCH($R415,ISIN!$C:$C,0))),)</f>
        <v/>
      </c>
      <c r="R415" s="38" t="str">
        <f t="array" ref="R415">IF($E415&lt;&gt;""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7" t="str">
        <f t="shared" si="1"/>
        <v/>
      </c>
      <c r="T415" s="39" t="str">
        <f t="shared" si="2"/>
        <v/>
      </c>
      <c r="U415" s="40" t="str">
        <f t="shared" si="3"/>
        <v/>
      </c>
      <c r="V415" s="34" t="str">
        <f t="shared" si="4"/>
        <v/>
      </c>
      <c r="W415" s="41" t="str">
        <f>IFERROR(__xludf.DUMMYFUNCTION(" IF(Account!$F415&lt;&gt;"""", SPLIT(Account!$F415, "" ""), """")"),"")</f>
        <v/>
      </c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</row>
    <row r="416">
      <c r="A416" s="20"/>
      <c r="B416" s="20"/>
      <c r="C416" s="20"/>
      <c r="D416" s="20"/>
      <c r="E416" s="20"/>
      <c r="F416" s="21"/>
      <c r="G416" s="45"/>
      <c r="H416" s="20"/>
      <c r="I416" s="20"/>
      <c r="J416" s="20"/>
      <c r="K416" s="20"/>
      <c r="L416" s="21"/>
      <c r="M416" s="33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4" t="str">
        <f>IFERROR(__xludf.DUMMYFUNCTION("IF(Account!$F416&lt;&gt;"""", VALUE(REGEXREPLACE($I416, ""\,"", ""."")), """")"),"")</f>
        <v/>
      </c>
      <c r="O416" s="35" t="str">
        <f>IF(Account!$F416&lt;&gt;"", DATEVALUE(MID($A416,4,3) &amp; LEFT($A416,3) &amp; RIGHT($A416,4)) + TIMEVALUE($B416), "")</f>
        <v/>
      </c>
      <c r="P416" s="36" t="str">
        <f>IF(Account!$F416&lt;&gt;"", DATEVALUE(MID($C416,4,3) &amp; LEFT($C416,3) &amp; RIGHT($C416,4)), "")</f>
        <v/>
      </c>
      <c r="Q416" s="37" t="str">
        <f t="array" ref="Q416">IF($R416&lt;&gt;"",IFERROR(INDEX(ISIN!$B:$B,MATCH($R416,ISIN!$C:$C,0))),)</f>
        <v/>
      </c>
      <c r="R416" s="38" t="str">
        <f t="array" ref="R416">IF($E416&lt;&gt;""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7" t="str">
        <f t="shared" si="1"/>
        <v/>
      </c>
      <c r="T416" s="39" t="str">
        <f t="shared" si="2"/>
        <v/>
      </c>
      <c r="U416" s="40" t="str">
        <f t="shared" si="3"/>
        <v/>
      </c>
      <c r="V416" s="34" t="str">
        <f t="shared" si="4"/>
        <v/>
      </c>
      <c r="W416" s="41" t="str">
        <f>IFERROR(__xludf.DUMMYFUNCTION(" IF(Account!$F416&lt;&gt;"""", SPLIT(Account!$F416, "" ""), """")"),"")</f>
        <v/>
      </c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</row>
    <row r="417">
      <c r="A417" s="20"/>
      <c r="B417" s="20"/>
      <c r="C417" s="20"/>
      <c r="D417" s="20"/>
      <c r="E417" s="20"/>
      <c r="F417" s="21"/>
      <c r="G417" s="45"/>
      <c r="H417" s="20"/>
      <c r="I417" s="20"/>
      <c r="J417" s="20"/>
      <c r="K417" s="20"/>
      <c r="L417" s="21"/>
      <c r="M417" s="33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4" t="str">
        <f>IFERROR(__xludf.DUMMYFUNCTION("IF(Account!$F417&lt;&gt;"""", VALUE(REGEXREPLACE($I417, ""\,"", ""."")), """")"),"")</f>
        <v/>
      </c>
      <c r="O417" s="35" t="str">
        <f>IF(Account!$F417&lt;&gt;"", DATEVALUE(MID($A417,4,3) &amp; LEFT($A417,3) &amp; RIGHT($A417,4)) + TIMEVALUE($B417), "")</f>
        <v/>
      </c>
      <c r="P417" s="36" t="str">
        <f>IF(Account!$F417&lt;&gt;"", DATEVALUE(MID($C417,4,3) &amp; LEFT($C417,3) &amp; RIGHT($C417,4)), "")</f>
        <v/>
      </c>
      <c r="Q417" s="37" t="str">
        <f t="array" ref="Q417">IF($R417&lt;&gt;"",IFERROR(INDEX(ISIN!$B:$B,MATCH($R417,ISIN!$C:$C,0))),)</f>
        <v/>
      </c>
      <c r="R417" s="38" t="str">
        <f t="array" ref="R417">IF($E417&lt;&gt;""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7" t="str">
        <f t="shared" si="1"/>
        <v/>
      </c>
      <c r="T417" s="39" t="str">
        <f t="shared" si="2"/>
        <v/>
      </c>
      <c r="U417" s="40" t="str">
        <f t="shared" si="3"/>
        <v/>
      </c>
      <c r="V417" s="34" t="str">
        <f t="shared" si="4"/>
        <v/>
      </c>
      <c r="W417" s="41" t="str">
        <f>IFERROR(__xludf.DUMMYFUNCTION(" IF(Account!$F417&lt;&gt;"""", SPLIT(Account!$F417, "" ""), """")"),"")</f>
        <v/>
      </c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</row>
    <row r="418">
      <c r="A418" s="20"/>
      <c r="B418" s="20"/>
      <c r="C418" s="20"/>
      <c r="D418" s="20"/>
      <c r="E418" s="20"/>
      <c r="F418" s="21"/>
      <c r="G418" s="45"/>
      <c r="H418" s="20"/>
      <c r="I418" s="20"/>
      <c r="J418" s="20"/>
      <c r="K418" s="20"/>
      <c r="L418" s="21"/>
      <c r="M418" s="33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4" t="str">
        <f>IFERROR(__xludf.DUMMYFUNCTION("IF(Account!$F418&lt;&gt;"""", VALUE(REGEXREPLACE($I418, ""\,"", ""."")), """")"),"")</f>
        <v/>
      </c>
      <c r="O418" s="35" t="str">
        <f>IF(Account!$F418&lt;&gt;"", DATEVALUE(MID($A418,4,3) &amp; LEFT($A418,3) &amp; RIGHT($A418,4)) + TIMEVALUE($B418), "")</f>
        <v/>
      </c>
      <c r="P418" s="36" t="str">
        <f>IF(Account!$F418&lt;&gt;"", DATEVALUE(MID($C418,4,3) &amp; LEFT($C418,3) &amp; RIGHT($C418,4)), "")</f>
        <v/>
      </c>
      <c r="Q418" s="37" t="str">
        <f t="array" ref="Q418">IF($R418&lt;&gt;"",IFERROR(INDEX(ISIN!$B:$B,MATCH($R418,ISIN!$C:$C,0))),)</f>
        <v/>
      </c>
      <c r="R418" s="38" t="str">
        <f t="array" ref="R418">IF($E418&lt;&gt;""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7" t="str">
        <f t="shared" si="1"/>
        <v/>
      </c>
      <c r="T418" s="39" t="str">
        <f t="shared" si="2"/>
        <v/>
      </c>
      <c r="U418" s="40" t="str">
        <f t="shared" si="3"/>
        <v/>
      </c>
      <c r="V418" s="34" t="str">
        <f t="shared" si="4"/>
        <v/>
      </c>
      <c r="W418" s="41" t="str">
        <f>IFERROR(__xludf.DUMMYFUNCTION(" IF(Account!$F418&lt;&gt;"""", SPLIT(Account!$F418, "" ""), """")"),"")</f>
        <v/>
      </c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</row>
    <row r="419">
      <c r="A419" s="20"/>
      <c r="B419" s="20"/>
      <c r="C419" s="20"/>
      <c r="D419" s="20"/>
      <c r="E419" s="20"/>
      <c r="F419" s="21"/>
      <c r="G419" s="45"/>
      <c r="H419" s="20"/>
      <c r="I419" s="20"/>
      <c r="J419" s="20"/>
      <c r="K419" s="20"/>
      <c r="L419" s="21"/>
      <c r="M419" s="33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4" t="str">
        <f>IFERROR(__xludf.DUMMYFUNCTION("IF(Account!$F419&lt;&gt;"""", VALUE(REGEXREPLACE($I419, ""\,"", ""."")), """")"),"")</f>
        <v/>
      </c>
      <c r="O419" s="35" t="str">
        <f>IF(Account!$F419&lt;&gt;"", DATEVALUE(MID($A419,4,3) &amp; LEFT($A419,3) &amp; RIGHT($A419,4)) + TIMEVALUE($B419), "")</f>
        <v/>
      </c>
      <c r="P419" s="36" t="str">
        <f>IF(Account!$F419&lt;&gt;"", DATEVALUE(MID($C419,4,3) &amp; LEFT($C419,3) &amp; RIGHT($C419,4)), "")</f>
        <v/>
      </c>
      <c r="Q419" s="37" t="str">
        <f t="array" ref="Q419">IF($R419&lt;&gt;"",IFERROR(INDEX(ISIN!$B:$B,MATCH($R419,ISIN!$C:$C,0))),)</f>
        <v/>
      </c>
      <c r="R419" s="38" t="str">
        <f t="array" ref="R419">IF($E419&lt;&gt;""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7" t="str">
        <f t="shared" si="1"/>
        <v/>
      </c>
      <c r="T419" s="39" t="str">
        <f t="shared" si="2"/>
        <v/>
      </c>
      <c r="U419" s="40" t="str">
        <f t="shared" si="3"/>
        <v/>
      </c>
      <c r="V419" s="34" t="str">
        <f t="shared" si="4"/>
        <v/>
      </c>
      <c r="W419" s="41" t="str">
        <f>IFERROR(__xludf.DUMMYFUNCTION(" IF(Account!$F419&lt;&gt;"""", SPLIT(Account!$F419, "" ""), """")"),"")</f>
        <v/>
      </c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</row>
    <row r="420">
      <c r="A420" s="20"/>
      <c r="B420" s="20"/>
      <c r="C420" s="20"/>
      <c r="D420" s="20"/>
      <c r="E420" s="20"/>
      <c r="F420" s="21"/>
      <c r="G420" s="20"/>
      <c r="H420" s="20"/>
      <c r="I420" s="20"/>
      <c r="J420" s="20"/>
      <c r="K420" s="20"/>
      <c r="L420" s="21"/>
      <c r="M420" s="33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4" t="str">
        <f>IFERROR(__xludf.DUMMYFUNCTION("IF(Account!$F420&lt;&gt;"""", VALUE(REGEXREPLACE($I420, ""\,"", ""."")), """")"),"")</f>
        <v/>
      </c>
      <c r="O420" s="35" t="str">
        <f>IF(Account!$F420&lt;&gt;"", DATEVALUE(MID($A420,4,3) &amp; LEFT($A420,3) &amp; RIGHT($A420,4)) + TIMEVALUE($B420), "")</f>
        <v/>
      </c>
      <c r="P420" s="36" t="str">
        <f>IF(Account!$F420&lt;&gt;"", DATEVALUE(MID($C420,4,3) &amp; LEFT($C420,3) &amp; RIGHT($C420,4)), "")</f>
        <v/>
      </c>
      <c r="Q420" s="37" t="str">
        <f t="array" ref="Q420">IF($R420&lt;&gt;"",IFERROR(INDEX(ISIN!$B:$B,MATCH($R420,ISIN!$C:$C,0))),)</f>
        <v/>
      </c>
      <c r="R420" s="38" t="str">
        <f t="array" ref="R420">IF($E420&lt;&gt;""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7" t="str">
        <f t="shared" si="1"/>
        <v/>
      </c>
      <c r="T420" s="39" t="str">
        <f t="shared" si="2"/>
        <v/>
      </c>
      <c r="U420" s="40" t="str">
        <f t="shared" si="3"/>
        <v/>
      </c>
      <c r="V420" s="34" t="str">
        <f t="shared" si="4"/>
        <v/>
      </c>
      <c r="W420" s="41" t="str">
        <f>IFERROR(__xludf.DUMMYFUNCTION(" IF(Account!$F420&lt;&gt;"""", SPLIT(Account!$F420, "" ""), """")"),"")</f>
        <v/>
      </c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</row>
    <row r="421">
      <c r="A421" s="20"/>
      <c r="B421" s="20"/>
      <c r="C421" s="20"/>
      <c r="D421" s="20"/>
      <c r="E421" s="20"/>
      <c r="F421" s="21"/>
      <c r="G421" s="45"/>
      <c r="H421" s="20"/>
      <c r="I421" s="20"/>
      <c r="J421" s="20"/>
      <c r="K421" s="20"/>
      <c r="L421" s="21"/>
      <c r="M421" s="33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4" t="str">
        <f>IFERROR(__xludf.DUMMYFUNCTION("IF(Account!$F421&lt;&gt;"""", VALUE(REGEXREPLACE($I421, ""\,"", ""."")), """")"),"")</f>
        <v/>
      </c>
      <c r="O421" s="35" t="str">
        <f>IF(Account!$F421&lt;&gt;"", DATEVALUE(MID($A421,4,3) &amp; LEFT($A421,3) &amp; RIGHT($A421,4)) + TIMEVALUE($B421), "")</f>
        <v/>
      </c>
      <c r="P421" s="36" t="str">
        <f>IF(Account!$F421&lt;&gt;"", DATEVALUE(MID($C421,4,3) &amp; LEFT($C421,3) &amp; RIGHT($C421,4)), "")</f>
        <v/>
      </c>
      <c r="Q421" s="37" t="str">
        <f t="array" ref="Q421">IF($R421&lt;&gt;"",IFERROR(INDEX(ISIN!$B:$B,MATCH($R421,ISIN!$C:$C,0))),)</f>
        <v/>
      </c>
      <c r="R421" s="38" t="str">
        <f t="array" ref="R421">IF($E421&lt;&gt;""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7" t="str">
        <f t="shared" si="1"/>
        <v/>
      </c>
      <c r="T421" s="39" t="str">
        <f t="shared" si="2"/>
        <v/>
      </c>
      <c r="U421" s="40" t="str">
        <f t="shared" si="3"/>
        <v/>
      </c>
      <c r="V421" s="34" t="str">
        <f t="shared" si="4"/>
        <v/>
      </c>
      <c r="W421" s="41" t="str">
        <f>IFERROR(__xludf.DUMMYFUNCTION(" IF(Account!$F421&lt;&gt;"""", SPLIT(Account!$F421, "" ""), """")"),"")</f>
        <v/>
      </c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</row>
    <row r="422">
      <c r="A422" s="20"/>
      <c r="B422" s="20"/>
      <c r="C422" s="20"/>
      <c r="D422" s="20"/>
      <c r="E422" s="20"/>
      <c r="F422" s="21"/>
      <c r="G422" s="20"/>
      <c r="H422" s="20"/>
      <c r="I422" s="20"/>
      <c r="J422" s="20"/>
      <c r="K422" s="20"/>
      <c r="L422" s="21"/>
      <c r="M422" s="33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4" t="str">
        <f>IFERROR(__xludf.DUMMYFUNCTION("IF(Account!$F422&lt;&gt;"""", VALUE(REGEXREPLACE($I422, ""\,"", ""."")), """")"),"")</f>
        <v/>
      </c>
      <c r="O422" s="35" t="str">
        <f>IF(Account!$F422&lt;&gt;"", DATEVALUE(MID($A422,4,3) &amp; LEFT($A422,3) &amp; RIGHT($A422,4)) + TIMEVALUE($B422), "")</f>
        <v/>
      </c>
      <c r="P422" s="36" t="str">
        <f>IF(Account!$F422&lt;&gt;"", DATEVALUE(MID($C422,4,3) &amp; LEFT($C422,3) &amp; RIGHT($C422,4)), "")</f>
        <v/>
      </c>
      <c r="Q422" s="37" t="str">
        <f t="array" ref="Q422">IF($R422&lt;&gt;"",IFERROR(INDEX(ISIN!$B:$B,MATCH($R422,ISIN!$C:$C,0))),)</f>
        <v/>
      </c>
      <c r="R422" s="38" t="str">
        <f t="array" ref="R422">IF($E422&lt;&gt;""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7" t="str">
        <f t="shared" si="1"/>
        <v/>
      </c>
      <c r="T422" s="39" t="str">
        <f t="shared" si="2"/>
        <v/>
      </c>
      <c r="U422" s="40" t="str">
        <f t="shared" si="3"/>
        <v/>
      </c>
      <c r="V422" s="34" t="str">
        <f t="shared" si="4"/>
        <v/>
      </c>
      <c r="W422" s="41" t="str">
        <f>IFERROR(__xludf.DUMMYFUNCTION(" IF(Account!$F422&lt;&gt;"""", SPLIT(Account!$F422, "" ""), """")"),"")</f>
        <v/>
      </c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</row>
    <row r="423">
      <c r="A423" s="20"/>
      <c r="B423" s="20"/>
      <c r="C423" s="20"/>
      <c r="D423" s="20"/>
      <c r="E423" s="20"/>
      <c r="F423" s="21"/>
      <c r="G423" s="45"/>
      <c r="H423" s="20"/>
      <c r="I423" s="20"/>
      <c r="J423" s="20"/>
      <c r="K423" s="20"/>
      <c r="L423" s="21"/>
      <c r="M423" s="33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4" t="str">
        <f>IFERROR(__xludf.DUMMYFUNCTION("IF(Account!$F423&lt;&gt;"""", VALUE(REGEXREPLACE($I423, ""\,"", ""."")), """")"),"")</f>
        <v/>
      </c>
      <c r="O423" s="35" t="str">
        <f>IF(Account!$F423&lt;&gt;"", DATEVALUE(MID($A423,4,3) &amp; LEFT($A423,3) &amp; RIGHT($A423,4)) + TIMEVALUE($B423), "")</f>
        <v/>
      </c>
      <c r="P423" s="36" t="str">
        <f>IF(Account!$F423&lt;&gt;"", DATEVALUE(MID($C423,4,3) &amp; LEFT($C423,3) &amp; RIGHT($C423,4)), "")</f>
        <v/>
      </c>
      <c r="Q423" s="37" t="str">
        <f t="array" ref="Q423">IF($R423&lt;&gt;"",IFERROR(INDEX(ISIN!$B:$B,MATCH($R423,ISIN!$C:$C,0))),)</f>
        <v/>
      </c>
      <c r="R423" s="38" t="str">
        <f t="array" ref="R423">IF($E423&lt;&gt;""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7" t="str">
        <f t="shared" si="1"/>
        <v/>
      </c>
      <c r="T423" s="39" t="str">
        <f t="shared" si="2"/>
        <v/>
      </c>
      <c r="U423" s="40" t="str">
        <f t="shared" si="3"/>
        <v/>
      </c>
      <c r="V423" s="34" t="str">
        <f t="shared" si="4"/>
        <v/>
      </c>
      <c r="W423" s="41" t="str">
        <f>IFERROR(__xludf.DUMMYFUNCTION(" IF(Account!$F423&lt;&gt;"""", SPLIT(Account!$F423, "" ""), """")"),"")</f>
        <v/>
      </c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</row>
    <row r="424">
      <c r="A424" s="20"/>
      <c r="B424" s="20"/>
      <c r="C424" s="20"/>
      <c r="D424" s="20"/>
      <c r="E424" s="20"/>
      <c r="F424" s="21"/>
      <c r="G424" s="20"/>
      <c r="H424" s="20"/>
      <c r="I424" s="20"/>
      <c r="J424" s="20"/>
      <c r="K424" s="20"/>
      <c r="L424" s="21"/>
      <c r="M424" s="33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4" t="str">
        <f>IFERROR(__xludf.DUMMYFUNCTION("IF(Account!$F424&lt;&gt;"""", VALUE(REGEXREPLACE($I424, ""\,"", ""."")), """")"),"")</f>
        <v/>
      </c>
      <c r="O424" s="35" t="str">
        <f>IF(Account!$F424&lt;&gt;"", DATEVALUE(MID($A424,4,3) &amp; LEFT($A424,3) &amp; RIGHT($A424,4)) + TIMEVALUE($B424), "")</f>
        <v/>
      </c>
      <c r="P424" s="36" t="str">
        <f>IF(Account!$F424&lt;&gt;"", DATEVALUE(MID($C424,4,3) &amp; LEFT($C424,3) &amp; RIGHT($C424,4)), "")</f>
        <v/>
      </c>
      <c r="Q424" s="37" t="str">
        <f t="array" ref="Q424">IF($R424&lt;&gt;"",IFERROR(INDEX(ISIN!$B:$B,MATCH($R424,ISIN!$C:$C,0))),)</f>
        <v/>
      </c>
      <c r="R424" s="38" t="str">
        <f t="array" ref="R424">IF($E424&lt;&gt;""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7" t="str">
        <f t="shared" si="1"/>
        <v/>
      </c>
      <c r="T424" s="39" t="str">
        <f t="shared" si="2"/>
        <v/>
      </c>
      <c r="U424" s="40" t="str">
        <f t="shared" si="3"/>
        <v/>
      </c>
      <c r="V424" s="34" t="str">
        <f t="shared" si="4"/>
        <v/>
      </c>
      <c r="W424" s="41" t="str">
        <f>IFERROR(__xludf.DUMMYFUNCTION(" IF(Account!$F424&lt;&gt;"""", SPLIT(Account!$F424, "" ""), """")"),"")</f>
        <v/>
      </c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</row>
    <row r="425">
      <c r="A425" s="20"/>
      <c r="B425" s="20"/>
      <c r="C425" s="20"/>
      <c r="D425" s="20"/>
      <c r="E425" s="20"/>
      <c r="F425" s="21"/>
      <c r="G425" s="45"/>
      <c r="H425" s="20"/>
      <c r="I425" s="20"/>
      <c r="J425" s="20"/>
      <c r="K425" s="20"/>
      <c r="L425" s="21"/>
      <c r="M425" s="33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4" t="str">
        <f>IFERROR(__xludf.DUMMYFUNCTION("IF(Account!$F425&lt;&gt;"""", VALUE(REGEXREPLACE($I425, ""\,"", ""."")), """")"),"")</f>
        <v/>
      </c>
      <c r="O425" s="35" t="str">
        <f>IF(Account!$F425&lt;&gt;"", DATEVALUE(MID($A425,4,3) &amp; LEFT($A425,3) &amp; RIGHT($A425,4)) + TIMEVALUE($B425), "")</f>
        <v/>
      </c>
      <c r="P425" s="36" t="str">
        <f>IF(Account!$F425&lt;&gt;"", DATEVALUE(MID($C425,4,3) &amp; LEFT($C425,3) &amp; RIGHT($C425,4)), "")</f>
        <v/>
      </c>
      <c r="Q425" s="37" t="str">
        <f t="array" ref="Q425">IF($R425&lt;&gt;"",IFERROR(INDEX(ISIN!$B:$B,MATCH($R425,ISIN!$C:$C,0))),)</f>
        <v/>
      </c>
      <c r="R425" s="38" t="str">
        <f t="array" ref="R425">IF($E425&lt;&gt;""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7" t="str">
        <f t="shared" si="1"/>
        <v/>
      </c>
      <c r="T425" s="39" t="str">
        <f t="shared" si="2"/>
        <v/>
      </c>
      <c r="U425" s="40" t="str">
        <f t="shared" si="3"/>
        <v/>
      </c>
      <c r="V425" s="34" t="str">
        <f t="shared" si="4"/>
        <v/>
      </c>
      <c r="W425" s="41" t="str">
        <f>IFERROR(__xludf.DUMMYFUNCTION(" IF(Account!$F425&lt;&gt;"""", SPLIT(Account!$F425, "" ""), """")"),"")</f>
        <v/>
      </c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</row>
    <row r="426">
      <c r="A426" s="20"/>
      <c r="B426" s="20"/>
      <c r="C426" s="20"/>
      <c r="D426" s="20"/>
      <c r="E426" s="20"/>
      <c r="F426" s="21"/>
      <c r="G426" s="20"/>
      <c r="H426" s="20"/>
      <c r="I426" s="20"/>
      <c r="J426" s="20"/>
      <c r="K426" s="20"/>
      <c r="L426" s="21"/>
      <c r="M426" s="33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4" t="str">
        <f>IFERROR(__xludf.DUMMYFUNCTION("IF(Account!$F426&lt;&gt;"""", VALUE(REGEXREPLACE($I426, ""\,"", ""."")), """")"),"")</f>
        <v/>
      </c>
      <c r="O426" s="35" t="str">
        <f>IF(Account!$F426&lt;&gt;"", DATEVALUE(MID($A426,4,3) &amp; LEFT($A426,3) &amp; RIGHT($A426,4)) + TIMEVALUE($B426), "")</f>
        <v/>
      </c>
      <c r="P426" s="36" t="str">
        <f>IF(Account!$F426&lt;&gt;"", DATEVALUE(MID($C426,4,3) &amp; LEFT($C426,3) &amp; RIGHT($C426,4)), "")</f>
        <v/>
      </c>
      <c r="Q426" s="37" t="str">
        <f t="array" ref="Q426">IF($R426&lt;&gt;"",IFERROR(INDEX(ISIN!$B:$B,MATCH($R426,ISIN!$C:$C,0))),)</f>
        <v/>
      </c>
      <c r="R426" s="38" t="str">
        <f t="array" ref="R426">IF($E426&lt;&gt;""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7" t="str">
        <f t="shared" si="1"/>
        <v/>
      </c>
      <c r="T426" s="39" t="str">
        <f t="shared" si="2"/>
        <v/>
      </c>
      <c r="U426" s="40" t="str">
        <f t="shared" si="3"/>
        <v/>
      </c>
      <c r="V426" s="34" t="str">
        <f t="shared" si="4"/>
        <v/>
      </c>
      <c r="W426" s="41" t="str">
        <f>IFERROR(__xludf.DUMMYFUNCTION(" IF(Account!$F426&lt;&gt;"""", SPLIT(Account!$F426, "" ""), """")"),"")</f>
        <v/>
      </c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</row>
    <row r="427">
      <c r="A427" s="20"/>
      <c r="B427" s="20"/>
      <c r="C427" s="20"/>
      <c r="D427" s="20"/>
      <c r="E427" s="20"/>
      <c r="F427" s="21"/>
      <c r="G427" s="45"/>
      <c r="H427" s="20"/>
      <c r="I427" s="20"/>
      <c r="J427" s="20"/>
      <c r="K427" s="20"/>
      <c r="L427" s="21"/>
      <c r="M427" s="33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4" t="str">
        <f>IFERROR(__xludf.DUMMYFUNCTION("IF(Account!$F427&lt;&gt;"""", VALUE(REGEXREPLACE($I427, ""\,"", ""."")), """")"),"")</f>
        <v/>
      </c>
      <c r="O427" s="35" t="str">
        <f>IF(Account!$F427&lt;&gt;"", DATEVALUE(MID($A427,4,3) &amp; LEFT($A427,3) &amp; RIGHT($A427,4)) + TIMEVALUE($B427), "")</f>
        <v/>
      </c>
      <c r="P427" s="36" t="str">
        <f>IF(Account!$F427&lt;&gt;"", DATEVALUE(MID($C427,4,3) &amp; LEFT($C427,3) &amp; RIGHT($C427,4)), "")</f>
        <v/>
      </c>
      <c r="Q427" s="37" t="str">
        <f t="array" ref="Q427">IF($R427&lt;&gt;"",IFERROR(INDEX(ISIN!$B:$B,MATCH($R427,ISIN!$C:$C,0))),)</f>
        <v/>
      </c>
      <c r="R427" s="38" t="str">
        <f t="array" ref="R427">IF($E427&lt;&gt;""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7" t="str">
        <f t="shared" si="1"/>
        <v/>
      </c>
      <c r="T427" s="39" t="str">
        <f t="shared" si="2"/>
        <v/>
      </c>
      <c r="U427" s="40" t="str">
        <f t="shared" si="3"/>
        <v/>
      </c>
      <c r="V427" s="34" t="str">
        <f t="shared" si="4"/>
        <v/>
      </c>
      <c r="W427" s="41" t="str">
        <f>IFERROR(__xludf.DUMMYFUNCTION(" IF(Account!$F427&lt;&gt;"""", SPLIT(Account!$F427, "" ""), """")"),"")</f>
        <v/>
      </c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</row>
    <row r="428">
      <c r="A428" s="20"/>
      <c r="B428" s="20"/>
      <c r="C428" s="20"/>
      <c r="D428" s="20"/>
      <c r="E428" s="20"/>
      <c r="F428" s="21"/>
      <c r="G428" s="20"/>
      <c r="H428" s="20"/>
      <c r="I428" s="20"/>
      <c r="J428" s="20"/>
      <c r="K428" s="20"/>
      <c r="L428" s="21"/>
      <c r="M428" s="33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4" t="str">
        <f>IFERROR(__xludf.DUMMYFUNCTION("IF(Account!$F428&lt;&gt;"""", VALUE(REGEXREPLACE($I428, ""\,"", ""."")), """")"),"")</f>
        <v/>
      </c>
      <c r="O428" s="35" t="str">
        <f>IF(Account!$F428&lt;&gt;"", DATEVALUE(MID($A428,4,3) &amp; LEFT($A428,3) &amp; RIGHT($A428,4)) + TIMEVALUE($B428), "")</f>
        <v/>
      </c>
      <c r="P428" s="36" t="str">
        <f>IF(Account!$F428&lt;&gt;"", DATEVALUE(MID($C428,4,3) &amp; LEFT($C428,3) &amp; RIGHT($C428,4)), "")</f>
        <v/>
      </c>
      <c r="Q428" s="37" t="str">
        <f t="array" ref="Q428">IF($R428&lt;&gt;"",IFERROR(INDEX(ISIN!$B:$B,MATCH($R428,ISIN!$C:$C,0))),)</f>
        <v/>
      </c>
      <c r="R428" s="38" t="str">
        <f t="array" ref="R428">IF($E428&lt;&gt;""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7" t="str">
        <f t="shared" si="1"/>
        <v/>
      </c>
      <c r="T428" s="39" t="str">
        <f t="shared" si="2"/>
        <v/>
      </c>
      <c r="U428" s="40" t="str">
        <f t="shared" si="3"/>
        <v/>
      </c>
      <c r="V428" s="34" t="str">
        <f t="shared" si="4"/>
        <v/>
      </c>
      <c r="W428" s="41" t="str">
        <f>IFERROR(__xludf.DUMMYFUNCTION(" IF(Account!$F428&lt;&gt;"""", SPLIT(Account!$F428, "" ""), """")"),"")</f>
        <v/>
      </c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</row>
    <row r="429">
      <c r="A429" s="20"/>
      <c r="B429" s="20"/>
      <c r="C429" s="20"/>
      <c r="D429" s="20"/>
      <c r="E429" s="20"/>
      <c r="F429" s="21"/>
      <c r="G429" s="45"/>
      <c r="H429" s="20"/>
      <c r="I429" s="20"/>
      <c r="J429" s="20"/>
      <c r="K429" s="20"/>
      <c r="L429" s="21"/>
      <c r="M429" s="33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4" t="str">
        <f>IFERROR(__xludf.DUMMYFUNCTION("IF(Account!$F429&lt;&gt;"""", VALUE(REGEXREPLACE($I429, ""\,"", ""."")), """")"),"")</f>
        <v/>
      </c>
      <c r="O429" s="35" t="str">
        <f>IF(Account!$F429&lt;&gt;"", DATEVALUE(MID($A429,4,3) &amp; LEFT($A429,3) &amp; RIGHT($A429,4)) + TIMEVALUE($B429), "")</f>
        <v/>
      </c>
      <c r="P429" s="36" t="str">
        <f>IF(Account!$F429&lt;&gt;"", DATEVALUE(MID($C429,4,3) &amp; LEFT($C429,3) &amp; RIGHT($C429,4)), "")</f>
        <v/>
      </c>
      <c r="Q429" s="37" t="str">
        <f t="array" ref="Q429">IF($R429&lt;&gt;"",IFERROR(INDEX(ISIN!$B:$B,MATCH($R429,ISIN!$C:$C,0))),)</f>
        <v/>
      </c>
      <c r="R429" s="38" t="str">
        <f t="array" ref="R429">IF($E429&lt;&gt;""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7" t="str">
        <f t="shared" si="1"/>
        <v/>
      </c>
      <c r="T429" s="39" t="str">
        <f t="shared" si="2"/>
        <v/>
      </c>
      <c r="U429" s="40" t="str">
        <f t="shared" si="3"/>
        <v/>
      </c>
      <c r="V429" s="34" t="str">
        <f t="shared" si="4"/>
        <v/>
      </c>
      <c r="W429" s="41" t="str">
        <f>IFERROR(__xludf.DUMMYFUNCTION(" IF(Account!$F429&lt;&gt;"""", SPLIT(Account!$F429, "" ""), """")"),"")</f>
        <v/>
      </c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</row>
    <row r="430">
      <c r="A430" s="20"/>
      <c r="B430" s="20"/>
      <c r="C430" s="20"/>
      <c r="D430" s="20"/>
      <c r="E430" s="20"/>
      <c r="F430" s="21"/>
      <c r="G430" s="20"/>
      <c r="H430" s="20"/>
      <c r="I430" s="20"/>
      <c r="J430" s="20"/>
      <c r="K430" s="20"/>
      <c r="L430" s="21"/>
      <c r="M430" s="33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4" t="str">
        <f>IFERROR(__xludf.DUMMYFUNCTION("IF(Account!$F430&lt;&gt;"""", VALUE(REGEXREPLACE($I430, ""\,"", ""."")), """")"),"")</f>
        <v/>
      </c>
      <c r="O430" s="35" t="str">
        <f>IF(Account!$F430&lt;&gt;"", DATEVALUE(MID($A430,4,3) &amp; LEFT($A430,3) &amp; RIGHT($A430,4)) + TIMEVALUE($B430), "")</f>
        <v/>
      </c>
      <c r="P430" s="36" t="str">
        <f>IF(Account!$F430&lt;&gt;"", DATEVALUE(MID($C430,4,3) &amp; LEFT($C430,3) &amp; RIGHT($C430,4)), "")</f>
        <v/>
      </c>
      <c r="Q430" s="37" t="str">
        <f t="array" ref="Q430">IF($R430&lt;&gt;"",IFERROR(INDEX(ISIN!$B:$B,MATCH($R430,ISIN!$C:$C,0))),)</f>
        <v/>
      </c>
      <c r="R430" s="38" t="str">
        <f t="array" ref="R430">IF($E430&lt;&gt;""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7" t="str">
        <f t="shared" si="1"/>
        <v/>
      </c>
      <c r="T430" s="39" t="str">
        <f t="shared" si="2"/>
        <v/>
      </c>
      <c r="U430" s="40" t="str">
        <f t="shared" si="3"/>
        <v/>
      </c>
      <c r="V430" s="34" t="str">
        <f t="shared" si="4"/>
        <v/>
      </c>
      <c r="W430" s="41" t="str">
        <f>IFERROR(__xludf.DUMMYFUNCTION(" IF(Account!$F430&lt;&gt;"""", SPLIT(Account!$F430, "" ""), """")"),"")</f>
        <v/>
      </c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</row>
    <row r="431">
      <c r="A431" s="20"/>
      <c r="B431" s="20"/>
      <c r="C431" s="20"/>
      <c r="D431" s="20"/>
      <c r="E431" s="20"/>
      <c r="F431" s="21"/>
      <c r="G431" s="45"/>
      <c r="H431" s="20"/>
      <c r="I431" s="20"/>
      <c r="J431" s="20"/>
      <c r="K431" s="20"/>
      <c r="L431" s="21"/>
      <c r="M431" s="33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4" t="str">
        <f>IFERROR(__xludf.DUMMYFUNCTION("IF(Account!$F431&lt;&gt;"""", VALUE(REGEXREPLACE($I431, ""\,"", ""."")), """")"),"")</f>
        <v/>
      </c>
      <c r="O431" s="35" t="str">
        <f>IF(Account!$F431&lt;&gt;"", DATEVALUE(MID($A431,4,3) &amp; LEFT($A431,3) &amp; RIGHT($A431,4)) + TIMEVALUE($B431), "")</f>
        <v/>
      </c>
      <c r="P431" s="36" t="str">
        <f>IF(Account!$F431&lt;&gt;"", DATEVALUE(MID($C431,4,3) &amp; LEFT($C431,3) &amp; RIGHT($C431,4)), "")</f>
        <v/>
      </c>
      <c r="Q431" s="37" t="str">
        <f t="array" ref="Q431">IF($R431&lt;&gt;"",IFERROR(INDEX(ISIN!$B:$B,MATCH($R431,ISIN!$C:$C,0))),)</f>
        <v/>
      </c>
      <c r="R431" s="38" t="str">
        <f t="array" ref="R431">IF($E431&lt;&gt;""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7" t="str">
        <f t="shared" si="1"/>
        <v/>
      </c>
      <c r="T431" s="39" t="str">
        <f t="shared" si="2"/>
        <v/>
      </c>
      <c r="U431" s="40" t="str">
        <f t="shared" si="3"/>
        <v/>
      </c>
      <c r="V431" s="34" t="str">
        <f t="shared" si="4"/>
        <v/>
      </c>
      <c r="W431" s="41" t="str">
        <f>IFERROR(__xludf.DUMMYFUNCTION(" IF(Account!$F431&lt;&gt;"""", SPLIT(Account!$F431, "" ""), """")"),"")</f>
        <v/>
      </c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</row>
    <row r="432">
      <c r="A432" s="20"/>
      <c r="B432" s="20"/>
      <c r="C432" s="20"/>
      <c r="D432" s="20"/>
      <c r="E432" s="20"/>
      <c r="F432" s="21"/>
      <c r="G432" s="45"/>
      <c r="H432" s="20"/>
      <c r="I432" s="20"/>
      <c r="J432" s="20"/>
      <c r="K432" s="20"/>
      <c r="L432" s="21"/>
      <c r="M432" s="33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4" t="str">
        <f>IFERROR(__xludf.DUMMYFUNCTION("IF(Account!$F432&lt;&gt;"""", VALUE(REGEXREPLACE($I432, ""\,"", ""."")), """")"),"")</f>
        <v/>
      </c>
      <c r="O432" s="35" t="str">
        <f>IF(Account!$F432&lt;&gt;"", DATEVALUE(MID($A432,4,3) &amp; LEFT($A432,3) &amp; RIGHT($A432,4)) + TIMEVALUE($B432), "")</f>
        <v/>
      </c>
      <c r="P432" s="36" t="str">
        <f>IF(Account!$F432&lt;&gt;"", DATEVALUE(MID($C432,4,3) &amp; LEFT($C432,3) &amp; RIGHT($C432,4)), "")</f>
        <v/>
      </c>
      <c r="Q432" s="37" t="str">
        <f t="array" ref="Q432">IF($R432&lt;&gt;"",IFERROR(INDEX(ISIN!$B:$B,MATCH($R432,ISIN!$C:$C,0))),)</f>
        <v/>
      </c>
      <c r="R432" s="38" t="str">
        <f t="array" ref="R432">IF($E432&lt;&gt;""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7" t="str">
        <f t="shared" si="1"/>
        <v/>
      </c>
      <c r="T432" s="39" t="str">
        <f t="shared" si="2"/>
        <v/>
      </c>
      <c r="U432" s="40" t="str">
        <f t="shared" si="3"/>
        <v/>
      </c>
      <c r="V432" s="34" t="str">
        <f t="shared" si="4"/>
        <v/>
      </c>
      <c r="W432" s="41" t="str">
        <f>IFERROR(__xludf.DUMMYFUNCTION(" IF(Account!$F432&lt;&gt;"""", SPLIT(Account!$F432, "" ""), """")"),"")</f>
        <v/>
      </c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</row>
    <row r="433">
      <c r="A433" s="20"/>
      <c r="B433" s="20"/>
      <c r="C433" s="20"/>
      <c r="D433" s="20"/>
      <c r="E433" s="20"/>
      <c r="F433" s="21"/>
      <c r="G433" s="45"/>
      <c r="H433" s="20"/>
      <c r="I433" s="20"/>
      <c r="J433" s="20"/>
      <c r="K433" s="20"/>
      <c r="L433" s="21"/>
      <c r="M433" s="33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4" t="str">
        <f>IFERROR(__xludf.DUMMYFUNCTION("IF(Account!$F433&lt;&gt;"""", VALUE(REGEXREPLACE($I433, ""\,"", ""."")), """")"),"")</f>
        <v/>
      </c>
      <c r="O433" s="35" t="str">
        <f>IF(Account!$F433&lt;&gt;"", DATEVALUE(MID($A433,4,3) &amp; LEFT($A433,3) &amp; RIGHT($A433,4)) + TIMEVALUE($B433), "")</f>
        <v/>
      </c>
      <c r="P433" s="36" t="str">
        <f>IF(Account!$F433&lt;&gt;"", DATEVALUE(MID($C433,4,3) &amp; LEFT($C433,3) &amp; RIGHT($C433,4)), "")</f>
        <v/>
      </c>
      <c r="Q433" s="37" t="str">
        <f t="array" ref="Q433">IF($R433&lt;&gt;"",IFERROR(INDEX(ISIN!$B:$B,MATCH($R433,ISIN!$C:$C,0))),)</f>
        <v/>
      </c>
      <c r="R433" s="38" t="str">
        <f t="array" ref="R433">IF($E433&lt;&gt;""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7" t="str">
        <f t="shared" si="1"/>
        <v/>
      </c>
      <c r="T433" s="39" t="str">
        <f t="shared" si="2"/>
        <v/>
      </c>
      <c r="U433" s="40" t="str">
        <f t="shared" si="3"/>
        <v/>
      </c>
      <c r="V433" s="34" t="str">
        <f t="shared" si="4"/>
        <v/>
      </c>
      <c r="W433" s="41" t="str">
        <f>IFERROR(__xludf.DUMMYFUNCTION(" IF(Account!$F433&lt;&gt;"""", SPLIT(Account!$F433, "" ""), """")"),"")</f>
        <v/>
      </c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</row>
    <row r="434">
      <c r="A434" s="20"/>
      <c r="B434" s="20"/>
      <c r="C434" s="20"/>
      <c r="D434" s="20"/>
      <c r="E434" s="20"/>
      <c r="F434" s="21"/>
      <c r="G434" s="45"/>
      <c r="H434" s="20"/>
      <c r="I434" s="20"/>
      <c r="J434" s="20"/>
      <c r="K434" s="20"/>
      <c r="L434" s="21"/>
      <c r="M434" s="33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4" t="str">
        <f>IFERROR(__xludf.DUMMYFUNCTION("IF(Account!$F434&lt;&gt;"""", VALUE(REGEXREPLACE($I434, ""\,"", ""."")), """")"),"")</f>
        <v/>
      </c>
      <c r="O434" s="35" t="str">
        <f>IF(Account!$F434&lt;&gt;"", DATEVALUE(MID($A434,4,3) &amp; LEFT($A434,3) &amp; RIGHT($A434,4)) + TIMEVALUE($B434), "")</f>
        <v/>
      </c>
      <c r="P434" s="36" t="str">
        <f>IF(Account!$F434&lt;&gt;"", DATEVALUE(MID($C434,4,3) &amp; LEFT($C434,3) &amp; RIGHT($C434,4)), "")</f>
        <v/>
      </c>
      <c r="Q434" s="37" t="str">
        <f t="array" ref="Q434">IF($R434&lt;&gt;"",IFERROR(INDEX(ISIN!$B:$B,MATCH($R434,ISIN!$C:$C,0))),)</f>
        <v/>
      </c>
      <c r="R434" s="38" t="str">
        <f t="array" ref="R434">IF($E434&lt;&gt;""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7" t="str">
        <f t="shared" si="1"/>
        <v/>
      </c>
      <c r="T434" s="39" t="str">
        <f t="shared" si="2"/>
        <v/>
      </c>
      <c r="U434" s="40" t="str">
        <f t="shared" si="3"/>
        <v/>
      </c>
      <c r="V434" s="34" t="str">
        <f t="shared" si="4"/>
        <v/>
      </c>
      <c r="W434" s="41" t="str">
        <f>IFERROR(__xludf.DUMMYFUNCTION(" IF(Account!$F434&lt;&gt;"""", SPLIT(Account!$F434, "" ""), """")"),"")</f>
        <v/>
      </c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</row>
    <row r="435">
      <c r="A435" s="20"/>
      <c r="B435" s="20"/>
      <c r="C435" s="20"/>
      <c r="D435" s="20"/>
      <c r="E435" s="20"/>
      <c r="F435" s="21"/>
      <c r="G435" s="20"/>
      <c r="H435" s="20"/>
      <c r="I435" s="20"/>
      <c r="J435" s="20"/>
      <c r="K435" s="20"/>
      <c r="L435" s="21"/>
      <c r="M435" s="33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4" t="str">
        <f>IFERROR(__xludf.DUMMYFUNCTION("IF(Account!$F435&lt;&gt;"""", VALUE(REGEXREPLACE($I435, ""\,"", ""."")), """")"),"")</f>
        <v/>
      </c>
      <c r="O435" s="35" t="str">
        <f>IF(Account!$F435&lt;&gt;"", DATEVALUE(MID($A435,4,3) &amp; LEFT($A435,3) &amp; RIGHT($A435,4)) + TIMEVALUE($B435), "")</f>
        <v/>
      </c>
      <c r="P435" s="36" t="str">
        <f>IF(Account!$F435&lt;&gt;"", DATEVALUE(MID($C435,4,3) &amp; LEFT($C435,3) &amp; RIGHT($C435,4)), "")</f>
        <v/>
      </c>
      <c r="Q435" s="37" t="str">
        <f t="array" ref="Q435">IF($R435&lt;&gt;"",IFERROR(INDEX(ISIN!$B:$B,MATCH($R435,ISIN!$C:$C,0))),)</f>
        <v/>
      </c>
      <c r="R435" s="38" t="str">
        <f t="array" ref="R435">IF($E435&lt;&gt;""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7" t="str">
        <f t="shared" si="1"/>
        <v/>
      </c>
      <c r="T435" s="39" t="str">
        <f t="shared" si="2"/>
        <v/>
      </c>
      <c r="U435" s="40" t="str">
        <f t="shared" si="3"/>
        <v/>
      </c>
      <c r="V435" s="34" t="str">
        <f t="shared" si="4"/>
        <v/>
      </c>
      <c r="W435" s="41" t="str">
        <f>IFERROR(__xludf.DUMMYFUNCTION(" IF(Account!$F435&lt;&gt;"""", SPLIT(Account!$F435, "" ""), """")"),"")</f>
        <v/>
      </c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</row>
    <row r="436">
      <c r="A436" s="20"/>
      <c r="B436" s="20"/>
      <c r="C436" s="20"/>
      <c r="D436" s="20"/>
      <c r="E436" s="20"/>
      <c r="F436" s="21"/>
      <c r="G436" s="45"/>
      <c r="H436" s="20"/>
      <c r="I436" s="20"/>
      <c r="J436" s="20"/>
      <c r="K436" s="20"/>
      <c r="L436" s="21"/>
      <c r="M436" s="33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4" t="str">
        <f>IFERROR(__xludf.DUMMYFUNCTION("IF(Account!$F436&lt;&gt;"""", VALUE(REGEXREPLACE($I436, ""\,"", ""."")), """")"),"")</f>
        <v/>
      </c>
      <c r="O436" s="35" t="str">
        <f>IF(Account!$F436&lt;&gt;"", DATEVALUE(MID($A436,4,3) &amp; LEFT($A436,3) &amp; RIGHT($A436,4)) + TIMEVALUE($B436), "")</f>
        <v/>
      </c>
      <c r="P436" s="36" t="str">
        <f>IF(Account!$F436&lt;&gt;"", DATEVALUE(MID($C436,4,3) &amp; LEFT($C436,3) &amp; RIGHT($C436,4)), "")</f>
        <v/>
      </c>
      <c r="Q436" s="37" t="str">
        <f t="array" ref="Q436">IF($R436&lt;&gt;"",IFERROR(INDEX(ISIN!$B:$B,MATCH($R436,ISIN!$C:$C,0))),)</f>
        <v/>
      </c>
      <c r="R436" s="38" t="str">
        <f t="array" ref="R436">IF($E436&lt;&gt;""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7" t="str">
        <f t="shared" si="1"/>
        <v/>
      </c>
      <c r="T436" s="39" t="str">
        <f t="shared" si="2"/>
        <v/>
      </c>
      <c r="U436" s="40" t="str">
        <f t="shared" si="3"/>
        <v/>
      </c>
      <c r="V436" s="34" t="str">
        <f t="shared" si="4"/>
        <v/>
      </c>
      <c r="W436" s="41" t="str">
        <f>IFERROR(__xludf.DUMMYFUNCTION(" IF(Account!$F436&lt;&gt;"""", SPLIT(Account!$F436, "" ""), """")"),"")</f>
        <v/>
      </c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</row>
    <row r="437">
      <c r="A437" s="20"/>
      <c r="B437" s="20"/>
      <c r="C437" s="20"/>
      <c r="D437" s="20"/>
      <c r="E437" s="20"/>
      <c r="F437" s="21"/>
      <c r="G437" s="45"/>
      <c r="H437" s="20"/>
      <c r="I437" s="20"/>
      <c r="J437" s="20"/>
      <c r="K437" s="20"/>
      <c r="L437" s="21"/>
      <c r="M437" s="33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4" t="str">
        <f>IFERROR(__xludf.DUMMYFUNCTION("IF(Account!$F437&lt;&gt;"""", VALUE(REGEXREPLACE($I437, ""\,"", ""."")), """")"),"")</f>
        <v/>
      </c>
      <c r="O437" s="35" t="str">
        <f>IF(Account!$F437&lt;&gt;"", DATEVALUE(MID($A437,4,3) &amp; LEFT($A437,3) &amp; RIGHT($A437,4)) + TIMEVALUE($B437), "")</f>
        <v/>
      </c>
      <c r="P437" s="36" t="str">
        <f>IF(Account!$F437&lt;&gt;"", DATEVALUE(MID($C437,4,3) &amp; LEFT($C437,3) &amp; RIGHT($C437,4)), "")</f>
        <v/>
      </c>
      <c r="Q437" s="37" t="str">
        <f t="array" ref="Q437">IF($R437&lt;&gt;"",IFERROR(INDEX(ISIN!$B:$B,MATCH($R437,ISIN!$C:$C,0))),)</f>
        <v/>
      </c>
      <c r="R437" s="38" t="str">
        <f t="array" ref="R437">IF($E437&lt;&gt;""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7" t="str">
        <f t="shared" si="1"/>
        <v/>
      </c>
      <c r="T437" s="39" t="str">
        <f t="shared" si="2"/>
        <v/>
      </c>
      <c r="U437" s="40" t="str">
        <f t="shared" si="3"/>
        <v/>
      </c>
      <c r="V437" s="34" t="str">
        <f t="shared" si="4"/>
        <v/>
      </c>
      <c r="W437" s="41" t="str">
        <f>IFERROR(__xludf.DUMMYFUNCTION(" IF(Account!$F437&lt;&gt;"""", SPLIT(Account!$F437, "" ""), """")"),"")</f>
        <v/>
      </c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</row>
    <row r="438">
      <c r="A438" s="20"/>
      <c r="B438" s="20"/>
      <c r="C438" s="20"/>
      <c r="D438" s="20"/>
      <c r="E438" s="20"/>
      <c r="F438" s="21"/>
      <c r="G438" s="45"/>
      <c r="H438" s="20"/>
      <c r="I438" s="20"/>
      <c r="J438" s="20"/>
      <c r="K438" s="20"/>
      <c r="L438" s="21"/>
      <c r="M438" s="33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4" t="str">
        <f>IFERROR(__xludf.DUMMYFUNCTION("IF(Account!$F438&lt;&gt;"""", VALUE(REGEXREPLACE($I438, ""\,"", ""."")), """")"),"")</f>
        <v/>
      </c>
      <c r="O438" s="35" t="str">
        <f>IF(Account!$F438&lt;&gt;"", DATEVALUE(MID($A438,4,3) &amp; LEFT($A438,3) &amp; RIGHT($A438,4)) + TIMEVALUE($B438), "")</f>
        <v/>
      </c>
      <c r="P438" s="36" t="str">
        <f>IF(Account!$F438&lt;&gt;"", DATEVALUE(MID($C438,4,3) &amp; LEFT($C438,3) &amp; RIGHT($C438,4)), "")</f>
        <v/>
      </c>
      <c r="Q438" s="37" t="str">
        <f t="array" ref="Q438">IF($R438&lt;&gt;"",IFERROR(INDEX(ISIN!$B:$B,MATCH($R438,ISIN!$C:$C,0))),)</f>
        <v/>
      </c>
      <c r="R438" s="38" t="str">
        <f t="array" ref="R438">IF($E438&lt;&gt;""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7" t="str">
        <f t="shared" si="1"/>
        <v/>
      </c>
      <c r="T438" s="39" t="str">
        <f t="shared" si="2"/>
        <v/>
      </c>
      <c r="U438" s="40" t="str">
        <f t="shared" si="3"/>
        <v/>
      </c>
      <c r="V438" s="34" t="str">
        <f t="shared" si="4"/>
        <v/>
      </c>
      <c r="W438" s="41" t="str">
        <f>IFERROR(__xludf.DUMMYFUNCTION(" IF(Account!$F438&lt;&gt;"""", SPLIT(Account!$F438, "" ""), """")"),"")</f>
        <v/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</row>
    <row r="439">
      <c r="A439" s="20"/>
      <c r="B439" s="20"/>
      <c r="C439" s="20"/>
      <c r="D439" s="20"/>
      <c r="E439" s="20"/>
      <c r="F439" s="21"/>
      <c r="G439" s="45"/>
      <c r="H439" s="20"/>
      <c r="I439" s="20"/>
      <c r="J439" s="20"/>
      <c r="K439" s="20"/>
      <c r="L439" s="21"/>
      <c r="M439" s="33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4" t="str">
        <f>IFERROR(__xludf.DUMMYFUNCTION("IF(Account!$F439&lt;&gt;"""", VALUE(REGEXREPLACE($I439, ""\,"", ""."")), """")"),"")</f>
        <v/>
      </c>
      <c r="O439" s="35" t="str">
        <f>IF(Account!$F439&lt;&gt;"", DATEVALUE(MID($A439,4,3) &amp; LEFT($A439,3) &amp; RIGHT($A439,4)) + TIMEVALUE($B439), "")</f>
        <v/>
      </c>
      <c r="P439" s="36" t="str">
        <f>IF(Account!$F439&lt;&gt;"", DATEVALUE(MID($C439,4,3) &amp; LEFT($C439,3) &amp; RIGHT($C439,4)), "")</f>
        <v/>
      </c>
      <c r="Q439" s="37" t="str">
        <f t="array" ref="Q439">IF($R439&lt;&gt;"",IFERROR(INDEX(ISIN!$B:$B,MATCH($R439,ISIN!$C:$C,0))),)</f>
        <v/>
      </c>
      <c r="R439" s="38" t="str">
        <f t="array" ref="R439">IF($E439&lt;&gt;""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7" t="str">
        <f t="shared" si="1"/>
        <v/>
      </c>
      <c r="T439" s="39" t="str">
        <f t="shared" si="2"/>
        <v/>
      </c>
      <c r="U439" s="40" t="str">
        <f t="shared" si="3"/>
        <v/>
      </c>
      <c r="V439" s="34" t="str">
        <f t="shared" si="4"/>
        <v/>
      </c>
      <c r="W439" s="41" t="str">
        <f>IFERROR(__xludf.DUMMYFUNCTION(" IF(Account!$F439&lt;&gt;"""", SPLIT(Account!$F439, "" ""), """")"),"")</f>
        <v/>
      </c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</row>
    <row r="440">
      <c r="A440" s="20"/>
      <c r="B440" s="20"/>
      <c r="C440" s="20"/>
      <c r="D440" s="20"/>
      <c r="E440" s="20"/>
      <c r="F440" s="21"/>
      <c r="G440" s="20"/>
      <c r="H440" s="20"/>
      <c r="I440" s="20"/>
      <c r="J440" s="20"/>
      <c r="K440" s="20"/>
      <c r="L440" s="21"/>
      <c r="M440" s="33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4" t="str">
        <f>IFERROR(__xludf.DUMMYFUNCTION("IF(Account!$F440&lt;&gt;"""", VALUE(REGEXREPLACE($I440, ""\,"", ""."")), """")"),"")</f>
        <v/>
      </c>
      <c r="O440" s="35" t="str">
        <f>IF(Account!$F440&lt;&gt;"", DATEVALUE(MID($A440,4,3) &amp; LEFT($A440,3) &amp; RIGHT($A440,4)) + TIMEVALUE($B440), "")</f>
        <v/>
      </c>
      <c r="P440" s="36" t="str">
        <f>IF(Account!$F440&lt;&gt;"", DATEVALUE(MID($C440,4,3) &amp; LEFT($C440,3) &amp; RIGHT($C440,4)), "")</f>
        <v/>
      </c>
      <c r="Q440" s="37" t="str">
        <f t="array" ref="Q440">IF($R440&lt;&gt;"",IFERROR(INDEX(ISIN!$B:$B,MATCH($R440,ISIN!$C:$C,0))),)</f>
        <v/>
      </c>
      <c r="R440" s="38" t="str">
        <f t="array" ref="R440">IF($E440&lt;&gt;""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7" t="str">
        <f t="shared" si="1"/>
        <v/>
      </c>
      <c r="T440" s="39" t="str">
        <f t="shared" si="2"/>
        <v/>
      </c>
      <c r="U440" s="40" t="str">
        <f t="shared" si="3"/>
        <v/>
      </c>
      <c r="V440" s="34" t="str">
        <f t="shared" si="4"/>
        <v/>
      </c>
      <c r="W440" s="41" t="str">
        <f>IFERROR(__xludf.DUMMYFUNCTION(" IF(Account!$F440&lt;&gt;"""", SPLIT(Account!$F440, "" ""), """")"),"")</f>
        <v/>
      </c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</row>
    <row r="441">
      <c r="A441" s="20"/>
      <c r="B441" s="20"/>
      <c r="C441" s="20"/>
      <c r="D441" s="20"/>
      <c r="E441" s="20"/>
      <c r="F441" s="21"/>
      <c r="G441" s="45"/>
      <c r="H441" s="20"/>
      <c r="I441" s="20"/>
      <c r="J441" s="20"/>
      <c r="K441" s="20"/>
      <c r="L441" s="21"/>
      <c r="M441" s="33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4" t="str">
        <f>IFERROR(__xludf.DUMMYFUNCTION("IF(Account!$F441&lt;&gt;"""", VALUE(REGEXREPLACE($I441, ""\,"", ""."")), """")"),"")</f>
        <v/>
      </c>
      <c r="O441" s="35" t="str">
        <f>IF(Account!$F441&lt;&gt;"", DATEVALUE(MID($A441,4,3) &amp; LEFT($A441,3) &amp; RIGHT($A441,4)) + TIMEVALUE($B441), "")</f>
        <v/>
      </c>
      <c r="P441" s="36" t="str">
        <f>IF(Account!$F441&lt;&gt;"", DATEVALUE(MID($C441,4,3) &amp; LEFT($C441,3) &amp; RIGHT($C441,4)), "")</f>
        <v/>
      </c>
      <c r="Q441" s="37" t="str">
        <f t="array" ref="Q441">IF($R441&lt;&gt;"",IFERROR(INDEX(ISIN!$B:$B,MATCH($R441,ISIN!$C:$C,0))),)</f>
        <v/>
      </c>
      <c r="R441" s="38" t="str">
        <f t="array" ref="R441">IF($E441&lt;&gt;""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7" t="str">
        <f t="shared" si="1"/>
        <v/>
      </c>
      <c r="T441" s="39" t="str">
        <f t="shared" si="2"/>
        <v/>
      </c>
      <c r="U441" s="40" t="str">
        <f t="shared" si="3"/>
        <v/>
      </c>
      <c r="V441" s="34" t="str">
        <f t="shared" si="4"/>
        <v/>
      </c>
      <c r="W441" s="41" t="str">
        <f>IFERROR(__xludf.DUMMYFUNCTION(" IF(Account!$F441&lt;&gt;"""", SPLIT(Account!$F441, "" ""), """")"),"")</f>
        <v/>
      </c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</row>
    <row r="442">
      <c r="A442" s="20"/>
      <c r="B442" s="20"/>
      <c r="C442" s="20"/>
      <c r="D442" s="20"/>
      <c r="E442" s="20"/>
      <c r="F442" s="21"/>
      <c r="G442" s="45"/>
      <c r="H442" s="20"/>
      <c r="I442" s="20"/>
      <c r="J442" s="20"/>
      <c r="K442" s="20"/>
      <c r="L442" s="21"/>
      <c r="M442" s="33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4" t="str">
        <f>IFERROR(__xludf.DUMMYFUNCTION("IF(Account!$F442&lt;&gt;"""", VALUE(REGEXREPLACE($I442, ""\,"", ""."")), """")"),"")</f>
        <v/>
      </c>
      <c r="O442" s="35" t="str">
        <f>IF(Account!$F442&lt;&gt;"", DATEVALUE(MID($A442,4,3) &amp; LEFT($A442,3) &amp; RIGHT($A442,4)) + TIMEVALUE($B442), "")</f>
        <v/>
      </c>
      <c r="P442" s="36" t="str">
        <f>IF(Account!$F442&lt;&gt;"", DATEVALUE(MID($C442,4,3) &amp; LEFT($C442,3) &amp; RIGHT($C442,4)), "")</f>
        <v/>
      </c>
      <c r="Q442" s="37" t="str">
        <f t="array" ref="Q442">IF($R442&lt;&gt;"",IFERROR(INDEX(ISIN!$B:$B,MATCH($R442,ISIN!$C:$C,0))),)</f>
        <v/>
      </c>
      <c r="R442" s="38" t="str">
        <f t="array" ref="R442">IF($E442&lt;&gt;""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7" t="str">
        <f t="shared" si="1"/>
        <v/>
      </c>
      <c r="T442" s="39" t="str">
        <f t="shared" si="2"/>
        <v/>
      </c>
      <c r="U442" s="40" t="str">
        <f t="shared" si="3"/>
        <v/>
      </c>
      <c r="V442" s="34" t="str">
        <f t="shared" si="4"/>
        <v/>
      </c>
      <c r="W442" s="41" t="str">
        <f>IFERROR(__xludf.DUMMYFUNCTION(" IF(Account!$F442&lt;&gt;"""", SPLIT(Account!$F442, "" ""), """")"),"")</f>
        <v/>
      </c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</row>
    <row r="443">
      <c r="A443" s="20"/>
      <c r="B443" s="20"/>
      <c r="C443" s="20"/>
      <c r="D443" s="20"/>
      <c r="E443" s="20"/>
      <c r="F443" s="21"/>
      <c r="G443" s="20"/>
      <c r="H443" s="20"/>
      <c r="I443" s="20"/>
      <c r="J443" s="20"/>
      <c r="K443" s="20"/>
      <c r="L443" s="21"/>
      <c r="M443" s="33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4" t="str">
        <f>IFERROR(__xludf.DUMMYFUNCTION("IF(Account!$F443&lt;&gt;"""", VALUE(REGEXREPLACE($I443, ""\,"", ""."")), """")"),"")</f>
        <v/>
      </c>
      <c r="O443" s="35" t="str">
        <f>IF(Account!$F443&lt;&gt;"", DATEVALUE(MID($A443,4,3) &amp; LEFT($A443,3) &amp; RIGHT($A443,4)) + TIMEVALUE($B443), "")</f>
        <v/>
      </c>
      <c r="P443" s="36" t="str">
        <f>IF(Account!$F443&lt;&gt;"", DATEVALUE(MID($C443,4,3) &amp; LEFT($C443,3) &amp; RIGHT($C443,4)), "")</f>
        <v/>
      </c>
      <c r="Q443" s="37" t="str">
        <f t="array" ref="Q443">IF($R443&lt;&gt;"",IFERROR(INDEX(ISIN!$B:$B,MATCH($R443,ISIN!$C:$C,0))),)</f>
        <v/>
      </c>
      <c r="R443" s="38" t="str">
        <f t="array" ref="R443">IF($E443&lt;&gt;""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7" t="str">
        <f t="shared" si="1"/>
        <v/>
      </c>
      <c r="T443" s="39" t="str">
        <f t="shared" si="2"/>
        <v/>
      </c>
      <c r="U443" s="40" t="str">
        <f t="shared" si="3"/>
        <v/>
      </c>
      <c r="V443" s="34" t="str">
        <f t="shared" si="4"/>
        <v/>
      </c>
      <c r="W443" s="41" t="str">
        <f>IFERROR(__xludf.DUMMYFUNCTION(" IF(Account!$F443&lt;&gt;"""", SPLIT(Account!$F443, "" ""), """")"),"")</f>
        <v/>
      </c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</row>
    <row r="444">
      <c r="A444" s="20"/>
      <c r="B444" s="20"/>
      <c r="C444" s="20"/>
      <c r="D444" s="20"/>
      <c r="E444" s="20"/>
      <c r="F444" s="21"/>
      <c r="G444" s="45"/>
      <c r="H444" s="20"/>
      <c r="I444" s="20"/>
      <c r="J444" s="20"/>
      <c r="K444" s="20"/>
      <c r="L444" s="21"/>
      <c r="M444" s="33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4" t="str">
        <f>IFERROR(__xludf.DUMMYFUNCTION("IF(Account!$F444&lt;&gt;"""", VALUE(REGEXREPLACE($I444, ""\,"", ""."")), """")"),"")</f>
        <v/>
      </c>
      <c r="O444" s="35" t="str">
        <f>IF(Account!$F444&lt;&gt;"", DATEVALUE(MID($A444,4,3) &amp; LEFT($A444,3) &amp; RIGHT($A444,4)) + TIMEVALUE($B444), "")</f>
        <v/>
      </c>
      <c r="P444" s="36" t="str">
        <f>IF(Account!$F444&lt;&gt;"", DATEVALUE(MID($C444,4,3) &amp; LEFT($C444,3) &amp; RIGHT($C444,4)), "")</f>
        <v/>
      </c>
      <c r="Q444" s="37" t="str">
        <f t="array" ref="Q444">IF($R444&lt;&gt;"",IFERROR(INDEX(ISIN!$B:$B,MATCH($R444,ISIN!$C:$C,0))),)</f>
        <v/>
      </c>
      <c r="R444" s="38" t="str">
        <f t="array" ref="R444">IF($E444&lt;&gt;""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7" t="str">
        <f t="shared" si="1"/>
        <v/>
      </c>
      <c r="T444" s="39" t="str">
        <f t="shared" si="2"/>
        <v/>
      </c>
      <c r="U444" s="40" t="str">
        <f t="shared" si="3"/>
        <v/>
      </c>
      <c r="V444" s="34" t="str">
        <f t="shared" si="4"/>
        <v/>
      </c>
      <c r="W444" s="41" t="str">
        <f>IFERROR(__xludf.DUMMYFUNCTION(" IF(Account!$F444&lt;&gt;"""", SPLIT(Account!$F444, "" ""), """")"),"")</f>
        <v/>
      </c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</row>
    <row r="445">
      <c r="A445" s="20"/>
      <c r="B445" s="20"/>
      <c r="C445" s="20"/>
      <c r="D445" s="20"/>
      <c r="E445" s="20"/>
      <c r="F445" s="21"/>
      <c r="G445" s="45"/>
      <c r="H445" s="20"/>
      <c r="I445" s="20"/>
      <c r="J445" s="20"/>
      <c r="K445" s="20"/>
      <c r="L445" s="21"/>
      <c r="M445" s="33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4" t="str">
        <f>IFERROR(__xludf.DUMMYFUNCTION("IF(Account!$F445&lt;&gt;"""", VALUE(REGEXREPLACE($I445, ""\,"", ""."")), """")"),"")</f>
        <v/>
      </c>
      <c r="O445" s="35" t="str">
        <f>IF(Account!$F445&lt;&gt;"", DATEVALUE(MID($A445,4,3) &amp; LEFT($A445,3) &amp; RIGHT($A445,4)) + TIMEVALUE($B445), "")</f>
        <v/>
      </c>
      <c r="P445" s="36" t="str">
        <f>IF(Account!$F445&lt;&gt;"", DATEVALUE(MID($C445,4,3) &amp; LEFT($C445,3) &amp; RIGHT($C445,4)), "")</f>
        <v/>
      </c>
      <c r="Q445" s="37" t="str">
        <f t="array" ref="Q445">IF($R445&lt;&gt;"",IFERROR(INDEX(ISIN!$B:$B,MATCH($R445,ISIN!$C:$C,0))),)</f>
        <v/>
      </c>
      <c r="R445" s="38" t="str">
        <f t="array" ref="R445">IF($E445&lt;&gt;""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7" t="str">
        <f t="shared" si="1"/>
        <v/>
      </c>
      <c r="T445" s="39" t="str">
        <f t="shared" si="2"/>
        <v/>
      </c>
      <c r="U445" s="40" t="str">
        <f t="shared" si="3"/>
        <v/>
      </c>
      <c r="V445" s="34" t="str">
        <f t="shared" si="4"/>
        <v/>
      </c>
      <c r="W445" s="41" t="str">
        <f>IFERROR(__xludf.DUMMYFUNCTION(" IF(Account!$F445&lt;&gt;"""", SPLIT(Account!$F445, "" ""), """")"),"")</f>
        <v/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</row>
    <row r="446">
      <c r="A446" s="20"/>
      <c r="B446" s="20"/>
      <c r="C446" s="20"/>
      <c r="D446" s="20"/>
      <c r="E446" s="20"/>
      <c r="F446" s="21"/>
      <c r="G446" s="45"/>
      <c r="H446" s="20"/>
      <c r="I446" s="20"/>
      <c r="J446" s="20"/>
      <c r="K446" s="20"/>
      <c r="L446" s="21"/>
      <c r="M446" s="33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4" t="str">
        <f>IFERROR(__xludf.DUMMYFUNCTION("IF(Account!$F446&lt;&gt;"""", VALUE(REGEXREPLACE($I446, ""\,"", ""."")), """")"),"")</f>
        <v/>
      </c>
      <c r="O446" s="35" t="str">
        <f>IF(Account!$F446&lt;&gt;"", DATEVALUE(MID($A446,4,3) &amp; LEFT($A446,3) &amp; RIGHT($A446,4)) + TIMEVALUE($B446), "")</f>
        <v/>
      </c>
      <c r="P446" s="36" t="str">
        <f>IF(Account!$F446&lt;&gt;"", DATEVALUE(MID($C446,4,3) &amp; LEFT($C446,3) &amp; RIGHT($C446,4)), "")</f>
        <v/>
      </c>
      <c r="Q446" s="37" t="str">
        <f t="array" ref="Q446">IF($R446&lt;&gt;"",IFERROR(INDEX(ISIN!$B:$B,MATCH($R446,ISIN!$C:$C,0))),)</f>
        <v/>
      </c>
      <c r="R446" s="38" t="str">
        <f t="array" ref="R446">IF($E446&lt;&gt;""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7" t="str">
        <f t="shared" si="1"/>
        <v/>
      </c>
      <c r="T446" s="39" t="str">
        <f t="shared" si="2"/>
        <v/>
      </c>
      <c r="U446" s="40" t="str">
        <f t="shared" si="3"/>
        <v/>
      </c>
      <c r="V446" s="34" t="str">
        <f t="shared" si="4"/>
        <v/>
      </c>
      <c r="W446" s="41" t="str">
        <f>IFERROR(__xludf.DUMMYFUNCTION(" IF(Account!$F446&lt;&gt;"""", SPLIT(Account!$F446, "" ""), """")"),"")</f>
        <v/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</row>
    <row r="447">
      <c r="A447" s="20"/>
      <c r="B447" s="20"/>
      <c r="C447" s="20"/>
      <c r="D447" s="20"/>
      <c r="E447" s="20"/>
      <c r="F447" s="21"/>
      <c r="G447" s="45"/>
      <c r="H447" s="20"/>
      <c r="I447" s="20"/>
      <c r="J447" s="20"/>
      <c r="K447" s="20"/>
      <c r="L447" s="21"/>
      <c r="M447" s="33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4" t="str">
        <f>IFERROR(__xludf.DUMMYFUNCTION("IF(Account!$F447&lt;&gt;"""", VALUE(REGEXREPLACE($I447, ""\,"", ""."")), """")"),"")</f>
        <v/>
      </c>
      <c r="O447" s="35" t="str">
        <f>IF(Account!$F447&lt;&gt;"", DATEVALUE(MID($A447,4,3) &amp; LEFT($A447,3) &amp; RIGHT($A447,4)) + TIMEVALUE($B447), "")</f>
        <v/>
      </c>
      <c r="P447" s="36" t="str">
        <f>IF(Account!$F447&lt;&gt;"", DATEVALUE(MID($C447,4,3) &amp; LEFT($C447,3) &amp; RIGHT($C447,4)), "")</f>
        <v/>
      </c>
      <c r="Q447" s="37" t="str">
        <f t="array" ref="Q447">IF($R447&lt;&gt;"",IFERROR(INDEX(ISIN!$B:$B,MATCH($R447,ISIN!$C:$C,0))),)</f>
        <v/>
      </c>
      <c r="R447" s="38" t="str">
        <f t="array" ref="R447">IF($E447&lt;&gt;""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7" t="str">
        <f t="shared" si="1"/>
        <v/>
      </c>
      <c r="T447" s="39" t="str">
        <f t="shared" si="2"/>
        <v/>
      </c>
      <c r="U447" s="40" t="str">
        <f t="shared" si="3"/>
        <v/>
      </c>
      <c r="V447" s="34" t="str">
        <f t="shared" si="4"/>
        <v/>
      </c>
      <c r="W447" s="41" t="str">
        <f>IFERROR(__xludf.DUMMYFUNCTION(" IF(Account!$F447&lt;&gt;"""", SPLIT(Account!$F447, "" ""), """")"),"")</f>
        <v/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</row>
    <row r="448">
      <c r="A448" s="20"/>
      <c r="B448" s="20"/>
      <c r="C448" s="20"/>
      <c r="D448" s="20"/>
      <c r="E448" s="20"/>
      <c r="F448" s="21"/>
      <c r="G448" s="20"/>
      <c r="H448" s="20"/>
      <c r="I448" s="20"/>
      <c r="J448" s="20"/>
      <c r="K448" s="20"/>
      <c r="L448" s="21"/>
      <c r="M448" s="33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4" t="str">
        <f>IFERROR(__xludf.DUMMYFUNCTION("IF(Account!$F448&lt;&gt;"""", VALUE(REGEXREPLACE($I448, ""\,"", ""."")), """")"),"")</f>
        <v/>
      </c>
      <c r="O448" s="35" t="str">
        <f>IF(Account!$F448&lt;&gt;"", DATEVALUE(MID($A448,4,3) &amp; LEFT($A448,3) &amp; RIGHT($A448,4)) + TIMEVALUE($B448), "")</f>
        <v/>
      </c>
      <c r="P448" s="36" t="str">
        <f>IF(Account!$F448&lt;&gt;"", DATEVALUE(MID($C448,4,3) &amp; LEFT($C448,3) &amp; RIGHT($C448,4)), "")</f>
        <v/>
      </c>
      <c r="Q448" s="37" t="str">
        <f t="array" ref="Q448">IF($R448&lt;&gt;"",IFERROR(INDEX(ISIN!$B:$B,MATCH($R448,ISIN!$C:$C,0))),)</f>
        <v/>
      </c>
      <c r="R448" s="38" t="str">
        <f t="array" ref="R448">IF($E448&lt;&gt;""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7" t="str">
        <f t="shared" si="1"/>
        <v/>
      </c>
      <c r="T448" s="39" t="str">
        <f t="shared" si="2"/>
        <v/>
      </c>
      <c r="U448" s="40" t="str">
        <f t="shared" si="3"/>
        <v/>
      </c>
      <c r="V448" s="34" t="str">
        <f t="shared" si="4"/>
        <v/>
      </c>
      <c r="W448" s="41" t="str">
        <f>IFERROR(__xludf.DUMMYFUNCTION(" IF(Account!$F448&lt;&gt;"""", SPLIT(Account!$F448, "" ""), """")"),"")</f>
        <v/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</row>
    <row r="449">
      <c r="A449" s="20"/>
      <c r="B449" s="20"/>
      <c r="C449" s="20"/>
      <c r="D449" s="20"/>
      <c r="E449" s="20"/>
      <c r="F449" s="21"/>
      <c r="G449" s="45"/>
      <c r="H449" s="20"/>
      <c r="I449" s="20"/>
      <c r="J449" s="20"/>
      <c r="K449" s="20"/>
      <c r="L449" s="21"/>
      <c r="M449" s="33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4" t="str">
        <f>IFERROR(__xludf.DUMMYFUNCTION("IF(Account!$F449&lt;&gt;"""", VALUE(REGEXREPLACE($I449, ""\,"", ""."")), """")"),"")</f>
        <v/>
      </c>
      <c r="O449" s="35" t="str">
        <f>IF(Account!$F449&lt;&gt;"", DATEVALUE(MID($A449,4,3) &amp; LEFT($A449,3) &amp; RIGHT($A449,4)) + TIMEVALUE($B449), "")</f>
        <v/>
      </c>
      <c r="P449" s="36" t="str">
        <f>IF(Account!$F449&lt;&gt;"", DATEVALUE(MID($C449,4,3) &amp; LEFT($C449,3) &amp; RIGHT($C449,4)), "")</f>
        <v/>
      </c>
      <c r="Q449" s="37" t="str">
        <f t="array" ref="Q449">IF($R449&lt;&gt;"",IFERROR(INDEX(ISIN!$B:$B,MATCH($R449,ISIN!$C:$C,0))),)</f>
        <v/>
      </c>
      <c r="R449" s="38" t="str">
        <f t="array" ref="R449">IF($E449&lt;&gt;""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7" t="str">
        <f t="shared" si="1"/>
        <v/>
      </c>
      <c r="T449" s="39" t="str">
        <f t="shared" si="2"/>
        <v/>
      </c>
      <c r="U449" s="40" t="str">
        <f t="shared" si="3"/>
        <v/>
      </c>
      <c r="V449" s="34" t="str">
        <f t="shared" si="4"/>
        <v/>
      </c>
      <c r="W449" s="41" t="str">
        <f>IFERROR(__xludf.DUMMYFUNCTION(" IF(Account!$F449&lt;&gt;"""", SPLIT(Account!$F449, "" ""), """")"),"")</f>
        <v/>
      </c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</row>
    <row r="450">
      <c r="A450" s="20"/>
      <c r="B450" s="20"/>
      <c r="C450" s="20"/>
      <c r="D450" s="20"/>
      <c r="E450" s="20"/>
      <c r="F450" s="21"/>
      <c r="G450" s="20"/>
      <c r="H450" s="20"/>
      <c r="I450" s="20"/>
      <c r="J450" s="20"/>
      <c r="K450" s="20"/>
      <c r="L450" s="21"/>
      <c r="M450" s="33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4" t="str">
        <f>IFERROR(__xludf.DUMMYFUNCTION("IF(Account!$F450&lt;&gt;"""", VALUE(REGEXREPLACE($I450, ""\,"", ""."")), """")"),"")</f>
        <v/>
      </c>
      <c r="O450" s="35" t="str">
        <f>IF(Account!$F450&lt;&gt;"", DATEVALUE(MID($A450,4,3) &amp; LEFT($A450,3) &amp; RIGHT($A450,4)) + TIMEVALUE($B450), "")</f>
        <v/>
      </c>
      <c r="P450" s="36" t="str">
        <f>IF(Account!$F450&lt;&gt;"", DATEVALUE(MID($C450,4,3) &amp; LEFT($C450,3) &amp; RIGHT($C450,4)), "")</f>
        <v/>
      </c>
      <c r="Q450" s="37" t="str">
        <f t="array" ref="Q450">IF($R450&lt;&gt;"",IFERROR(INDEX(ISIN!$B:$B,MATCH($R450,ISIN!$C:$C,0))),)</f>
        <v/>
      </c>
      <c r="R450" s="38" t="str">
        <f t="array" ref="R450">IF($E450&lt;&gt;""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7" t="str">
        <f t="shared" si="1"/>
        <v/>
      </c>
      <c r="T450" s="39" t="str">
        <f t="shared" si="2"/>
        <v/>
      </c>
      <c r="U450" s="40" t="str">
        <f t="shared" si="3"/>
        <v/>
      </c>
      <c r="V450" s="34" t="str">
        <f t="shared" si="4"/>
        <v/>
      </c>
      <c r="W450" s="41" t="str">
        <f>IFERROR(__xludf.DUMMYFUNCTION(" IF(Account!$F450&lt;&gt;"""", SPLIT(Account!$F450, "" ""), """")"),"")</f>
        <v/>
      </c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</row>
    <row r="451">
      <c r="A451" s="20"/>
      <c r="B451" s="20"/>
      <c r="C451" s="20"/>
      <c r="D451" s="20"/>
      <c r="E451" s="20"/>
      <c r="F451" s="21"/>
      <c r="G451" s="45"/>
      <c r="H451" s="20"/>
      <c r="I451" s="20"/>
      <c r="J451" s="20"/>
      <c r="K451" s="20"/>
      <c r="L451" s="21"/>
      <c r="M451" s="33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4" t="str">
        <f>IFERROR(__xludf.DUMMYFUNCTION("IF(Account!$F451&lt;&gt;"""", VALUE(REGEXREPLACE($I451, ""\,"", ""."")), """")"),"")</f>
        <v/>
      </c>
      <c r="O451" s="35" t="str">
        <f>IF(Account!$F451&lt;&gt;"", DATEVALUE(MID($A451,4,3) &amp; LEFT($A451,3) &amp; RIGHT($A451,4)) + TIMEVALUE($B451), "")</f>
        <v/>
      </c>
      <c r="P451" s="36" t="str">
        <f>IF(Account!$F451&lt;&gt;"", DATEVALUE(MID($C451,4,3) &amp; LEFT($C451,3) &amp; RIGHT($C451,4)), "")</f>
        <v/>
      </c>
      <c r="Q451" s="37" t="str">
        <f t="array" ref="Q451">IF($R451&lt;&gt;"",IFERROR(INDEX(ISIN!$B:$B,MATCH($R451,ISIN!$C:$C,0))),)</f>
        <v/>
      </c>
      <c r="R451" s="38" t="str">
        <f t="array" ref="R451">IF($E451&lt;&gt;""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7" t="str">
        <f t="shared" si="1"/>
        <v/>
      </c>
      <c r="T451" s="39" t="str">
        <f t="shared" si="2"/>
        <v/>
      </c>
      <c r="U451" s="40" t="str">
        <f t="shared" si="3"/>
        <v/>
      </c>
      <c r="V451" s="34" t="str">
        <f t="shared" si="4"/>
        <v/>
      </c>
      <c r="W451" s="41" t="str">
        <f>IFERROR(__xludf.DUMMYFUNCTION(" IF(Account!$F451&lt;&gt;"""", SPLIT(Account!$F451, "" ""), """")"),"")</f>
        <v/>
      </c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</row>
    <row r="452">
      <c r="A452" s="20"/>
      <c r="B452" s="20"/>
      <c r="C452" s="20"/>
      <c r="D452" s="20"/>
      <c r="E452" s="20"/>
      <c r="F452" s="21"/>
      <c r="G452" s="20"/>
      <c r="H452" s="20"/>
      <c r="I452" s="20"/>
      <c r="J452" s="20"/>
      <c r="K452" s="20"/>
      <c r="L452" s="21"/>
      <c r="M452" s="33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4" t="str">
        <f>IFERROR(__xludf.DUMMYFUNCTION("IF(Account!$F452&lt;&gt;"""", VALUE(REGEXREPLACE($I452, ""\,"", ""."")), """")"),"")</f>
        <v/>
      </c>
      <c r="O452" s="35" t="str">
        <f>IF(Account!$F452&lt;&gt;"", DATEVALUE(MID($A452,4,3) &amp; LEFT($A452,3) &amp; RIGHT($A452,4)) + TIMEVALUE($B452), "")</f>
        <v/>
      </c>
      <c r="P452" s="36" t="str">
        <f>IF(Account!$F452&lt;&gt;"", DATEVALUE(MID($C452,4,3) &amp; LEFT($C452,3) &amp; RIGHT($C452,4)), "")</f>
        <v/>
      </c>
      <c r="Q452" s="37" t="str">
        <f t="array" ref="Q452">IF($R452&lt;&gt;"",IFERROR(INDEX(ISIN!$B:$B,MATCH($R452,ISIN!$C:$C,0))),)</f>
        <v/>
      </c>
      <c r="R452" s="38" t="str">
        <f t="array" ref="R452">IF($E452&lt;&gt;""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7" t="str">
        <f t="shared" si="1"/>
        <v/>
      </c>
      <c r="T452" s="39" t="str">
        <f t="shared" si="2"/>
        <v/>
      </c>
      <c r="U452" s="40" t="str">
        <f t="shared" si="3"/>
        <v/>
      </c>
      <c r="V452" s="34" t="str">
        <f t="shared" si="4"/>
        <v/>
      </c>
      <c r="W452" s="41" t="str">
        <f>IFERROR(__xludf.DUMMYFUNCTION(" IF(Account!$F452&lt;&gt;"""", SPLIT(Account!$F452, "" ""), """")"),"")</f>
        <v/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</row>
    <row r="453">
      <c r="A453" s="20"/>
      <c r="B453" s="20"/>
      <c r="C453" s="20"/>
      <c r="D453" s="20"/>
      <c r="E453" s="20"/>
      <c r="F453" s="21"/>
      <c r="G453" s="45"/>
      <c r="H453" s="20"/>
      <c r="I453" s="20"/>
      <c r="J453" s="20"/>
      <c r="K453" s="20"/>
      <c r="L453" s="21"/>
      <c r="M453" s="33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4" t="str">
        <f>IFERROR(__xludf.DUMMYFUNCTION("IF(Account!$F453&lt;&gt;"""", VALUE(REGEXREPLACE($I453, ""\,"", ""."")), """")"),"")</f>
        <v/>
      </c>
      <c r="O453" s="35" t="str">
        <f>IF(Account!$F453&lt;&gt;"", DATEVALUE(MID($A453,4,3) &amp; LEFT($A453,3) &amp; RIGHT($A453,4)) + TIMEVALUE($B453), "")</f>
        <v/>
      </c>
      <c r="P453" s="36" t="str">
        <f>IF(Account!$F453&lt;&gt;"", DATEVALUE(MID($C453,4,3) &amp; LEFT($C453,3) &amp; RIGHT($C453,4)), "")</f>
        <v/>
      </c>
      <c r="Q453" s="37" t="str">
        <f t="array" ref="Q453">IF($R453&lt;&gt;"",IFERROR(INDEX(ISIN!$B:$B,MATCH($R453,ISIN!$C:$C,0))),)</f>
        <v/>
      </c>
      <c r="R453" s="38" t="str">
        <f t="array" ref="R453">IF($E453&lt;&gt;""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7" t="str">
        <f t="shared" si="1"/>
        <v/>
      </c>
      <c r="T453" s="39" t="str">
        <f t="shared" si="2"/>
        <v/>
      </c>
      <c r="U453" s="40" t="str">
        <f t="shared" si="3"/>
        <v/>
      </c>
      <c r="V453" s="34" t="str">
        <f t="shared" si="4"/>
        <v/>
      </c>
      <c r="W453" s="41" t="str">
        <f>IFERROR(__xludf.DUMMYFUNCTION(" IF(Account!$F453&lt;&gt;"""", SPLIT(Account!$F453, "" ""), """")"),"")</f>
        <v/>
      </c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</row>
    <row r="454">
      <c r="A454" s="20"/>
      <c r="B454" s="20"/>
      <c r="C454" s="20"/>
      <c r="D454" s="20"/>
      <c r="E454" s="20"/>
      <c r="F454" s="21"/>
      <c r="G454" s="45"/>
      <c r="H454" s="20"/>
      <c r="I454" s="20"/>
      <c r="J454" s="20"/>
      <c r="K454" s="20"/>
      <c r="L454" s="21"/>
      <c r="M454" s="33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4" t="str">
        <f>IFERROR(__xludf.DUMMYFUNCTION("IF(Account!$F454&lt;&gt;"""", VALUE(REGEXREPLACE($I454, ""\,"", ""."")), """")"),"")</f>
        <v/>
      </c>
      <c r="O454" s="35" t="str">
        <f>IF(Account!$F454&lt;&gt;"", DATEVALUE(MID($A454,4,3) &amp; LEFT($A454,3) &amp; RIGHT($A454,4)) + TIMEVALUE($B454), "")</f>
        <v/>
      </c>
      <c r="P454" s="36" t="str">
        <f>IF(Account!$F454&lt;&gt;"", DATEVALUE(MID($C454,4,3) &amp; LEFT($C454,3) &amp; RIGHT($C454,4)), "")</f>
        <v/>
      </c>
      <c r="Q454" s="37" t="str">
        <f t="array" ref="Q454">IF($R454&lt;&gt;"",IFERROR(INDEX(ISIN!$B:$B,MATCH($R454,ISIN!$C:$C,0))),)</f>
        <v/>
      </c>
      <c r="R454" s="38" t="str">
        <f t="array" ref="R454">IF($E454&lt;&gt;""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7" t="str">
        <f t="shared" si="1"/>
        <v/>
      </c>
      <c r="T454" s="39" t="str">
        <f t="shared" si="2"/>
        <v/>
      </c>
      <c r="U454" s="40" t="str">
        <f t="shared" si="3"/>
        <v/>
      </c>
      <c r="V454" s="34" t="str">
        <f t="shared" si="4"/>
        <v/>
      </c>
      <c r="W454" s="41" t="str">
        <f>IFERROR(__xludf.DUMMYFUNCTION(" IF(Account!$F454&lt;&gt;"""", SPLIT(Account!$F454, "" ""), """")"),"")</f>
        <v/>
      </c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</row>
    <row r="455">
      <c r="A455" s="20"/>
      <c r="B455" s="20"/>
      <c r="C455" s="20"/>
      <c r="D455" s="20"/>
      <c r="E455" s="20"/>
      <c r="F455" s="21"/>
      <c r="G455" s="45"/>
      <c r="H455" s="20"/>
      <c r="I455" s="20"/>
      <c r="J455" s="20"/>
      <c r="K455" s="20"/>
      <c r="L455" s="21"/>
      <c r="M455" s="33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4" t="str">
        <f>IFERROR(__xludf.DUMMYFUNCTION("IF(Account!$F455&lt;&gt;"""", VALUE(REGEXREPLACE($I455, ""\,"", ""."")), """")"),"")</f>
        <v/>
      </c>
      <c r="O455" s="35" t="str">
        <f>IF(Account!$F455&lt;&gt;"", DATEVALUE(MID($A455,4,3) &amp; LEFT($A455,3) &amp; RIGHT($A455,4)) + TIMEVALUE($B455), "")</f>
        <v/>
      </c>
      <c r="P455" s="36" t="str">
        <f>IF(Account!$F455&lt;&gt;"", DATEVALUE(MID($C455,4,3) &amp; LEFT($C455,3) &amp; RIGHT($C455,4)), "")</f>
        <v/>
      </c>
      <c r="Q455" s="37" t="str">
        <f t="array" ref="Q455">IF($R455&lt;&gt;"",IFERROR(INDEX(ISIN!$B:$B,MATCH($R455,ISIN!$C:$C,0))),)</f>
        <v/>
      </c>
      <c r="R455" s="38" t="str">
        <f t="array" ref="R455">IF($E455&lt;&gt;""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7" t="str">
        <f t="shared" si="1"/>
        <v/>
      </c>
      <c r="T455" s="39" t="str">
        <f t="shared" si="2"/>
        <v/>
      </c>
      <c r="U455" s="40" t="str">
        <f t="shared" si="3"/>
        <v/>
      </c>
      <c r="V455" s="34" t="str">
        <f t="shared" si="4"/>
        <v/>
      </c>
      <c r="W455" s="41" t="str">
        <f>IFERROR(__xludf.DUMMYFUNCTION(" IF(Account!$F455&lt;&gt;"""", SPLIT(Account!$F455, "" ""), """")"),"")</f>
        <v/>
      </c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</row>
    <row r="456">
      <c r="A456" s="20"/>
      <c r="B456" s="20"/>
      <c r="C456" s="20"/>
      <c r="D456" s="20"/>
      <c r="E456" s="20"/>
      <c r="F456" s="21"/>
      <c r="G456" s="20"/>
      <c r="H456" s="20"/>
      <c r="I456" s="20"/>
      <c r="J456" s="20"/>
      <c r="K456" s="20"/>
      <c r="L456" s="21"/>
      <c r="M456" s="33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4" t="str">
        <f>IFERROR(__xludf.DUMMYFUNCTION("IF(Account!$F456&lt;&gt;"""", VALUE(REGEXREPLACE($I456, ""\,"", ""."")), """")"),"")</f>
        <v/>
      </c>
      <c r="O456" s="35" t="str">
        <f>IF(Account!$F456&lt;&gt;"", DATEVALUE(MID($A456,4,3) &amp; LEFT($A456,3) &amp; RIGHT($A456,4)) + TIMEVALUE($B456), "")</f>
        <v/>
      </c>
      <c r="P456" s="36" t="str">
        <f>IF(Account!$F456&lt;&gt;"", DATEVALUE(MID($C456,4,3) &amp; LEFT($C456,3) &amp; RIGHT($C456,4)), "")</f>
        <v/>
      </c>
      <c r="Q456" s="37" t="str">
        <f t="array" ref="Q456">IF($R456&lt;&gt;"",IFERROR(INDEX(ISIN!$B:$B,MATCH($R456,ISIN!$C:$C,0))),)</f>
        <v/>
      </c>
      <c r="R456" s="38" t="str">
        <f t="array" ref="R456">IF($E456&lt;&gt;""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7" t="str">
        <f t="shared" si="1"/>
        <v/>
      </c>
      <c r="T456" s="39" t="str">
        <f t="shared" si="2"/>
        <v/>
      </c>
      <c r="U456" s="40" t="str">
        <f t="shared" si="3"/>
        <v/>
      </c>
      <c r="V456" s="34" t="str">
        <f t="shared" si="4"/>
        <v/>
      </c>
      <c r="W456" s="41" t="str">
        <f>IFERROR(__xludf.DUMMYFUNCTION(" IF(Account!$F456&lt;&gt;"""", SPLIT(Account!$F456, "" ""), """")"),"")</f>
        <v/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</row>
    <row r="457">
      <c r="A457" s="20"/>
      <c r="B457" s="20"/>
      <c r="C457" s="20"/>
      <c r="D457" s="20"/>
      <c r="E457" s="20"/>
      <c r="F457" s="21"/>
      <c r="G457" s="20"/>
      <c r="H457" s="20"/>
      <c r="I457" s="20"/>
      <c r="J457" s="20"/>
      <c r="K457" s="20"/>
      <c r="L457" s="21"/>
      <c r="M457" s="33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4" t="str">
        <f>IFERROR(__xludf.DUMMYFUNCTION("IF(Account!$F457&lt;&gt;"""", VALUE(REGEXREPLACE($I457, ""\,"", ""."")), """")"),"")</f>
        <v/>
      </c>
      <c r="O457" s="35" t="str">
        <f>IF(Account!$F457&lt;&gt;"", DATEVALUE(MID($A457,4,3) &amp; LEFT($A457,3) &amp; RIGHT($A457,4)) + TIMEVALUE($B457), "")</f>
        <v/>
      </c>
      <c r="P457" s="36" t="str">
        <f>IF(Account!$F457&lt;&gt;"", DATEVALUE(MID($C457,4,3) &amp; LEFT($C457,3) &amp; RIGHT($C457,4)), "")</f>
        <v/>
      </c>
      <c r="Q457" s="37" t="str">
        <f t="array" ref="Q457">IF($R457&lt;&gt;"",IFERROR(INDEX(ISIN!$B:$B,MATCH($R457,ISIN!$C:$C,0))),)</f>
        <v/>
      </c>
      <c r="R457" s="38" t="str">
        <f t="array" ref="R457">IF($E457&lt;&gt;""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7" t="str">
        <f t="shared" si="1"/>
        <v/>
      </c>
      <c r="T457" s="39" t="str">
        <f t="shared" si="2"/>
        <v/>
      </c>
      <c r="U457" s="40" t="str">
        <f t="shared" si="3"/>
        <v/>
      </c>
      <c r="V457" s="34" t="str">
        <f t="shared" si="4"/>
        <v/>
      </c>
      <c r="W457" s="41" t="str">
        <f>IFERROR(__xludf.DUMMYFUNCTION(" IF(Account!$F457&lt;&gt;"""", SPLIT(Account!$F457, "" ""), """")"),"")</f>
        <v/>
      </c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</row>
    <row r="458">
      <c r="A458" s="20"/>
      <c r="B458" s="20"/>
      <c r="C458" s="20"/>
      <c r="D458" s="20"/>
      <c r="E458" s="20"/>
      <c r="F458" s="21"/>
      <c r="G458" s="45"/>
      <c r="H458" s="20"/>
      <c r="I458" s="20"/>
      <c r="J458" s="20"/>
      <c r="K458" s="20"/>
      <c r="L458" s="21"/>
      <c r="M458" s="33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4" t="str">
        <f>IFERROR(__xludf.DUMMYFUNCTION("IF(Account!$F458&lt;&gt;"""", VALUE(REGEXREPLACE($I458, ""\,"", ""."")), """")"),"")</f>
        <v/>
      </c>
      <c r="O458" s="35" t="str">
        <f>IF(Account!$F458&lt;&gt;"", DATEVALUE(MID($A458,4,3) &amp; LEFT($A458,3) &amp; RIGHT($A458,4)) + TIMEVALUE($B458), "")</f>
        <v/>
      </c>
      <c r="P458" s="36" t="str">
        <f>IF(Account!$F458&lt;&gt;"", DATEVALUE(MID($C458,4,3) &amp; LEFT($C458,3) &amp; RIGHT($C458,4)), "")</f>
        <v/>
      </c>
      <c r="Q458" s="37" t="str">
        <f t="array" ref="Q458">IF($R458&lt;&gt;"",IFERROR(INDEX(ISIN!$B:$B,MATCH($R458,ISIN!$C:$C,0))),)</f>
        <v/>
      </c>
      <c r="R458" s="38" t="str">
        <f t="array" ref="R458">IF($E458&lt;&gt;""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7" t="str">
        <f t="shared" si="1"/>
        <v/>
      </c>
      <c r="T458" s="39" t="str">
        <f t="shared" si="2"/>
        <v/>
      </c>
      <c r="U458" s="40" t="str">
        <f t="shared" si="3"/>
        <v/>
      </c>
      <c r="V458" s="34" t="str">
        <f t="shared" si="4"/>
        <v/>
      </c>
      <c r="W458" s="41" t="str">
        <f>IFERROR(__xludf.DUMMYFUNCTION(" IF(Account!$F458&lt;&gt;"""", SPLIT(Account!$F458, "" ""), """")"),"")</f>
        <v/>
      </c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</row>
    <row r="459">
      <c r="A459" s="20"/>
      <c r="B459" s="20"/>
      <c r="C459" s="20"/>
      <c r="D459" s="20"/>
      <c r="E459" s="20"/>
      <c r="F459" s="21"/>
      <c r="G459" s="20"/>
      <c r="H459" s="20"/>
      <c r="I459" s="20"/>
      <c r="J459" s="20"/>
      <c r="K459" s="20"/>
      <c r="L459" s="21"/>
      <c r="M459" s="33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4" t="str">
        <f>IFERROR(__xludf.DUMMYFUNCTION("IF(Account!$F459&lt;&gt;"""", VALUE(REGEXREPLACE($I459, ""\,"", ""."")), """")"),"")</f>
        <v/>
      </c>
      <c r="O459" s="35" t="str">
        <f>IF(Account!$F459&lt;&gt;"", DATEVALUE(MID($A459,4,3) &amp; LEFT($A459,3) &amp; RIGHT($A459,4)) + TIMEVALUE($B459), "")</f>
        <v/>
      </c>
      <c r="P459" s="36" t="str">
        <f>IF(Account!$F459&lt;&gt;"", DATEVALUE(MID($C459,4,3) &amp; LEFT($C459,3) &amp; RIGHT($C459,4)), "")</f>
        <v/>
      </c>
      <c r="Q459" s="37" t="str">
        <f t="array" ref="Q459">IF($R459&lt;&gt;"",IFERROR(INDEX(ISIN!$B:$B,MATCH($R459,ISIN!$C:$C,0))),)</f>
        <v/>
      </c>
      <c r="R459" s="38" t="str">
        <f t="array" ref="R459">IF($E459&lt;&gt;""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7" t="str">
        <f t="shared" si="1"/>
        <v/>
      </c>
      <c r="T459" s="39" t="str">
        <f t="shared" si="2"/>
        <v/>
      </c>
      <c r="U459" s="40" t="str">
        <f t="shared" si="3"/>
        <v/>
      </c>
      <c r="V459" s="34" t="str">
        <f t="shared" si="4"/>
        <v/>
      </c>
      <c r="W459" s="41" t="str">
        <f>IFERROR(__xludf.DUMMYFUNCTION(" IF(Account!$F459&lt;&gt;"""", SPLIT(Account!$F459, "" ""), """")"),"")</f>
        <v/>
      </c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</row>
    <row r="460">
      <c r="A460" s="20"/>
      <c r="B460" s="20"/>
      <c r="C460" s="20"/>
      <c r="D460" s="20"/>
      <c r="E460" s="20"/>
      <c r="F460" s="21"/>
      <c r="G460" s="45"/>
      <c r="H460" s="20"/>
      <c r="I460" s="20"/>
      <c r="J460" s="20"/>
      <c r="K460" s="20"/>
      <c r="L460" s="21"/>
      <c r="M460" s="33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4" t="str">
        <f>IFERROR(__xludf.DUMMYFUNCTION("IF(Account!$F460&lt;&gt;"""", VALUE(REGEXREPLACE($I460, ""\,"", ""."")), """")"),"")</f>
        <v/>
      </c>
      <c r="O460" s="35" t="str">
        <f>IF(Account!$F460&lt;&gt;"", DATEVALUE(MID($A460,4,3) &amp; LEFT($A460,3) &amp; RIGHT($A460,4)) + TIMEVALUE($B460), "")</f>
        <v/>
      </c>
      <c r="P460" s="36" t="str">
        <f>IF(Account!$F460&lt;&gt;"", DATEVALUE(MID($C460,4,3) &amp; LEFT($C460,3) &amp; RIGHT($C460,4)), "")</f>
        <v/>
      </c>
      <c r="Q460" s="37" t="str">
        <f t="array" ref="Q460">IF($R460&lt;&gt;"",IFERROR(INDEX(ISIN!$B:$B,MATCH($R460,ISIN!$C:$C,0))),)</f>
        <v/>
      </c>
      <c r="R460" s="38" t="str">
        <f t="array" ref="R460">IF($E460&lt;&gt;""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7" t="str">
        <f t="shared" si="1"/>
        <v/>
      </c>
      <c r="T460" s="39" t="str">
        <f t="shared" si="2"/>
        <v/>
      </c>
      <c r="U460" s="40" t="str">
        <f t="shared" si="3"/>
        <v/>
      </c>
      <c r="V460" s="34" t="str">
        <f t="shared" si="4"/>
        <v/>
      </c>
      <c r="W460" s="41" t="str">
        <f>IFERROR(__xludf.DUMMYFUNCTION(" IF(Account!$F460&lt;&gt;"""", SPLIT(Account!$F460, "" ""), """")"),"")</f>
        <v/>
      </c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</row>
    <row r="461">
      <c r="A461" s="20"/>
      <c r="B461" s="20"/>
      <c r="C461" s="20"/>
      <c r="D461" s="20"/>
      <c r="E461" s="20"/>
      <c r="F461" s="21"/>
      <c r="G461" s="45"/>
      <c r="H461" s="20"/>
      <c r="I461" s="20"/>
      <c r="J461" s="20"/>
      <c r="K461" s="20"/>
      <c r="L461" s="21"/>
      <c r="M461" s="33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4" t="str">
        <f>IFERROR(__xludf.DUMMYFUNCTION("IF(Account!$F461&lt;&gt;"""", VALUE(REGEXREPLACE($I461, ""\,"", ""."")), """")"),"")</f>
        <v/>
      </c>
      <c r="O461" s="35" t="str">
        <f>IF(Account!$F461&lt;&gt;"", DATEVALUE(MID($A461,4,3) &amp; LEFT($A461,3) &amp; RIGHT($A461,4)) + TIMEVALUE($B461), "")</f>
        <v/>
      </c>
      <c r="P461" s="36" t="str">
        <f>IF(Account!$F461&lt;&gt;"", DATEVALUE(MID($C461,4,3) &amp; LEFT($C461,3) &amp; RIGHT($C461,4)), "")</f>
        <v/>
      </c>
      <c r="Q461" s="37" t="str">
        <f t="array" ref="Q461">IF($R461&lt;&gt;"",IFERROR(INDEX(ISIN!$B:$B,MATCH($R461,ISIN!$C:$C,0))),)</f>
        <v/>
      </c>
      <c r="R461" s="38" t="str">
        <f t="array" ref="R461">IF($E461&lt;&gt;""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7" t="str">
        <f t="shared" si="1"/>
        <v/>
      </c>
      <c r="T461" s="39" t="str">
        <f t="shared" si="2"/>
        <v/>
      </c>
      <c r="U461" s="40" t="str">
        <f t="shared" si="3"/>
        <v/>
      </c>
      <c r="V461" s="34" t="str">
        <f t="shared" si="4"/>
        <v/>
      </c>
      <c r="W461" s="41" t="str">
        <f>IFERROR(__xludf.DUMMYFUNCTION(" IF(Account!$F461&lt;&gt;"""", SPLIT(Account!$F461, "" ""), """")"),"")</f>
        <v/>
      </c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</row>
    <row r="462">
      <c r="A462" s="20"/>
      <c r="B462" s="20"/>
      <c r="C462" s="20"/>
      <c r="D462" s="20"/>
      <c r="E462" s="20"/>
      <c r="F462" s="21"/>
      <c r="G462" s="45"/>
      <c r="H462" s="20"/>
      <c r="I462" s="20"/>
      <c r="J462" s="20"/>
      <c r="K462" s="20"/>
      <c r="L462" s="21"/>
      <c r="M462" s="33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4" t="str">
        <f>IFERROR(__xludf.DUMMYFUNCTION("IF(Account!$F462&lt;&gt;"""", VALUE(REGEXREPLACE($I462, ""\,"", ""."")), """")"),"")</f>
        <v/>
      </c>
      <c r="O462" s="35" t="str">
        <f>IF(Account!$F462&lt;&gt;"", DATEVALUE(MID($A462,4,3) &amp; LEFT($A462,3) &amp; RIGHT($A462,4)) + TIMEVALUE($B462), "")</f>
        <v/>
      </c>
      <c r="P462" s="36" t="str">
        <f>IF(Account!$F462&lt;&gt;"", DATEVALUE(MID($C462,4,3) &amp; LEFT($C462,3) &amp; RIGHT($C462,4)), "")</f>
        <v/>
      </c>
      <c r="Q462" s="37" t="str">
        <f t="array" ref="Q462">IF($R462&lt;&gt;"",IFERROR(INDEX(ISIN!$B:$B,MATCH($R462,ISIN!$C:$C,0))),)</f>
        <v/>
      </c>
      <c r="R462" s="38" t="str">
        <f t="array" ref="R462">IF($E462&lt;&gt;""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7" t="str">
        <f t="shared" si="1"/>
        <v/>
      </c>
      <c r="T462" s="39" t="str">
        <f t="shared" si="2"/>
        <v/>
      </c>
      <c r="U462" s="40" t="str">
        <f t="shared" si="3"/>
        <v/>
      </c>
      <c r="V462" s="34" t="str">
        <f t="shared" si="4"/>
        <v/>
      </c>
      <c r="W462" s="41" t="str">
        <f>IFERROR(__xludf.DUMMYFUNCTION(" IF(Account!$F462&lt;&gt;"""", SPLIT(Account!$F462, "" ""), """")"),"")</f>
        <v/>
      </c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</row>
    <row r="463">
      <c r="A463" s="20"/>
      <c r="B463" s="20"/>
      <c r="C463" s="20"/>
      <c r="D463" s="20"/>
      <c r="E463" s="20"/>
      <c r="F463" s="21"/>
      <c r="G463" s="20"/>
      <c r="H463" s="20"/>
      <c r="I463" s="20"/>
      <c r="J463" s="20"/>
      <c r="K463" s="20"/>
      <c r="L463" s="21"/>
      <c r="M463" s="33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4" t="str">
        <f>IFERROR(__xludf.DUMMYFUNCTION("IF(Account!$F463&lt;&gt;"""", VALUE(REGEXREPLACE($I463, ""\,"", ""."")), """")"),"")</f>
        <v/>
      </c>
      <c r="O463" s="35" t="str">
        <f>IF(Account!$F463&lt;&gt;"", DATEVALUE(MID($A463,4,3) &amp; LEFT($A463,3) &amp; RIGHT($A463,4)) + TIMEVALUE($B463), "")</f>
        <v/>
      </c>
      <c r="P463" s="36" t="str">
        <f>IF(Account!$F463&lt;&gt;"", DATEVALUE(MID($C463,4,3) &amp; LEFT($C463,3) &amp; RIGHT($C463,4)), "")</f>
        <v/>
      </c>
      <c r="Q463" s="37" t="str">
        <f t="array" ref="Q463">IF($R463&lt;&gt;"",IFERROR(INDEX(ISIN!$B:$B,MATCH($R463,ISIN!$C:$C,0))),)</f>
        <v/>
      </c>
      <c r="R463" s="38" t="str">
        <f t="array" ref="R463">IF($E463&lt;&gt;""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7" t="str">
        <f t="shared" si="1"/>
        <v/>
      </c>
      <c r="T463" s="39" t="str">
        <f t="shared" si="2"/>
        <v/>
      </c>
      <c r="U463" s="40" t="str">
        <f t="shared" si="3"/>
        <v/>
      </c>
      <c r="V463" s="34" t="str">
        <f t="shared" si="4"/>
        <v/>
      </c>
      <c r="W463" s="41" t="str">
        <f>IFERROR(__xludf.DUMMYFUNCTION(" IF(Account!$F463&lt;&gt;"""", SPLIT(Account!$F463, "" ""), """")"),"")</f>
        <v/>
      </c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</row>
    <row r="464">
      <c r="A464" s="20"/>
      <c r="B464" s="20"/>
      <c r="C464" s="20"/>
      <c r="D464" s="20"/>
      <c r="E464" s="20"/>
      <c r="F464" s="21"/>
      <c r="G464" s="45"/>
      <c r="H464" s="20"/>
      <c r="I464" s="20"/>
      <c r="J464" s="20"/>
      <c r="K464" s="20"/>
      <c r="L464" s="21"/>
      <c r="M464" s="33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4" t="str">
        <f>IFERROR(__xludf.DUMMYFUNCTION("IF(Account!$F464&lt;&gt;"""", VALUE(REGEXREPLACE($I464, ""\,"", ""."")), """")"),"")</f>
        <v/>
      </c>
      <c r="O464" s="35" t="str">
        <f>IF(Account!$F464&lt;&gt;"", DATEVALUE(MID($A464,4,3) &amp; LEFT($A464,3) &amp; RIGHT($A464,4)) + TIMEVALUE($B464), "")</f>
        <v/>
      </c>
      <c r="P464" s="36" t="str">
        <f>IF(Account!$F464&lt;&gt;"", DATEVALUE(MID($C464,4,3) &amp; LEFT($C464,3) &amp; RIGHT($C464,4)), "")</f>
        <v/>
      </c>
      <c r="Q464" s="37" t="str">
        <f t="array" ref="Q464">IF($R464&lt;&gt;"",IFERROR(INDEX(ISIN!$B:$B,MATCH($R464,ISIN!$C:$C,0))),)</f>
        <v/>
      </c>
      <c r="R464" s="38" t="str">
        <f t="array" ref="R464">IF($E464&lt;&gt;""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7" t="str">
        <f t="shared" si="1"/>
        <v/>
      </c>
      <c r="T464" s="39" t="str">
        <f t="shared" si="2"/>
        <v/>
      </c>
      <c r="U464" s="40" t="str">
        <f t="shared" si="3"/>
        <v/>
      </c>
      <c r="V464" s="34" t="str">
        <f t="shared" si="4"/>
        <v/>
      </c>
      <c r="W464" s="41" t="str">
        <f>IFERROR(__xludf.DUMMYFUNCTION(" IF(Account!$F464&lt;&gt;"""", SPLIT(Account!$F464, "" ""), """")"),"")</f>
        <v/>
      </c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</row>
    <row r="465">
      <c r="A465" s="20"/>
      <c r="B465" s="20"/>
      <c r="C465" s="20"/>
      <c r="D465" s="20"/>
      <c r="E465" s="20"/>
      <c r="F465" s="21"/>
      <c r="G465" s="20"/>
      <c r="H465" s="20"/>
      <c r="I465" s="20"/>
      <c r="J465" s="20"/>
      <c r="K465" s="20"/>
      <c r="L465" s="21"/>
      <c r="M465" s="33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4" t="str">
        <f>IFERROR(__xludf.DUMMYFUNCTION("IF(Account!$F465&lt;&gt;"""", VALUE(REGEXREPLACE($I465, ""\,"", ""."")), """")"),"")</f>
        <v/>
      </c>
      <c r="O465" s="35" t="str">
        <f>IF(Account!$F465&lt;&gt;"", DATEVALUE(MID($A465,4,3) &amp; LEFT($A465,3) &amp; RIGHT($A465,4)) + TIMEVALUE($B465), "")</f>
        <v/>
      </c>
      <c r="P465" s="36" t="str">
        <f>IF(Account!$F465&lt;&gt;"", DATEVALUE(MID($C465,4,3) &amp; LEFT($C465,3) &amp; RIGHT($C465,4)), "")</f>
        <v/>
      </c>
      <c r="Q465" s="37" t="str">
        <f t="array" ref="Q465">IF($R465&lt;&gt;"",IFERROR(INDEX(ISIN!$B:$B,MATCH($R465,ISIN!$C:$C,0))),)</f>
        <v/>
      </c>
      <c r="R465" s="38" t="str">
        <f t="array" ref="R465">IF($E465&lt;&gt;""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7" t="str">
        <f t="shared" si="1"/>
        <v/>
      </c>
      <c r="T465" s="39" t="str">
        <f t="shared" si="2"/>
        <v/>
      </c>
      <c r="U465" s="40" t="str">
        <f t="shared" si="3"/>
        <v/>
      </c>
      <c r="V465" s="34" t="str">
        <f t="shared" si="4"/>
        <v/>
      </c>
      <c r="W465" s="41" t="str">
        <f>IFERROR(__xludf.DUMMYFUNCTION(" IF(Account!$F465&lt;&gt;"""", SPLIT(Account!$F465, "" ""), """")"),"")</f>
        <v/>
      </c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</row>
    <row r="466">
      <c r="A466" s="20"/>
      <c r="B466" s="20"/>
      <c r="C466" s="20"/>
      <c r="D466" s="20"/>
      <c r="E466" s="20"/>
      <c r="F466" s="21"/>
      <c r="G466" s="45"/>
      <c r="H466" s="20"/>
      <c r="I466" s="20"/>
      <c r="J466" s="20"/>
      <c r="K466" s="20"/>
      <c r="L466" s="21"/>
      <c r="M466" s="33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4" t="str">
        <f>IFERROR(__xludf.DUMMYFUNCTION("IF(Account!$F466&lt;&gt;"""", VALUE(REGEXREPLACE($I466, ""\,"", ""."")), """")"),"")</f>
        <v/>
      </c>
      <c r="O466" s="35" t="str">
        <f>IF(Account!$F466&lt;&gt;"", DATEVALUE(MID($A466,4,3) &amp; LEFT($A466,3) &amp; RIGHT($A466,4)) + TIMEVALUE($B466), "")</f>
        <v/>
      </c>
      <c r="P466" s="36" t="str">
        <f>IF(Account!$F466&lt;&gt;"", DATEVALUE(MID($C466,4,3) &amp; LEFT($C466,3) &amp; RIGHT($C466,4)), "")</f>
        <v/>
      </c>
      <c r="Q466" s="37" t="str">
        <f t="array" ref="Q466">IF($R466&lt;&gt;"",IFERROR(INDEX(ISIN!$B:$B,MATCH($R466,ISIN!$C:$C,0))),)</f>
        <v/>
      </c>
      <c r="R466" s="38" t="str">
        <f t="array" ref="R466">IF($E466&lt;&gt;""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7" t="str">
        <f t="shared" si="1"/>
        <v/>
      </c>
      <c r="T466" s="39" t="str">
        <f t="shared" si="2"/>
        <v/>
      </c>
      <c r="U466" s="40" t="str">
        <f t="shared" si="3"/>
        <v/>
      </c>
      <c r="V466" s="34" t="str">
        <f t="shared" si="4"/>
        <v/>
      </c>
      <c r="W466" s="41" t="str">
        <f>IFERROR(__xludf.DUMMYFUNCTION(" IF(Account!$F466&lt;&gt;"""", SPLIT(Account!$F466, "" ""), """")"),"")</f>
        <v/>
      </c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</row>
    <row r="467">
      <c r="A467" s="20"/>
      <c r="B467" s="20"/>
      <c r="C467" s="20"/>
      <c r="D467" s="20"/>
      <c r="E467" s="20"/>
      <c r="F467" s="21"/>
      <c r="G467" s="20"/>
      <c r="H467" s="20"/>
      <c r="I467" s="20"/>
      <c r="J467" s="20"/>
      <c r="K467" s="20"/>
      <c r="L467" s="21"/>
      <c r="M467" s="33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4" t="str">
        <f>IFERROR(__xludf.DUMMYFUNCTION("IF(Account!$F467&lt;&gt;"""", VALUE(REGEXREPLACE($I467, ""\,"", ""."")), """")"),"")</f>
        <v/>
      </c>
      <c r="O467" s="35" t="str">
        <f>IF(Account!$F467&lt;&gt;"", DATEVALUE(MID($A467,4,3) &amp; LEFT($A467,3) &amp; RIGHT($A467,4)) + TIMEVALUE($B467), "")</f>
        <v/>
      </c>
      <c r="P467" s="36" t="str">
        <f>IF(Account!$F467&lt;&gt;"", DATEVALUE(MID($C467,4,3) &amp; LEFT($C467,3) &amp; RIGHT($C467,4)), "")</f>
        <v/>
      </c>
      <c r="Q467" s="37" t="str">
        <f t="array" ref="Q467">IF($R467&lt;&gt;"",IFERROR(INDEX(ISIN!$B:$B,MATCH($R467,ISIN!$C:$C,0))),)</f>
        <v/>
      </c>
      <c r="R467" s="38" t="str">
        <f t="array" ref="R467">IF($E467&lt;&gt;""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7" t="str">
        <f t="shared" si="1"/>
        <v/>
      </c>
      <c r="T467" s="39" t="str">
        <f t="shared" si="2"/>
        <v/>
      </c>
      <c r="U467" s="40" t="str">
        <f t="shared" si="3"/>
        <v/>
      </c>
      <c r="V467" s="34" t="str">
        <f t="shared" si="4"/>
        <v/>
      </c>
      <c r="W467" s="41" t="str">
        <f>IFERROR(__xludf.DUMMYFUNCTION(" IF(Account!$F467&lt;&gt;"""", SPLIT(Account!$F467, "" ""), """")"),"")</f>
        <v/>
      </c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</row>
    <row r="468">
      <c r="A468" s="20"/>
      <c r="B468" s="20"/>
      <c r="C468" s="20"/>
      <c r="D468" s="20"/>
      <c r="E468" s="20"/>
      <c r="F468" s="21"/>
      <c r="G468" s="45"/>
      <c r="H468" s="20"/>
      <c r="I468" s="20"/>
      <c r="J468" s="20"/>
      <c r="K468" s="20"/>
      <c r="L468" s="21"/>
      <c r="M468" s="33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4" t="str">
        <f>IFERROR(__xludf.DUMMYFUNCTION("IF(Account!$F468&lt;&gt;"""", VALUE(REGEXREPLACE($I468, ""\,"", ""."")), """")"),"")</f>
        <v/>
      </c>
      <c r="O468" s="35" t="str">
        <f>IF(Account!$F468&lt;&gt;"", DATEVALUE(MID($A468,4,3) &amp; LEFT($A468,3) &amp; RIGHT($A468,4)) + TIMEVALUE($B468), "")</f>
        <v/>
      </c>
      <c r="P468" s="36" t="str">
        <f>IF(Account!$F468&lt;&gt;"", DATEVALUE(MID($C468,4,3) &amp; LEFT($C468,3) &amp; RIGHT($C468,4)), "")</f>
        <v/>
      </c>
      <c r="Q468" s="37" t="str">
        <f t="array" ref="Q468">IF($R468&lt;&gt;"",IFERROR(INDEX(ISIN!$B:$B,MATCH($R468,ISIN!$C:$C,0))),)</f>
        <v/>
      </c>
      <c r="R468" s="38" t="str">
        <f t="array" ref="R468">IF($E468&lt;&gt;""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7" t="str">
        <f t="shared" si="1"/>
        <v/>
      </c>
      <c r="T468" s="39" t="str">
        <f t="shared" si="2"/>
        <v/>
      </c>
      <c r="U468" s="40" t="str">
        <f t="shared" si="3"/>
        <v/>
      </c>
      <c r="V468" s="34" t="str">
        <f t="shared" si="4"/>
        <v/>
      </c>
      <c r="W468" s="41" t="str">
        <f>IFERROR(__xludf.DUMMYFUNCTION(" IF(Account!$F468&lt;&gt;"""", SPLIT(Account!$F468, "" ""), """")"),"")</f>
        <v/>
      </c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</row>
    <row r="469">
      <c r="A469" s="20"/>
      <c r="B469" s="20"/>
      <c r="C469" s="20"/>
      <c r="D469" s="20"/>
      <c r="E469" s="20"/>
      <c r="F469" s="21"/>
      <c r="G469" s="45"/>
      <c r="H469" s="20"/>
      <c r="I469" s="20"/>
      <c r="J469" s="20"/>
      <c r="K469" s="20"/>
      <c r="L469" s="21"/>
      <c r="M469" s="33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4" t="str">
        <f>IFERROR(__xludf.DUMMYFUNCTION("IF(Account!$F469&lt;&gt;"""", VALUE(REGEXREPLACE($I469, ""\,"", ""."")), """")"),"")</f>
        <v/>
      </c>
      <c r="O469" s="35" t="str">
        <f>IF(Account!$F469&lt;&gt;"", DATEVALUE(MID($A469,4,3) &amp; LEFT($A469,3) &amp; RIGHT($A469,4)) + TIMEVALUE($B469), "")</f>
        <v/>
      </c>
      <c r="P469" s="36" t="str">
        <f>IF(Account!$F469&lt;&gt;"", DATEVALUE(MID($C469,4,3) &amp; LEFT($C469,3) &amp; RIGHT($C469,4)), "")</f>
        <v/>
      </c>
      <c r="Q469" s="37" t="str">
        <f t="array" ref="Q469">IF($R469&lt;&gt;"",IFERROR(INDEX(ISIN!$B:$B,MATCH($R469,ISIN!$C:$C,0))),)</f>
        <v/>
      </c>
      <c r="R469" s="38" t="str">
        <f t="array" ref="R469">IF($E469&lt;&gt;""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7" t="str">
        <f t="shared" si="1"/>
        <v/>
      </c>
      <c r="T469" s="39" t="str">
        <f t="shared" si="2"/>
        <v/>
      </c>
      <c r="U469" s="40" t="str">
        <f t="shared" si="3"/>
        <v/>
      </c>
      <c r="V469" s="34" t="str">
        <f t="shared" si="4"/>
        <v/>
      </c>
      <c r="W469" s="41" t="str">
        <f>IFERROR(__xludf.DUMMYFUNCTION(" IF(Account!$F469&lt;&gt;"""", SPLIT(Account!$F469, "" ""), """")"),"")</f>
        <v/>
      </c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</row>
    <row r="470">
      <c r="A470" s="20"/>
      <c r="B470" s="20"/>
      <c r="C470" s="20"/>
      <c r="D470" s="20"/>
      <c r="E470" s="20"/>
      <c r="F470" s="21"/>
      <c r="G470" s="45"/>
      <c r="H470" s="20"/>
      <c r="I470" s="20"/>
      <c r="J470" s="20"/>
      <c r="K470" s="20"/>
      <c r="L470" s="21"/>
      <c r="M470" s="33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4" t="str">
        <f>IFERROR(__xludf.DUMMYFUNCTION("IF(Account!$F470&lt;&gt;"""", VALUE(REGEXREPLACE($I470, ""\,"", ""."")), """")"),"")</f>
        <v/>
      </c>
      <c r="O470" s="35" t="str">
        <f>IF(Account!$F470&lt;&gt;"", DATEVALUE(MID($A470,4,3) &amp; LEFT($A470,3) &amp; RIGHT($A470,4)) + TIMEVALUE($B470), "")</f>
        <v/>
      </c>
      <c r="P470" s="36" t="str">
        <f>IF(Account!$F470&lt;&gt;"", DATEVALUE(MID($C470,4,3) &amp; LEFT($C470,3) &amp; RIGHT($C470,4)), "")</f>
        <v/>
      </c>
      <c r="Q470" s="37" t="str">
        <f t="array" ref="Q470">IF($R470&lt;&gt;"",IFERROR(INDEX(ISIN!$B:$B,MATCH($R470,ISIN!$C:$C,0))),)</f>
        <v/>
      </c>
      <c r="R470" s="38" t="str">
        <f t="array" ref="R470">IF($E470&lt;&gt;""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7" t="str">
        <f t="shared" si="1"/>
        <v/>
      </c>
      <c r="T470" s="39" t="str">
        <f t="shared" si="2"/>
        <v/>
      </c>
      <c r="U470" s="40" t="str">
        <f t="shared" si="3"/>
        <v/>
      </c>
      <c r="V470" s="34" t="str">
        <f t="shared" si="4"/>
        <v/>
      </c>
      <c r="W470" s="41" t="str">
        <f>IFERROR(__xludf.DUMMYFUNCTION(" IF(Account!$F470&lt;&gt;"""", SPLIT(Account!$F470, "" ""), """")"),"")</f>
        <v/>
      </c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</row>
    <row r="471">
      <c r="A471" s="20"/>
      <c r="B471" s="20"/>
      <c r="C471" s="20"/>
      <c r="D471" s="20"/>
      <c r="E471" s="20"/>
      <c r="F471" s="21"/>
      <c r="G471" s="45"/>
      <c r="H471" s="20"/>
      <c r="I471" s="20"/>
      <c r="J471" s="20"/>
      <c r="K471" s="20"/>
      <c r="L471" s="21"/>
      <c r="M471" s="33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4" t="str">
        <f>IFERROR(__xludf.DUMMYFUNCTION("IF(Account!$F471&lt;&gt;"""", VALUE(REGEXREPLACE($I471, ""\,"", ""."")), """")"),"")</f>
        <v/>
      </c>
      <c r="O471" s="35" t="str">
        <f>IF(Account!$F471&lt;&gt;"", DATEVALUE(MID($A471,4,3) &amp; LEFT($A471,3) &amp; RIGHT($A471,4)) + TIMEVALUE($B471), "")</f>
        <v/>
      </c>
      <c r="P471" s="36" t="str">
        <f>IF(Account!$F471&lt;&gt;"", DATEVALUE(MID($C471,4,3) &amp; LEFT($C471,3) &amp; RIGHT($C471,4)), "")</f>
        <v/>
      </c>
      <c r="Q471" s="37" t="str">
        <f t="array" ref="Q471">IF($R471&lt;&gt;"",IFERROR(INDEX(ISIN!$B:$B,MATCH($R471,ISIN!$C:$C,0))),)</f>
        <v/>
      </c>
      <c r="R471" s="38" t="str">
        <f t="array" ref="R471">IF($E471&lt;&gt;""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7" t="str">
        <f t="shared" si="1"/>
        <v/>
      </c>
      <c r="T471" s="39" t="str">
        <f t="shared" si="2"/>
        <v/>
      </c>
      <c r="U471" s="40" t="str">
        <f t="shared" si="3"/>
        <v/>
      </c>
      <c r="V471" s="34" t="str">
        <f t="shared" si="4"/>
        <v/>
      </c>
      <c r="W471" s="41" t="str">
        <f>IFERROR(__xludf.DUMMYFUNCTION(" IF(Account!$F471&lt;&gt;"""", SPLIT(Account!$F471, "" ""), """")"),"")</f>
        <v/>
      </c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</row>
    <row r="472">
      <c r="A472" s="20"/>
      <c r="B472" s="20"/>
      <c r="C472" s="20"/>
      <c r="D472" s="20"/>
      <c r="E472" s="20"/>
      <c r="F472" s="21"/>
      <c r="G472" s="20"/>
      <c r="H472" s="20"/>
      <c r="I472" s="20"/>
      <c r="J472" s="20"/>
      <c r="K472" s="20"/>
      <c r="L472" s="21"/>
      <c r="M472" s="33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4" t="str">
        <f>IFERROR(__xludf.DUMMYFUNCTION("IF(Account!$F472&lt;&gt;"""", VALUE(REGEXREPLACE($I472, ""\,"", ""."")), """")"),"")</f>
        <v/>
      </c>
      <c r="O472" s="35" t="str">
        <f>IF(Account!$F472&lt;&gt;"", DATEVALUE(MID($A472,4,3) &amp; LEFT($A472,3) &amp; RIGHT($A472,4)) + TIMEVALUE($B472), "")</f>
        <v/>
      </c>
      <c r="P472" s="36" t="str">
        <f>IF(Account!$F472&lt;&gt;"", DATEVALUE(MID($C472,4,3) &amp; LEFT($C472,3) &amp; RIGHT($C472,4)), "")</f>
        <v/>
      </c>
      <c r="Q472" s="37" t="str">
        <f t="array" ref="Q472">IF($R472&lt;&gt;"",IFERROR(INDEX(ISIN!$B:$B,MATCH($R472,ISIN!$C:$C,0))),)</f>
        <v/>
      </c>
      <c r="R472" s="38" t="str">
        <f t="array" ref="R472">IF($E472&lt;&gt;""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7" t="str">
        <f t="shared" si="1"/>
        <v/>
      </c>
      <c r="T472" s="39" t="str">
        <f t="shared" si="2"/>
        <v/>
      </c>
      <c r="U472" s="40" t="str">
        <f t="shared" si="3"/>
        <v/>
      </c>
      <c r="V472" s="34" t="str">
        <f t="shared" si="4"/>
        <v/>
      </c>
      <c r="W472" s="41" t="str">
        <f>IFERROR(__xludf.DUMMYFUNCTION(" IF(Account!$F472&lt;&gt;"""", SPLIT(Account!$F472, "" ""), """")"),"")</f>
        <v/>
      </c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</row>
    <row r="473">
      <c r="A473" s="20"/>
      <c r="B473" s="20"/>
      <c r="C473" s="20"/>
      <c r="D473" s="20"/>
      <c r="E473" s="20"/>
      <c r="F473" s="21"/>
      <c r="G473" s="45"/>
      <c r="H473" s="20"/>
      <c r="I473" s="20"/>
      <c r="J473" s="20"/>
      <c r="K473" s="20"/>
      <c r="L473" s="21"/>
      <c r="M473" s="33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4" t="str">
        <f>IFERROR(__xludf.DUMMYFUNCTION("IF(Account!$F473&lt;&gt;"""", VALUE(REGEXREPLACE($I473, ""\,"", ""."")), """")"),"")</f>
        <v/>
      </c>
      <c r="O473" s="35" t="str">
        <f>IF(Account!$F473&lt;&gt;"", DATEVALUE(MID($A473,4,3) &amp; LEFT($A473,3) &amp; RIGHT($A473,4)) + TIMEVALUE($B473), "")</f>
        <v/>
      </c>
      <c r="P473" s="36" t="str">
        <f>IF(Account!$F473&lt;&gt;"", DATEVALUE(MID($C473,4,3) &amp; LEFT($C473,3) &amp; RIGHT($C473,4)), "")</f>
        <v/>
      </c>
      <c r="Q473" s="37" t="str">
        <f t="array" ref="Q473">IF($R473&lt;&gt;"",IFERROR(INDEX(ISIN!$B:$B,MATCH($R473,ISIN!$C:$C,0))),)</f>
        <v/>
      </c>
      <c r="R473" s="38" t="str">
        <f t="array" ref="R473">IF($E473&lt;&gt;""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7" t="str">
        <f t="shared" si="1"/>
        <v/>
      </c>
      <c r="T473" s="39" t="str">
        <f t="shared" si="2"/>
        <v/>
      </c>
      <c r="U473" s="40" t="str">
        <f t="shared" si="3"/>
        <v/>
      </c>
      <c r="V473" s="34" t="str">
        <f t="shared" si="4"/>
        <v/>
      </c>
      <c r="W473" s="41" t="str">
        <f>IFERROR(__xludf.DUMMYFUNCTION(" IF(Account!$F473&lt;&gt;"""", SPLIT(Account!$F473, "" ""), """")"),"")</f>
        <v/>
      </c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</row>
    <row r="474">
      <c r="A474" s="20"/>
      <c r="B474" s="20"/>
      <c r="C474" s="20"/>
      <c r="D474" s="20"/>
      <c r="E474" s="20"/>
      <c r="F474" s="21"/>
      <c r="G474" s="45"/>
      <c r="H474" s="20"/>
      <c r="I474" s="20"/>
      <c r="J474" s="20"/>
      <c r="K474" s="20"/>
      <c r="L474" s="21"/>
      <c r="M474" s="33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4" t="str">
        <f>IFERROR(__xludf.DUMMYFUNCTION("IF(Account!$F474&lt;&gt;"""", VALUE(REGEXREPLACE($I474, ""\,"", ""."")), """")"),"")</f>
        <v/>
      </c>
      <c r="O474" s="35" t="str">
        <f>IF(Account!$F474&lt;&gt;"", DATEVALUE(MID($A474,4,3) &amp; LEFT($A474,3) &amp; RIGHT($A474,4)) + TIMEVALUE($B474), "")</f>
        <v/>
      </c>
      <c r="P474" s="36" t="str">
        <f>IF(Account!$F474&lt;&gt;"", DATEVALUE(MID($C474,4,3) &amp; LEFT($C474,3) &amp; RIGHT($C474,4)), "")</f>
        <v/>
      </c>
      <c r="Q474" s="37" t="str">
        <f t="array" ref="Q474">IF($R474&lt;&gt;"",IFERROR(INDEX(ISIN!$B:$B,MATCH($R474,ISIN!$C:$C,0))),)</f>
        <v/>
      </c>
      <c r="R474" s="38" t="str">
        <f t="array" ref="R474">IF($E474&lt;&gt;""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7" t="str">
        <f t="shared" si="1"/>
        <v/>
      </c>
      <c r="T474" s="39" t="str">
        <f t="shared" si="2"/>
        <v/>
      </c>
      <c r="U474" s="40" t="str">
        <f t="shared" si="3"/>
        <v/>
      </c>
      <c r="V474" s="34" t="str">
        <f t="shared" si="4"/>
        <v/>
      </c>
      <c r="W474" s="41" t="str">
        <f>IFERROR(__xludf.DUMMYFUNCTION(" IF(Account!$F474&lt;&gt;"""", SPLIT(Account!$F474, "" ""), """")"),"")</f>
        <v/>
      </c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</row>
    <row r="475">
      <c r="A475" s="20"/>
      <c r="B475" s="20"/>
      <c r="C475" s="20"/>
      <c r="D475" s="20"/>
      <c r="E475" s="20"/>
      <c r="F475" s="21"/>
      <c r="G475" s="20"/>
      <c r="H475" s="20"/>
      <c r="I475" s="20"/>
      <c r="J475" s="20"/>
      <c r="K475" s="20"/>
      <c r="L475" s="21"/>
      <c r="M475" s="33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4" t="str">
        <f>IFERROR(__xludf.DUMMYFUNCTION("IF(Account!$F475&lt;&gt;"""", VALUE(REGEXREPLACE($I475, ""\,"", ""."")), """")"),"")</f>
        <v/>
      </c>
      <c r="O475" s="35" t="str">
        <f>IF(Account!$F475&lt;&gt;"", DATEVALUE(MID($A475,4,3) &amp; LEFT($A475,3) &amp; RIGHT($A475,4)) + TIMEVALUE($B475), "")</f>
        <v/>
      </c>
      <c r="P475" s="36" t="str">
        <f>IF(Account!$F475&lt;&gt;"", DATEVALUE(MID($C475,4,3) &amp; LEFT($C475,3) &amp; RIGHT($C475,4)), "")</f>
        <v/>
      </c>
      <c r="Q475" s="37" t="str">
        <f t="array" ref="Q475">IF($R475&lt;&gt;"",IFERROR(INDEX(ISIN!$B:$B,MATCH($R475,ISIN!$C:$C,0))),)</f>
        <v/>
      </c>
      <c r="R475" s="38" t="str">
        <f t="array" ref="R475">IF($E475&lt;&gt;""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7" t="str">
        <f t="shared" si="1"/>
        <v/>
      </c>
      <c r="T475" s="39" t="str">
        <f t="shared" si="2"/>
        <v/>
      </c>
      <c r="U475" s="40" t="str">
        <f t="shared" si="3"/>
        <v/>
      </c>
      <c r="V475" s="34" t="str">
        <f t="shared" si="4"/>
        <v/>
      </c>
      <c r="W475" s="41" t="str">
        <f>IFERROR(__xludf.DUMMYFUNCTION(" IF(Account!$F475&lt;&gt;"""", SPLIT(Account!$F475, "" ""), """")"),"")</f>
        <v/>
      </c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</row>
    <row r="476">
      <c r="A476" s="20"/>
      <c r="B476" s="20"/>
      <c r="C476" s="20"/>
      <c r="D476" s="20"/>
      <c r="E476" s="20"/>
      <c r="F476" s="21"/>
      <c r="G476" s="45"/>
      <c r="H476" s="20"/>
      <c r="I476" s="20"/>
      <c r="J476" s="20"/>
      <c r="K476" s="20"/>
      <c r="L476" s="21"/>
      <c r="M476" s="33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4" t="str">
        <f>IFERROR(__xludf.DUMMYFUNCTION("IF(Account!$F476&lt;&gt;"""", VALUE(REGEXREPLACE($I476, ""\,"", ""."")), """")"),"")</f>
        <v/>
      </c>
      <c r="O476" s="35" t="str">
        <f>IF(Account!$F476&lt;&gt;"", DATEVALUE(MID($A476,4,3) &amp; LEFT($A476,3) &amp; RIGHT($A476,4)) + TIMEVALUE($B476), "")</f>
        <v/>
      </c>
      <c r="P476" s="36" t="str">
        <f>IF(Account!$F476&lt;&gt;"", DATEVALUE(MID($C476,4,3) &amp; LEFT($C476,3) &amp; RIGHT($C476,4)), "")</f>
        <v/>
      </c>
      <c r="Q476" s="37" t="str">
        <f t="array" ref="Q476">IF($R476&lt;&gt;"",IFERROR(INDEX(ISIN!$B:$B,MATCH($R476,ISIN!$C:$C,0))),)</f>
        <v/>
      </c>
      <c r="R476" s="38" t="str">
        <f t="array" ref="R476">IF($E476&lt;&gt;""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7" t="str">
        <f t="shared" si="1"/>
        <v/>
      </c>
      <c r="T476" s="39" t="str">
        <f t="shared" si="2"/>
        <v/>
      </c>
      <c r="U476" s="40" t="str">
        <f t="shared" si="3"/>
        <v/>
      </c>
      <c r="V476" s="34" t="str">
        <f t="shared" si="4"/>
        <v/>
      </c>
      <c r="W476" s="41" t="str">
        <f>IFERROR(__xludf.DUMMYFUNCTION(" IF(Account!$F476&lt;&gt;"""", SPLIT(Account!$F476, "" ""), """")"),"")</f>
        <v/>
      </c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</row>
    <row r="477">
      <c r="A477" s="20"/>
      <c r="B477" s="20"/>
      <c r="C477" s="20"/>
      <c r="D477" s="20"/>
      <c r="E477" s="20"/>
      <c r="F477" s="21"/>
      <c r="G477" s="45"/>
      <c r="H477" s="20"/>
      <c r="I477" s="20"/>
      <c r="J477" s="20"/>
      <c r="K477" s="20"/>
      <c r="L477" s="21"/>
      <c r="M477" s="33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4" t="str">
        <f>IFERROR(__xludf.DUMMYFUNCTION("IF(Account!$F477&lt;&gt;"""", VALUE(REGEXREPLACE($I477, ""\,"", ""."")), """")"),"")</f>
        <v/>
      </c>
      <c r="O477" s="35" t="str">
        <f>IF(Account!$F477&lt;&gt;"", DATEVALUE(MID($A477,4,3) &amp; LEFT($A477,3) &amp; RIGHT($A477,4)) + TIMEVALUE($B477), "")</f>
        <v/>
      </c>
      <c r="P477" s="36" t="str">
        <f>IF(Account!$F477&lt;&gt;"", DATEVALUE(MID($C477,4,3) &amp; LEFT($C477,3) &amp; RIGHT($C477,4)), "")</f>
        <v/>
      </c>
      <c r="Q477" s="37" t="str">
        <f t="array" ref="Q477">IF($R477&lt;&gt;"",IFERROR(INDEX(ISIN!$B:$B,MATCH($R477,ISIN!$C:$C,0))),)</f>
        <v/>
      </c>
      <c r="R477" s="38" t="str">
        <f t="array" ref="R477">IF($E477&lt;&gt;""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7" t="str">
        <f t="shared" si="1"/>
        <v/>
      </c>
      <c r="T477" s="39" t="str">
        <f t="shared" si="2"/>
        <v/>
      </c>
      <c r="U477" s="40" t="str">
        <f t="shared" si="3"/>
        <v/>
      </c>
      <c r="V477" s="34" t="str">
        <f t="shared" si="4"/>
        <v/>
      </c>
      <c r="W477" s="41" t="str">
        <f>IFERROR(__xludf.DUMMYFUNCTION(" IF(Account!$F477&lt;&gt;"""", SPLIT(Account!$F477, "" ""), """")"),"")</f>
        <v/>
      </c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</row>
    <row r="478">
      <c r="A478" s="20"/>
      <c r="B478" s="20"/>
      <c r="C478" s="20"/>
      <c r="D478" s="20"/>
      <c r="E478" s="20"/>
      <c r="F478" s="21"/>
      <c r="G478" s="45"/>
      <c r="H478" s="20"/>
      <c r="I478" s="20"/>
      <c r="J478" s="20"/>
      <c r="K478" s="20"/>
      <c r="L478" s="21"/>
      <c r="M478" s="33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4" t="str">
        <f>IFERROR(__xludf.DUMMYFUNCTION("IF(Account!$F478&lt;&gt;"""", VALUE(REGEXREPLACE($I478, ""\,"", ""."")), """")"),"")</f>
        <v/>
      </c>
      <c r="O478" s="35" t="str">
        <f>IF(Account!$F478&lt;&gt;"", DATEVALUE(MID($A478,4,3) &amp; LEFT($A478,3) &amp; RIGHT($A478,4)) + TIMEVALUE($B478), "")</f>
        <v/>
      </c>
      <c r="P478" s="36" t="str">
        <f>IF(Account!$F478&lt;&gt;"", DATEVALUE(MID($C478,4,3) &amp; LEFT($C478,3) &amp; RIGHT($C478,4)), "")</f>
        <v/>
      </c>
      <c r="Q478" s="37" t="str">
        <f t="array" ref="Q478">IF($R478&lt;&gt;"",IFERROR(INDEX(ISIN!$B:$B,MATCH($R478,ISIN!$C:$C,0))),)</f>
        <v/>
      </c>
      <c r="R478" s="38" t="str">
        <f t="array" ref="R478">IF($E478&lt;&gt;""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7" t="str">
        <f t="shared" si="1"/>
        <v/>
      </c>
      <c r="T478" s="39" t="str">
        <f t="shared" si="2"/>
        <v/>
      </c>
      <c r="U478" s="40" t="str">
        <f t="shared" si="3"/>
        <v/>
      </c>
      <c r="V478" s="34" t="str">
        <f t="shared" si="4"/>
        <v/>
      </c>
      <c r="W478" s="41" t="str">
        <f>IFERROR(__xludf.DUMMYFUNCTION(" IF(Account!$F478&lt;&gt;"""", SPLIT(Account!$F478, "" ""), """")"),"")</f>
        <v/>
      </c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</row>
    <row r="479">
      <c r="A479" s="20"/>
      <c r="B479" s="20"/>
      <c r="C479" s="20"/>
      <c r="D479" s="20"/>
      <c r="E479" s="20"/>
      <c r="F479" s="21"/>
      <c r="G479" s="20"/>
      <c r="H479" s="20"/>
      <c r="I479" s="20"/>
      <c r="J479" s="20"/>
      <c r="K479" s="20"/>
      <c r="L479" s="21"/>
      <c r="M479" s="33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4" t="str">
        <f>IFERROR(__xludf.DUMMYFUNCTION("IF(Account!$F479&lt;&gt;"""", VALUE(REGEXREPLACE($I479, ""\,"", ""."")), """")"),"")</f>
        <v/>
      </c>
      <c r="O479" s="35" t="str">
        <f>IF(Account!$F479&lt;&gt;"", DATEVALUE(MID($A479,4,3) &amp; LEFT($A479,3) &amp; RIGHT($A479,4)) + TIMEVALUE($B479), "")</f>
        <v/>
      </c>
      <c r="P479" s="36" t="str">
        <f>IF(Account!$F479&lt;&gt;"", DATEVALUE(MID($C479,4,3) &amp; LEFT($C479,3) &amp; RIGHT($C479,4)), "")</f>
        <v/>
      </c>
      <c r="Q479" s="37" t="str">
        <f t="array" ref="Q479">IF($R479&lt;&gt;"",IFERROR(INDEX(ISIN!$B:$B,MATCH($R479,ISIN!$C:$C,0))),)</f>
        <v/>
      </c>
      <c r="R479" s="38" t="str">
        <f t="array" ref="R479">IF($E479&lt;&gt;""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7" t="str">
        <f t="shared" si="1"/>
        <v/>
      </c>
      <c r="T479" s="39" t="str">
        <f t="shared" si="2"/>
        <v/>
      </c>
      <c r="U479" s="40" t="str">
        <f t="shared" si="3"/>
        <v/>
      </c>
      <c r="V479" s="34" t="str">
        <f t="shared" si="4"/>
        <v/>
      </c>
      <c r="W479" s="41" t="str">
        <f>IFERROR(__xludf.DUMMYFUNCTION(" IF(Account!$F479&lt;&gt;"""", SPLIT(Account!$F479, "" ""), """")"),"")</f>
        <v/>
      </c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</row>
    <row r="480">
      <c r="A480" s="20"/>
      <c r="B480" s="20"/>
      <c r="C480" s="20"/>
      <c r="D480" s="20"/>
      <c r="E480" s="20"/>
      <c r="F480" s="21"/>
      <c r="G480" s="20"/>
      <c r="H480" s="20"/>
      <c r="I480" s="20"/>
      <c r="J480" s="20"/>
      <c r="K480" s="20"/>
      <c r="L480" s="21"/>
      <c r="M480" s="33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4" t="str">
        <f>IFERROR(__xludf.DUMMYFUNCTION("IF(Account!$F480&lt;&gt;"""", VALUE(REGEXREPLACE($I480, ""\,"", ""."")), """")"),"")</f>
        <v/>
      </c>
      <c r="O480" s="35" t="str">
        <f>IF(Account!$F480&lt;&gt;"", DATEVALUE(MID($A480,4,3) &amp; LEFT($A480,3) &amp; RIGHT($A480,4)) + TIMEVALUE($B480), "")</f>
        <v/>
      </c>
      <c r="P480" s="36" t="str">
        <f>IF(Account!$F480&lt;&gt;"", DATEVALUE(MID($C480,4,3) &amp; LEFT($C480,3) &amp; RIGHT($C480,4)), "")</f>
        <v/>
      </c>
      <c r="Q480" s="37" t="str">
        <f t="array" ref="Q480">IF($R480&lt;&gt;"",IFERROR(INDEX(ISIN!$B:$B,MATCH($R480,ISIN!$C:$C,0))),)</f>
        <v/>
      </c>
      <c r="R480" s="38" t="str">
        <f t="array" ref="R480">IF($E480&lt;&gt;""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7" t="str">
        <f t="shared" si="1"/>
        <v/>
      </c>
      <c r="T480" s="39" t="str">
        <f t="shared" si="2"/>
        <v/>
      </c>
      <c r="U480" s="40" t="str">
        <f t="shared" si="3"/>
        <v/>
      </c>
      <c r="V480" s="34" t="str">
        <f t="shared" si="4"/>
        <v/>
      </c>
      <c r="W480" s="41" t="str">
        <f>IFERROR(__xludf.DUMMYFUNCTION(" IF(Account!$F480&lt;&gt;"""", SPLIT(Account!$F480, "" ""), """")"),"")</f>
        <v/>
      </c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</row>
    <row r="481">
      <c r="A481" s="20"/>
      <c r="B481" s="20"/>
      <c r="C481" s="20"/>
      <c r="D481" s="20"/>
      <c r="E481" s="20"/>
      <c r="F481" s="21"/>
      <c r="G481" s="45"/>
      <c r="H481" s="20"/>
      <c r="I481" s="20"/>
      <c r="J481" s="20"/>
      <c r="K481" s="20"/>
      <c r="L481" s="21"/>
      <c r="M481" s="33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4" t="str">
        <f>IFERROR(__xludf.DUMMYFUNCTION("IF(Account!$F481&lt;&gt;"""", VALUE(REGEXREPLACE($I481, ""\,"", ""."")), """")"),"")</f>
        <v/>
      </c>
      <c r="O481" s="35" t="str">
        <f>IF(Account!$F481&lt;&gt;"", DATEVALUE(MID($A481,4,3) &amp; LEFT($A481,3) &amp; RIGHT($A481,4)) + TIMEVALUE($B481), "")</f>
        <v/>
      </c>
      <c r="P481" s="36" t="str">
        <f>IF(Account!$F481&lt;&gt;"", DATEVALUE(MID($C481,4,3) &amp; LEFT($C481,3) &amp; RIGHT($C481,4)), "")</f>
        <v/>
      </c>
      <c r="Q481" s="37" t="str">
        <f t="array" ref="Q481">IF($R481&lt;&gt;"",IFERROR(INDEX(ISIN!$B:$B,MATCH($R481,ISIN!$C:$C,0))),)</f>
        <v/>
      </c>
      <c r="R481" s="38" t="str">
        <f t="array" ref="R481">IF($E481&lt;&gt;""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7" t="str">
        <f t="shared" si="1"/>
        <v/>
      </c>
      <c r="T481" s="39" t="str">
        <f t="shared" si="2"/>
        <v/>
      </c>
      <c r="U481" s="40" t="str">
        <f t="shared" si="3"/>
        <v/>
      </c>
      <c r="V481" s="34" t="str">
        <f t="shared" si="4"/>
        <v/>
      </c>
      <c r="W481" s="41" t="str">
        <f>IFERROR(__xludf.DUMMYFUNCTION(" IF(Account!$F481&lt;&gt;"""", SPLIT(Account!$F481, "" ""), """")"),"")</f>
        <v/>
      </c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</row>
    <row r="482">
      <c r="A482" s="20"/>
      <c r="B482" s="20"/>
      <c r="C482" s="20"/>
      <c r="D482" s="20"/>
      <c r="E482" s="20"/>
      <c r="F482" s="21"/>
      <c r="G482" s="45"/>
      <c r="H482" s="20"/>
      <c r="I482" s="20"/>
      <c r="J482" s="20"/>
      <c r="K482" s="20"/>
      <c r="L482" s="21"/>
      <c r="M482" s="33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4" t="str">
        <f>IFERROR(__xludf.DUMMYFUNCTION("IF(Account!$F482&lt;&gt;"""", VALUE(REGEXREPLACE($I482, ""\,"", ""."")), """")"),"")</f>
        <v/>
      </c>
      <c r="O482" s="35" t="str">
        <f>IF(Account!$F482&lt;&gt;"", DATEVALUE(MID($A482,4,3) &amp; LEFT($A482,3) &amp; RIGHT($A482,4)) + TIMEVALUE($B482), "")</f>
        <v/>
      </c>
      <c r="P482" s="36" t="str">
        <f>IF(Account!$F482&lt;&gt;"", DATEVALUE(MID($C482,4,3) &amp; LEFT($C482,3) &amp; RIGHT($C482,4)), "")</f>
        <v/>
      </c>
      <c r="Q482" s="37" t="str">
        <f t="array" ref="Q482">IF($R482&lt;&gt;"",IFERROR(INDEX(ISIN!$B:$B,MATCH($R482,ISIN!$C:$C,0))),)</f>
        <v/>
      </c>
      <c r="R482" s="38" t="str">
        <f t="array" ref="R482">IF($E482&lt;&gt;""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7" t="str">
        <f t="shared" si="1"/>
        <v/>
      </c>
      <c r="T482" s="39" t="str">
        <f t="shared" si="2"/>
        <v/>
      </c>
      <c r="U482" s="40" t="str">
        <f t="shared" si="3"/>
        <v/>
      </c>
      <c r="V482" s="34" t="str">
        <f t="shared" si="4"/>
        <v/>
      </c>
      <c r="W482" s="41" t="str">
        <f>IFERROR(__xludf.DUMMYFUNCTION(" IF(Account!$F482&lt;&gt;"""", SPLIT(Account!$F482, "" ""), """")"),"")</f>
        <v/>
      </c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</row>
    <row r="483">
      <c r="A483" s="20"/>
      <c r="B483" s="20"/>
      <c r="C483" s="20"/>
      <c r="D483" s="20"/>
      <c r="E483" s="20"/>
      <c r="F483" s="21"/>
      <c r="G483" s="45"/>
      <c r="H483" s="20"/>
      <c r="I483" s="20"/>
      <c r="J483" s="20"/>
      <c r="K483" s="20"/>
      <c r="L483" s="21"/>
      <c r="M483" s="33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4" t="str">
        <f>IFERROR(__xludf.DUMMYFUNCTION("IF(Account!$F483&lt;&gt;"""", VALUE(REGEXREPLACE($I483, ""\,"", ""."")), """")"),"")</f>
        <v/>
      </c>
      <c r="O483" s="35" t="str">
        <f>IF(Account!$F483&lt;&gt;"", DATEVALUE(MID($A483,4,3) &amp; LEFT($A483,3) &amp; RIGHT($A483,4)) + TIMEVALUE($B483), "")</f>
        <v/>
      </c>
      <c r="P483" s="36" t="str">
        <f>IF(Account!$F483&lt;&gt;"", DATEVALUE(MID($C483,4,3) &amp; LEFT($C483,3) &amp; RIGHT($C483,4)), "")</f>
        <v/>
      </c>
      <c r="Q483" s="37" t="str">
        <f t="array" ref="Q483">IF($R483&lt;&gt;"",IFERROR(INDEX(ISIN!$B:$B,MATCH($R483,ISIN!$C:$C,0))),)</f>
        <v/>
      </c>
      <c r="R483" s="38" t="str">
        <f t="array" ref="R483">IF($E483&lt;&gt;""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7" t="str">
        <f t="shared" si="1"/>
        <v/>
      </c>
      <c r="T483" s="39" t="str">
        <f t="shared" si="2"/>
        <v/>
      </c>
      <c r="U483" s="40" t="str">
        <f t="shared" si="3"/>
        <v/>
      </c>
      <c r="V483" s="34" t="str">
        <f t="shared" si="4"/>
        <v/>
      </c>
      <c r="W483" s="41" t="str">
        <f>IFERROR(__xludf.DUMMYFUNCTION(" IF(Account!$F483&lt;&gt;"""", SPLIT(Account!$F483, "" ""), """")"),"")</f>
        <v/>
      </c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</row>
    <row r="484">
      <c r="A484" s="20"/>
      <c r="B484" s="20"/>
      <c r="C484" s="20"/>
      <c r="D484" s="20"/>
      <c r="E484" s="20"/>
      <c r="F484" s="21"/>
      <c r="G484" s="45"/>
      <c r="H484" s="20"/>
      <c r="I484" s="20"/>
      <c r="J484" s="20"/>
      <c r="K484" s="20"/>
      <c r="L484" s="21"/>
      <c r="M484" s="33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4" t="str">
        <f>IFERROR(__xludf.DUMMYFUNCTION("IF(Account!$F484&lt;&gt;"""", VALUE(REGEXREPLACE($I484, ""\,"", ""."")), """")"),"")</f>
        <v/>
      </c>
      <c r="O484" s="35" t="str">
        <f>IF(Account!$F484&lt;&gt;"", DATEVALUE(MID($A484,4,3) &amp; LEFT($A484,3) &amp; RIGHT($A484,4)) + TIMEVALUE($B484), "")</f>
        <v/>
      </c>
      <c r="P484" s="36" t="str">
        <f>IF(Account!$F484&lt;&gt;"", DATEVALUE(MID($C484,4,3) &amp; LEFT($C484,3) &amp; RIGHT($C484,4)), "")</f>
        <v/>
      </c>
      <c r="Q484" s="37" t="str">
        <f t="array" ref="Q484">IF($R484&lt;&gt;"",IFERROR(INDEX(ISIN!$B:$B,MATCH($R484,ISIN!$C:$C,0))),)</f>
        <v/>
      </c>
      <c r="R484" s="38" t="str">
        <f t="array" ref="R484">IF($E484&lt;&gt;""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7" t="str">
        <f t="shared" si="1"/>
        <v/>
      </c>
      <c r="T484" s="39" t="str">
        <f t="shared" si="2"/>
        <v/>
      </c>
      <c r="U484" s="40" t="str">
        <f t="shared" si="3"/>
        <v/>
      </c>
      <c r="V484" s="34" t="str">
        <f t="shared" si="4"/>
        <v/>
      </c>
      <c r="W484" s="41" t="str">
        <f>IFERROR(__xludf.DUMMYFUNCTION(" IF(Account!$F484&lt;&gt;"""", SPLIT(Account!$F484, "" ""), """")"),"")</f>
        <v/>
      </c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</row>
    <row r="485">
      <c r="A485" s="20"/>
      <c r="B485" s="20"/>
      <c r="C485" s="20"/>
      <c r="D485" s="45"/>
      <c r="E485" s="45"/>
      <c r="F485" s="21"/>
      <c r="G485" s="45"/>
      <c r="H485" s="20"/>
      <c r="I485" s="20"/>
      <c r="J485" s="20"/>
      <c r="K485" s="20"/>
      <c r="L485" s="21"/>
      <c r="M485" s="33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4" t="str">
        <f>IFERROR(__xludf.DUMMYFUNCTION("IF(Account!$F485&lt;&gt;"""", VALUE(REGEXREPLACE($I485, ""\,"", ""."")), """")"),"")</f>
        <v/>
      </c>
      <c r="O485" s="35" t="str">
        <f>IF(Account!$F485&lt;&gt;"", DATEVALUE(MID($A485,4,3) &amp; LEFT($A485,3) &amp; RIGHT($A485,4)) + TIMEVALUE($B485), "")</f>
        <v/>
      </c>
      <c r="P485" s="36" t="str">
        <f>IF(Account!$F485&lt;&gt;"", DATEVALUE(MID($C485,4,3) &amp; LEFT($C485,3) &amp; RIGHT($C485,4)), "")</f>
        <v/>
      </c>
      <c r="Q485" s="37" t="str">
        <f t="array" ref="Q485">IF($R485&lt;&gt;"",IFERROR(INDEX(ISIN!$B:$B,MATCH($R485,ISIN!$C:$C,0))),)</f>
        <v/>
      </c>
      <c r="R485" s="38" t="str">
        <f t="array" ref="R485">IF($E485&lt;&gt;""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7" t="str">
        <f t="shared" si="1"/>
        <v/>
      </c>
      <c r="T485" s="39" t="str">
        <f t="shared" si="2"/>
        <v/>
      </c>
      <c r="U485" s="40" t="str">
        <f t="shared" si="3"/>
        <v/>
      </c>
      <c r="V485" s="34" t="str">
        <f t="shared" si="4"/>
        <v/>
      </c>
      <c r="W485" s="41" t="str">
        <f>IFERROR(__xludf.DUMMYFUNCTION(" IF(Account!$F485&lt;&gt;"""", SPLIT(Account!$F485, "" ""), """")"),"")</f>
        <v/>
      </c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</row>
    <row r="486">
      <c r="A486" s="20"/>
      <c r="B486" s="20"/>
      <c r="C486" s="20"/>
      <c r="D486" s="45"/>
      <c r="E486" s="45"/>
      <c r="F486" s="21"/>
      <c r="G486" s="45"/>
      <c r="H486" s="20"/>
      <c r="I486" s="20"/>
      <c r="J486" s="20"/>
      <c r="K486" s="20"/>
      <c r="L486" s="21"/>
      <c r="M486" s="33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4" t="str">
        <f>IFERROR(__xludf.DUMMYFUNCTION("IF(Account!$F486&lt;&gt;"""", VALUE(REGEXREPLACE($I486, ""\,"", ""."")), """")"),"")</f>
        <v/>
      </c>
      <c r="O486" s="35" t="str">
        <f>IF(Account!$F486&lt;&gt;"", DATEVALUE(MID($A486,4,3) &amp; LEFT($A486,3) &amp; RIGHT($A486,4)) + TIMEVALUE($B486), "")</f>
        <v/>
      </c>
      <c r="P486" s="36" t="str">
        <f>IF(Account!$F486&lt;&gt;"", DATEVALUE(MID($C486,4,3) &amp; LEFT($C486,3) &amp; RIGHT($C486,4)), "")</f>
        <v/>
      </c>
      <c r="Q486" s="37" t="str">
        <f t="array" ref="Q486">IF($R486&lt;&gt;"",IFERROR(INDEX(ISIN!$B:$B,MATCH($R486,ISIN!$C:$C,0))),)</f>
        <v/>
      </c>
      <c r="R486" s="38" t="str">
        <f t="array" ref="R486">IF($E486&lt;&gt;""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7" t="str">
        <f t="shared" si="1"/>
        <v/>
      </c>
      <c r="T486" s="39" t="str">
        <f t="shared" si="2"/>
        <v/>
      </c>
      <c r="U486" s="40" t="str">
        <f t="shared" si="3"/>
        <v/>
      </c>
      <c r="V486" s="34" t="str">
        <f t="shared" si="4"/>
        <v/>
      </c>
      <c r="W486" s="41" t="str">
        <f>IFERROR(__xludf.DUMMYFUNCTION(" IF(Account!$F486&lt;&gt;"""", SPLIT(Account!$F486, "" ""), """")"),"")</f>
        <v/>
      </c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</row>
    <row r="487">
      <c r="A487" s="20"/>
      <c r="B487" s="20"/>
      <c r="C487" s="20"/>
      <c r="D487" s="45"/>
      <c r="E487" s="45"/>
      <c r="F487" s="21"/>
      <c r="G487" s="20"/>
      <c r="H487" s="20"/>
      <c r="I487" s="20"/>
      <c r="J487" s="20"/>
      <c r="K487" s="20"/>
      <c r="L487" s="21"/>
      <c r="M487" s="33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4" t="str">
        <f>IFERROR(__xludf.DUMMYFUNCTION("IF(Account!$F487&lt;&gt;"""", VALUE(REGEXREPLACE($I487, ""\,"", ""."")), """")"),"")</f>
        <v/>
      </c>
      <c r="O487" s="35" t="str">
        <f>IF(Account!$F487&lt;&gt;"", DATEVALUE(MID($A487,4,3) &amp; LEFT($A487,3) &amp; RIGHT($A487,4)) + TIMEVALUE($B487), "")</f>
        <v/>
      </c>
      <c r="P487" s="36" t="str">
        <f>IF(Account!$F487&lt;&gt;"", DATEVALUE(MID($C487,4,3) &amp; LEFT($C487,3) &amp; RIGHT($C487,4)), "")</f>
        <v/>
      </c>
      <c r="Q487" s="37" t="str">
        <f t="array" ref="Q487">IF($R487&lt;&gt;"",IFERROR(INDEX(ISIN!$B:$B,MATCH($R487,ISIN!$C:$C,0))),)</f>
        <v/>
      </c>
      <c r="R487" s="38" t="str">
        <f t="array" ref="R487">IF($E487&lt;&gt;""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7" t="str">
        <f t="shared" si="1"/>
        <v/>
      </c>
      <c r="T487" s="39" t="str">
        <f t="shared" si="2"/>
        <v/>
      </c>
      <c r="U487" s="40" t="str">
        <f t="shared" si="3"/>
        <v/>
      </c>
      <c r="V487" s="34" t="str">
        <f t="shared" si="4"/>
        <v/>
      </c>
      <c r="W487" s="41" t="str">
        <f>IFERROR(__xludf.DUMMYFUNCTION(" IF(Account!$F487&lt;&gt;"""", SPLIT(Account!$F487, "" ""), """")"),"")</f>
        <v/>
      </c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</row>
    <row r="488">
      <c r="A488" s="20"/>
      <c r="B488" s="20"/>
      <c r="C488" s="20"/>
      <c r="D488" s="20"/>
      <c r="E488" s="20"/>
      <c r="F488" s="21"/>
      <c r="G488" s="20"/>
      <c r="H488" s="20"/>
      <c r="I488" s="20"/>
      <c r="J488" s="20"/>
      <c r="K488" s="20"/>
      <c r="L488" s="21"/>
      <c r="M488" s="33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4" t="str">
        <f>IFERROR(__xludf.DUMMYFUNCTION("IF(Account!$F488&lt;&gt;"""", VALUE(REGEXREPLACE($I488, ""\,"", ""."")), """")"),"")</f>
        <v/>
      </c>
      <c r="O488" s="35" t="str">
        <f>IF(Account!$F488&lt;&gt;"", DATEVALUE(MID($A488,4,3) &amp; LEFT($A488,3) &amp; RIGHT($A488,4)) + TIMEVALUE($B488), "")</f>
        <v/>
      </c>
      <c r="P488" s="36" t="str">
        <f>IF(Account!$F488&lt;&gt;"", DATEVALUE(MID($C488,4,3) &amp; LEFT($C488,3) &amp; RIGHT($C488,4)), "")</f>
        <v/>
      </c>
      <c r="Q488" s="37" t="str">
        <f t="array" ref="Q488">IF($R488&lt;&gt;"",IFERROR(INDEX(ISIN!$B:$B,MATCH($R488,ISIN!$C:$C,0))),)</f>
        <v/>
      </c>
      <c r="R488" s="38" t="str">
        <f t="array" ref="R488">IF($E488&lt;&gt;""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7" t="str">
        <f t="shared" si="1"/>
        <v/>
      </c>
      <c r="T488" s="39" t="str">
        <f t="shared" si="2"/>
        <v/>
      </c>
      <c r="U488" s="40" t="str">
        <f t="shared" si="3"/>
        <v/>
      </c>
      <c r="V488" s="34" t="str">
        <f t="shared" si="4"/>
        <v/>
      </c>
      <c r="W488" s="41" t="str">
        <f>IFERROR(__xludf.DUMMYFUNCTION(" IF(Account!$F488&lt;&gt;"""", SPLIT(Account!$F488, "" ""), """")"),"")</f>
        <v/>
      </c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</row>
    <row r="489">
      <c r="A489" s="20"/>
      <c r="B489" s="20"/>
      <c r="C489" s="20"/>
      <c r="D489" s="20"/>
      <c r="E489" s="20"/>
      <c r="F489" s="21"/>
      <c r="G489" s="20"/>
      <c r="H489" s="20"/>
      <c r="I489" s="20"/>
      <c r="J489" s="20"/>
      <c r="K489" s="20"/>
      <c r="L489" s="21"/>
      <c r="M489" s="33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4" t="str">
        <f>IFERROR(__xludf.DUMMYFUNCTION("IF(Account!$F489&lt;&gt;"""", VALUE(REGEXREPLACE($I489, ""\,"", ""."")), """")"),"")</f>
        <v/>
      </c>
      <c r="O489" s="35" t="str">
        <f>IF(Account!$F489&lt;&gt;"", DATEVALUE(MID($A489,4,3) &amp; LEFT($A489,3) &amp; RIGHT($A489,4)) + TIMEVALUE($B489), "")</f>
        <v/>
      </c>
      <c r="P489" s="36" t="str">
        <f>IF(Account!$F489&lt;&gt;"", DATEVALUE(MID($C489,4,3) &amp; LEFT($C489,3) &amp; RIGHT($C489,4)), "")</f>
        <v/>
      </c>
      <c r="Q489" s="37" t="str">
        <f t="array" ref="Q489">IF($R489&lt;&gt;"",IFERROR(INDEX(ISIN!$B:$B,MATCH($R489,ISIN!$C:$C,0))),)</f>
        <v/>
      </c>
      <c r="R489" s="38" t="str">
        <f t="array" ref="R489">IF($E489&lt;&gt;""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7" t="str">
        <f t="shared" si="1"/>
        <v/>
      </c>
      <c r="T489" s="39" t="str">
        <f t="shared" si="2"/>
        <v/>
      </c>
      <c r="U489" s="40" t="str">
        <f t="shared" si="3"/>
        <v/>
      </c>
      <c r="V489" s="34" t="str">
        <f t="shared" si="4"/>
        <v/>
      </c>
      <c r="W489" s="41" t="str">
        <f>IFERROR(__xludf.DUMMYFUNCTION(" IF(Account!$F489&lt;&gt;"""", SPLIT(Account!$F489, "" ""), """")"),"")</f>
        <v/>
      </c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</row>
    <row r="490">
      <c r="A490" s="20"/>
      <c r="B490" s="20"/>
      <c r="C490" s="20"/>
      <c r="D490" s="20"/>
      <c r="E490" s="20"/>
      <c r="F490" s="21"/>
      <c r="G490" s="20"/>
      <c r="H490" s="20"/>
      <c r="I490" s="20"/>
      <c r="J490" s="20"/>
      <c r="K490" s="20"/>
      <c r="L490" s="21"/>
      <c r="M490" s="33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4" t="str">
        <f>IFERROR(__xludf.DUMMYFUNCTION("IF(Account!$F490&lt;&gt;"""", VALUE(REGEXREPLACE($I490, ""\,"", ""."")), """")"),"")</f>
        <v/>
      </c>
      <c r="O490" s="35" t="str">
        <f>IF(Account!$F490&lt;&gt;"", DATEVALUE(MID($A490,4,3) &amp; LEFT($A490,3) &amp; RIGHT($A490,4)) + TIMEVALUE($B490), "")</f>
        <v/>
      </c>
      <c r="P490" s="36" t="str">
        <f>IF(Account!$F490&lt;&gt;"", DATEVALUE(MID($C490,4,3) &amp; LEFT($C490,3) &amp; RIGHT($C490,4)), "")</f>
        <v/>
      </c>
      <c r="Q490" s="37" t="str">
        <f t="array" ref="Q490">IF($R490&lt;&gt;"",IFERROR(INDEX(ISIN!$B:$B,MATCH($R490,ISIN!$C:$C,0))),)</f>
        <v/>
      </c>
      <c r="R490" s="38" t="str">
        <f t="array" ref="R490">IF($E490&lt;&gt;""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7" t="str">
        <f t="shared" si="1"/>
        <v/>
      </c>
      <c r="T490" s="39" t="str">
        <f t="shared" si="2"/>
        <v/>
      </c>
      <c r="U490" s="40" t="str">
        <f t="shared" si="3"/>
        <v/>
      </c>
      <c r="V490" s="34" t="str">
        <f t="shared" si="4"/>
        <v/>
      </c>
      <c r="W490" s="41" t="str">
        <f>IFERROR(__xludf.DUMMYFUNCTION(" IF(Account!$F490&lt;&gt;"""", SPLIT(Account!$F490, "" ""), """")"),"")</f>
        <v/>
      </c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</row>
    <row r="491">
      <c r="A491" s="20"/>
      <c r="B491" s="20"/>
      <c r="C491" s="20"/>
      <c r="D491" s="20"/>
      <c r="E491" s="20"/>
      <c r="F491" s="21"/>
      <c r="G491" s="45"/>
      <c r="H491" s="20"/>
      <c r="I491" s="20"/>
      <c r="J491" s="20"/>
      <c r="K491" s="20"/>
      <c r="L491" s="21"/>
      <c r="M491" s="33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4" t="str">
        <f>IFERROR(__xludf.DUMMYFUNCTION("IF(Account!$F491&lt;&gt;"""", VALUE(REGEXREPLACE($I491, ""\,"", ""."")), """")"),"")</f>
        <v/>
      </c>
      <c r="O491" s="35" t="str">
        <f>IF(Account!$F491&lt;&gt;"", DATEVALUE(MID($A491,4,3) &amp; LEFT($A491,3) &amp; RIGHT($A491,4)) + TIMEVALUE($B491), "")</f>
        <v/>
      </c>
      <c r="P491" s="36" t="str">
        <f>IF(Account!$F491&lt;&gt;"", DATEVALUE(MID($C491,4,3) &amp; LEFT($C491,3) &amp; RIGHT($C491,4)), "")</f>
        <v/>
      </c>
      <c r="Q491" s="37" t="str">
        <f t="array" ref="Q491">IF($R491&lt;&gt;"",IFERROR(INDEX(ISIN!$B:$B,MATCH($R491,ISIN!$C:$C,0))),)</f>
        <v/>
      </c>
      <c r="R491" s="38" t="str">
        <f t="array" ref="R491">IF($E491&lt;&gt;""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7" t="str">
        <f t="shared" si="1"/>
        <v/>
      </c>
      <c r="T491" s="39" t="str">
        <f t="shared" si="2"/>
        <v/>
      </c>
      <c r="U491" s="40" t="str">
        <f t="shared" si="3"/>
        <v/>
      </c>
      <c r="V491" s="34" t="str">
        <f t="shared" si="4"/>
        <v/>
      </c>
      <c r="W491" s="41" t="str">
        <f>IFERROR(__xludf.DUMMYFUNCTION(" IF(Account!$F491&lt;&gt;"""", SPLIT(Account!$F491, "" ""), """")"),"")</f>
        <v/>
      </c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</row>
    <row r="492">
      <c r="A492" s="20"/>
      <c r="B492" s="20"/>
      <c r="C492" s="20"/>
      <c r="D492" s="20"/>
      <c r="E492" s="20"/>
      <c r="F492" s="21"/>
      <c r="G492" s="45"/>
      <c r="H492" s="20"/>
      <c r="I492" s="20"/>
      <c r="J492" s="20"/>
      <c r="K492" s="20"/>
      <c r="L492" s="21"/>
      <c r="M492" s="33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4" t="str">
        <f>IFERROR(__xludf.DUMMYFUNCTION("IF(Account!$F492&lt;&gt;"""", VALUE(REGEXREPLACE($I492, ""\,"", ""."")), """")"),"")</f>
        <v/>
      </c>
      <c r="O492" s="35" t="str">
        <f>IF(Account!$F492&lt;&gt;"", DATEVALUE(MID($A492,4,3) &amp; LEFT($A492,3) &amp; RIGHT($A492,4)) + TIMEVALUE($B492), "")</f>
        <v/>
      </c>
      <c r="P492" s="36" t="str">
        <f>IF(Account!$F492&lt;&gt;"", DATEVALUE(MID($C492,4,3) &amp; LEFT($C492,3) &amp; RIGHT($C492,4)), "")</f>
        <v/>
      </c>
      <c r="Q492" s="37" t="str">
        <f t="array" ref="Q492">IF($R492&lt;&gt;"",IFERROR(INDEX(ISIN!$B:$B,MATCH($R492,ISIN!$C:$C,0))),)</f>
        <v/>
      </c>
      <c r="R492" s="38" t="str">
        <f t="array" ref="R492">IF($E492&lt;&gt;""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7" t="str">
        <f t="shared" si="1"/>
        <v/>
      </c>
      <c r="T492" s="39" t="str">
        <f t="shared" si="2"/>
        <v/>
      </c>
      <c r="U492" s="40" t="str">
        <f t="shared" si="3"/>
        <v/>
      </c>
      <c r="V492" s="34" t="str">
        <f t="shared" si="4"/>
        <v/>
      </c>
      <c r="W492" s="41" t="str">
        <f>IFERROR(__xludf.DUMMYFUNCTION(" IF(Account!$F492&lt;&gt;"""", SPLIT(Account!$F492, "" ""), """")"),"")</f>
        <v/>
      </c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</row>
    <row r="493">
      <c r="A493" s="20"/>
      <c r="B493" s="20"/>
      <c r="C493" s="20"/>
      <c r="D493" s="20"/>
      <c r="E493" s="20"/>
      <c r="F493" s="21"/>
      <c r="G493" s="45"/>
      <c r="H493" s="20"/>
      <c r="I493" s="20"/>
      <c r="J493" s="20"/>
      <c r="K493" s="20"/>
      <c r="L493" s="21"/>
      <c r="M493" s="33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4" t="str">
        <f>IFERROR(__xludf.DUMMYFUNCTION("IF(Account!$F493&lt;&gt;"""", VALUE(REGEXREPLACE($I493, ""\,"", ""."")), """")"),"")</f>
        <v/>
      </c>
      <c r="O493" s="35" t="str">
        <f>IF(Account!$F493&lt;&gt;"", DATEVALUE(MID($A493,4,3) &amp; LEFT($A493,3) &amp; RIGHT($A493,4)) + TIMEVALUE($B493), "")</f>
        <v/>
      </c>
      <c r="P493" s="36" t="str">
        <f>IF(Account!$F493&lt;&gt;"", DATEVALUE(MID($C493,4,3) &amp; LEFT($C493,3) &amp; RIGHT($C493,4)), "")</f>
        <v/>
      </c>
      <c r="Q493" s="37" t="str">
        <f t="array" ref="Q493">IF($R493&lt;&gt;"",IFERROR(INDEX(ISIN!$B:$B,MATCH($R493,ISIN!$C:$C,0))),)</f>
        <v/>
      </c>
      <c r="R493" s="38" t="str">
        <f t="array" ref="R493">IF($E493&lt;&gt;""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7" t="str">
        <f t="shared" si="1"/>
        <v/>
      </c>
      <c r="T493" s="39" t="str">
        <f t="shared" si="2"/>
        <v/>
      </c>
      <c r="U493" s="40" t="str">
        <f t="shared" si="3"/>
        <v/>
      </c>
      <c r="V493" s="34" t="str">
        <f t="shared" si="4"/>
        <v/>
      </c>
      <c r="W493" s="41" t="str">
        <f>IFERROR(__xludf.DUMMYFUNCTION(" IF(Account!$F493&lt;&gt;"""", SPLIT(Account!$F493, "" ""), """")"),"")</f>
        <v/>
      </c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</row>
    <row r="494">
      <c r="A494" s="20"/>
      <c r="B494" s="20"/>
      <c r="C494" s="20"/>
      <c r="D494" s="45"/>
      <c r="E494" s="45"/>
      <c r="F494" s="21"/>
      <c r="G494" s="45"/>
      <c r="H494" s="20"/>
      <c r="I494" s="20"/>
      <c r="J494" s="20"/>
      <c r="K494" s="20"/>
      <c r="L494" s="21"/>
      <c r="M494" s="33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4" t="str">
        <f>IFERROR(__xludf.DUMMYFUNCTION("IF(Account!$F494&lt;&gt;"""", VALUE(REGEXREPLACE($I494, ""\,"", ""."")), """")"),"")</f>
        <v/>
      </c>
      <c r="O494" s="35" t="str">
        <f>IF(Account!$F494&lt;&gt;"", DATEVALUE(MID($A494,4,3) &amp; LEFT($A494,3) &amp; RIGHT($A494,4)) + TIMEVALUE($B494), "")</f>
        <v/>
      </c>
      <c r="P494" s="36" t="str">
        <f>IF(Account!$F494&lt;&gt;"", DATEVALUE(MID($C494,4,3) &amp; LEFT($C494,3) &amp; RIGHT($C494,4)), "")</f>
        <v/>
      </c>
      <c r="Q494" s="37" t="str">
        <f t="array" ref="Q494">IF($R494&lt;&gt;"",IFERROR(INDEX(ISIN!$B:$B,MATCH($R494,ISIN!$C:$C,0))),)</f>
        <v/>
      </c>
      <c r="R494" s="38" t="str">
        <f t="array" ref="R494">IF($E494&lt;&gt;""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7" t="str">
        <f t="shared" si="1"/>
        <v/>
      </c>
      <c r="T494" s="39" t="str">
        <f t="shared" si="2"/>
        <v/>
      </c>
      <c r="U494" s="40" t="str">
        <f t="shared" si="3"/>
        <v/>
      </c>
      <c r="V494" s="34" t="str">
        <f t="shared" si="4"/>
        <v/>
      </c>
      <c r="W494" s="41" t="str">
        <f>IFERROR(__xludf.DUMMYFUNCTION(" IF(Account!$F494&lt;&gt;"""", SPLIT(Account!$F494, "" ""), """")"),"")</f>
        <v/>
      </c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</row>
    <row r="495">
      <c r="A495" s="20"/>
      <c r="B495" s="20"/>
      <c r="C495" s="20"/>
      <c r="D495" s="20"/>
      <c r="E495" s="20"/>
      <c r="F495" s="21"/>
      <c r="G495" s="45"/>
      <c r="H495" s="20"/>
      <c r="I495" s="20"/>
      <c r="J495" s="20"/>
      <c r="K495" s="20"/>
      <c r="L495" s="21"/>
      <c r="M495" s="33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4" t="str">
        <f>IFERROR(__xludf.DUMMYFUNCTION("IF(Account!$F495&lt;&gt;"""", VALUE(REGEXREPLACE($I495, ""\,"", ""."")), """")"),"")</f>
        <v/>
      </c>
      <c r="O495" s="35" t="str">
        <f>IF(Account!$F495&lt;&gt;"", DATEVALUE(MID($A495,4,3) &amp; LEFT($A495,3) &amp; RIGHT($A495,4)) + TIMEVALUE($B495), "")</f>
        <v/>
      </c>
      <c r="P495" s="36" t="str">
        <f>IF(Account!$F495&lt;&gt;"", DATEVALUE(MID($C495,4,3) &amp; LEFT($C495,3) &amp; RIGHT($C495,4)), "")</f>
        <v/>
      </c>
      <c r="Q495" s="37" t="str">
        <f t="array" ref="Q495">IF($R495&lt;&gt;"",IFERROR(INDEX(ISIN!$B:$B,MATCH($R495,ISIN!$C:$C,0))),)</f>
        <v/>
      </c>
      <c r="R495" s="38" t="str">
        <f t="array" ref="R495">IF($E495&lt;&gt;""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7" t="str">
        <f t="shared" si="1"/>
        <v/>
      </c>
      <c r="T495" s="39" t="str">
        <f t="shared" si="2"/>
        <v/>
      </c>
      <c r="U495" s="40" t="str">
        <f t="shared" si="3"/>
        <v/>
      </c>
      <c r="V495" s="34" t="str">
        <f t="shared" si="4"/>
        <v/>
      </c>
      <c r="W495" s="41" t="str">
        <f>IFERROR(__xludf.DUMMYFUNCTION(" IF(Account!$F495&lt;&gt;"""", SPLIT(Account!$F495, "" ""), """")"),"")</f>
        <v/>
      </c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</row>
    <row r="496">
      <c r="A496" s="20"/>
      <c r="B496" s="20"/>
      <c r="C496" s="20"/>
      <c r="D496" s="20"/>
      <c r="E496" s="20"/>
      <c r="F496" s="21"/>
      <c r="G496" s="20"/>
      <c r="H496" s="20"/>
      <c r="I496" s="20"/>
      <c r="J496" s="20"/>
      <c r="K496" s="20"/>
      <c r="L496" s="21"/>
      <c r="M496" s="33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4" t="str">
        <f>IFERROR(__xludf.DUMMYFUNCTION("IF(Account!$F496&lt;&gt;"""", VALUE(REGEXREPLACE($I496, ""\,"", ""."")), """")"),"")</f>
        <v/>
      </c>
      <c r="O496" s="35" t="str">
        <f>IF(Account!$F496&lt;&gt;"", DATEVALUE(MID($A496,4,3) &amp; LEFT($A496,3) &amp; RIGHT($A496,4)) + TIMEVALUE($B496), "")</f>
        <v/>
      </c>
      <c r="P496" s="36" t="str">
        <f>IF(Account!$F496&lt;&gt;"", DATEVALUE(MID($C496,4,3) &amp; LEFT($C496,3) &amp; RIGHT($C496,4)), "")</f>
        <v/>
      </c>
      <c r="Q496" s="37" t="str">
        <f t="array" ref="Q496">IF($R496&lt;&gt;"",IFERROR(INDEX(ISIN!$B:$B,MATCH($R496,ISIN!$C:$C,0))),)</f>
        <v/>
      </c>
      <c r="R496" s="38" t="str">
        <f t="array" ref="R496">IF($E496&lt;&gt;""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7" t="str">
        <f t="shared" si="1"/>
        <v/>
      </c>
      <c r="T496" s="39" t="str">
        <f t="shared" si="2"/>
        <v/>
      </c>
      <c r="U496" s="40" t="str">
        <f t="shared" si="3"/>
        <v/>
      </c>
      <c r="V496" s="34" t="str">
        <f t="shared" si="4"/>
        <v/>
      </c>
      <c r="W496" s="41" t="str">
        <f>IFERROR(__xludf.DUMMYFUNCTION(" IF(Account!$F496&lt;&gt;"""", SPLIT(Account!$F496, "" ""), """")"),"")</f>
        <v/>
      </c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</row>
    <row r="497">
      <c r="A497" s="20"/>
      <c r="B497" s="20"/>
      <c r="C497" s="20"/>
      <c r="D497" s="20"/>
      <c r="E497" s="20"/>
      <c r="F497" s="21"/>
      <c r="G497" s="45"/>
      <c r="H497" s="20"/>
      <c r="I497" s="20"/>
      <c r="J497" s="20"/>
      <c r="K497" s="20"/>
      <c r="L497" s="21"/>
      <c r="M497" s="33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4" t="str">
        <f>IFERROR(__xludf.DUMMYFUNCTION("IF(Account!$F497&lt;&gt;"""", VALUE(REGEXREPLACE($I497, ""\,"", ""."")), """")"),"")</f>
        <v/>
      </c>
      <c r="O497" s="35" t="str">
        <f>IF(Account!$F497&lt;&gt;"", DATEVALUE(MID($A497,4,3) &amp; LEFT($A497,3) &amp; RIGHT($A497,4)) + TIMEVALUE($B497), "")</f>
        <v/>
      </c>
      <c r="P497" s="36" t="str">
        <f>IF(Account!$F497&lt;&gt;"", DATEVALUE(MID($C497,4,3) &amp; LEFT($C497,3) &amp; RIGHT($C497,4)), "")</f>
        <v/>
      </c>
      <c r="Q497" s="37" t="str">
        <f t="array" ref="Q497">IF($R497&lt;&gt;"",IFERROR(INDEX(ISIN!$B:$B,MATCH($R497,ISIN!$C:$C,0))),)</f>
        <v/>
      </c>
      <c r="R497" s="38" t="str">
        <f t="array" ref="R497">IF($E497&lt;&gt;""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7" t="str">
        <f t="shared" si="1"/>
        <v/>
      </c>
      <c r="T497" s="39" t="str">
        <f t="shared" si="2"/>
        <v/>
      </c>
      <c r="U497" s="40" t="str">
        <f t="shared" si="3"/>
        <v/>
      </c>
      <c r="V497" s="34" t="str">
        <f t="shared" si="4"/>
        <v/>
      </c>
      <c r="W497" s="41" t="str">
        <f>IFERROR(__xludf.DUMMYFUNCTION(" IF(Account!$F497&lt;&gt;"""", SPLIT(Account!$F497, "" ""), """")"),"")</f>
        <v/>
      </c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</row>
    <row r="498">
      <c r="A498" s="20"/>
      <c r="B498" s="20"/>
      <c r="C498" s="20"/>
      <c r="D498" s="20"/>
      <c r="E498" s="20"/>
      <c r="F498" s="21"/>
      <c r="G498" s="20"/>
      <c r="H498" s="20"/>
      <c r="I498" s="20"/>
      <c r="J498" s="20"/>
      <c r="K498" s="20"/>
      <c r="L498" s="21"/>
      <c r="M498" s="33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4" t="str">
        <f>IFERROR(__xludf.DUMMYFUNCTION("IF(Account!$F498&lt;&gt;"""", VALUE(REGEXREPLACE($I498, ""\,"", ""."")), """")"),"")</f>
        <v/>
      </c>
      <c r="O498" s="35" t="str">
        <f>IF(Account!$F498&lt;&gt;"", DATEVALUE(MID($A498,4,3) &amp; LEFT($A498,3) &amp; RIGHT($A498,4)) + TIMEVALUE($B498), "")</f>
        <v/>
      </c>
      <c r="P498" s="36" t="str">
        <f>IF(Account!$F498&lt;&gt;"", DATEVALUE(MID($C498,4,3) &amp; LEFT($C498,3) &amp; RIGHT($C498,4)), "")</f>
        <v/>
      </c>
      <c r="Q498" s="37" t="str">
        <f t="array" ref="Q498">IF($R498&lt;&gt;"",IFERROR(INDEX(ISIN!$B:$B,MATCH($R498,ISIN!$C:$C,0))),)</f>
        <v/>
      </c>
      <c r="R498" s="38" t="str">
        <f t="array" ref="R498">IF($E498&lt;&gt;""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7" t="str">
        <f t="shared" si="1"/>
        <v/>
      </c>
      <c r="T498" s="39" t="str">
        <f t="shared" si="2"/>
        <v/>
      </c>
      <c r="U498" s="40" t="str">
        <f t="shared" si="3"/>
        <v/>
      </c>
      <c r="V498" s="34" t="str">
        <f t="shared" si="4"/>
        <v/>
      </c>
      <c r="W498" s="41" t="str">
        <f>IFERROR(__xludf.DUMMYFUNCTION(" IF(Account!$F498&lt;&gt;"""", SPLIT(Account!$F498, "" ""), """")"),"")</f>
        <v/>
      </c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</row>
    <row r="499">
      <c r="A499" s="20"/>
      <c r="B499" s="20"/>
      <c r="C499" s="20"/>
      <c r="D499" s="20"/>
      <c r="E499" s="20"/>
      <c r="F499" s="21"/>
      <c r="G499" s="45"/>
      <c r="H499" s="20"/>
      <c r="I499" s="20"/>
      <c r="J499" s="20"/>
      <c r="K499" s="20"/>
      <c r="L499" s="21"/>
      <c r="M499" s="33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4" t="str">
        <f>IFERROR(__xludf.DUMMYFUNCTION("IF(Account!$F499&lt;&gt;"""", VALUE(REGEXREPLACE($I499, ""\,"", ""."")), """")"),"")</f>
        <v/>
      </c>
      <c r="O499" s="35" t="str">
        <f>IF(Account!$F499&lt;&gt;"", DATEVALUE(MID($A499,4,3) &amp; LEFT($A499,3) &amp; RIGHT($A499,4)) + TIMEVALUE($B499), "")</f>
        <v/>
      </c>
      <c r="P499" s="36" t="str">
        <f>IF(Account!$F499&lt;&gt;"", DATEVALUE(MID($C499,4,3) &amp; LEFT($C499,3) &amp; RIGHT($C499,4)), "")</f>
        <v/>
      </c>
      <c r="Q499" s="37" t="str">
        <f t="array" ref="Q499">IF($R499&lt;&gt;"",IFERROR(INDEX(ISIN!$B:$B,MATCH($R499,ISIN!$C:$C,0))),)</f>
        <v/>
      </c>
      <c r="R499" s="38" t="str">
        <f t="array" ref="R499">IF($E499&lt;&gt;""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7" t="str">
        <f t="shared" si="1"/>
        <v/>
      </c>
      <c r="T499" s="39" t="str">
        <f t="shared" si="2"/>
        <v/>
      </c>
      <c r="U499" s="40" t="str">
        <f t="shared" si="3"/>
        <v/>
      </c>
      <c r="V499" s="34" t="str">
        <f t="shared" si="4"/>
        <v/>
      </c>
      <c r="W499" s="41" t="str">
        <f>IFERROR(__xludf.DUMMYFUNCTION(" IF(Account!$F499&lt;&gt;"""", SPLIT(Account!$F499, "" ""), """")"),"")</f>
        <v/>
      </c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</row>
    <row r="500">
      <c r="A500" s="20"/>
      <c r="B500" s="20"/>
      <c r="C500" s="20"/>
      <c r="D500" s="20"/>
      <c r="E500" s="20"/>
      <c r="F500" s="21"/>
      <c r="G500" s="20"/>
      <c r="H500" s="20"/>
      <c r="I500" s="20"/>
      <c r="J500" s="20"/>
      <c r="K500" s="20"/>
      <c r="L500" s="21"/>
      <c r="M500" s="33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4" t="str">
        <f>IFERROR(__xludf.DUMMYFUNCTION("IF(Account!$F500&lt;&gt;"""", VALUE(REGEXREPLACE($I500, ""\,"", ""."")), """")"),"")</f>
        <v/>
      </c>
      <c r="O500" s="35" t="str">
        <f>IF(Account!$F500&lt;&gt;"", DATEVALUE(MID($A500,4,3) &amp; LEFT($A500,3) &amp; RIGHT($A500,4)) + TIMEVALUE($B500), "")</f>
        <v/>
      </c>
      <c r="P500" s="36" t="str">
        <f>IF(Account!$F500&lt;&gt;"", DATEVALUE(MID($C500,4,3) &amp; LEFT($C500,3) &amp; RIGHT($C500,4)), "")</f>
        <v/>
      </c>
      <c r="Q500" s="37" t="str">
        <f t="array" ref="Q500">IF($R500&lt;&gt;"",IFERROR(INDEX(ISIN!$B:$B,MATCH($R500,ISIN!$C:$C,0))),)</f>
        <v/>
      </c>
      <c r="R500" s="38" t="str">
        <f t="array" ref="R500">IF($E500&lt;&gt;""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7" t="str">
        <f t="shared" si="1"/>
        <v/>
      </c>
      <c r="T500" s="39" t="str">
        <f t="shared" si="2"/>
        <v/>
      </c>
      <c r="U500" s="40" t="str">
        <f t="shared" si="3"/>
        <v/>
      </c>
      <c r="V500" s="34" t="str">
        <f t="shared" si="4"/>
        <v/>
      </c>
      <c r="W500" s="41" t="str">
        <f>IFERROR(__xludf.DUMMYFUNCTION(" IF(Account!$F500&lt;&gt;"""", SPLIT(Account!$F500, "" ""), """")"),"")</f>
        <v/>
      </c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</row>
    <row r="501">
      <c r="A501" s="20"/>
      <c r="B501" s="20"/>
      <c r="C501" s="20"/>
      <c r="D501" s="20"/>
      <c r="E501" s="20"/>
      <c r="F501" s="21"/>
      <c r="G501" s="45"/>
      <c r="H501" s="20"/>
      <c r="I501" s="20"/>
      <c r="J501" s="20"/>
      <c r="K501" s="20"/>
      <c r="L501" s="21"/>
      <c r="M501" s="33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4" t="str">
        <f>IFERROR(__xludf.DUMMYFUNCTION("IF(Account!$F501&lt;&gt;"""", VALUE(REGEXREPLACE($I501, ""\,"", ""."")), """")"),"")</f>
        <v/>
      </c>
      <c r="O501" s="35" t="str">
        <f>IF(Account!$F501&lt;&gt;"", DATEVALUE(MID($A501,4,3) &amp; LEFT($A501,3) &amp; RIGHT($A501,4)) + TIMEVALUE($B501), "")</f>
        <v/>
      </c>
      <c r="P501" s="36" t="str">
        <f>IF(Account!$F501&lt;&gt;"", DATEVALUE(MID($C501,4,3) &amp; LEFT($C501,3) &amp; RIGHT($C501,4)), "")</f>
        <v/>
      </c>
      <c r="Q501" s="37" t="str">
        <f t="array" ref="Q501">IF($R501&lt;&gt;"",IFERROR(INDEX(ISIN!$B:$B,MATCH($R501,ISIN!$C:$C,0))),)</f>
        <v/>
      </c>
      <c r="R501" s="38" t="str">
        <f t="array" ref="R501">IF($E501&lt;&gt;""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7" t="str">
        <f t="shared" si="1"/>
        <v/>
      </c>
      <c r="T501" s="39" t="str">
        <f t="shared" si="2"/>
        <v/>
      </c>
      <c r="U501" s="40" t="str">
        <f t="shared" si="3"/>
        <v/>
      </c>
      <c r="V501" s="34" t="str">
        <f t="shared" si="4"/>
        <v/>
      </c>
      <c r="W501" s="41" t="str">
        <f>IFERROR(__xludf.DUMMYFUNCTION(" IF(Account!$F501&lt;&gt;"""", SPLIT(Account!$F501, "" ""), """")"),"")</f>
        <v/>
      </c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</row>
    <row r="502">
      <c r="A502" s="20"/>
      <c r="B502" s="20"/>
      <c r="C502" s="20"/>
      <c r="D502" s="20"/>
      <c r="E502" s="20"/>
      <c r="F502" s="21"/>
      <c r="G502" s="45"/>
      <c r="H502" s="20"/>
      <c r="I502" s="20"/>
      <c r="J502" s="20"/>
      <c r="K502" s="20"/>
      <c r="L502" s="21"/>
      <c r="M502" s="33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4" t="str">
        <f>IFERROR(__xludf.DUMMYFUNCTION("IF(Account!$F502&lt;&gt;"""", VALUE(REGEXREPLACE($I502, ""\,"", ""."")), """")"),"")</f>
        <v/>
      </c>
      <c r="O502" s="35" t="str">
        <f>IF(Account!$F502&lt;&gt;"", DATEVALUE(MID($A502,4,3) &amp; LEFT($A502,3) &amp; RIGHT($A502,4)) + TIMEVALUE($B502), "")</f>
        <v/>
      </c>
      <c r="P502" s="36" t="str">
        <f>IF(Account!$F502&lt;&gt;"", DATEVALUE(MID($C502,4,3) &amp; LEFT($C502,3) &amp; RIGHT($C502,4)), "")</f>
        <v/>
      </c>
      <c r="Q502" s="37" t="str">
        <f t="array" ref="Q502">IF($R502&lt;&gt;"",IFERROR(INDEX(ISIN!$B:$B,MATCH($R502,ISIN!$C:$C,0))),)</f>
        <v/>
      </c>
      <c r="R502" s="38" t="str">
        <f t="array" ref="R502">IF($E502&lt;&gt;""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7" t="str">
        <f t="shared" si="1"/>
        <v/>
      </c>
      <c r="T502" s="39" t="str">
        <f t="shared" si="2"/>
        <v/>
      </c>
      <c r="U502" s="40" t="str">
        <f t="shared" si="3"/>
        <v/>
      </c>
      <c r="V502" s="34" t="str">
        <f t="shared" si="4"/>
        <v/>
      </c>
      <c r="W502" s="41" t="str">
        <f>IFERROR(__xludf.DUMMYFUNCTION(" IF(Account!$F502&lt;&gt;"""", SPLIT(Account!$F502, "" ""), """")"),"")</f>
        <v/>
      </c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</row>
    <row r="503">
      <c r="A503" s="20"/>
      <c r="B503" s="20"/>
      <c r="C503" s="20"/>
      <c r="D503" s="20"/>
      <c r="E503" s="20"/>
      <c r="F503" s="21"/>
      <c r="G503" s="45"/>
      <c r="H503" s="20"/>
      <c r="I503" s="20"/>
      <c r="J503" s="20"/>
      <c r="K503" s="20"/>
      <c r="L503" s="21"/>
      <c r="M503" s="33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4" t="str">
        <f>IFERROR(__xludf.DUMMYFUNCTION("IF(Account!$F503&lt;&gt;"""", VALUE(REGEXREPLACE($I503, ""\,"", ""."")), """")"),"")</f>
        <v/>
      </c>
      <c r="O503" s="35" t="str">
        <f>IF(Account!$F503&lt;&gt;"", DATEVALUE(MID($A503,4,3) &amp; LEFT($A503,3) &amp; RIGHT($A503,4)) + TIMEVALUE($B503), "")</f>
        <v/>
      </c>
      <c r="P503" s="36" t="str">
        <f>IF(Account!$F503&lt;&gt;"", DATEVALUE(MID($C503,4,3) &amp; LEFT($C503,3) &amp; RIGHT($C503,4)), "")</f>
        <v/>
      </c>
      <c r="Q503" s="37" t="str">
        <f t="array" ref="Q503">IF($R503&lt;&gt;"",IFERROR(INDEX(ISIN!$B:$B,MATCH($R503,ISIN!$C:$C,0))),)</f>
        <v/>
      </c>
      <c r="R503" s="38" t="str">
        <f t="array" ref="R503">IF($E503&lt;&gt;""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7" t="str">
        <f t="shared" si="1"/>
        <v/>
      </c>
      <c r="T503" s="39" t="str">
        <f t="shared" si="2"/>
        <v/>
      </c>
      <c r="U503" s="40" t="str">
        <f t="shared" si="3"/>
        <v/>
      </c>
      <c r="V503" s="34" t="str">
        <f t="shared" si="4"/>
        <v/>
      </c>
      <c r="W503" s="41" t="str">
        <f>IFERROR(__xludf.DUMMYFUNCTION(" IF(Account!$F503&lt;&gt;"""", SPLIT(Account!$F503, "" ""), """")"),"")</f>
        <v/>
      </c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</row>
    <row r="504">
      <c r="A504" s="20"/>
      <c r="B504" s="20"/>
      <c r="C504" s="20"/>
      <c r="D504" s="20"/>
      <c r="E504" s="20"/>
      <c r="F504" s="21"/>
      <c r="G504" s="20"/>
      <c r="H504" s="20"/>
      <c r="I504" s="20"/>
      <c r="J504" s="20"/>
      <c r="K504" s="20"/>
      <c r="L504" s="21"/>
      <c r="M504" s="33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4" t="str">
        <f>IFERROR(__xludf.DUMMYFUNCTION("IF(Account!$F504&lt;&gt;"""", VALUE(REGEXREPLACE($I504, ""\,"", ""."")), """")"),"")</f>
        <v/>
      </c>
      <c r="O504" s="35" t="str">
        <f>IF(Account!$F504&lt;&gt;"", DATEVALUE(MID($A504,4,3) &amp; LEFT($A504,3) &amp; RIGHT($A504,4)) + TIMEVALUE($B504), "")</f>
        <v/>
      </c>
      <c r="P504" s="36" t="str">
        <f>IF(Account!$F504&lt;&gt;"", DATEVALUE(MID($C504,4,3) &amp; LEFT($C504,3) &amp; RIGHT($C504,4)), "")</f>
        <v/>
      </c>
      <c r="Q504" s="37" t="str">
        <f t="array" ref="Q504">IF($R504&lt;&gt;"",IFERROR(INDEX(ISIN!$B:$B,MATCH($R504,ISIN!$C:$C,0))),)</f>
        <v/>
      </c>
      <c r="R504" s="38" t="str">
        <f t="array" ref="R504">IF($E504&lt;&gt;""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7" t="str">
        <f t="shared" si="1"/>
        <v/>
      </c>
      <c r="T504" s="39" t="str">
        <f t="shared" si="2"/>
        <v/>
      </c>
      <c r="U504" s="40" t="str">
        <f t="shared" si="3"/>
        <v/>
      </c>
      <c r="V504" s="34" t="str">
        <f t="shared" si="4"/>
        <v/>
      </c>
      <c r="W504" s="41" t="str">
        <f>IFERROR(__xludf.DUMMYFUNCTION(" IF(Account!$F504&lt;&gt;"""", SPLIT(Account!$F504, "" ""), """")"),"")</f>
        <v/>
      </c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</row>
    <row r="505">
      <c r="A505" s="20"/>
      <c r="B505" s="20"/>
      <c r="C505" s="20"/>
      <c r="D505" s="20"/>
      <c r="E505" s="20"/>
      <c r="F505" s="21"/>
      <c r="G505" s="45"/>
      <c r="H505" s="20"/>
      <c r="I505" s="20"/>
      <c r="J505" s="20"/>
      <c r="K505" s="20"/>
      <c r="L505" s="21"/>
      <c r="M505" s="33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4" t="str">
        <f>IFERROR(__xludf.DUMMYFUNCTION("IF(Account!$F505&lt;&gt;"""", VALUE(REGEXREPLACE($I505, ""\,"", ""."")), """")"),"")</f>
        <v/>
      </c>
      <c r="O505" s="35" t="str">
        <f>IF(Account!$F505&lt;&gt;"", DATEVALUE(MID($A505,4,3) &amp; LEFT($A505,3) &amp; RIGHT($A505,4)) + TIMEVALUE($B505), "")</f>
        <v/>
      </c>
      <c r="P505" s="36" t="str">
        <f>IF(Account!$F505&lt;&gt;"", DATEVALUE(MID($C505,4,3) &amp; LEFT($C505,3) &amp; RIGHT($C505,4)), "")</f>
        <v/>
      </c>
      <c r="Q505" s="37" t="str">
        <f t="array" ref="Q505">IF($R505&lt;&gt;"",IFERROR(INDEX(ISIN!$B:$B,MATCH($R505,ISIN!$C:$C,0))),)</f>
        <v/>
      </c>
      <c r="R505" s="38" t="str">
        <f t="array" ref="R505">IF($E505&lt;&gt;""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7" t="str">
        <f t="shared" si="1"/>
        <v/>
      </c>
      <c r="T505" s="39" t="str">
        <f t="shared" si="2"/>
        <v/>
      </c>
      <c r="U505" s="40" t="str">
        <f t="shared" si="3"/>
        <v/>
      </c>
      <c r="V505" s="34" t="str">
        <f t="shared" si="4"/>
        <v/>
      </c>
      <c r="W505" s="41" t="str">
        <f>IFERROR(__xludf.DUMMYFUNCTION(" IF(Account!$F505&lt;&gt;"""", SPLIT(Account!$F505, "" ""), """")"),"")</f>
        <v/>
      </c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</row>
    <row r="506">
      <c r="A506" s="20"/>
      <c r="B506" s="20"/>
      <c r="C506" s="20"/>
      <c r="D506" s="20"/>
      <c r="E506" s="20"/>
      <c r="F506" s="21"/>
      <c r="G506" s="20"/>
      <c r="H506" s="20"/>
      <c r="I506" s="20"/>
      <c r="J506" s="20"/>
      <c r="K506" s="20"/>
      <c r="L506" s="21"/>
      <c r="M506" s="33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4" t="str">
        <f>IFERROR(__xludf.DUMMYFUNCTION("IF(Account!$F506&lt;&gt;"""", VALUE(REGEXREPLACE($I506, ""\,"", ""."")), """")"),"")</f>
        <v/>
      </c>
      <c r="O506" s="35" t="str">
        <f>IF(Account!$F506&lt;&gt;"", DATEVALUE(MID($A506,4,3) &amp; LEFT($A506,3) &amp; RIGHT($A506,4)) + TIMEVALUE($B506), "")</f>
        <v/>
      </c>
      <c r="P506" s="36" t="str">
        <f>IF(Account!$F506&lt;&gt;"", DATEVALUE(MID($C506,4,3) &amp; LEFT($C506,3) &amp; RIGHT($C506,4)), "")</f>
        <v/>
      </c>
      <c r="Q506" s="37" t="str">
        <f t="array" ref="Q506">IF($R506&lt;&gt;"",IFERROR(INDEX(ISIN!$B:$B,MATCH($R506,ISIN!$C:$C,0))),)</f>
        <v/>
      </c>
      <c r="R506" s="38" t="str">
        <f t="array" ref="R506">IF($E506&lt;&gt;""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7" t="str">
        <f t="shared" si="1"/>
        <v/>
      </c>
      <c r="T506" s="39" t="str">
        <f t="shared" si="2"/>
        <v/>
      </c>
      <c r="U506" s="40" t="str">
        <f t="shared" si="3"/>
        <v/>
      </c>
      <c r="V506" s="34" t="str">
        <f t="shared" si="4"/>
        <v/>
      </c>
      <c r="W506" s="41" t="str">
        <f>IFERROR(__xludf.DUMMYFUNCTION(" IF(Account!$F506&lt;&gt;"""", SPLIT(Account!$F506, "" ""), """")"),"")</f>
        <v/>
      </c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</row>
    <row r="507">
      <c r="A507" s="20"/>
      <c r="B507" s="20"/>
      <c r="C507" s="20"/>
      <c r="D507" s="20"/>
      <c r="E507" s="20"/>
      <c r="F507" s="21"/>
      <c r="G507" s="45"/>
      <c r="H507" s="20"/>
      <c r="I507" s="20"/>
      <c r="J507" s="20"/>
      <c r="K507" s="20"/>
      <c r="L507" s="21"/>
      <c r="M507" s="33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4" t="str">
        <f>IFERROR(__xludf.DUMMYFUNCTION("IF(Account!$F507&lt;&gt;"""", VALUE(REGEXREPLACE($I507, ""\,"", ""."")), """")"),"")</f>
        <v/>
      </c>
      <c r="O507" s="35" t="str">
        <f>IF(Account!$F507&lt;&gt;"", DATEVALUE(MID($A507,4,3) &amp; LEFT($A507,3) &amp; RIGHT($A507,4)) + TIMEVALUE($B507), "")</f>
        <v/>
      </c>
      <c r="P507" s="36" t="str">
        <f>IF(Account!$F507&lt;&gt;"", DATEVALUE(MID($C507,4,3) &amp; LEFT($C507,3) &amp; RIGHT($C507,4)), "")</f>
        <v/>
      </c>
      <c r="Q507" s="37" t="str">
        <f t="array" ref="Q507">IF($R507&lt;&gt;"",IFERROR(INDEX(ISIN!$B:$B,MATCH($R507,ISIN!$C:$C,0))),)</f>
        <v/>
      </c>
      <c r="R507" s="38" t="str">
        <f t="array" ref="R507">IF($E507&lt;&gt;""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7" t="str">
        <f t="shared" si="1"/>
        <v/>
      </c>
      <c r="T507" s="39" t="str">
        <f t="shared" si="2"/>
        <v/>
      </c>
      <c r="U507" s="40" t="str">
        <f t="shared" si="3"/>
        <v/>
      </c>
      <c r="V507" s="34" t="str">
        <f t="shared" si="4"/>
        <v/>
      </c>
      <c r="W507" s="41" t="str">
        <f>IFERROR(__xludf.DUMMYFUNCTION(" IF(Account!$F507&lt;&gt;"""", SPLIT(Account!$F507, "" ""), """")"),"")</f>
        <v/>
      </c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</row>
    <row r="508">
      <c r="A508" s="20"/>
      <c r="B508" s="20"/>
      <c r="C508" s="20"/>
      <c r="D508" s="20"/>
      <c r="E508" s="20"/>
      <c r="F508" s="21"/>
      <c r="G508" s="45"/>
      <c r="H508" s="20"/>
      <c r="I508" s="20"/>
      <c r="J508" s="20"/>
      <c r="K508" s="20"/>
      <c r="L508" s="21"/>
      <c r="M508" s="33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4" t="str">
        <f>IFERROR(__xludf.DUMMYFUNCTION("IF(Account!$F508&lt;&gt;"""", VALUE(REGEXREPLACE($I508, ""\,"", ""."")), """")"),"")</f>
        <v/>
      </c>
      <c r="O508" s="35" t="str">
        <f>IF(Account!$F508&lt;&gt;"", DATEVALUE(MID($A508,4,3) &amp; LEFT($A508,3) &amp; RIGHT($A508,4)) + TIMEVALUE($B508), "")</f>
        <v/>
      </c>
      <c r="P508" s="36" t="str">
        <f>IF(Account!$F508&lt;&gt;"", DATEVALUE(MID($C508,4,3) &amp; LEFT($C508,3) &amp; RIGHT($C508,4)), "")</f>
        <v/>
      </c>
      <c r="Q508" s="37" t="str">
        <f t="array" ref="Q508">IF($R508&lt;&gt;"",IFERROR(INDEX(ISIN!$B:$B,MATCH($R508,ISIN!$C:$C,0))),)</f>
        <v/>
      </c>
      <c r="R508" s="38" t="str">
        <f t="array" ref="R508">IF($E508&lt;&gt;""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7" t="str">
        <f t="shared" si="1"/>
        <v/>
      </c>
      <c r="T508" s="39" t="str">
        <f t="shared" si="2"/>
        <v/>
      </c>
      <c r="U508" s="40" t="str">
        <f t="shared" si="3"/>
        <v/>
      </c>
      <c r="V508" s="34" t="str">
        <f t="shared" si="4"/>
        <v/>
      </c>
      <c r="W508" s="41" t="str">
        <f>IFERROR(__xludf.DUMMYFUNCTION(" IF(Account!$F508&lt;&gt;"""", SPLIT(Account!$F508, "" ""), """")"),"")</f>
        <v/>
      </c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</row>
    <row r="509">
      <c r="A509" s="20"/>
      <c r="B509" s="20"/>
      <c r="C509" s="20"/>
      <c r="D509" s="20"/>
      <c r="E509" s="20"/>
      <c r="F509" s="21"/>
      <c r="G509" s="20"/>
      <c r="H509" s="20"/>
      <c r="I509" s="20"/>
      <c r="J509" s="20"/>
      <c r="K509" s="20"/>
      <c r="L509" s="21"/>
      <c r="M509" s="33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4" t="str">
        <f>IFERROR(__xludf.DUMMYFUNCTION("IF(Account!$F509&lt;&gt;"""", VALUE(REGEXREPLACE($I509, ""\,"", ""."")), """")"),"")</f>
        <v/>
      </c>
      <c r="O509" s="35" t="str">
        <f>IF(Account!$F509&lt;&gt;"", DATEVALUE(MID($A509,4,3) &amp; LEFT($A509,3) &amp; RIGHT($A509,4)) + TIMEVALUE($B509), "")</f>
        <v/>
      </c>
      <c r="P509" s="36" t="str">
        <f>IF(Account!$F509&lt;&gt;"", DATEVALUE(MID($C509,4,3) &amp; LEFT($C509,3) &amp; RIGHT($C509,4)), "")</f>
        <v/>
      </c>
      <c r="Q509" s="37" t="str">
        <f t="array" ref="Q509">IF($R509&lt;&gt;"",IFERROR(INDEX(ISIN!$B:$B,MATCH($R509,ISIN!$C:$C,0))),)</f>
        <v/>
      </c>
      <c r="R509" s="38" t="str">
        <f t="array" ref="R509">IF($E509&lt;&gt;""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7" t="str">
        <f t="shared" si="1"/>
        <v/>
      </c>
      <c r="T509" s="39" t="str">
        <f t="shared" si="2"/>
        <v/>
      </c>
      <c r="U509" s="40" t="str">
        <f t="shared" si="3"/>
        <v/>
      </c>
      <c r="V509" s="34" t="str">
        <f t="shared" si="4"/>
        <v/>
      </c>
      <c r="W509" s="41" t="str">
        <f>IFERROR(__xludf.DUMMYFUNCTION(" IF(Account!$F509&lt;&gt;"""", SPLIT(Account!$F509, "" ""), """")"),"")</f>
        <v/>
      </c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</row>
    <row r="510">
      <c r="A510" s="20"/>
      <c r="B510" s="20"/>
      <c r="C510" s="20"/>
      <c r="D510" s="20"/>
      <c r="E510" s="20"/>
      <c r="F510" s="21"/>
      <c r="G510" s="20"/>
      <c r="H510" s="20"/>
      <c r="I510" s="20"/>
      <c r="J510" s="20"/>
      <c r="K510" s="20"/>
      <c r="L510" s="21"/>
      <c r="M510" s="33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4" t="str">
        <f>IFERROR(__xludf.DUMMYFUNCTION("IF(Account!$F510&lt;&gt;"""", VALUE(REGEXREPLACE($I510, ""\,"", ""."")), """")"),"")</f>
        <v/>
      </c>
      <c r="O510" s="35" t="str">
        <f>IF(Account!$F510&lt;&gt;"", DATEVALUE(MID($A510,4,3) &amp; LEFT($A510,3) &amp; RIGHT($A510,4)) + TIMEVALUE($B510), "")</f>
        <v/>
      </c>
      <c r="P510" s="36" t="str">
        <f>IF(Account!$F510&lt;&gt;"", DATEVALUE(MID($C510,4,3) &amp; LEFT($C510,3) &amp; RIGHT($C510,4)), "")</f>
        <v/>
      </c>
      <c r="Q510" s="37" t="str">
        <f t="array" ref="Q510">IF($R510&lt;&gt;"",IFERROR(INDEX(ISIN!$B:$B,MATCH($R510,ISIN!$C:$C,0))),)</f>
        <v/>
      </c>
      <c r="R510" s="38" t="str">
        <f t="array" ref="R510">IF($E510&lt;&gt;""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7" t="str">
        <f t="shared" si="1"/>
        <v/>
      </c>
      <c r="T510" s="39" t="str">
        <f t="shared" si="2"/>
        <v/>
      </c>
      <c r="U510" s="40" t="str">
        <f t="shared" si="3"/>
        <v/>
      </c>
      <c r="V510" s="34" t="str">
        <f t="shared" si="4"/>
        <v/>
      </c>
      <c r="W510" s="41" t="str">
        <f>IFERROR(__xludf.DUMMYFUNCTION(" IF(Account!$F510&lt;&gt;"""", SPLIT(Account!$F510, "" ""), """")"),"")</f>
        <v/>
      </c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</row>
    <row r="511">
      <c r="A511" s="20"/>
      <c r="B511" s="20"/>
      <c r="C511" s="20"/>
      <c r="D511" s="20"/>
      <c r="E511" s="20"/>
      <c r="F511" s="21"/>
      <c r="G511" s="20"/>
      <c r="H511" s="20"/>
      <c r="I511" s="20"/>
      <c r="J511" s="20"/>
      <c r="K511" s="20"/>
      <c r="L511" s="21"/>
      <c r="M511" s="33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4" t="str">
        <f>IFERROR(__xludf.DUMMYFUNCTION("IF(Account!$F511&lt;&gt;"""", VALUE(REGEXREPLACE($I511, ""\,"", ""."")), """")"),"")</f>
        <v/>
      </c>
      <c r="O511" s="35" t="str">
        <f>IF(Account!$F511&lt;&gt;"", DATEVALUE(MID($A511,4,3) &amp; LEFT($A511,3) &amp; RIGHT($A511,4)) + TIMEVALUE($B511), "")</f>
        <v/>
      </c>
      <c r="P511" s="36" t="str">
        <f>IF(Account!$F511&lt;&gt;"", DATEVALUE(MID($C511,4,3) &amp; LEFT($C511,3) &amp; RIGHT($C511,4)), "")</f>
        <v/>
      </c>
      <c r="Q511" s="37" t="str">
        <f t="array" ref="Q511">IF($R511&lt;&gt;"",IFERROR(INDEX(ISIN!$B:$B,MATCH($R511,ISIN!$C:$C,0))),)</f>
        <v/>
      </c>
      <c r="R511" s="38" t="str">
        <f t="array" ref="R511">IF($E511&lt;&gt;""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7" t="str">
        <f t="shared" si="1"/>
        <v/>
      </c>
      <c r="T511" s="39" t="str">
        <f t="shared" si="2"/>
        <v/>
      </c>
      <c r="U511" s="40" t="str">
        <f t="shared" si="3"/>
        <v/>
      </c>
      <c r="V511" s="34" t="str">
        <f t="shared" si="4"/>
        <v/>
      </c>
      <c r="W511" s="41" t="str">
        <f>IFERROR(__xludf.DUMMYFUNCTION(" IF(Account!$F511&lt;&gt;"""", SPLIT(Account!$F511, "" ""), """")"),"")</f>
        <v/>
      </c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</row>
    <row r="512">
      <c r="A512" s="20"/>
      <c r="B512" s="20"/>
      <c r="C512" s="20"/>
      <c r="D512" s="20"/>
      <c r="E512" s="20"/>
      <c r="F512" s="21"/>
      <c r="G512" s="20"/>
      <c r="H512" s="20"/>
      <c r="I512" s="20"/>
      <c r="J512" s="20"/>
      <c r="K512" s="20"/>
      <c r="L512" s="21"/>
      <c r="M512" s="33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4" t="str">
        <f>IFERROR(__xludf.DUMMYFUNCTION("IF(Account!$F512&lt;&gt;"""", VALUE(REGEXREPLACE($I512, ""\,"", ""."")), """")"),"")</f>
        <v/>
      </c>
      <c r="O512" s="35" t="str">
        <f>IF(Account!$F512&lt;&gt;"", DATEVALUE(MID($A512,4,3) &amp; LEFT($A512,3) &amp; RIGHT($A512,4)) + TIMEVALUE($B512), "")</f>
        <v/>
      </c>
      <c r="P512" s="36" t="str">
        <f>IF(Account!$F512&lt;&gt;"", DATEVALUE(MID($C512,4,3) &amp; LEFT($C512,3) &amp; RIGHT($C512,4)), "")</f>
        <v/>
      </c>
      <c r="Q512" s="37" t="str">
        <f t="array" ref="Q512">IF($R512&lt;&gt;"",IFERROR(INDEX(ISIN!$B:$B,MATCH($R512,ISIN!$C:$C,0))),)</f>
        <v/>
      </c>
      <c r="R512" s="38" t="str">
        <f t="array" ref="R512">IF($E512&lt;&gt;""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7" t="str">
        <f t="shared" si="1"/>
        <v/>
      </c>
      <c r="T512" s="39" t="str">
        <f t="shared" si="2"/>
        <v/>
      </c>
      <c r="U512" s="40" t="str">
        <f t="shared" si="3"/>
        <v/>
      </c>
      <c r="V512" s="34" t="str">
        <f t="shared" si="4"/>
        <v/>
      </c>
      <c r="W512" s="41" t="str">
        <f>IFERROR(__xludf.DUMMYFUNCTION(" IF(Account!$F512&lt;&gt;"""", SPLIT(Account!$F512, "" ""), """")"),"")</f>
        <v/>
      </c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</row>
    <row r="513">
      <c r="A513" s="20"/>
      <c r="B513" s="20"/>
      <c r="C513" s="20"/>
      <c r="D513" s="20"/>
      <c r="E513" s="20"/>
      <c r="F513" s="21"/>
      <c r="G513" s="45"/>
      <c r="H513" s="20"/>
      <c r="I513" s="20"/>
      <c r="J513" s="20"/>
      <c r="K513" s="20"/>
      <c r="L513" s="21"/>
      <c r="M513" s="33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4" t="str">
        <f>IFERROR(__xludf.DUMMYFUNCTION("IF(Account!$F513&lt;&gt;"""", VALUE(REGEXREPLACE($I513, ""\,"", ""."")), """")"),"")</f>
        <v/>
      </c>
      <c r="O513" s="35" t="str">
        <f>IF(Account!$F513&lt;&gt;"", DATEVALUE(MID($A513,4,3) &amp; LEFT($A513,3) &amp; RIGHT($A513,4)) + TIMEVALUE($B513), "")</f>
        <v/>
      </c>
      <c r="P513" s="36" t="str">
        <f>IF(Account!$F513&lt;&gt;"", DATEVALUE(MID($C513,4,3) &amp; LEFT($C513,3) &amp; RIGHT($C513,4)), "")</f>
        <v/>
      </c>
      <c r="Q513" s="37" t="str">
        <f t="array" ref="Q513">IF($R513&lt;&gt;"",IFERROR(INDEX(ISIN!$B:$B,MATCH($R513,ISIN!$C:$C,0))),)</f>
        <v/>
      </c>
      <c r="R513" s="38" t="str">
        <f t="array" ref="R513">IF($E513&lt;&gt;""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7" t="str">
        <f t="shared" si="1"/>
        <v/>
      </c>
      <c r="T513" s="39" t="str">
        <f t="shared" si="2"/>
        <v/>
      </c>
      <c r="U513" s="40" t="str">
        <f t="shared" si="3"/>
        <v/>
      </c>
      <c r="V513" s="34" t="str">
        <f t="shared" si="4"/>
        <v/>
      </c>
      <c r="W513" s="41" t="str">
        <f>IFERROR(__xludf.DUMMYFUNCTION(" IF(Account!$F513&lt;&gt;"""", SPLIT(Account!$F513, "" ""), """")"),"")</f>
        <v/>
      </c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</row>
    <row r="514">
      <c r="A514" s="20"/>
      <c r="B514" s="20"/>
      <c r="C514" s="20"/>
      <c r="D514" s="20"/>
      <c r="E514" s="20"/>
      <c r="F514" s="21"/>
      <c r="G514" s="20"/>
      <c r="H514" s="20"/>
      <c r="I514" s="20"/>
      <c r="J514" s="20"/>
      <c r="K514" s="20"/>
      <c r="L514" s="21"/>
      <c r="M514" s="33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4" t="str">
        <f>IFERROR(__xludf.DUMMYFUNCTION("IF(Account!$F514&lt;&gt;"""", VALUE(REGEXREPLACE($I514, ""\,"", ""."")), """")"),"")</f>
        <v/>
      </c>
      <c r="O514" s="35" t="str">
        <f>IF(Account!$F514&lt;&gt;"", DATEVALUE(MID($A514,4,3) &amp; LEFT($A514,3) &amp; RIGHT($A514,4)) + TIMEVALUE($B514), "")</f>
        <v/>
      </c>
      <c r="P514" s="36" t="str">
        <f>IF(Account!$F514&lt;&gt;"", DATEVALUE(MID($C514,4,3) &amp; LEFT($C514,3) &amp; RIGHT($C514,4)), "")</f>
        <v/>
      </c>
      <c r="Q514" s="37" t="str">
        <f t="array" ref="Q514">IF($R514&lt;&gt;"",IFERROR(INDEX(ISIN!$B:$B,MATCH($R514,ISIN!$C:$C,0))),)</f>
        <v/>
      </c>
      <c r="R514" s="38" t="str">
        <f t="array" ref="R514">IF($E514&lt;&gt;""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7" t="str">
        <f t="shared" si="1"/>
        <v/>
      </c>
      <c r="T514" s="39" t="str">
        <f t="shared" si="2"/>
        <v/>
      </c>
      <c r="U514" s="40" t="str">
        <f t="shared" si="3"/>
        <v/>
      </c>
      <c r="V514" s="34" t="str">
        <f t="shared" si="4"/>
        <v/>
      </c>
      <c r="W514" s="41" t="str">
        <f>IFERROR(__xludf.DUMMYFUNCTION(" IF(Account!$F514&lt;&gt;"""", SPLIT(Account!$F514, "" ""), """")"),"")</f>
        <v/>
      </c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</row>
    <row r="515">
      <c r="A515" s="20"/>
      <c r="B515" s="20"/>
      <c r="C515" s="20"/>
      <c r="D515" s="20"/>
      <c r="E515" s="20"/>
      <c r="F515" s="21"/>
      <c r="G515" s="45"/>
      <c r="H515" s="20"/>
      <c r="I515" s="20"/>
      <c r="J515" s="20"/>
      <c r="K515" s="20"/>
      <c r="L515" s="21"/>
      <c r="M515" s="33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4" t="str">
        <f>IFERROR(__xludf.DUMMYFUNCTION("IF(Account!$F515&lt;&gt;"""", VALUE(REGEXREPLACE($I515, ""\,"", ""."")), """")"),"")</f>
        <v/>
      </c>
      <c r="O515" s="35" t="str">
        <f>IF(Account!$F515&lt;&gt;"", DATEVALUE(MID($A515,4,3) &amp; LEFT($A515,3) &amp; RIGHT($A515,4)) + TIMEVALUE($B515), "")</f>
        <v/>
      </c>
      <c r="P515" s="36" t="str">
        <f>IF(Account!$F515&lt;&gt;"", DATEVALUE(MID($C515,4,3) &amp; LEFT($C515,3) &amp; RIGHT($C515,4)), "")</f>
        <v/>
      </c>
      <c r="Q515" s="37" t="str">
        <f t="array" ref="Q515">IF($R515&lt;&gt;"",IFERROR(INDEX(ISIN!$B:$B,MATCH($R515,ISIN!$C:$C,0))),)</f>
        <v/>
      </c>
      <c r="R515" s="38" t="str">
        <f t="array" ref="R515">IF($E515&lt;&gt;""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7" t="str">
        <f t="shared" si="1"/>
        <v/>
      </c>
      <c r="T515" s="39" t="str">
        <f t="shared" si="2"/>
        <v/>
      </c>
      <c r="U515" s="40" t="str">
        <f t="shared" si="3"/>
        <v/>
      </c>
      <c r="V515" s="34" t="str">
        <f t="shared" si="4"/>
        <v/>
      </c>
      <c r="W515" s="41" t="str">
        <f>IFERROR(__xludf.DUMMYFUNCTION(" IF(Account!$F515&lt;&gt;"""", SPLIT(Account!$F515, "" ""), """")"),"")</f>
        <v/>
      </c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</row>
    <row r="516">
      <c r="A516" s="20"/>
      <c r="B516" s="20"/>
      <c r="C516" s="20"/>
      <c r="D516" s="20"/>
      <c r="E516" s="20"/>
      <c r="F516" s="21"/>
      <c r="G516" s="20"/>
      <c r="H516" s="20"/>
      <c r="I516" s="20"/>
      <c r="J516" s="20"/>
      <c r="K516" s="20"/>
      <c r="L516" s="21"/>
      <c r="M516" s="33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4" t="str">
        <f>IFERROR(__xludf.DUMMYFUNCTION("IF(Account!$F516&lt;&gt;"""", VALUE(REGEXREPLACE($I516, ""\,"", ""."")), """")"),"")</f>
        <v/>
      </c>
      <c r="O516" s="35" t="str">
        <f>IF(Account!$F516&lt;&gt;"", DATEVALUE(MID($A516,4,3) &amp; LEFT($A516,3) &amp; RIGHT($A516,4)) + TIMEVALUE($B516), "")</f>
        <v/>
      </c>
      <c r="P516" s="36" t="str">
        <f>IF(Account!$F516&lt;&gt;"", DATEVALUE(MID($C516,4,3) &amp; LEFT($C516,3) &amp; RIGHT($C516,4)), "")</f>
        <v/>
      </c>
      <c r="Q516" s="37" t="str">
        <f t="array" ref="Q516">IF($R516&lt;&gt;"",IFERROR(INDEX(ISIN!$B:$B,MATCH($R516,ISIN!$C:$C,0))),)</f>
        <v/>
      </c>
      <c r="R516" s="38" t="str">
        <f t="array" ref="R516">IF($E516&lt;&gt;""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7" t="str">
        <f t="shared" si="1"/>
        <v/>
      </c>
      <c r="T516" s="39" t="str">
        <f t="shared" si="2"/>
        <v/>
      </c>
      <c r="U516" s="40" t="str">
        <f t="shared" si="3"/>
        <v/>
      </c>
      <c r="V516" s="34" t="str">
        <f t="shared" si="4"/>
        <v/>
      </c>
      <c r="W516" s="41" t="str">
        <f>IFERROR(__xludf.DUMMYFUNCTION(" IF(Account!$F516&lt;&gt;"""", SPLIT(Account!$F516, "" ""), """")"),"")</f>
        <v/>
      </c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</row>
    <row r="517">
      <c r="A517" s="20"/>
      <c r="B517" s="20"/>
      <c r="C517" s="20"/>
      <c r="D517" s="20"/>
      <c r="E517" s="20"/>
      <c r="F517" s="21"/>
      <c r="G517" s="45"/>
      <c r="H517" s="20"/>
      <c r="I517" s="20"/>
      <c r="J517" s="20"/>
      <c r="K517" s="20"/>
      <c r="L517" s="21"/>
      <c r="M517" s="33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4" t="str">
        <f>IFERROR(__xludf.DUMMYFUNCTION("IF(Account!$F517&lt;&gt;"""", VALUE(REGEXREPLACE($I517, ""\,"", ""."")), """")"),"")</f>
        <v/>
      </c>
      <c r="O517" s="35" t="str">
        <f>IF(Account!$F517&lt;&gt;"", DATEVALUE(MID($A517,4,3) &amp; LEFT($A517,3) &amp; RIGHT($A517,4)) + TIMEVALUE($B517), "")</f>
        <v/>
      </c>
      <c r="P517" s="36" t="str">
        <f>IF(Account!$F517&lt;&gt;"", DATEVALUE(MID($C517,4,3) &amp; LEFT($C517,3) &amp; RIGHT($C517,4)), "")</f>
        <v/>
      </c>
      <c r="Q517" s="37" t="str">
        <f t="array" ref="Q517">IF($R517&lt;&gt;"",IFERROR(INDEX(ISIN!$B:$B,MATCH($R517,ISIN!$C:$C,0))),)</f>
        <v/>
      </c>
      <c r="R517" s="38" t="str">
        <f t="array" ref="R517">IF($E517&lt;&gt;""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7" t="str">
        <f t="shared" si="1"/>
        <v/>
      </c>
      <c r="T517" s="39" t="str">
        <f t="shared" si="2"/>
        <v/>
      </c>
      <c r="U517" s="40" t="str">
        <f t="shared" si="3"/>
        <v/>
      </c>
      <c r="V517" s="34" t="str">
        <f t="shared" si="4"/>
        <v/>
      </c>
      <c r="W517" s="41" t="str">
        <f>IFERROR(__xludf.DUMMYFUNCTION(" IF(Account!$F517&lt;&gt;"""", SPLIT(Account!$F517, "" ""), """")"),"")</f>
        <v/>
      </c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</row>
    <row r="518">
      <c r="A518" s="20"/>
      <c r="B518" s="20"/>
      <c r="C518" s="20"/>
      <c r="D518" s="20"/>
      <c r="E518" s="20"/>
      <c r="F518" s="21"/>
      <c r="G518" s="45"/>
      <c r="H518" s="20"/>
      <c r="I518" s="20"/>
      <c r="J518" s="20"/>
      <c r="K518" s="20"/>
      <c r="L518" s="21"/>
      <c r="M518" s="33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4" t="str">
        <f>IFERROR(__xludf.DUMMYFUNCTION("IF(Account!$F518&lt;&gt;"""", VALUE(REGEXREPLACE($I518, ""\,"", ""."")), """")"),"")</f>
        <v/>
      </c>
      <c r="O518" s="35" t="str">
        <f>IF(Account!$F518&lt;&gt;"", DATEVALUE(MID($A518,4,3) &amp; LEFT($A518,3) &amp; RIGHT($A518,4)) + TIMEVALUE($B518), "")</f>
        <v/>
      </c>
      <c r="P518" s="36" t="str">
        <f>IF(Account!$F518&lt;&gt;"", DATEVALUE(MID($C518,4,3) &amp; LEFT($C518,3) &amp; RIGHT($C518,4)), "")</f>
        <v/>
      </c>
      <c r="Q518" s="37" t="str">
        <f t="array" ref="Q518">IF($R518&lt;&gt;"",IFERROR(INDEX(ISIN!$B:$B,MATCH($R518,ISIN!$C:$C,0))),)</f>
        <v/>
      </c>
      <c r="R518" s="38" t="str">
        <f t="array" ref="R518">IF($E518&lt;&gt;""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7" t="str">
        <f t="shared" si="1"/>
        <v/>
      </c>
      <c r="T518" s="39" t="str">
        <f t="shared" si="2"/>
        <v/>
      </c>
      <c r="U518" s="40" t="str">
        <f t="shared" si="3"/>
        <v/>
      </c>
      <c r="V518" s="34" t="str">
        <f t="shared" si="4"/>
        <v/>
      </c>
      <c r="W518" s="41" t="str">
        <f>IFERROR(__xludf.DUMMYFUNCTION(" IF(Account!$F518&lt;&gt;"""", SPLIT(Account!$F518, "" ""), """")"),"")</f>
        <v/>
      </c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</row>
    <row r="519">
      <c r="A519" s="20"/>
      <c r="B519" s="20"/>
      <c r="C519" s="20"/>
      <c r="D519" s="20"/>
      <c r="E519" s="20"/>
      <c r="F519" s="21"/>
      <c r="G519" s="45"/>
      <c r="H519" s="20"/>
      <c r="I519" s="20"/>
      <c r="J519" s="20"/>
      <c r="K519" s="20"/>
      <c r="L519" s="21"/>
      <c r="M519" s="33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4" t="str">
        <f>IFERROR(__xludf.DUMMYFUNCTION("IF(Account!$F519&lt;&gt;"""", VALUE(REGEXREPLACE($I519, ""\,"", ""."")), """")"),"")</f>
        <v/>
      </c>
      <c r="O519" s="35" t="str">
        <f>IF(Account!$F519&lt;&gt;"", DATEVALUE(MID($A519,4,3) &amp; LEFT($A519,3) &amp; RIGHT($A519,4)) + TIMEVALUE($B519), "")</f>
        <v/>
      </c>
      <c r="P519" s="36" t="str">
        <f>IF(Account!$F519&lt;&gt;"", DATEVALUE(MID($C519,4,3) &amp; LEFT($C519,3) &amp; RIGHT($C519,4)), "")</f>
        <v/>
      </c>
      <c r="Q519" s="37" t="str">
        <f t="array" ref="Q519">IF($R519&lt;&gt;"",IFERROR(INDEX(ISIN!$B:$B,MATCH($R519,ISIN!$C:$C,0))),)</f>
        <v/>
      </c>
      <c r="R519" s="38" t="str">
        <f t="array" ref="R519">IF($E519&lt;&gt;""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7" t="str">
        <f t="shared" si="1"/>
        <v/>
      </c>
      <c r="T519" s="39" t="str">
        <f t="shared" si="2"/>
        <v/>
      </c>
      <c r="U519" s="40" t="str">
        <f t="shared" si="3"/>
        <v/>
      </c>
      <c r="V519" s="34" t="str">
        <f t="shared" si="4"/>
        <v/>
      </c>
      <c r="W519" s="41" t="str">
        <f>IFERROR(__xludf.DUMMYFUNCTION(" IF(Account!$F519&lt;&gt;"""", SPLIT(Account!$F519, "" ""), """")"),"")</f>
        <v/>
      </c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</row>
    <row r="520">
      <c r="A520" s="20"/>
      <c r="B520" s="20"/>
      <c r="C520" s="20"/>
      <c r="D520" s="20"/>
      <c r="E520" s="20"/>
      <c r="F520" s="21"/>
      <c r="G520" s="45"/>
      <c r="H520" s="20"/>
      <c r="I520" s="20"/>
      <c r="J520" s="20"/>
      <c r="K520" s="20"/>
      <c r="L520" s="21"/>
      <c r="M520" s="33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4" t="str">
        <f>IFERROR(__xludf.DUMMYFUNCTION("IF(Account!$F520&lt;&gt;"""", VALUE(REGEXREPLACE($I520, ""\,"", ""."")), """")"),"")</f>
        <v/>
      </c>
      <c r="O520" s="35" t="str">
        <f>IF(Account!$F520&lt;&gt;"", DATEVALUE(MID($A520,4,3) &amp; LEFT($A520,3) &amp; RIGHT($A520,4)) + TIMEVALUE($B520), "")</f>
        <v/>
      </c>
      <c r="P520" s="36" t="str">
        <f>IF(Account!$F520&lt;&gt;"", DATEVALUE(MID($C520,4,3) &amp; LEFT($C520,3) &amp; RIGHT($C520,4)), "")</f>
        <v/>
      </c>
      <c r="Q520" s="37" t="str">
        <f t="array" ref="Q520">IF($R520&lt;&gt;"",IFERROR(INDEX(ISIN!$B:$B,MATCH($R520,ISIN!$C:$C,0))),)</f>
        <v/>
      </c>
      <c r="R520" s="38" t="str">
        <f t="array" ref="R520">IF($E520&lt;&gt;""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7" t="str">
        <f t="shared" si="1"/>
        <v/>
      </c>
      <c r="T520" s="39" t="str">
        <f t="shared" si="2"/>
        <v/>
      </c>
      <c r="U520" s="40" t="str">
        <f t="shared" si="3"/>
        <v/>
      </c>
      <c r="V520" s="34" t="str">
        <f t="shared" si="4"/>
        <v/>
      </c>
      <c r="W520" s="41" t="str">
        <f>IFERROR(__xludf.DUMMYFUNCTION(" IF(Account!$F520&lt;&gt;"""", SPLIT(Account!$F520, "" ""), """")"),"")</f>
        <v/>
      </c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</row>
    <row r="521">
      <c r="A521" s="20"/>
      <c r="B521" s="20"/>
      <c r="C521" s="20"/>
      <c r="D521" s="20"/>
      <c r="E521" s="20"/>
      <c r="F521" s="21"/>
      <c r="G521" s="45"/>
      <c r="H521" s="20"/>
      <c r="I521" s="20"/>
      <c r="J521" s="20"/>
      <c r="K521" s="20"/>
      <c r="L521" s="21"/>
      <c r="M521" s="33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4" t="str">
        <f>IFERROR(__xludf.DUMMYFUNCTION("IF(Account!$F521&lt;&gt;"""", VALUE(REGEXREPLACE($I521, ""\,"", ""."")), """")"),"")</f>
        <v/>
      </c>
      <c r="O521" s="35" t="str">
        <f>IF(Account!$F521&lt;&gt;"", DATEVALUE(MID($A521,4,3) &amp; LEFT($A521,3) &amp; RIGHT($A521,4)) + TIMEVALUE($B521), "")</f>
        <v/>
      </c>
      <c r="P521" s="36" t="str">
        <f>IF(Account!$F521&lt;&gt;"", DATEVALUE(MID($C521,4,3) &amp; LEFT($C521,3) &amp; RIGHT($C521,4)), "")</f>
        <v/>
      </c>
      <c r="Q521" s="37" t="str">
        <f t="array" ref="Q521">IF($R521&lt;&gt;"",IFERROR(INDEX(ISIN!$B:$B,MATCH($R521,ISIN!$C:$C,0))),)</f>
        <v/>
      </c>
      <c r="R521" s="38" t="str">
        <f t="array" ref="R521">IF($E521&lt;&gt;""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7" t="str">
        <f t="shared" si="1"/>
        <v/>
      </c>
      <c r="T521" s="39" t="str">
        <f t="shared" si="2"/>
        <v/>
      </c>
      <c r="U521" s="40" t="str">
        <f t="shared" si="3"/>
        <v/>
      </c>
      <c r="V521" s="34" t="str">
        <f t="shared" si="4"/>
        <v/>
      </c>
      <c r="W521" s="41" t="str">
        <f>IFERROR(__xludf.DUMMYFUNCTION(" IF(Account!$F521&lt;&gt;"""", SPLIT(Account!$F521, "" ""), """")"),"")</f>
        <v/>
      </c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</row>
    <row r="522">
      <c r="A522" s="20"/>
      <c r="B522" s="20"/>
      <c r="C522" s="20"/>
      <c r="D522" s="20"/>
      <c r="E522" s="20"/>
      <c r="F522" s="21"/>
      <c r="G522" s="20"/>
      <c r="H522" s="20"/>
      <c r="I522" s="20"/>
      <c r="J522" s="20"/>
      <c r="K522" s="20"/>
      <c r="L522" s="21"/>
      <c r="M522" s="33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4" t="str">
        <f>IFERROR(__xludf.DUMMYFUNCTION("IF(Account!$F522&lt;&gt;"""", VALUE(REGEXREPLACE($I522, ""\,"", ""."")), """")"),"")</f>
        <v/>
      </c>
      <c r="O522" s="35" t="str">
        <f>IF(Account!$F522&lt;&gt;"", DATEVALUE(MID($A522,4,3) &amp; LEFT($A522,3) &amp; RIGHT($A522,4)) + TIMEVALUE($B522), "")</f>
        <v/>
      </c>
      <c r="P522" s="36" t="str">
        <f>IF(Account!$F522&lt;&gt;"", DATEVALUE(MID($C522,4,3) &amp; LEFT($C522,3) &amp; RIGHT($C522,4)), "")</f>
        <v/>
      </c>
      <c r="Q522" s="37" t="str">
        <f t="array" ref="Q522">IF($R522&lt;&gt;"",IFERROR(INDEX(ISIN!$B:$B,MATCH($R522,ISIN!$C:$C,0))),)</f>
        <v/>
      </c>
      <c r="R522" s="38" t="str">
        <f t="array" ref="R522">IF($E522&lt;&gt;""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7" t="str">
        <f t="shared" si="1"/>
        <v/>
      </c>
      <c r="T522" s="39" t="str">
        <f t="shared" si="2"/>
        <v/>
      </c>
      <c r="U522" s="40" t="str">
        <f t="shared" si="3"/>
        <v/>
      </c>
      <c r="V522" s="34" t="str">
        <f t="shared" si="4"/>
        <v/>
      </c>
      <c r="W522" s="41" t="str">
        <f>IFERROR(__xludf.DUMMYFUNCTION(" IF(Account!$F522&lt;&gt;"""", SPLIT(Account!$F522, "" ""), """")"),"")</f>
        <v/>
      </c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</row>
    <row r="523">
      <c r="A523" s="20"/>
      <c r="B523" s="20"/>
      <c r="C523" s="20"/>
      <c r="D523" s="20"/>
      <c r="E523" s="20"/>
      <c r="F523" s="21"/>
      <c r="G523" s="45"/>
      <c r="H523" s="20"/>
      <c r="I523" s="20"/>
      <c r="J523" s="20"/>
      <c r="K523" s="20"/>
      <c r="L523" s="21"/>
      <c r="M523" s="33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4" t="str">
        <f>IFERROR(__xludf.DUMMYFUNCTION("IF(Account!$F523&lt;&gt;"""", VALUE(REGEXREPLACE($I523, ""\,"", ""."")), """")"),"")</f>
        <v/>
      </c>
      <c r="O523" s="35" t="str">
        <f>IF(Account!$F523&lt;&gt;"", DATEVALUE(MID($A523,4,3) &amp; LEFT($A523,3) &amp; RIGHT($A523,4)) + TIMEVALUE($B523), "")</f>
        <v/>
      </c>
      <c r="P523" s="36" t="str">
        <f>IF(Account!$F523&lt;&gt;"", DATEVALUE(MID($C523,4,3) &amp; LEFT($C523,3) &amp; RIGHT($C523,4)), "")</f>
        <v/>
      </c>
      <c r="Q523" s="37" t="str">
        <f t="array" ref="Q523">IF($R523&lt;&gt;"",IFERROR(INDEX(ISIN!$B:$B,MATCH($R523,ISIN!$C:$C,0))),)</f>
        <v/>
      </c>
      <c r="R523" s="38" t="str">
        <f t="array" ref="R523">IF($E523&lt;&gt;""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7" t="str">
        <f t="shared" si="1"/>
        <v/>
      </c>
      <c r="T523" s="39" t="str">
        <f t="shared" si="2"/>
        <v/>
      </c>
      <c r="U523" s="40" t="str">
        <f t="shared" si="3"/>
        <v/>
      </c>
      <c r="V523" s="34" t="str">
        <f t="shared" si="4"/>
        <v/>
      </c>
      <c r="W523" s="41" t="str">
        <f>IFERROR(__xludf.DUMMYFUNCTION(" IF(Account!$F523&lt;&gt;"""", SPLIT(Account!$F523, "" ""), """")"),"")</f>
        <v/>
      </c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</row>
    <row r="524">
      <c r="A524" s="20"/>
      <c r="B524" s="20"/>
      <c r="C524" s="20"/>
      <c r="D524" s="20"/>
      <c r="E524" s="20"/>
      <c r="F524" s="21"/>
      <c r="G524" s="45"/>
      <c r="H524" s="20"/>
      <c r="I524" s="20"/>
      <c r="J524" s="20"/>
      <c r="K524" s="20"/>
      <c r="L524" s="21"/>
      <c r="M524" s="33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4" t="str">
        <f>IFERROR(__xludf.DUMMYFUNCTION("IF(Account!$F524&lt;&gt;"""", VALUE(REGEXREPLACE($I524, ""\,"", ""."")), """")"),"")</f>
        <v/>
      </c>
      <c r="O524" s="35" t="str">
        <f>IF(Account!$F524&lt;&gt;"", DATEVALUE(MID($A524,4,3) &amp; LEFT($A524,3) &amp; RIGHT($A524,4)) + TIMEVALUE($B524), "")</f>
        <v/>
      </c>
      <c r="P524" s="36" t="str">
        <f>IF(Account!$F524&lt;&gt;"", DATEVALUE(MID($C524,4,3) &amp; LEFT($C524,3) &amp; RIGHT($C524,4)), "")</f>
        <v/>
      </c>
      <c r="Q524" s="37" t="str">
        <f t="array" ref="Q524">IF($R524&lt;&gt;"",IFERROR(INDEX(ISIN!$B:$B,MATCH($R524,ISIN!$C:$C,0))),)</f>
        <v/>
      </c>
      <c r="R524" s="38" t="str">
        <f t="array" ref="R524">IF($E524&lt;&gt;""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7" t="str">
        <f t="shared" si="1"/>
        <v/>
      </c>
      <c r="T524" s="39" t="str">
        <f t="shared" si="2"/>
        <v/>
      </c>
      <c r="U524" s="40" t="str">
        <f t="shared" si="3"/>
        <v/>
      </c>
      <c r="V524" s="34" t="str">
        <f t="shared" si="4"/>
        <v/>
      </c>
      <c r="W524" s="41" t="str">
        <f>IFERROR(__xludf.DUMMYFUNCTION(" IF(Account!$F524&lt;&gt;"""", SPLIT(Account!$F524, "" ""), """")"),"")</f>
        <v/>
      </c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</row>
    <row r="525">
      <c r="A525" s="20"/>
      <c r="B525" s="20"/>
      <c r="C525" s="20"/>
      <c r="D525" s="20"/>
      <c r="E525" s="20"/>
      <c r="F525" s="21"/>
      <c r="G525" s="20"/>
      <c r="H525" s="20"/>
      <c r="I525" s="20"/>
      <c r="J525" s="20"/>
      <c r="K525" s="20"/>
      <c r="L525" s="21"/>
      <c r="M525" s="33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4" t="str">
        <f>IFERROR(__xludf.DUMMYFUNCTION("IF(Account!$F525&lt;&gt;"""", VALUE(REGEXREPLACE($I525, ""\,"", ""."")), """")"),"")</f>
        <v/>
      </c>
      <c r="O525" s="35" t="str">
        <f>IF(Account!$F525&lt;&gt;"", DATEVALUE(MID($A525,4,3) &amp; LEFT($A525,3) &amp; RIGHT($A525,4)) + TIMEVALUE($B525), "")</f>
        <v/>
      </c>
      <c r="P525" s="36" t="str">
        <f>IF(Account!$F525&lt;&gt;"", DATEVALUE(MID($C525,4,3) &amp; LEFT($C525,3) &amp; RIGHT($C525,4)), "")</f>
        <v/>
      </c>
      <c r="Q525" s="37" t="str">
        <f t="array" ref="Q525">IF($R525&lt;&gt;"",IFERROR(INDEX(ISIN!$B:$B,MATCH($R525,ISIN!$C:$C,0))),)</f>
        <v/>
      </c>
      <c r="R525" s="38" t="str">
        <f t="array" ref="R525">IF($E525&lt;&gt;""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7" t="str">
        <f t="shared" si="1"/>
        <v/>
      </c>
      <c r="T525" s="39" t="str">
        <f t="shared" si="2"/>
        <v/>
      </c>
      <c r="U525" s="40" t="str">
        <f t="shared" si="3"/>
        <v/>
      </c>
      <c r="V525" s="34" t="str">
        <f t="shared" si="4"/>
        <v/>
      </c>
      <c r="W525" s="41" t="str">
        <f>IFERROR(__xludf.DUMMYFUNCTION(" IF(Account!$F525&lt;&gt;"""", SPLIT(Account!$F525, "" ""), """")"),"")</f>
        <v/>
      </c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</row>
    <row r="526">
      <c r="A526" s="20"/>
      <c r="B526" s="20"/>
      <c r="C526" s="20"/>
      <c r="D526" s="20"/>
      <c r="E526" s="20"/>
      <c r="F526" s="21"/>
      <c r="G526" s="45"/>
      <c r="H526" s="20"/>
      <c r="I526" s="20"/>
      <c r="J526" s="20"/>
      <c r="K526" s="20"/>
      <c r="L526" s="21"/>
      <c r="M526" s="33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4" t="str">
        <f>IFERROR(__xludf.DUMMYFUNCTION("IF(Account!$F526&lt;&gt;"""", VALUE(REGEXREPLACE($I526, ""\,"", ""."")), """")"),"")</f>
        <v/>
      </c>
      <c r="O526" s="35" t="str">
        <f>IF(Account!$F526&lt;&gt;"", DATEVALUE(MID($A526,4,3) &amp; LEFT($A526,3) &amp; RIGHT($A526,4)) + TIMEVALUE($B526), "")</f>
        <v/>
      </c>
      <c r="P526" s="36" t="str">
        <f>IF(Account!$F526&lt;&gt;"", DATEVALUE(MID($C526,4,3) &amp; LEFT($C526,3) &amp; RIGHT($C526,4)), "")</f>
        <v/>
      </c>
      <c r="Q526" s="37" t="str">
        <f t="array" ref="Q526">IF($R526&lt;&gt;"",IFERROR(INDEX(ISIN!$B:$B,MATCH($R526,ISIN!$C:$C,0))),)</f>
        <v/>
      </c>
      <c r="R526" s="38" t="str">
        <f t="array" ref="R526">IF($E526&lt;&gt;""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7" t="str">
        <f t="shared" si="1"/>
        <v/>
      </c>
      <c r="T526" s="39" t="str">
        <f t="shared" si="2"/>
        <v/>
      </c>
      <c r="U526" s="40" t="str">
        <f t="shared" si="3"/>
        <v/>
      </c>
      <c r="V526" s="34" t="str">
        <f t="shared" si="4"/>
        <v/>
      </c>
      <c r="W526" s="41" t="str">
        <f>IFERROR(__xludf.DUMMYFUNCTION(" IF(Account!$F526&lt;&gt;"""", SPLIT(Account!$F526, "" ""), """")"),"")</f>
        <v/>
      </c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</row>
    <row r="527">
      <c r="A527" s="20"/>
      <c r="B527" s="20"/>
      <c r="C527" s="20"/>
      <c r="D527" s="20"/>
      <c r="E527" s="20"/>
      <c r="F527" s="21"/>
      <c r="G527" s="45"/>
      <c r="H527" s="20"/>
      <c r="I527" s="20"/>
      <c r="J527" s="20"/>
      <c r="K527" s="20"/>
      <c r="L527" s="21"/>
      <c r="M527" s="33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4" t="str">
        <f>IFERROR(__xludf.DUMMYFUNCTION("IF(Account!$F527&lt;&gt;"""", VALUE(REGEXREPLACE($I527, ""\,"", ""."")), """")"),"")</f>
        <v/>
      </c>
      <c r="O527" s="35" t="str">
        <f>IF(Account!$F527&lt;&gt;"", DATEVALUE(MID($A527,4,3) &amp; LEFT($A527,3) &amp; RIGHT($A527,4)) + TIMEVALUE($B527), "")</f>
        <v/>
      </c>
      <c r="P527" s="36" t="str">
        <f>IF(Account!$F527&lt;&gt;"", DATEVALUE(MID($C527,4,3) &amp; LEFT($C527,3) &amp; RIGHT($C527,4)), "")</f>
        <v/>
      </c>
      <c r="Q527" s="37" t="str">
        <f t="array" ref="Q527">IF($R527&lt;&gt;"",IFERROR(INDEX(ISIN!$B:$B,MATCH($R527,ISIN!$C:$C,0))),)</f>
        <v/>
      </c>
      <c r="R527" s="38" t="str">
        <f t="array" ref="R527">IF($E527&lt;&gt;""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7" t="str">
        <f t="shared" si="1"/>
        <v/>
      </c>
      <c r="T527" s="39" t="str">
        <f t="shared" si="2"/>
        <v/>
      </c>
      <c r="U527" s="40" t="str">
        <f t="shared" si="3"/>
        <v/>
      </c>
      <c r="V527" s="34" t="str">
        <f t="shared" si="4"/>
        <v/>
      </c>
      <c r="W527" s="41" t="str">
        <f>IFERROR(__xludf.DUMMYFUNCTION(" IF(Account!$F527&lt;&gt;"""", SPLIT(Account!$F527, "" ""), """")"),"")</f>
        <v/>
      </c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</row>
    <row r="528">
      <c r="A528" s="20"/>
      <c r="B528" s="20"/>
      <c r="C528" s="20"/>
      <c r="D528" s="20"/>
      <c r="E528" s="20"/>
      <c r="F528" s="21"/>
      <c r="G528" s="20"/>
      <c r="H528" s="20"/>
      <c r="I528" s="20"/>
      <c r="J528" s="20"/>
      <c r="K528" s="20"/>
      <c r="L528" s="21"/>
      <c r="M528" s="33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4" t="str">
        <f>IFERROR(__xludf.DUMMYFUNCTION("IF(Account!$F528&lt;&gt;"""", VALUE(REGEXREPLACE($I528, ""\,"", ""."")), """")"),"")</f>
        <v/>
      </c>
      <c r="O528" s="35" t="str">
        <f>IF(Account!$F528&lt;&gt;"", DATEVALUE(MID($A528,4,3) &amp; LEFT($A528,3) &amp; RIGHT($A528,4)) + TIMEVALUE($B528), "")</f>
        <v/>
      </c>
      <c r="P528" s="36" t="str">
        <f>IF(Account!$F528&lt;&gt;"", DATEVALUE(MID($C528,4,3) &amp; LEFT($C528,3) &amp; RIGHT($C528,4)), "")</f>
        <v/>
      </c>
      <c r="Q528" s="37" t="str">
        <f t="array" ref="Q528">IF($R528&lt;&gt;"",IFERROR(INDEX(ISIN!$B:$B,MATCH($R528,ISIN!$C:$C,0))),)</f>
        <v/>
      </c>
      <c r="R528" s="38" t="str">
        <f t="array" ref="R528">IF($E528&lt;&gt;""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7" t="str">
        <f t="shared" si="1"/>
        <v/>
      </c>
      <c r="T528" s="39" t="str">
        <f t="shared" si="2"/>
        <v/>
      </c>
      <c r="U528" s="40" t="str">
        <f t="shared" si="3"/>
        <v/>
      </c>
      <c r="V528" s="34" t="str">
        <f t="shared" si="4"/>
        <v/>
      </c>
      <c r="W528" s="41" t="str">
        <f>IFERROR(__xludf.DUMMYFUNCTION(" IF(Account!$F528&lt;&gt;"""", SPLIT(Account!$F528, "" ""), """")"),"")</f>
        <v/>
      </c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</row>
    <row r="529">
      <c r="A529" s="20"/>
      <c r="B529" s="20"/>
      <c r="C529" s="20"/>
      <c r="D529" s="20"/>
      <c r="E529" s="20"/>
      <c r="F529" s="21"/>
      <c r="G529" s="45"/>
      <c r="H529" s="20"/>
      <c r="I529" s="20"/>
      <c r="J529" s="20"/>
      <c r="K529" s="20"/>
      <c r="L529" s="21"/>
      <c r="M529" s="33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4" t="str">
        <f>IFERROR(__xludf.DUMMYFUNCTION("IF(Account!$F529&lt;&gt;"""", VALUE(REGEXREPLACE($I529, ""\,"", ""."")), """")"),"")</f>
        <v/>
      </c>
      <c r="O529" s="35" t="str">
        <f>IF(Account!$F529&lt;&gt;"", DATEVALUE(MID($A529,4,3) &amp; LEFT($A529,3) &amp; RIGHT($A529,4)) + TIMEVALUE($B529), "")</f>
        <v/>
      </c>
      <c r="P529" s="36" t="str">
        <f>IF(Account!$F529&lt;&gt;"", DATEVALUE(MID($C529,4,3) &amp; LEFT($C529,3) &amp; RIGHT($C529,4)), "")</f>
        <v/>
      </c>
      <c r="Q529" s="37" t="str">
        <f t="array" ref="Q529">IF($R529&lt;&gt;"",IFERROR(INDEX(ISIN!$B:$B,MATCH($R529,ISIN!$C:$C,0))),)</f>
        <v/>
      </c>
      <c r="R529" s="38" t="str">
        <f t="array" ref="R529">IF($E529&lt;&gt;""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7" t="str">
        <f t="shared" si="1"/>
        <v/>
      </c>
      <c r="T529" s="39" t="str">
        <f t="shared" si="2"/>
        <v/>
      </c>
      <c r="U529" s="40" t="str">
        <f t="shared" si="3"/>
        <v/>
      </c>
      <c r="V529" s="34" t="str">
        <f t="shared" si="4"/>
        <v/>
      </c>
      <c r="W529" s="41" t="str">
        <f>IFERROR(__xludf.DUMMYFUNCTION(" IF(Account!$F529&lt;&gt;"""", SPLIT(Account!$F529, "" ""), """")"),"")</f>
        <v/>
      </c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</row>
    <row r="530">
      <c r="A530" s="20"/>
      <c r="B530" s="20"/>
      <c r="C530" s="20"/>
      <c r="D530" s="20"/>
      <c r="E530" s="20"/>
      <c r="F530" s="21"/>
      <c r="G530" s="45"/>
      <c r="H530" s="20"/>
      <c r="I530" s="20"/>
      <c r="J530" s="20"/>
      <c r="K530" s="20"/>
      <c r="L530" s="21"/>
      <c r="M530" s="33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4" t="str">
        <f>IFERROR(__xludf.DUMMYFUNCTION("IF(Account!$F530&lt;&gt;"""", VALUE(REGEXREPLACE($I530, ""\,"", ""."")), """")"),"")</f>
        <v/>
      </c>
      <c r="O530" s="35" t="str">
        <f>IF(Account!$F530&lt;&gt;"", DATEVALUE(MID($A530,4,3) &amp; LEFT($A530,3) &amp; RIGHT($A530,4)) + TIMEVALUE($B530), "")</f>
        <v/>
      </c>
      <c r="P530" s="36" t="str">
        <f>IF(Account!$F530&lt;&gt;"", DATEVALUE(MID($C530,4,3) &amp; LEFT($C530,3) &amp; RIGHT($C530,4)), "")</f>
        <v/>
      </c>
      <c r="Q530" s="37" t="str">
        <f t="array" ref="Q530">IF($R530&lt;&gt;"",IFERROR(INDEX(ISIN!$B:$B,MATCH($R530,ISIN!$C:$C,0))),)</f>
        <v/>
      </c>
      <c r="R530" s="38" t="str">
        <f t="array" ref="R530">IF($E530&lt;&gt;""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7" t="str">
        <f t="shared" si="1"/>
        <v/>
      </c>
      <c r="T530" s="39" t="str">
        <f t="shared" si="2"/>
        <v/>
      </c>
      <c r="U530" s="40" t="str">
        <f t="shared" si="3"/>
        <v/>
      </c>
      <c r="V530" s="34" t="str">
        <f t="shared" si="4"/>
        <v/>
      </c>
      <c r="W530" s="41" t="str">
        <f>IFERROR(__xludf.DUMMYFUNCTION(" IF(Account!$F530&lt;&gt;"""", SPLIT(Account!$F530, "" ""), """")"),"")</f>
        <v/>
      </c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</row>
    <row r="531">
      <c r="A531" s="20"/>
      <c r="B531" s="20"/>
      <c r="C531" s="20"/>
      <c r="D531" s="20"/>
      <c r="E531" s="20"/>
      <c r="F531" s="21"/>
      <c r="G531" s="20"/>
      <c r="H531" s="20"/>
      <c r="I531" s="20"/>
      <c r="J531" s="20"/>
      <c r="K531" s="20"/>
      <c r="L531" s="21"/>
      <c r="M531" s="33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4" t="str">
        <f>IFERROR(__xludf.DUMMYFUNCTION("IF(Account!$F531&lt;&gt;"""", VALUE(REGEXREPLACE($I531, ""\,"", ""."")), """")"),"")</f>
        <v/>
      </c>
      <c r="O531" s="35" t="str">
        <f>IF(Account!$F531&lt;&gt;"", DATEVALUE(MID($A531,4,3) &amp; LEFT($A531,3) &amp; RIGHT($A531,4)) + TIMEVALUE($B531), "")</f>
        <v/>
      </c>
      <c r="P531" s="36" t="str">
        <f>IF(Account!$F531&lt;&gt;"", DATEVALUE(MID($C531,4,3) &amp; LEFT($C531,3) &amp; RIGHT($C531,4)), "")</f>
        <v/>
      </c>
      <c r="Q531" s="37" t="str">
        <f t="array" ref="Q531">IF($R531&lt;&gt;"",IFERROR(INDEX(ISIN!$B:$B,MATCH($R531,ISIN!$C:$C,0))),)</f>
        <v/>
      </c>
      <c r="R531" s="38" t="str">
        <f t="array" ref="R531">IF($E531&lt;&gt;""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7" t="str">
        <f t="shared" si="1"/>
        <v/>
      </c>
      <c r="T531" s="39" t="str">
        <f t="shared" si="2"/>
        <v/>
      </c>
      <c r="U531" s="40" t="str">
        <f t="shared" si="3"/>
        <v/>
      </c>
      <c r="V531" s="34" t="str">
        <f t="shared" si="4"/>
        <v/>
      </c>
      <c r="W531" s="41" t="str">
        <f>IFERROR(__xludf.DUMMYFUNCTION(" IF(Account!$F531&lt;&gt;"""", SPLIT(Account!$F531, "" ""), """")"),"")</f>
        <v/>
      </c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</row>
    <row r="532">
      <c r="A532" s="20"/>
      <c r="B532" s="20"/>
      <c r="C532" s="20"/>
      <c r="D532" s="20"/>
      <c r="E532" s="20"/>
      <c r="F532" s="21"/>
      <c r="G532" s="45"/>
      <c r="H532" s="20"/>
      <c r="I532" s="20"/>
      <c r="J532" s="20"/>
      <c r="K532" s="20"/>
      <c r="L532" s="21"/>
      <c r="M532" s="33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4" t="str">
        <f>IFERROR(__xludf.DUMMYFUNCTION("IF(Account!$F532&lt;&gt;"""", VALUE(REGEXREPLACE($I532, ""\,"", ""."")), """")"),"")</f>
        <v/>
      </c>
      <c r="O532" s="35" t="str">
        <f>IF(Account!$F532&lt;&gt;"", DATEVALUE(MID($A532,4,3) &amp; LEFT($A532,3) &amp; RIGHT($A532,4)) + TIMEVALUE($B532), "")</f>
        <v/>
      </c>
      <c r="P532" s="36" t="str">
        <f>IF(Account!$F532&lt;&gt;"", DATEVALUE(MID($C532,4,3) &amp; LEFT($C532,3) &amp; RIGHT($C532,4)), "")</f>
        <v/>
      </c>
      <c r="Q532" s="37" t="str">
        <f t="array" ref="Q532">IF($R532&lt;&gt;"",IFERROR(INDEX(ISIN!$B:$B,MATCH($R532,ISIN!$C:$C,0))),)</f>
        <v/>
      </c>
      <c r="R532" s="38" t="str">
        <f t="array" ref="R532">IF($E532&lt;&gt;""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7" t="str">
        <f t="shared" si="1"/>
        <v/>
      </c>
      <c r="T532" s="39" t="str">
        <f t="shared" si="2"/>
        <v/>
      </c>
      <c r="U532" s="40" t="str">
        <f t="shared" si="3"/>
        <v/>
      </c>
      <c r="V532" s="34" t="str">
        <f t="shared" si="4"/>
        <v/>
      </c>
      <c r="W532" s="41" t="str">
        <f>IFERROR(__xludf.DUMMYFUNCTION(" IF(Account!$F532&lt;&gt;"""", SPLIT(Account!$F532, "" ""), """")"),"")</f>
        <v/>
      </c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</row>
    <row r="533">
      <c r="A533" s="20"/>
      <c r="B533" s="20"/>
      <c r="C533" s="20"/>
      <c r="D533" s="20"/>
      <c r="E533" s="20"/>
      <c r="F533" s="21"/>
      <c r="G533" s="20"/>
      <c r="H533" s="20"/>
      <c r="I533" s="20"/>
      <c r="J533" s="20"/>
      <c r="K533" s="20"/>
      <c r="L533" s="21"/>
      <c r="M533" s="33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4" t="str">
        <f>IFERROR(__xludf.DUMMYFUNCTION("IF(Account!$F533&lt;&gt;"""", VALUE(REGEXREPLACE($I533, ""\,"", ""."")), """")"),"")</f>
        <v/>
      </c>
      <c r="O533" s="35" t="str">
        <f>IF(Account!$F533&lt;&gt;"", DATEVALUE(MID($A533,4,3) &amp; LEFT($A533,3) &amp; RIGHT($A533,4)) + TIMEVALUE($B533), "")</f>
        <v/>
      </c>
      <c r="P533" s="36" t="str">
        <f>IF(Account!$F533&lt;&gt;"", DATEVALUE(MID($C533,4,3) &amp; LEFT($C533,3) &amp; RIGHT($C533,4)), "")</f>
        <v/>
      </c>
      <c r="Q533" s="37" t="str">
        <f t="array" ref="Q533">IF($R533&lt;&gt;"",IFERROR(INDEX(ISIN!$B:$B,MATCH($R533,ISIN!$C:$C,0))),)</f>
        <v/>
      </c>
      <c r="R533" s="38" t="str">
        <f t="array" ref="R533">IF($E533&lt;&gt;""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7" t="str">
        <f t="shared" si="1"/>
        <v/>
      </c>
      <c r="T533" s="39" t="str">
        <f t="shared" si="2"/>
        <v/>
      </c>
      <c r="U533" s="40" t="str">
        <f t="shared" si="3"/>
        <v/>
      </c>
      <c r="V533" s="34" t="str">
        <f t="shared" si="4"/>
        <v/>
      </c>
      <c r="W533" s="41" t="str">
        <f>IFERROR(__xludf.DUMMYFUNCTION(" IF(Account!$F533&lt;&gt;"""", SPLIT(Account!$F533, "" ""), """")"),"")</f>
        <v/>
      </c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</row>
    <row r="534">
      <c r="A534" s="20"/>
      <c r="B534" s="20"/>
      <c r="C534" s="20"/>
      <c r="D534" s="20"/>
      <c r="E534" s="20"/>
      <c r="F534" s="21"/>
      <c r="G534" s="45"/>
      <c r="H534" s="20"/>
      <c r="I534" s="20"/>
      <c r="J534" s="20"/>
      <c r="K534" s="20"/>
      <c r="L534" s="21"/>
      <c r="M534" s="33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4" t="str">
        <f>IFERROR(__xludf.DUMMYFUNCTION("IF(Account!$F534&lt;&gt;"""", VALUE(REGEXREPLACE($I534, ""\,"", ""."")), """")"),"")</f>
        <v/>
      </c>
      <c r="O534" s="35" t="str">
        <f>IF(Account!$F534&lt;&gt;"", DATEVALUE(MID($A534,4,3) &amp; LEFT($A534,3) &amp; RIGHT($A534,4)) + TIMEVALUE($B534), "")</f>
        <v/>
      </c>
      <c r="P534" s="36" t="str">
        <f>IF(Account!$F534&lt;&gt;"", DATEVALUE(MID($C534,4,3) &amp; LEFT($C534,3) &amp; RIGHT($C534,4)), "")</f>
        <v/>
      </c>
      <c r="Q534" s="37" t="str">
        <f t="array" ref="Q534">IF($R534&lt;&gt;"",IFERROR(INDEX(ISIN!$B:$B,MATCH($R534,ISIN!$C:$C,0))),)</f>
        <v/>
      </c>
      <c r="R534" s="38" t="str">
        <f t="array" ref="R534">IF($E534&lt;&gt;""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7" t="str">
        <f t="shared" si="1"/>
        <v/>
      </c>
      <c r="T534" s="39" t="str">
        <f t="shared" si="2"/>
        <v/>
      </c>
      <c r="U534" s="40" t="str">
        <f t="shared" si="3"/>
        <v/>
      </c>
      <c r="V534" s="34" t="str">
        <f t="shared" si="4"/>
        <v/>
      </c>
      <c r="W534" s="41" t="str">
        <f>IFERROR(__xludf.DUMMYFUNCTION(" IF(Account!$F534&lt;&gt;"""", SPLIT(Account!$F534, "" ""), """")"),"")</f>
        <v/>
      </c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</row>
    <row r="535">
      <c r="A535" s="20"/>
      <c r="B535" s="20"/>
      <c r="C535" s="20"/>
      <c r="D535" s="20"/>
      <c r="E535" s="20"/>
      <c r="F535" s="21"/>
      <c r="G535" s="20"/>
      <c r="H535" s="20"/>
      <c r="I535" s="20"/>
      <c r="J535" s="20"/>
      <c r="K535" s="20"/>
      <c r="L535" s="21"/>
      <c r="M535" s="33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4" t="str">
        <f>IFERROR(__xludf.DUMMYFUNCTION("IF(Account!$F535&lt;&gt;"""", VALUE(REGEXREPLACE($I535, ""\,"", ""."")), """")"),"")</f>
        <v/>
      </c>
      <c r="O535" s="35" t="str">
        <f>IF(Account!$F535&lt;&gt;"", DATEVALUE(MID($A535,4,3) &amp; LEFT($A535,3) &amp; RIGHT($A535,4)) + TIMEVALUE($B535), "")</f>
        <v/>
      </c>
      <c r="P535" s="36" t="str">
        <f>IF(Account!$F535&lt;&gt;"", DATEVALUE(MID($C535,4,3) &amp; LEFT($C535,3) &amp; RIGHT($C535,4)), "")</f>
        <v/>
      </c>
      <c r="Q535" s="37" t="str">
        <f t="array" ref="Q535">IF($R535&lt;&gt;"",IFERROR(INDEX(ISIN!$B:$B,MATCH($R535,ISIN!$C:$C,0))),)</f>
        <v/>
      </c>
      <c r="R535" s="38" t="str">
        <f t="array" ref="R535">IF($E535&lt;&gt;""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7" t="str">
        <f t="shared" si="1"/>
        <v/>
      </c>
      <c r="T535" s="39" t="str">
        <f t="shared" si="2"/>
        <v/>
      </c>
      <c r="U535" s="40" t="str">
        <f t="shared" si="3"/>
        <v/>
      </c>
      <c r="V535" s="34" t="str">
        <f t="shared" si="4"/>
        <v/>
      </c>
      <c r="W535" s="41" t="str">
        <f>IFERROR(__xludf.DUMMYFUNCTION(" IF(Account!$F535&lt;&gt;"""", SPLIT(Account!$F535, "" ""), """")"),"")</f>
        <v/>
      </c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</row>
    <row r="536">
      <c r="A536" s="20"/>
      <c r="B536" s="20"/>
      <c r="C536" s="20"/>
      <c r="D536" s="20"/>
      <c r="E536" s="20"/>
      <c r="F536" s="21"/>
      <c r="G536" s="45"/>
      <c r="H536" s="20"/>
      <c r="I536" s="20"/>
      <c r="J536" s="20"/>
      <c r="K536" s="20"/>
      <c r="L536" s="21"/>
      <c r="M536" s="33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4" t="str">
        <f>IFERROR(__xludf.DUMMYFUNCTION("IF(Account!$F536&lt;&gt;"""", VALUE(REGEXREPLACE($I536, ""\,"", ""."")), """")"),"")</f>
        <v/>
      </c>
      <c r="O536" s="35" t="str">
        <f>IF(Account!$F536&lt;&gt;"", DATEVALUE(MID($A536,4,3) &amp; LEFT($A536,3) &amp; RIGHT($A536,4)) + TIMEVALUE($B536), "")</f>
        <v/>
      </c>
      <c r="P536" s="36" t="str">
        <f>IF(Account!$F536&lt;&gt;"", DATEVALUE(MID($C536,4,3) &amp; LEFT($C536,3) &amp; RIGHT($C536,4)), "")</f>
        <v/>
      </c>
      <c r="Q536" s="37" t="str">
        <f t="array" ref="Q536">IF($R536&lt;&gt;"",IFERROR(INDEX(ISIN!$B:$B,MATCH($R536,ISIN!$C:$C,0))),)</f>
        <v/>
      </c>
      <c r="R536" s="38" t="str">
        <f t="array" ref="R536">IF($E536&lt;&gt;""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7" t="str">
        <f t="shared" si="1"/>
        <v/>
      </c>
      <c r="T536" s="39" t="str">
        <f t="shared" si="2"/>
        <v/>
      </c>
      <c r="U536" s="40" t="str">
        <f t="shared" si="3"/>
        <v/>
      </c>
      <c r="V536" s="34" t="str">
        <f t="shared" si="4"/>
        <v/>
      </c>
      <c r="W536" s="41" t="str">
        <f>IFERROR(__xludf.DUMMYFUNCTION(" IF(Account!$F536&lt;&gt;"""", SPLIT(Account!$F536, "" ""), """")"),"")</f>
        <v/>
      </c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</row>
    <row r="537">
      <c r="A537" s="20"/>
      <c r="B537" s="20"/>
      <c r="C537" s="20"/>
      <c r="D537" s="20"/>
      <c r="E537" s="20"/>
      <c r="F537" s="21"/>
      <c r="G537" s="45"/>
      <c r="H537" s="20"/>
      <c r="I537" s="20"/>
      <c r="J537" s="20"/>
      <c r="K537" s="20"/>
      <c r="L537" s="21"/>
      <c r="M537" s="33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4" t="str">
        <f>IFERROR(__xludf.DUMMYFUNCTION("IF(Account!$F537&lt;&gt;"""", VALUE(REGEXREPLACE($I537, ""\,"", ""."")), """")"),"")</f>
        <v/>
      </c>
      <c r="O537" s="35" t="str">
        <f>IF(Account!$F537&lt;&gt;"", DATEVALUE(MID($A537,4,3) &amp; LEFT($A537,3) &amp; RIGHT($A537,4)) + TIMEVALUE($B537), "")</f>
        <v/>
      </c>
      <c r="P537" s="36" t="str">
        <f>IF(Account!$F537&lt;&gt;"", DATEVALUE(MID($C537,4,3) &amp; LEFT($C537,3) &amp; RIGHT($C537,4)), "")</f>
        <v/>
      </c>
      <c r="Q537" s="37" t="str">
        <f t="array" ref="Q537">IF($R537&lt;&gt;"",IFERROR(INDEX(ISIN!$B:$B,MATCH($R537,ISIN!$C:$C,0))),)</f>
        <v/>
      </c>
      <c r="R537" s="38" t="str">
        <f t="array" ref="R537">IF($E537&lt;&gt;""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7" t="str">
        <f t="shared" si="1"/>
        <v/>
      </c>
      <c r="T537" s="39" t="str">
        <f t="shared" si="2"/>
        <v/>
      </c>
      <c r="U537" s="40" t="str">
        <f t="shared" si="3"/>
        <v/>
      </c>
      <c r="V537" s="34" t="str">
        <f t="shared" si="4"/>
        <v/>
      </c>
      <c r="W537" s="41" t="str">
        <f>IFERROR(__xludf.DUMMYFUNCTION(" IF(Account!$F537&lt;&gt;"""", SPLIT(Account!$F537, "" ""), """")"),"")</f>
        <v/>
      </c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</row>
    <row r="538">
      <c r="A538" s="20"/>
      <c r="B538" s="20"/>
      <c r="C538" s="20"/>
      <c r="D538" s="20"/>
      <c r="E538" s="20"/>
      <c r="F538" s="21"/>
      <c r="G538" s="20"/>
      <c r="H538" s="20"/>
      <c r="I538" s="20"/>
      <c r="J538" s="20"/>
      <c r="K538" s="20"/>
      <c r="L538" s="21"/>
      <c r="M538" s="33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4" t="str">
        <f>IFERROR(__xludf.DUMMYFUNCTION("IF(Account!$F538&lt;&gt;"""", VALUE(REGEXREPLACE($I538, ""\,"", ""."")), """")"),"")</f>
        <v/>
      </c>
      <c r="O538" s="35" t="str">
        <f>IF(Account!$F538&lt;&gt;"", DATEVALUE(MID($A538,4,3) &amp; LEFT($A538,3) &amp; RIGHT($A538,4)) + TIMEVALUE($B538), "")</f>
        <v/>
      </c>
      <c r="P538" s="36" t="str">
        <f>IF(Account!$F538&lt;&gt;"", DATEVALUE(MID($C538,4,3) &amp; LEFT($C538,3) &amp; RIGHT($C538,4)), "")</f>
        <v/>
      </c>
      <c r="Q538" s="37" t="str">
        <f t="array" ref="Q538">IF($R538&lt;&gt;"",IFERROR(INDEX(ISIN!$B:$B,MATCH($R538,ISIN!$C:$C,0))),)</f>
        <v/>
      </c>
      <c r="R538" s="38" t="str">
        <f t="array" ref="R538">IF($E538&lt;&gt;""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7" t="str">
        <f t="shared" si="1"/>
        <v/>
      </c>
      <c r="T538" s="39" t="str">
        <f t="shared" si="2"/>
        <v/>
      </c>
      <c r="U538" s="40" t="str">
        <f t="shared" si="3"/>
        <v/>
      </c>
      <c r="V538" s="34" t="str">
        <f t="shared" si="4"/>
        <v/>
      </c>
      <c r="W538" s="41" t="str">
        <f>IFERROR(__xludf.DUMMYFUNCTION(" IF(Account!$F538&lt;&gt;"""", SPLIT(Account!$F538, "" ""), """")"),"")</f>
        <v/>
      </c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</row>
    <row r="539">
      <c r="A539" s="20"/>
      <c r="B539" s="20"/>
      <c r="C539" s="20"/>
      <c r="D539" s="20"/>
      <c r="E539" s="20"/>
      <c r="F539" s="21"/>
      <c r="G539" s="45"/>
      <c r="H539" s="20"/>
      <c r="I539" s="20"/>
      <c r="J539" s="20"/>
      <c r="K539" s="20"/>
      <c r="L539" s="21"/>
      <c r="M539" s="33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4" t="str">
        <f>IFERROR(__xludf.DUMMYFUNCTION("IF(Account!$F539&lt;&gt;"""", VALUE(REGEXREPLACE($I539, ""\,"", ""."")), """")"),"")</f>
        <v/>
      </c>
      <c r="O539" s="35" t="str">
        <f>IF(Account!$F539&lt;&gt;"", DATEVALUE(MID($A539,4,3) &amp; LEFT($A539,3) &amp; RIGHT($A539,4)) + TIMEVALUE($B539), "")</f>
        <v/>
      </c>
      <c r="P539" s="36" t="str">
        <f>IF(Account!$F539&lt;&gt;"", DATEVALUE(MID($C539,4,3) &amp; LEFT($C539,3) &amp; RIGHT($C539,4)), "")</f>
        <v/>
      </c>
      <c r="Q539" s="37" t="str">
        <f t="array" ref="Q539">IF($R539&lt;&gt;"",IFERROR(INDEX(ISIN!$B:$B,MATCH($R539,ISIN!$C:$C,0))),)</f>
        <v/>
      </c>
      <c r="R539" s="38" t="str">
        <f t="array" ref="R539">IF($E539&lt;&gt;""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7" t="str">
        <f t="shared" si="1"/>
        <v/>
      </c>
      <c r="T539" s="39" t="str">
        <f t="shared" si="2"/>
        <v/>
      </c>
      <c r="U539" s="40" t="str">
        <f t="shared" si="3"/>
        <v/>
      </c>
      <c r="V539" s="34" t="str">
        <f t="shared" si="4"/>
        <v/>
      </c>
      <c r="W539" s="41" t="str">
        <f>IFERROR(__xludf.DUMMYFUNCTION(" IF(Account!$F539&lt;&gt;"""", SPLIT(Account!$F539, "" ""), """")"),"")</f>
        <v/>
      </c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</row>
    <row r="540">
      <c r="A540" s="20"/>
      <c r="B540" s="20"/>
      <c r="C540" s="20"/>
      <c r="D540" s="20"/>
      <c r="E540" s="20"/>
      <c r="F540" s="21"/>
      <c r="G540" s="20"/>
      <c r="H540" s="20"/>
      <c r="I540" s="20"/>
      <c r="J540" s="20"/>
      <c r="K540" s="20"/>
      <c r="L540" s="21"/>
      <c r="M540" s="33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4" t="str">
        <f>IFERROR(__xludf.DUMMYFUNCTION("IF(Account!$F540&lt;&gt;"""", VALUE(REGEXREPLACE($I540, ""\,"", ""."")), """")"),"")</f>
        <v/>
      </c>
      <c r="O540" s="35" t="str">
        <f>IF(Account!$F540&lt;&gt;"", DATEVALUE(MID($A540,4,3) &amp; LEFT($A540,3) &amp; RIGHT($A540,4)) + TIMEVALUE($B540), "")</f>
        <v/>
      </c>
      <c r="P540" s="36" t="str">
        <f>IF(Account!$F540&lt;&gt;"", DATEVALUE(MID($C540,4,3) &amp; LEFT($C540,3) &amp; RIGHT($C540,4)), "")</f>
        <v/>
      </c>
      <c r="Q540" s="37" t="str">
        <f t="array" ref="Q540">IF($R540&lt;&gt;"",IFERROR(INDEX(ISIN!$B:$B,MATCH($R540,ISIN!$C:$C,0))),)</f>
        <v/>
      </c>
      <c r="R540" s="38" t="str">
        <f t="array" ref="R540">IF($E540&lt;&gt;""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7" t="str">
        <f t="shared" si="1"/>
        <v/>
      </c>
      <c r="T540" s="39" t="str">
        <f t="shared" si="2"/>
        <v/>
      </c>
      <c r="U540" s="40" t="str">
        <f t="shared" si="3"/>
        <v/>
      </c>
      <c r="V540" s="34" t="str">
        <f t="shared" si="4"/>
        <v/>
      </c>
      <c r="W540" s="41" t="str">
        <f>IFERROR(__xludf.DUMMYFUNCTION(" IF(Account!$F540&lt;&gt;"""", SPLIT(Account!$F540, "" ""), """")"),"")</f>
        <v/>
      </c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</row>
    <row r="541">
      <c r="A541" s="20"/>
      <c r="B541" s="20"/>
      <c r="C541" s="20"/>
      <c r="D541" s="20"/>
      <c r="E541" s="20"/>
      <c r="F541" s="21"/>
      <c r="G541" s="45"/>
      <c r="H541" s="20"/>
      <c r="I541" s="20"/>
      <c r="J541" s="20"/>
      <c r="K541" s="20"/>
      <c r="L541" s="21"/>
      <c r="M541" s="33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4" t="str">
        <f>IFERROR(__xludf.DUMMYFUNCTION("IF(Account!$F541&lt;&gt;"""", VALUE(REGEXREPLACE($I541, ""\,"", ""."")), """")"),"")</f>
        <v/>
      </c>
      <c r="O541" s="35" t="str">
        <f>IF(Account!$F541&lt;&gt;"", DATEVALUE(MID($A541,4,3) &amp; LEFT($A541,3) &amp; RIGHT($A541,4)) + TIMEVALUE($B541), "")</f>
        <v/>
      </c>
      <c r="P541" s="36" t="str">
        <f>IF(Account!$F541&lt;&gt;"", DATEVALUE(MID($C541,4,3) &amp; LEFT($C541,3) &amp; RIGHT($C541,4)), "")</f>
        <v/>
      </c>
      <c r="Q541" s="37" t="str">
        <f t="array" ref="Q541">IF($R541&lt;&gt;"",IFERROR(INDEX(ISIN!$B:$B,MATCH($R541,ISIN!$C:$C,0))),)</f>
        <v/>
      </c>
      <c r="R541" s="38" t="str">
        <f t="array" ref="R541">IF($E541&lt;&gt;""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7" t="str">
        <f t="shared" si="1"/>
        <v/>
      </c>
      <c r="T541" s="39" t="str">
        <f t="shared" si="2"/>
        <v/>
      </c>
      <c r="U541" s="40" t="str">
        <f t="shared" si="3"/>
        <v/>
      </c>
      <c r="V541" s="34" t="str">
        <f t="shared" si="4"/>
        <v/>
      </c>
      <c r="W541" s="41" t="str">
        <f>IFERROR(__xludf.DUMMYFUNCTION(" IF(Account!$F541&lt;&gt;"""", SPLIT(Account!$F541, "" ""), """")"),"")</f>
        <v/>
      </c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</row>
    <row r="542">
      <c r="A542" s="20"/>
      <c r="B542" s="20"/>
      <c r="C542" s="20"/>
      <c r="D542" s="20"/>
      <c r="E542" s="20"/>
      <c r="F542" s="21"/>
      <c r="G542" s="20"/>
      <c r="H542" s="20"/>
      <c r="I542" s="20"/>
      <c r="J542" s="20"/>
      <c r="K542" s="20"/>
      <c r="L542" s="21"/>
      <c r="M542" s="33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4" t="str">
        <f>IFERROR(__xludf.DUMMYFUNCTION("IF(Account!$F542&lt;&gt;"""", VALUE(REGEXREPLACE($I542, ""\,"", ""."")), """")"),"")</f>
        <v/>
      </c>
      <c r="O542" s="35" t="str">
        <f>IF(Account!$F542&lt;&gt;"", DATEVALUE(MID($A542,4,3) &amp; LEFT($A542,3) &amp; RIGHT($A542,4)) + TIMEVALUE($B542), "")</f>
        <v/>
      </c>
      <c r="P542" s="36" t="str">
        <f>IF(Account!$F542&lt;&gt;"", DATEVALUE(MID($C542,4,3) &amp; LEFT($C542,3) &amp; RIGHT($C542,4)), "")</f>
        <v/>
      </c>
      <c r="Q542" s="37" t="str">
        <f t="array" ref="Q542">IF($R542&lt;&gt;"",IFERROR(INDEX(ISIN!$B:$B,MATCH($R542,ISIN!$C:$C,0))),)</f>
        <v/>
      </c>
      <c r="R542" s="38" t="str">
        <f t="array" ref="R542">IF($E542&lt;&gt;""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7" t="str">
        <f t="shared" si="1"/>
        <v/>
      </c>
      <c r="T542" s="39" t="str">
        <f t="shared" si="2"/>
        <v/>
      </c>
      <c r="U542" s="40" t="str">
        <f t="shared" si="3"/>
        <v/>
      </c>
      <c r="V542" s="34" t="str">
        <f t="shared" si="4"/>
        <v/>
      </c>
      <c r="W542" s="41" t="str">
        <f>IFERROR(__xludf.DUMMYFUNCTION(" IF(Account!$F542&lt;&gt;"""", SPLIT(Account!$F542, "" ""), """")"),"")</f>
        <v/>
      </c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</row>
    <row r="543">
      <c r="A543" s="20"/>
      <c r="B543" s="20"/>
      <c r="C543" s="20"/>
      <c r="D543" s="20"/>
      <c r="E543" s="20"/>
      <c r="F543" s="21"/>
      <c r="G543" s="45"/>
      <c r="H543" s="20"/>
      <c r="I543" s="20"/>
      <c r="J543" s="20"/>
      <c r="K543" s="20"/>
      <c r="L543" s="21"/>
      <c r="M543" s="33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4" t="str">
        <f>IFERROR(__xludf.DUMMYFUNCTION("IF(Account!$F543&lt;&gt;"""", VALUE(REGEXREPLACE($I543, ""\,"", ""."")), """")"),"")</f>
        <v/>
      </c>
      <c r="O543" s="35" t="str">
        <f>IF(Account!$F543&lt;&gt;"", DATEVALUE(MID($A543,4,3) &amp; LEFT($A543,3) &amp; RIGHT($A543,4)) + TIMEVALUE($B543), "")</f>
        <v/>
      </c>
      <c r="P543" s="36" t="str">
        <f>IF(Account!$F543&lt;&gt;"", DATEVALUE(MID($C543,4,3) &amp; LEFT($C543,3) &amp; RIGHT($C543,4)), "")</f>
        <v/>
      </c>
      <c r="Q543" s="37" t="str">
        <f t="array" ref="Q543">IF($R543&lt;&gt;"",IFERROR(INDEX(ISIN!$B:$B,MATCH($R543,ISIN!$C:$C,0))),)</f>
        <v/>
      </c>
      <c r="R543" s="38" t="str">
        <f t="array" ref="R543">IF($E543&lt;&gt;""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7" t="str">
        <f t="shared" si="1"/>
        <v/>
      </c>
      <c r="T543" s="39" t="str">
        <f t="shared" si="2"/>
        <v/>
      </c>
      <c r="U543" s="40" t="str">
        <f t="shared" si="3"/>
        <v/>
      </c>
      <c r="V543" s="34" t="str">
        <f t="shared" si="4"/>
        <v/>
      </c>
      <c r="W543" s="41" t="str">
        <f>IFERROR(__xludf.DUMMYFUNCTION(" IF(Account!$F543&lt;&gt;"""", SPLIT(Account!$F543, "" ""), """")"),"")</f>
        <v/>
      </c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</row>
    <row r="544">
      <c r="A544" s="20"/>
      <c r="B544" s="20"/>
      <c r="C544" s="20"/>
      <c r="D544" s="20"/>
      <c r="E544" s="20"/>
      <c r="F544" s="21"/>
      <c r="G544" s="20"/>
      <c r="H544" s="20"/>
      <c r="I544" s="20"/>
      <c r="J544" s="20"/>
      <c r="K544" s="20"/>
      <c r="L544" s="21"/>
      <c r="M544" s="33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4" t="str">
        <f>IFERROR(__xludf.DUMMYFUNCTION("IF(Account!$F544&lt;&gt;"""", VALUE(REGEXREPLACE($I544, ""\,"", ""."")), """")"),"")</f>
        <v/>
      </c>
      <c r="O544" s="35" t="str">
        <f>IF(Account!$F544&lt;&gt;"", DATEVALUE(MID($A544,4,3) &amp; LEFT($A544,3) &amp; RIGHT($A544,4)) + TIMEVALUE($B544), "")</f>
        <v/>
      </c>
      <c r="P544" s="36" t="str">
        <f>IF(Account!$F544&lt;&gt;"", DATEVALUE(MID($C544,4,3) &amp; LEFT($C544,3) &amp; RIGHT($C544,4)), "")</f>
        <v/>
      </c>
      <c r="Q544" s="37" t="str">
        <f t="array" ref="Q544">IF($R544&lt;&gt;"",IFERROR(INDEX(ISIN!$B:$B,MATCH($R544,ISIN!$C:$C,0))),)</f>
        <v/>
      </c>
      <c r="R544" s="38" t="str">
        <f t="array" ref="R544">IF($E544&lt;&gt;""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7" t="str">
        <f t="shared" si="1"/>
        <v/>
      </c>
      <c r="T544" s="39" t="str">
        <f t="shared" si="2"/>
        <v/>
      </c>
      <c r="U544" s="40" t="str">
        <f t="shared" si="3"/>
        <v/>
      </c>
      <c r="V544" s="34" t="str">
        <f t="shared" si="4"/>
        <v/>
      </c>
      <c r="W544" s="41" t="str">
        <f>IFERROR(__xludf.DUMMYFUNCTION(" IF(Account!$F544&lt;&gt;"""", SPLIT(Account!$F544, "" ""), """")"),"")</f>
        <v/>
      </c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</row>
    <row r="545">
      <c r="A545" s="20"/>
      <c r="B545" s="20"/>
      <c r="C545" s="20"/>
      <c r="D545" s="20"/>
      <c r="E545" s="20"/>
      <c r="F545" s="21"/>
      <c r="G545" s="45"/>
      <c r="H545" s="20"/>
      <c r="I545" s="20"/>
      <c r="J545" s="20"/>
      <c r="K545" s="20"/>
      <c r="L545" s="21"/>
      <c r="M545" s="33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4" t="str">
        <f>IFERROR(__xludf.DUMMYFUNCTION("IF(Account!$F545&lt;&gt;"""", VALUE(REGEXREPLACE($I545, ""\,"", ""."")), """")"),"")</f>
        <v/>
      </c>
      <c r="O545" s="35" t="str">
        <f>IF(Account!$F545&lt;&gt;"", DATEVALUE(MID($A545,4,3) &amp; LEFT($A545,3) &amp; RIGHT($A545,4)) + TIMEVALUE($B545), "")</f>
        <v/>
      </c>
      <c r="P545" s="36" t="str">
        <f>IF(Account!$F545&lt;&gt;"", DATEVALUE(MID($C545,4,3) &amp; LEFT($C545,3) &amp; RIGHT($C545,4)), "")</f>
        <v/>
      </c>
      <c r="Q545" s="37" t="str">
        <f t="array" ref="Q545">IF($R545&lt;&gt;"",IFERROR(INDEX(ISIN!$B:$B,MATCH($R545,ISIN!$C:$C,0))),)</f>
        <v/>
      </c>
      <c r="R545" s="38" t="str">
        <f t="array" ref="R545">IF($E545&lt;&gt;""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7" t="str">
        <f t="shared" si="1"/>
        <v/>
      </c>
      <c r="T545" s="39" t="str">
        <f t="shared" si="2"/>
        <v/>
      </c>
      <c r="U545" s="40" t="str">
        <f t="shared" si="3"/>
        <v/>
      </c>
      <c r="V545" s="34" t="str">
        <f t="shared" si="4"/>
        <v/>
      </c>
      <c r="W545" s="41" t="str">
        <f>IFERROR(__xludf.DUMMYFUNCTION(" IF(Account!$F545&lt;&gt;"""", SPLIT(Account!$F545, "" ""), """")"),"")</f>
        <v/>
      </c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</row>
    <row r="546">
      <c r="A546" s="20"/>
      <c r="B546" s="20"/>
      <c r="C546" s="20"/>
      <c r="D546" s="20"/>
      <c r="E546" s="20"/>
      <c r="F546" s="21"/>
      <c r="G546" s="20"/>
      <c r="H546" s="20"/>
      <c r="I546" s="20"/>
      <c r="J546" s="20"/>
      <c r="K546" s="20"/>
      <c r="L546" s="21"/>
      <c r="M546" s="33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4" t="str">
        <f>IFERROR(__xludf.DUMMYFUNCTION("IF(Account!$F546&lt;&gt;"""", VALUE(REGEXREPLACE($I546, ""\,"", ""."")), """")"),"")</f>
        <v/>
      </c>
      <c r="O546" s="35" t="str">
        <f>IF(Account!$F546&lt;&gt;"", DATEVALUE(MID($A546,4,3) &amp; LEFT($A546,3) &amp; RIGHT($A546,4)) + TIMEVALUE($B546), "")</f>
        <v/>
      </c>
      <c r="P546" s="36" t="str">
        <f>IF(Account!$F546&lt;&gt;"", DATEVALUE(MID($C546,4,3) &amp; LEFT($C546,3) &amp; RIGHT($C546,4)), "")</f>
        <v/>
      </c>
      <c r="Q546" s="37" t="str">
        <f t="array" ref="Q546">IF($R546&lt;&gt;"",IFERROR(INDEX(ISIN!$B:$B,MATCH($R546,ISIN!$C:$C,0))),)</f>
        <v/>
      </c>
      <c r="R546" s="38" t="str">
        <f t="array" ref="R546">IF($E546&lt;&gt;""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7" t="str">
        <f t="shared" si="1"/>
        <v/>
      </c>
      <c r="T546" s="39" t="str">
        <f t="shared" si="2"/>
        <v/>
      </c>
      <c r="U546" s="40" t="str">
        <f t="shared" si="3"/>
        <v/>
      </c>
      <c r="V546" s="34" t="str">
        <f t="shared" si="4"/>
        <v/>
      </c>
      <c r="W546" s="41" t="str">
        <f>IFERROR(__xludf.DUMMYFUNCTION(" IF(Account!$F546&lt;&gt;"""", SPLIT(Account!$F546, "" ""), """")"),"")</f>
        <v/>
      </c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</row>
    <row r="547">
      <c r="A547" s="20"/>
      <c r="B547" s="20"/>
      <c r="C547" s="20"/>
      <c r="D547" s="20"/>
      <c r="E547" s="20"/>
      <c r="F547" s="21"/>
      <c r="G547" s="45"/>
      <c r="H547" s="20"/>
      <c r="I547" s="20"/>
      <c r="J547" s="20"/>
      <c r="K547" s="20"/>
      <c r="L547" s="21"/>
      <c r="M547" s="33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4" t="str">
        <f>IFERROR(__xludf.DUMMYFUNCTION("IF(Account!$F547&lt;&gt;"""", VALUE(REGEXREPLACE($I547, ""\,"", ""."")), """")"),"")</f>
        <v/>
      </c>
      <c r="O547" s="35" t="str">
        <f>IF(Account!$F547&lt;&gt;"", DATEVALUE(MID($A547,4,3) &amp; LEFT($A547,3) &amp; RIGHT($A547,4)) + TIMEVALUE($B547), "")</f>
        <v/>
      </c>
      <c r="P547" s="36" t="str">
        <f>IF(Account!$F547&lt;&gt;"", DATEVALUE(MID($C547,4,3) &amp; LEFT($C547,3) &amp; RIGHT($C547,4)), "")</f>
        <v/>
      </c>
      <c r="Q547" s="37" t="str">
        <f t="array" ref="Q547">IF($R547&lt;&gt;"",IFERROR(INDEX(ISIN!$B:$B,MATCH($R547,ISIN!$C:$C,0))),)</f>
        <v/>
      </c>
      <c r="R547" s="38" t="str">
        <f t="array" ref="R547">IF($E547&lt;&gt;""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7" t="str">
        <f t="shared" si="1"/>
        <v/>
      </c>
      <c r="T547" s="39" t="str">
        <f t="shared" si="2"/>
        <v/>
      </c>
      <c r="U547" s="40" t="str">
        <f t="shared" si="3"/>
        <v/>
      </c>
      <c r="V547" s="34" t="str">
        <f t="shared" si="4"/>
        <v/>
      </c>
      <c r="W547" s="41" t="str">
        <f>IFERROR(__xludf.DUMMYFUNCTION(" IF(Account!$F547&lt;&gt;"""", SPLIT(Account!$F547, "" ""), """")"),"")</f>
        <v/>
      </c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</row>
    <row r="548">
      <c r="A548" s="20"/>
      <c r="B548" s="20"/>
      <c r="C548" s="20"/>
      <c r="D548" s="20"/>
      <c r="E548" s="20"/>
      <c r="F548" s="21"/>
      <c r="G548" s="45"/>
      <c r="H548" s="20"/>
      <c r="I548" s="20"/>
      <c r="J548" s="20"/>
      <c r="K548" s="20"/>
      <c r="L548" s="21"/>
      <c r="M548" s="33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4" t="str">
        <f>IFERROR(__xludf.DUMMYFUNCTION("IF(Account!$F548&lt;&gt;"""", VALUE(REGEXREPLACE($I548, ""\,"", ""."")), """")"),"")</f>
        <v/>
      </c>
      <c r="O548" s="35" t="str">
        <f>IF(Account!$F548&lt;&gt;"", DATEVALUE(MID($A548,4,3) &amp; LEFT($A548,3) &amp; RIGHT($A548,4)) + TIMEVALUE($B548), "")</f>
        <v/>
      </c>
      <c r="P548" s="36" t="str">
        <f>IF(Account!$F548&lt;&gt;"", DATEVALUE(MID($C548,4,3) &amp; LEFT($C548,3) &amp; RIGHT($C548,4)), "")</f>
        <v/>
      </c>
      <c r="Q548" s="37" t="str">
        <f t="array" ref="Q548">IF($R548&lt;&gt;"",IFERROR(INDEX(ISIN!$B:$B,MATCH($R548,ISIN!$C:$C,0))),)</f>
        <v/>
      </c>
      <c r="R548" s="38" t="str">
        <f t="array" ref="R548">IF($E548&lt;&gt;""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7" t="str">
        <f t="shared" si="1"/>
        <v/>
      </c>
      <c r="T548" s="39" t="str">
        <f t="shared" si="2"/>
        <v/>
      </c>
      <c r="U548" s="40" t="str">
        <f t="shared" si="3"/>
        <v/>
      </c>
      <c r="V548" s="34" t="str">
        <f t="shared" si="4"/>
        <v/>
      </c>
      <c r="W548" s="41" t="str">
        <f>IFERROR(__xludf.DUMMYFUNCTION(" IF(Account!$F548&lt;&gt;"""", SPLIT(Account!$F548, "" ""), """")"),"")</f>
        <v/>
      </c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</row>
    <row r="549">
      <c r="A549" s="20"/>
      <c r="B549" s="20"/>
      <c r="C549" s="20"/>
      <c r="D549" s="20"/>
      <c r="E549" s="20"/>
      <c r="F549" s="21"/>
      <c r="G549" s="20"/>
      <c r="H549" s="20"/>
      <c r="I549" s="20"/>
      <c r="J549" s="20"/>
      <c r="K549" s="20"/>
      <c r="L549" s="21"/>
      <c r="M549" s="33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4" t="str">
        <f>IFERROR(__xludf.DUMMYFUNCTION("IF(Account!$F549&lt;&gt;"""", VALUE(REGEXREPLACE($I549, ""\,"", ""."")), """")"),"")</f>
        <v/>
      </c>
      <c r="O549" s="35" t="str">
        <f>IF(Account!$F549&lt;&gt;"", DATEVALUE(MID($A549,4,3) &amp; LEFT($A549,3) &amp; RIGHT($A549,4)) + TIMEVALUE($B549), "")</f>
        <v/>
      </c>
      <c r="P549" s="36" t="str">
        <f>IF(Account!$F549&lt;&gt;"", DATEVALUE(MID($C549,4,3) &amp; LEFT($C549,3) &amp; RIGHT($C549,4)), "")</f>
        <v/>
      </c>
      <c r="Q549" s="37" t="str">
        <f t="array" ref="Q549">IF($R549&lt;&gt;"",IFERROR(INDEX(ISIN!$B:$B,MATCH($R549,ISIN!$C:$C,0))),)</f>
        <v/>
      </c>
      <c r="R549" s="38" t="str">
        <f t="array" ref="R549">IF($E549&lt;&gt;""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7" t="str">
        <f t="shared" si="1"/>
        <v/>
      </c>
      <c r="T549" s="39" t="str">
        <f t="shared" si="2"/>
        <v/>
      </c>
      <c r="U549" s="40" t="str">
        <f t="shared" si="3"/>
        <v/>
      </c>
      <c r="V549" s="34" t="str">
        <f t="shared" si="4"/>
        <v/>
      </c>
      <c r="W549" s="41" t="str">
        <f>IFERROR(__xludf.DUMMYFUNCTION(" IF(Account!$F549&lt;&gt;"""", SPLIT(Account!$F549, "" ""), """")"),"")</f>
        <v/>
      </c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</row>
    <row r="550">
      <c r="A550" s="20"/>
      <c r="B550" s="20"/>
      <c r="C550" s="20"/>
      <c r="D550" s="20"/>
      <c r="E550" s="20"/>
      <c r="F550" s="21"/>
      <c r="G550" s="20"/>
      <c r="H550" s="20"/>
      <c r="I550" s="20"/>
      <c r="J550" s="20"/>
      <c r="K550" s="20"/>
      <c r="L550" s="21"/>
      <c r="M550" s="33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4" t="str">
        <f>IFERROR(__xludf.DUMMYFUNCTION("IF(Account!$F550&lt;&gt;"""", VALUE(REGEXREPLACE($I550, ""\,"", ""."")), """")"),"")</f>
        <v/>
      </c>
      <c r="O550" s="35" t="str">
        <f>IF(Account!$F550&lt;&gt;"", DATEVALUE(MID($A550,4,3) &amp; LEFT($A550,3) &amp; RIGHT($A550,4)) + TIMEVALUE($B550), "")</f>
        <v/>
      </c>
      <c r="P550" s="36" t="str">
        <f>IF(Account!$F550&lt;&gt;"", DATEVALUE(MID($C550,4,3) &amp; LEFT($C550,3) &amp; RIGHT($C550,4)), "")</f>
        <v/>
      </c>
      <c r="Q550" s="37" t="str">
        <f t="array" ref="Q550">IF($R550&lt;&gt;"",IFERROR(INDEX(ISIN!$B:$B,MATCH($R550,ISIN!$C:$C,0))),)</f>
        <v/>
      </c>
      <c r="R550" s="38" t="str">
        <f t="array" ref="R550">IF($E550&lt;&gt;""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7" t="str">
        <f t="shared" si="1"/>
        <v/>
      </c>
      <c r="T550" s="39" t="str">
        <f t="shared" si="2"/>
        <v/>
      </c>
      <c r="U550" s="40" t="str">
        <f t="shared" si="3"/>
        <v/>
      </c>
      <c r="V550" s="34" t="str">
        <f t="shared" si="4"/>
        <v/>
      </c>
      <c r="W550" s="41" t="str">
        <f>IFERROR(__xludf.DUMMYFUNCTION(" IF(Account!$F550&lt;&gt;"""", SPLIT(Account!$F550, "" ""), """")"),"")</f>
        <v/>
      </c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</row>
    <row r="551">
      <c r="A551" s="20"/>
      <c r="B551" s="20"/>
      <c r="C551" s="20"/>
      <c r="D551" s="20"/>
      <c r="E551" s="20"/>
      <c r="F551" s="21"/>
      <c r="G551" s="45"/>
      <c r="H551" s="20"/>
      <c r="I551" s="20"/>
      <c r="J551" s="20"/>
      <c r="K551" s="20"/>
      <c r="L551" s="21"/>
      <c r="M551" s="33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4" t="str">
        <f>IFERROR(__xludf.DUMMYFUNCTION("IF(Account!$F551&lt;&gt;"""", VALUE(REGEXREPLACE($I551, ""\,"", ""."")), """")"),"")</f>
        <v/>
      </c>
      <c r="O551" s="35" t="str">
        <f>IF(Account!$F551&lt;&gt;"", DATEVALUE(MID($A551,4,3) &amp; LEFT($A551,3) &amp; RIGHT($A551,4)) + TIMEVALUE($B551), "")</f>
        <v/>
      </c>
      <c r="P551" s="36" t="str">
        <f>IF(Account!$F551&lt;&gt;"", DATEVALUE(MID($C551,4,3) &amp; LEFT($C551,3) &amp; RIGHT($C551,4)), "")</f>
        <v/>
      </c>
      <c r="Q551" s="37" t="str">
        <f t="array" ref="Q551">IF($R551&lt;&gt;"",IFERROR(INDEX(ISIN!$B:$B,MATCH($R551,ISIN!$C:$C,0))),)</f>
        <v/>
      </c>
      <c r="R551" s="38" t="str">
        <f t="array" ref="R551">IF($E551&lt;&gt;""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7" t="str">
        <f t="shared" si="1"/>
        <v/>
      </c>
      <c r="T551" s="39" t="str">
        <f t="shared" si="2"/>
        <v/>
      </c>
      <c r="U551" s="40" t="str">
        <f t="shared" si="3"/>
        <v/>
      </c>
      <c r="V551" s="34" t="str">
        <f t="shared" si="4"/>
        <v/>
      </c>
      <c r="W551" s="41" t="str">
        <f>IFERROR(__xludf.DUMMYFUNCTION(" IF(Account!$F551&lt;&gt;"""", SPLIT(Account!$F551, "" ""), """")"),"")</f>
        <v/>
      </c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</row>
    <row r="552">
      <c r="A552" s="20"/>
      <c r="B552" s="20"/>
      <c r="C552" s="20"/>
      <c r="D552" s="20"/>
      <c r="E552" s="20"/>
      <c r="F552" s="21"/>
      <c r="G552" s="20"/>
      <c r="H552" s="20"/>
      <c r="I552" s="20"/>
      <c r="J552" s="20"/>
      <c r="K552" s="20"/>
      <c r="L552" s="21"/>
      <c r="M552" s="33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4" t="str">
        <f>IFERROR(__xludf.DUMMYFUNCTION("IF(Account!$F552&lt;&gt;"""", VALUE(REGEXREPLACE($I552, ""\,"", ""."")), """")"),"")</f>
        <v/>
      </c>
      <c r="O552" s="35" t="str">
        <f>IF(Account!$F552&lt;&gt;"", DATEVALUE(MID($A552,4,3) &amp; LEFT($A552,3) &amp; RIGHT($A552,4)) + TIMEVALUE($B552), "")</f>
        <v/>
      </c>
      <c r="P552" s="36" t="str">
        <f>IF(Account!$F552&lt;&gt;"", DATEVALUE(MID($C552,4,3) &amp; LEFT($C552,3) &amp; RIGHT($C552,4)), "")</f>
        <v/>
      </c>
      <c r="Q552" s="37" t="str">
        <f t="array" ref="Q552">IF($R552&lt;&gt;"",IFERROR(INDEX(ISIN!$B:$B,MATCH($R552,ISIN!$C:$C,0))),)</f>
        <v/>
      </c>
      <c r="R552" s="38" t="str">
        <f t="array" ref="R552">IF($E552&lt;&gt;""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7" t="str">
        <f t="shared" si="1"/>
        <v/>
      </c>
      <c r="T552" s="39" t="str">
        <f t="shared" si="2"/>
        <v/>
      </c>
      <c r="U552" s="40" t="str">
        <f t="shared" si="3"/>
        <v/>
      </c>
      <c r="V552" s="34" t="str">
        <f t="shared" si="4"/>
        <v/>
      </c>
      <c r="W552" s="41" t="str">
        <f>IFERROR(__xludf.DUMMYFUNCTION(" IF(Account!$F552&lt;&gt;"""", SPLIT(Account!$F552, "" ""), """")"),"")</f>
        <v/>
      </c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</row>
    <row r="553">
      <c r="A553" s="20"/>
      <c r="B553" s="20"/>
      <c r="C553" s="20"/>
      <c r="D553" s="20"/>
      <c r="E553" s="20"/>
      <c r="F553" s="21"/>
      <c r="G553" s="45"/>
      <c r="H553" s="20"/>
      <c r="I553" s="20"/>
      <c r="J553" s="20"/>
      <c r="K553" s="20"/>
      <c r="L553" s="21"/>
      <c r="M553" s="33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4" t="str">
        <f>IFERROR(__xludf.DUMMYFUNCTION("IF(Account!$F553&lt;&gt;"""", VALUE(REGEXREPLACE($I553, ""\,"", ""."")), """")"),"")</f>
        <v/>
      </c>
      <c r="O553" s="35" t="str">
        <f>IF(Account!$F553&lt;&gt;"", DATEVALUE(MID($A553,4,3) &amp; LEFT($A553,3) &amp; RIGHT($A553,4)) + TIMEVALUE($B553), "")</f>
        <v/>
      </c>
      <c r="P553" s="36" t="str">
        <f>IF(Account!$F553&lt;&gt;"", DATEVALUE(MID($C553,4,3) &amp; LEFT($C553,3) &amp; RIGHT($C553,4)), "")</f>
        <v/>
      </c>
      <c r="Q553" s="37" t="str">
        <f t="array" ref="Q553">IF($R553&lt;&gt;"",IFERROR(INDEX(ISIN!$B:$B,MATCH($R553,ISIN!$C:$C,0))),)</f>
        <v/>
      </c>
      <c r="R553" s="38" t="str">
        <f t="array" ref="R553">IF($E553&lt;&gt;""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7" t="str">
        <f t="shared" si="1"/>
        <v/>
      </c>
      <c r="T553" s="39" t="str">
        <f t="shared" si="2"/>
        <v/>
      </c>
      <c r="U553" s="40" t="str">
        <f t="shared" si="3"/>
        <v/>
      </c>
      <c r="V553" s="34" t="str">
        <f t="shared" si="4"/>
        <v/>
      </c>
      <c r="W553" s="41" t="str">
        <f>IFERROR(__xludf.DUMMYFUNCTION(" IF(Account!$F553&lt;&gt;"""", SPLIT(Account!$F553, "" ""), """")"),"")</f>
        <v/>
      </c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</row>
    <row r="554">
      <c r="A554" s="20"/>
      <c r="B554" s="20"/>
      <c r="C554" s="20"/>
      <c r="D554" s="20"/>
      <c r="E554" s="20"/>
      <c r="F554" s="21"/>
      <c r="G554" s="20"/>
      <c r="H554" s="20"/>
      <c r="I554" s="20"/>
      <c r="J554" s="20"/>
      <c r="K554" s="20"/>
      <c r="L554" s="21"/>
      <c r="M554" s="33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4" t="str">
        <f>IFERROR(__xludf.DUMMYFUNCTION("IF(Account!$F554&lt;&gt;"""", VALUE(REGEXREPLACE($I554, ""\,"", ""."")), """")"),"")</f>
        <v/>
      </c>
      <c r="O554" s="35" t="str">
        <f>IF(Account!$F554&lt;&gt;"", DATEVALUE(MID($A554,4,3) &amp; LEFT($A554,3) &amp; RIGHT($A554,4)) + TIMEVALUE($B554), "")</f>
        <v/>
      </c>
      <c r="P554" s="36" t="str">
        <f>IF(Account!$F554&lt;&gt;"", DATEVALUE(MID($C554,4,3) &amp; LEFT($C554,3) &amp; RIGHT($C554,4)), "")</f>
        <v/>
      </c>
      <c r="Q554" s="37" t="str">
        <f t="array" ref="Q554">IF($R554&lt;&gt;"",IFERROR(INDEX(ISIN!$B:$B,MATCH($R554,ISIN!$C:$C,0))),)</f>
        <v/>
      </c>
      <c r="R554" s="38" t="str">
        <f t="array" ref="R554">IF($E554&lt;&gt;""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7" t="str">
        <f t="shared" si="1"/>
        <v/>
      </c>
      <c r="T554" s="39" t="str">
        <f t="shared" si="2"/>
        <v/>
      </c>
      <c r="U554" s="40" t="str">
        <f t="shared" si="3"/>
        <v/>
      </c>
      <c r="V554" s="34" t="str">
        <f t="shared" si="4"/>
        <v/>
      </c>
      <c r="W554" s="41" t="str">
        <f>IFERROR(__xludf.DUMMYFUNCTION(" IF(Account!$F554&lt;&gt;"""", SPLIT(Account!$F554, "" ""), """")"),"")</f>
        <v/>
      </c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</row>
    <row r="555">
      <c r="A555" s="20"/>
      <c r="B555" s="20"/>
      <c r="C555" s="20"/>
      <c r="D555" s="20"/>
      <c r="E555" s="20"/>
      <c r="F555" s="21"/>
      <c r="G555" s="20"/>
      <c r="H555" s="20"/>
      <c r="I555" s="20"/>
      <c r="J555" s="20"/>
      <c r="K555" s="20"/>
      <c r="L555" s="21"/>
      <c r="M555" s="33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4" t="str">
        <f>IFERROR(__xludf.DUMMYFUNCTION("IF(Account!$F555&lt;&gt;"""", VALUE(REGEXREPLACE($I555, ""\,"", ""."")), """")"),"")</f>
        <v/>
      </c>
      <c r="O555" s="35" t="str">
        <f>IF(Account!$F555&lt;&gt;"", DATEVALUE(MID($A555,4,3) &amp; LEFT($A555,3) &amp; RIGHT($A555,4)) + TIMEVALUE($B555), "")</f>
        <v/>
      </c>
      <c r="P555" s="36" t="str">
        <f>IF(Account!$F555&lt;&gt;"", DATEVALUE(MID($C555,4,3) &amp; LEFT($C555,3) &amp; RIGHT($C555,4)), "")</f>
        <v/>
      </c>
      <c r="Q555" s="37" t="str">
        <f t="array" ref="Q555">IF($R555&lt;&gt;"",IFERROR(INDEX(ISIN!$B:$B,MATCH($R555,ISIN!$C:$C,0))),)</f>
        <v/>
      </c>
      <c r="R555" s="38" t="str">
        <f t="array" ref="R555">IF($E555&lt;&gt;""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7" t="str">
        <f t="shared" si="1"/>
        <v/>
      </c>
      <c r="T555" s="39" t="str">
        <f t="shared" si="2"/>
        <v/>
      </c>
      <c r="U555" s="40" t="str">
        <f t="shared" si="3"/>
        <v/>
      </c>
      <c r="V555" s="34" t="str">
        <f t="shared" si="4"/>
        <v/>
      </c>
      <c r="W555" s="41" t="str">
        <f>IFERROR(__xludf.DUMMYFUNCTION(" IF(Account!$F555&lt;&gt;"""", SPLIT(Account!$F555, "" ""), """")"),"")</f>
        <v/>
      </c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</row>
    <row r="556">
      <c r="A556" s="20"/>
      <c r="B556" s="20"/>
      <c r="C556" s="20"/>
      <c r="D556" s="20"/>
      <c r="E556" s="20"/>
      <c r="F556" s="21"/>
      <c r="G556" s="20"/>
      <c r="H556" s="20"/>
      <c r="I556" s="20"/>
      <c r="J556" s="20"/>
      <c r="K556" s="20"/>
      <c r="L556" s="21"/>
      <c r="M556" s="33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4" t="str">
        <f>IFERROR(__xludf.DUMMYFUNCTION("IF(Account!$F556&lt;&gt;"""", VALUE(REGEXREPLACE($I556, ""\,"", ""."")), """")"),"")</f>
        <v/>
      </c>
      <c r="O556" s="35" t="str">
        <f>IF(Account!$F556&lt;&gt;"", DATEVALUE(MID($A556,4,3) &amp; LEFT($A556,3) &amp; RIGHT($A556,4)) + TIMEVALUE($B556), "")</f>
        <v/>
      </c>
      <c r="P556" s="36" t="str">
        <f>IF(Account!$F556&lt;&gt;"", DATEVALUE(MID($C556,4,3) &amp; LEFT($C556,3) &amp; RIGHT($C556,4)), "")</f>
        <v/>
      </c>
      <c r="Q556" s="37" t="str">
        <f t="array" ref="Q556">IF($R556&lt;&gt;"",IFERROR(INDEX(ISIN!$B:$B,MATCH($R556,ISIN!$C:$C,0))),)</f>
        <v/>
      </c>
      <c r="R556" s="38" t="str">
        <f t="array" ref="R556">IF($E556&lt;&gt;""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7" t="str">
        <f t="shared" si="1"/>
        <v/>
      </c>
      <c r="T556" s="39" t="str">
        <f t="shared" si="2"/>
        <v/>
      </c>
      <c r="U556" s="40" t="str">
        <f t="shared" si="3"/>
        <v/>
      </c>
      <c r="V556" s="34" t="str">
        <f t="shared" si="4"/>
        <v/>
      </c>
      <c r="W556" s="41" t="str">
        <f>IFERROR(__xludf.DUMMYFUNCTION(" IF(Account!$F556&lt;&gt;"""", SPLIT(Account!$F556, "" ""), """")"),"")</f>
        <v/>
      </c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</row>
    <row r="557">
      <c r="A557" s="20"/>
      <c r="B557" s="20"/>
      <c r="C557" s="20"/>
      <c r="D557" s="20"/>
      <c r="E557" s="20"/>
      <c r="F557" s="21"/>
      <c r="G557" s="45"/>
      <c r="H557" s="20"/>
      <c r="I557" s="20"/>
      <c r="J557" s="20"/>
      <c r="K557" s="20"/>
      <c r="L557" s="21"/>
      <c r="M557" s="33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4" t="str">
        <f>IFERROR(__xludf.DUMMYFUNCTION("IF(Account!$F557&lt;&gt;"""", VALUE(REGEXREPLACE($I557, ""\,"", ""."")), """")"),"")</f>
        <v/>
      </c>
      <c r="O557" s="35" t="str">
        <f>IF(Account!$F557&lt;&gt;"", DATEVALUE(MID($A557,4,3) &amp; LEFT($A557,3) &amp; RIGHT($A557,4)) + TIMEVALUE($B557), "")</f>
        <v/>
      </c>
      <c r="P557" s="36" t="str">
        <f>IF(Account!$F557&lt;&gt;"", DATEVALUE(MID($C557,4,3) &amp; LEFT($C557,3) &amp; RIGHT($C557,4)), "")</f>
        <v/>
      </c>
      <c r="Q557" s="37" t="str">
        <f t="array" ref="Q557">IF($R557&lt;&gt;"",IFERROR(INDEX(ISIN!$B:$B,MATCH($R557,ISIN!$C:$C,0))),)</f>
        <v/>
      </c>
      <c r="R557" s="38" t="str">
        <f t="array" ref="R557">IF($E557&lt;&gt;""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7" t="str">
        <f t="shared" si="1"/>
        <v/>
      </c>
      <c r="T557" s="39" t="str">
        <f t="shared" si="2"/>
        <v/>
      </c>
      <c r="U557" s="40" t="str">
        <f t="shared" si="3"/>
        <v/>
      </c>
      <c r="V557" s="34" t="str">
        <f t="shared" si="4"/>
        <v/>
      </c>
      <c r="W557" s="41" t="str">
        <f>IFERROR(__xludf.DUMMYFUNCTION(" IF(Account!$F557&lt;&gt;"""", SPLIT(Account!$F557, "" ""), """")"),"")</f>
        <v/>
      </c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</row>
    <row r="558">
      <c r="A558" s="20"/>
      <c r="B558" s="20"/>
      <c r="C558" s="20"/>
      <c r="D558" s="20"/>
      <c r="E558" s="20"/>
      <c r="F558" s="21"/>
      <c r="G558" s="20"/>
      <c r="H558" s="20"/>
      <c r="I558" s="20"/>
      <c r="J558" s="20"/>
      <c r="K558" s="20"/>
      <c r="L558" s="21"/>
      <c r="M558" s="33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4" t="str">
        <f>IFERROR(__xludf.DUMMYFUNCTION("IF(Account!$F558&lt;&gt;"""", VALUE(REGEXREPLACE($I558, ""\,"", ""."")), """")"),"")</f>
        <v/>
      </c>
      <c r="O558" s="35" t="str">
        <f>IF(Account!$F558&lt;&gt;"", DATEVALUE(MID($A558,4,3) &amp; LEFT($A558,3) &amp; RIGHT($A558,4)) + TIMEVALUE($B558), "")</f>
        <v/>
      </c>
      <c r="P558" s="36" t="str">
        <f>IF(Account!$F558&lt;&gt;"", DATEVALUE(MID($C558,4,3) &amp; LEFT($C558,3) &amp; RIGHT($C558,4)), "")</f>
        <v/>
      </c>
      <c r="Q558" s="37" t="str">
        <f t="array" ref="Q558">IF($R558&lt;&gt;"",IFERROR(INDEX(ISIN!$B:$B,MATCH($R558,ISIN!$C:$C,0))),)</f>
        <v/>
      </c>
      <c r="R558" s="38" t="str">
        <f t="array" ref="R558">IF($E558&lt;&gt;""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7" t="str">
        <f t="shared" si="1"/>
        <v/>
      </c>
      <c r="T558" s="39" t="str">
        <f t="shared" si="2"/>
        <v/>
      </c>
      <c r="U558" s="40" t="str">
        <f t="shared" si="3"/>
        <v/>
      </c>
      <c r="V558" s="34" t="str">
        <f t="shared" si="4"/>
        <v/>
      </c>
      <c r="W558" s="41" t="str">
        <f>IFERROR(__xludf.DUMMYFUNCTION(" IF(Account!$F558&lt;&gt;"""", SPLIT(Account!$F558, "" ""), """")"),"")</f>
        <v/>
      </c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</row>
    <row r="559">
      <c r="A559" s="20"/>
      <c r="B559" s="20"/>
      <c r="C559" s="20"/>
      <c r="D559" s="20"/>
      <c r="E559" s="20"/>
      <c r="F559" s="21"/>
      <c r="G559" s="45"/>
      <c r="H559" s="20"/>
      <c r="I559" s="20"/>
      <c r="J559" s="20"/>
      <c r="K559" s="20"/>
      <c r="L559" s="21"/>
      <c r="M559" s="33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4" t="str">
        <f>IFERROR(__xludf.DUMMYFUNCTION("IF(Account!$F559&lt;&gt;"""", VALUE(REGEXREPLACE($I559, ""\,"", ""."")), """")"),"")</f>
        <v/>
      </c>
      <c r="O559" s="35" t="str">
        <f>IF(Account!$F559&lt;&gt;"", DATEVALUE(MID($A559,4,3) &amp; LEFT($A559,3) &amp; RIGHT($A559,4)) + TIMEVALUE($B559), "")</f>
        <v/>
      </c>
      <c r="P559" s="36" t="str">
        <f>IF(Account!$F559&lt;&gt;"", DATEVALUE(MID($C559,4,3) &amp; LEFT($C559,3) &amp; RIGHT($C559,4)), "")</f>
        <v/>
      </c>
      <c r="Q559" s="37" t="str">
        <f t="array" ref="Q559">IF($R559&lt;&gt;"",IFERROR(INDEX(ISIN!$B:$B,MATCH($R559,ISIN!$C:$C,0))),)</f>
        <v/>
      </c>
      <c r="R559" s="38" t="str">
        <f t="array" ref="R559">IF($E559&lt;&gt;""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7" t="str">
        <f t="shared" si="1"/>
        <v/>
      </c>
      <c r="T559" s="39" t="str">
        <f t="shared" si="2"/>
        <v/>
      </c>
      <c r="U559" s="40" t="str">
        <f t="shared" si="3"/>
        <v/>
      </c>
      <c r="V559" s="34" t="str">
        <f t="shared" si="4"/>
        <v/>
      </c>
      <c r="W559" s="41" t="str">
        <f>IFERROR(__xludf.DUMMYFUNCTION(" IF(Account!$F559&lt;&gt;"""", SPLIT(Account!$F559, "" ""), """")"),"")</f>
        <v/>
      </c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</row>
    <row r="560">
      <c r="A560" s="20"/>
      <c r="B560" s="20"/>
      <c r="C560" s="20"/>
      <c r="D560" s="20"/>
      <c r="E560" s="20"/>
      <c r="F560" s="21"/>
      <c r="G560" s="20"/>
      <c r="H560" s="20"/>
      <c r="I560" s="20"/>
      <c r="J560" s="20"/>
      <c r="K560" s="20"/>
      <c r="L560" s="21"/>
      <c r="M560" s="33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4" t="str">
        <f>IFERROR(__xludf.DUMMYFUNCTION("IF(Account!$F560&lt;&gt;"""", VALUE(REGEXREPLACE($I560, ""\,"", ""."")), """")"),"")</f>
        <v/>
      </c>
      <c r="O560" s="35" t="str">
        <f>IF(Account!$F560&lt;&gt;"", DATEVALUE(MID($A560,4,3) &amp; LEFT($A560,3) &amp; RIGHT($A560,4)) + TIMEVALUE($B560), "")</f>
        <v/>
      </c>
      <c r="P560" s="36" t="str">
        <f>IF(Account!$F560&lt;&gt;"", DATEVALUE(MID($C560,4,3) &amp; LEFT($C560,3) &amp; RIGHT($C560,4)), "")</f>
        <v/>
      </c>
      <c r="Q560" s="37" t="str">
        <f t="array" ref="Q560">IF($R560&lt;&gt;"",IFERROR(INDEX(ISIN!$B:$B,MATCH($R560,ISIN!$C:$C,0))),)</f>
        <v/>
      </c>
      <c r="R560" s="38" t="str">
        <f t="array" ref="R560">IF($E560&lt;&gt;""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7" t="str">
        <f t="shared" si="1"/>
        <v/>
      </c>
      <c r="T560" s="39" t="str">
        <f t="shared" si="2"/>
        <v/>
      </c>
      <c r="U560" s="40" t="str">
        <f t="shared" si="3"/>
        <v/>
      </c>
      <c r="V560" s="34" t="str">
        <f t="shared" si="4"/>
        <v/>
      </c>
      <c r="W560" s="41" t="str">
        <f>IFERROR(__xludf.DUMMYFUNCTION(" IF(Account!$F560&lt;&gt;"""", SPLIT(Account!$F560, "" ""), """")"),"")</f>
        <v/>
      </c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</row>
    <row r="561">
      <c r="A561" s="20"/>
      <c r="B561" s="20"/>
      <c r="C561" s="20"/>
      <c r="D561" s="20"/>
      <c r="E561" s="20"/>
      <c r="F561" s="21"/>
      <c r="G561" s="45"/>
      <c r="H561" s="20"/>
      <c r="I561" s="20"/>
      <c r="J561" s="20"/>
      <c r="K561" s="20"/>
      <c r="L561" s="21"/>
      <c r="M561" s="33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4" t="str">
        <f>IFERROR(__xludf.DUMMYFUNCTION("IF(Account!$F561&lt;&gt;"""", VALUE(REGEXREPLACE($I561, ""\,"", ""."")), """")"),"")</f>
        <v/>
      </c>
      <c r="O561" s="35" t="str">
        <f>IF(Account!$F561&lt;&gt;"", DATEVALUE(MID($A561,4,3) &amp; LEFT($A561,3) &amp; RIGHT($A561,4)) + TIMEVALUE($B561), "")</f>
        <v/>
      </c>
      <c r="P561" s="36" t="str">
        <f>IF(Account!$F561&lt;&gt;"", DATEVALUE(MID($C561,4,3) &amp; LEFT($C561,3) &amp; RIGHT($C561,4)), "")</f>
        <v/>
      </c>
      <c r="Q561" s="37" t="str">
        <f t="array" ref="Q561">IF($R561&lt;&gt;"",IFERROR(INDEX(ISIN!$B:$B,MATCH($R561,ISIN!$C:$C,0))),)</f>
        <v/>
      </c>
      <c r="R561" s="38" t="str">
        <f t="array" ref="R561">IF($E561&lt;&gt;""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7" t="str">
        <f t="shared" si="1"/>
        <v/>
      </c>
      <c r="T561" s="39" t="str">
        <f t="shared" si="2"/>
        <v/>
      </c>
      <c r="U561" s="40" t="str">
        <f t="shared" si="3"/>
        <v/>
      </c>
      <c r="V561" s="34" t="str">
        <f t="shared" si="4"/>
        <v/>
      </c>
      <c r="W561" s="41" t="str">
        <f>IFERROR(__xludf.DUMMYFUNCTION(" IF(Account!$F561&lt;&gt;"""", SPLIT(Account!$F561, "" ""), """")"),"")</f>
        <v/>
      </c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</row>
    <row r="562">
      <c r="A562" s="20"/>
      <c r="B562" s="20"/>
      <c r="C562" s="20"/>
      <c r="D562" s="20"/>
      <c r="E562" s="20"/>
      <c r="F562" s="21"/>
      <c r="G562" s="45"/>
      <c r="H562" s="20"/>
      <c r="I562" s="20"/>
      <c r="J562" s="20"/>
      <c r="K562" s="20"/>
      <c r="L562" s="21"/>
      <c r="M562" s="33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4" t="str">
        <f>IFERROR(__xludf.DUMMYFUNCTION("IF(Account!$F562&lt;&gt;"""", VALUE(REGEXREPLACE($I562, ""\,"", ""."")), """")"),"")</f>
        <v/>
      </c>
      <c r="O562" s="35" t="str">
        <f>IF(Account!$F562&lt;&gt;"", DATEVALUE(MID($A562,4,3) &amp; LEFT($A562,3) &amp; RIGHT($A562,4)) + TIMEVALUE($B562), "")</f>
        <v/>
      </c>
      <c r="P562" s="36" t="str">
        <f>IF(Account!$F562&lt;&gt;"", DATEVALUE(MID($C562,4,3) &amp; LEFT($C562,3) &amp; RIGHT($C562,4)), "")</f>
        <v/>
      </c>
      <c r="Q562" s="37" t="str">
        <f t="array" ref="Q562">IF($R562&lt;&gt;"",IFERROR(INDEX(ISIN!$B:$B,MATCH($R562,ISIN!$C:$C,0))),)</f>
        <v/>
      </c>
      <c r="R562" s="38" t="str">
        <f t="array" ref="R562">IF($E562&lt;&gt;""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7" t="str">
        <f t="shared" si="1"/>
        <v/>
      </c>
      <c r="T562" s="39" t="str">
        <f t="shared" si="2"/>
        <v/>
      </c>
      <c r="U562" s="40" t="str">
        <f t="shared" si="3"/>
        <v/>
      </c>
      <c r="V562" s="34" t="str">
        <f t="shared" si="4"/>
        <v/>
      </c>
      <c r="W562" s="41" t="str">
        <f>IFERROR(__xludf.DUMMYFUNCTION(" IF(Account!$F562&lt;&gt;"""", SPLIT(Account!$F562, "" ""), """")"),"")</f>
        <v/>
      </c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</row>
    <row r="563">
      <c r="A563" s="20"/>
      <c r="B563" s="20"/>
      <c r="C563" s="20"/>
      <c r="D563" s="20"/>
      <c r="E563" s="20"/>
      <c r="F563" s="21"/>
      <c r="G563" s="45"/>
      <c r="H563" s="20"/>
      <c r="I563" s="20"/>
      <c r="J563" s="20"/>
      <c r="K563" s="20"/>
      <c r="L563" s="21"/>
      <c r="M563" s="33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4" t="str">
        <f>IFERROR(__xludf.DUMMYFUNCTION("IF(Account!$F563&lt;&gt;"""", VALUE(REGEXREPLACE($I563, ""\,"", ""."")), """")"),"")</f>
        <v/>
      </c>
      <c r="O563" s="35" t="str">
        <f>IF(Account!$F563&lt;&gt;"", DATEVALUE(MID($A563,4,3) &amp; LEFT($A563,3) &amp; RIGHT($A563,4)) + TIMEVALUE($B563), "")</f>
        <v/>
      </c>
      <c r="P563" s="36" t="str">
        <f>IF(Account!$F563&lt;&gt;"", DATEVALUE(MID($C563,4,3) &amp; LEFT($C563,3) &amp; RIGHT($C563,4)), "")</f>
        <v/>
      </c>
      <c r="Q563" s="37" t="str">
        <f t="array" ref="Q563">IF($R563&lt;&gt;"",IFERROR(INDEX(ISIN!$B:$B,MATCH($R563,ISIN!$C:$C,0))),)</f>
        <v/>
      </c>
      <c r="R563" s="38" t="str">
        <f t="array" ref="R563">IF($E563&lt;&gt;""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7" t="str">
        <f t="shared" si="1"/>
        <v/>
      </c>
      <c r="T563" s="39" t="str">
        <f t="shared" si="2"/>
        <v/>
      </c>
      <c r="U563" s="40" t="str">
        <f t="shared" si="3"/>
        <v/>
      </c>
      <c r="V563" s="34" t="str">
        <f t="shared" si="4"/>
        <v/>
      </c>
      <c r="W563" s="41" t="str">
        <f>IFERROR(__xludf.DUMMYFUNCTION(" IF(Account!$F563&lt;&gt;"""", SPLIT(Account!$F563, "" ""), """")"),"")</f>
        <v/>
      </c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</row>
    <row r="564">
      <c r="A564" s="20"/>
      <c r="B564" s="20"/>
      <c r="C564" s="20"/>
      <c r="D564" s="20"/>
      <c r="E564" s="20"/>
      <c r="F564" s="21"/>
      <c r="G564" s="45"/>
      <c r="H564" s="20"/>
      <c r="I564" s="20"/>
      <c r="J564" s="20"/>
      <c r="K564" s="20"/>
      <c r="L564" s="21"/>
      <c r="M564" s="33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4" t="str">
        <f>IFERROR(__xludf.DUMMYFUNCTION("IF(Account!$F564&lt;&gt;"""", VALUE(REGEXREPLACE($I564, ""\,"", ""."")), """")"),"")</f>
        <v/>
      </c>
      <c r="O564" s="35" t="str">
        <f>IF(Account!$F564&lt;&gt;"", DATEVALUE(MID($A564,4,3) &amp; LEFT($A564,3) &amp; RIGHT($A564,4)) + TIMEVALUE($B564), "")</f>
        <v/>
      </c>
      <c r="P564" s="36" t="str">
        <f>IF(Account!$F564&lt;&gt;"", DATEVALUE(MID($C564,4,3) &amp; LEFT($C564,3) &amp; RIGHT($C564,4)), "")</f>
        <v/>
      </c>
      <c r="Q564" s="37" t="str">
        <f t="array" ref="Q564">IF($R564&lt;&gt;"",IFERROR(INDEX(ISIN!$B:$B,MATCH($R564,ISIN!$C:$C,0))),)</f>
        <v/>
      </c>
      <c r="R564" s="38" t="str">
        <f t="array" ref="R564">IF($E564&lt;&gt;""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7" t="str">
        <f t="shared" si="1"/>
        <v/>
      </c>
      <c r="T564" s="39" t="str">
        <f t="shared" si="2"/>
        <v/>
      </c>
      <c r="U564" s="40" t="str">
        <f t="shared" si="3"/>
        <v/>
      </c>
      <c r="V564" s="34" t="str">
        <f t="shared" si="4"/>
        <v/>
      </c>
      <c r="W564" s="41" t="str">
        <f>IFERROR(__xludf.DUMMYFUNCTION(" IF(Account!$F564&lt;&gt;"""", SPLIT(Account!$F564, "" ""), """")"),"")</f>
        <v/>
      </c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</row>
    <row r="565">
      <c r="A565" s="20"/>
      <c r="B565" s="20"/>
      <c r="C565" s="20"/>
      <c r="D565" s="20"/>
      <c r="E565" s="20"/>
      <c r="F565" s="21"/>
      <c r="G565" s="45"/>
      <c r="H565" s="20"/>
      <c r="I565" s="20"/>
      <c r="J565" s="20"/>
      <c r="K565" s="20"/>
      <c r="L565" s="21"/>
      <c r="M565" s="33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4" t="str">
        <f>IFERROR(__xludf.DUMMYFUNCTION("IF(Account!$F565&lt;&gt;"""", VALUE(REGEXREPLACE($I565, ""\,"", ""."")), """")"),"")</f>
        <v/>
      </c>
      <c r="O565" s="35" t="str">
        <f>IF(Account!$F565&lt;&gt;"", DATEVALUE(MID($A565,4,3) &amp; LEFT($A565,3) &amp; RIGHT($A565,4)) + TIMEVALUE($B565), "")</f>
        <v/>
      </c>
      <c r="P565" s="36" t="str">
        <f>IF(Account!$F565&lt;&gt;"", DATEVALUE(MID($C565,4,3) &amp; LEFT($C565,3) &amp; RIGHT($C565,4)), "")</f>
        <v/>
      </c>
      <c r="Q565" s="37" t="str">
        <f t="array" ref="Q565">IF($R565&lt;&gt;"",IFERROR(INDEX(ISIN!$B:$B,MATCH($R565,ISIN!$C:$C,0))),)</f>
        <v/>
      </c>
      <c r="R565" s="38" t="str">
        <f t="array" ref="R565">IF($E565&lt;&gt;""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7" t="str">
        <f t="shared" si="1"/>
        <v/>
      </c>
      <c r="T565" s="39" t="str">
        <f t="shared" si="2"/>
        <v/>
      </c>
      <c r="U565" s="40" t="str">
        <f t="shared" si="3"/>
        <v/>
      </c>
      <c r="V565" s="34" t="str">
        <f t="shared" si="4"/>
        <v/>
      </c>
      <c r="W565" s="41" t="str">
        <f>IFERROR(__xludf.DUMMYFUNCTION(" IF(Account!$F565&lt;&gt;"""", SPLIT(Account!$F565, "" ""), """")"),"")</f>
        <v/>
      </c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</row>
    <row r="566">
      <c r="A566" s="20"/>
      <c r="B566" s="20"/>
      <c r="C566" s="20"/>
      <c r="D566" s="20"/>
      <c r="E566" s="20"/>
      <c r="F566" s="21"/>
      <c r="G566" s="45"/>
      <c r="H566" s="20"/>
      <c r="I566" s="20"/>
      <c r="J566" s="20"/>
      <c r="K566" s="20"/>
      <c r="L566" s="21"/>
      <c r="M566" s="33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4" t="str">
        <f>IFERROR(__xludf.DUMMYFUNCTION("IF(Account!$F566&lt;&gt;"""", VALUE(REGEXREPLACE($I566, ""\,"", ""."")), """")"),"")</f>
        <v/>
      </c>
      <c r="O566" s="35" t="str">
        <f>IF(Account!$F566&lt;&gt;"", DATEVALUE(MID($A566,4,3) &amp; LEFT($A566,3) &amp; RIGHT($A566,4)) + TIMEVALUE($B566), "")</f>
        <v/>
      </c>
      <c r="P566" s="36" t="str">
        <f>IF(Account!$F566&lt;&gt;"", DATEVALUE(MID($C566,4,3) &amp; LEFT($C566,3) &amp; RIGHT($C566,4)), "")</f>
        <v/>
      </c>
      <c r="Q566" s="37" t="str">
        <f t="array" ref="Q566">IF($R566&lt;&gt;"",IFERROR(INDEX(ISIN!$B:$B,MATCH($R566,ISIN!$C:$C,0))),)</f>
        <v/>
      </c>
      <c r="R566" s="38" t="str">
        <f t="array" ref="R566">IF($E566&lt;&gt;""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7" t="str">
        <f t="shared" si="1"/>
        <v/>
      </c>
      <c r="T566" s="39" t="str">
        <f t="shared" si="2"/>
        <v/>
      </c>
      <c r="U566" s="40" t="str">
        <f t="shared" si="3"/>
        <v/>
      </c>
      <c r="V566" s="34" t="str">
        <f t="shared" si="4"/>
        <v/>
      </c>
      <c r="W566" s="41" t="str">
        <f>IFERROR(__xludf.DUMMYFUNCTION(" IF(Account!$F566&lt;&gt;"""", SPLIT(Account!$F566, "" ""), """")"),"")</f>
        <v/>
      </c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</row>
    <row r="567">
      <c r="A567" s="20"/>
      <c r="B567" s="20"/>
      <c r="C567" s="20"/>
      <c r="D567" s="20"/>
      <c r="E567" s="20"/>
      <c r="F567" s="21"/>
      <c r="G567" s="45"/>
      <c r="H567" s="20"/>
      <c r="I567" s="20"/>
      <c r="J567" s="20"/>
      <c r="K567" s="20"/>
      <c r="L567" s="21"/>
      <c r="M567" s="33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4" t="str">
        <f>IFERROR(__xludf.DUMMYFUNCTION("IF(Account!$F567&lt;&gt;"""", VALUE(REGEXREPLACE($I567, ""\,"", ""."")), """")"),"")</f>
        <v/>
      </c>
      <c r="O567" s="35" t="str">
        <f>IF(Account!$F567&lt;&gt;"", DATEVALUE(MID($A567,4,3) &amp; LEFT($A567,3) &amp; RIGHT($A567,4)) + TIMEVALUE($B567), "")</f>
        <v/>
      </c>
      <c r="P567" s="36" t="str">
        <f>IF(Account!$F567&lt;&gt;"", DATEVALUE(MID($C567,4,3) &amp; LEFT($C567,3) &amp; RIGHT($C567,4)), "")</f>
        <v/>
      </c>
      <c r="Q567" s="37" t="str">
        <f t="array" ref="Q567">IF($R567&lt;&gt;"",IFERROR(INDEX(ISIN!$B:$B,MATCH($R567,ISIN!$C:$C,0))),)</f>
        <v/>
      </c>
      <c r="R567" s="38" t="str">
        <f t="array" ref="R567">IF($E567&lt;&gt;""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7" t="str">
        <f t="shared" si="1"/>
        <v/>
      </c>
      <c r="T567" s="39" t="str">
        <f t="shared" si="2"/>
        <v/>
      </c>
      <c r="U567" s="40" t="str">
        <f t="shared" si="3"/>
        <v/>
      </c>
      <c r="V567" s="34" t="str">
        <f t="shared" si="4"/>
        <v/>
      </c>
      <c r="W567" s="41" t="str">
        <f>IFERROR(__xludf.DUMMYFUNCTION(" IF(Account!$F567&lt;&gt;"""", SPLIT(Account!$F567, "" ""), """")"),"")</f>
        <v/>
      </c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</row>
    <row r="568">
      <c r="A568" s="20"/>
      <c r="B568" s="20"/>
      <c r="C568" s="20"/>
      <c r="D568" s="20"/>
      <c r="E568" s="20"/>
      <c r="F568" s="21"/>
      <c r="G568" s="20"/>
      <c r="H568" s="20"/>
      <c r="I568" s="20"/>
      <c r="J568" s="20"/>
      <c r="K568" s="20"/>
      <c r="L568" s="21"/>
      <c r="M568" s="33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4" t="str">
        <f>IFERROR(__xludf.DUMMYFUNCTION("IF(Account!$F568&lt;&gt;"""", VALUE(REGEXREPLACE($I568, ""\,"", ""."")), """")"),"")</f>
        <v/>
      </c>
      <c r="O568" s="35" t="str">
        <f>IF(Account!$F568&lt;&gt;"", DATEVALUE(MID($A568,4,3) &amp; LEFT($A568,3) &amp; RIGHT($A568,4)) + TIMEVALUE($B568), "")</f>
        <v/>
      </c>
      <c r="P568" s="36" t="str">
        <f>IF(Account!$F568&lt;&gt;"", DATEVALUE(MID($C568,4,3) &amp; LEFT($C568,3) &amp; RIGHT($C568,4)), "")</f>
        <v/>
      </c>
      <c r="Q568" s="37" t="str">
        <f t="array" ref="Q568">IF($R568&lt;&gt;"",IFERROR(INDEX(ISIN!$B:$B,MATCH($R568,ISIN!$C:$C,0))),)</f>
        <v/>
      </c>
      <c r="R568" s="38" t="str">
        <f t="array" ref="R568">IF($E568&lt;&gt;""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7" t="str">
        <f t="shared" si="1"/>
        <v/>
      </c>
      <c r="T568" s="39" t="str">
        <f t="shared" si="2"/>
        <v/>
      </c>
      <c r="U568" s="40" t="str">
        <f t="shared" si="3"/>
        <v/>
      </c>
      <c r="V568" s="34" t="str">
        <f t="shared" si="4"/>
        <v/>
      </c>
      <c r="W568" s="41" t="str">
        <f>IFERROR(__xludf.DUMMYFUNCTION(" IF(Account!$F568&lt;&gt;"""", SPLIT(Account!$F568, "" ""), """")"),"")</f>
        <v/>
      </c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</row>
    <row r="569">
      <c r="A569" s="20"/>
      <c r="B569" s="20"/>
      <c r="C569" s="20"/>
      <c r="D569" s="20"/>
      <c r="E569" s="20"/>
      <c r="F569" s="21"/>
      <c r="G569" s="45"/>
      <c r="H569" s="20"/>
      <c r="I569" s="20"/>
      <c r="J569" s="20"/>
      <c r="K569" s="20"/>
      <c r="L569" s="21"/>
      <c r="M569" s="33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4" t="str">
        <f>IFERROR(__xludf.DUMMYFUNCTION("IF(Account!$F569&lt;&gt;"""", VALUE(REGEXREPLACE($I569, ""\,"", ""."")), """")"),"")</f>
        <v/>
      </c>
      <c r="O569" s="35" t="str">
        <f>IF(Account!$F569&lt;&gt;"", DATEVALUE(MID($A569,4,3) &amp; LEFT($A569,3) &amp; RIGHT($A569,4)) + TIMEVALUE($B569), "")</f>
        <v/>
      </c>
      <c r="P569" s="36" t="str">
        <f>IF(Account!$F569&lt;&gt;"", DATEVALUE(MID($C569,4,3) &amp; LEFT($C569,3) &amp; RIGHT($C569,4)), "")</f>
        <v/>
      </c>
      <c r="Q569" s="37" t="str">
        <f t="array" ref="Q569">IF($R569&lt;&gt;"",IFERROR(INDEX(ISIN!$B:$B,MATCH($R569,ISIN!$C:$C,0))),)</f>
        <v/>
      </c>
      <c r="R569" s="38" t="str">
        <f t="array" ref="R569">IF($E569&lt;&gt;""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7" t="str">
        <f t="shared" si="1"/>
        <v/>
      </c>
      <c r="T569" s="39" t="str">
        <f t="shared" si="2"/>
        <v/>
      </c>
      <c r="U569" s="40" t="str">
        <f t="shared" si="3"/>
        <v/>
      </c>
      <c r="V569" s="34" t="str">
        <f t="shared" si="4"/>
        <v/>
      </c>
      <c r="W569" s="41" t="str">
        <f>IFERROR(__xludf.DUMMYFUNCTION(" IF(Account!$F569&lt;&gt;"""", SPLIT(Account!$F569, "" ""), """")"),"")</f>
        <v/>
      </c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</row>
    <row r="570">
      <c r="A570" s="20"/>
      <c r="B570" s="20"/>
      <c r="C570" s="20"/>
      <c r="D570" s="20"/>
      <c r="E570" s="20"/>
      <c r="F570" s="21"/>
      <c r="G570" s="20"/>
      <c r="H570" s="20"/>
      <c r="I570" s="20"/>
      <c r="J570" s="20"/>
      <c r="K570" s="20"/>
      <c r="L570" s="21"/>
      <c r="M570" s="33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4" t="str">
        <f>IFERROR(__xludf.DUMMYFUNCTION("IF(Account!$F570&lt;&gt;"""", VALUE(REGEXREPLACE($I570, ""\,"", ""."")), """")"),"")</f>
        <v/>
      </c>
      <c r="O570" s="35" t="str">
        <f>IF(Account!$F570&lt;&gt;"", DATEVALUE(MID($A570,4,3) &amp; LEFT($A570,3) &amp; RIGHT($A570,4)) + TIMEVALUE($B570), "")</f>
        <v/>
      </c>
      <c r="P570" s="36" t="str">
        <f>IF(Account!$F570&lt;&gt;"", DATEVALUE(MID($C570,4,3) &amp; LEFT($C570,3) &amp; RIGHT($C570,4)), "")</f>
        <v/>
      </c>
      <c r="Q570" s="37" t="str">
        <f t="array" ref="Q570">IF($R570&lt;&gt;"",IFERROR(INDEX(ISIN!$B:$B,MATCH($R570,ISIN!$C:$C,0))),)</f>
        <v/>
      </c>
      <c r="R570" s="38" t="str">
        <f t="array" ref="R570">IF($E570&lt;&gt;""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7" t="str">
        <f t="shared" si="1"/>
        <v/>
      </c>
      <c r="T570" s="39" t="str">
        <f t="shared" si="2"/>
        <v/>
      </c>
      <c r="U570" s="40" t="str">
        <f t="shared" si="3"/>
        <v/>
      </c>
      <c r="V570" s="34" t="str">
        <f t="shared" si="4"/>
        <v/>
      </c>
      <c r="W570" s="41" t="str">
        <f>IFERROR(__xludf.DUMMYFUNCTION(" IF(Account!$F570&lt;&gt;"""", SPLIT(Account!$F570, "" ""), """")"),"")</f>
        <v/>
      </c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</row>
    <row r="571">
      <c r="A571" s="20"/>
      <c r="B571" s="20"/>
      <c r="C571" s="20"/>
      <c r="D571" s="20"/>
      <c r="E571" s="20"/>
      <c r="F571" s="21"/>
      <c r="G571" s="20"/>
      <c r="H571" s="20"/>
      <c r="I571" s="20"/>
      <c r="J571" s="20"/>
      <c r="K571" s="20"/>
      <c r="L571" s="21"/>
      <c r="M571" s="33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4" t="str">
        <f>IFERROR(__xludf.DUMMYFUNCTION("IF(Account!$F571&lt;&gt;"""", VALUE(REGEXREPLACE($I571, ""\,"", ""."")), """")"),"")</f>
        <v/>
      </c>
      <c r="O571" s="35" t="str">
        <f>IF(Account!$F571&lt;&gt;"", DATEVALUE(MID($A571,4,3) &amp; LEFT($A571,3) &amp; RIGHT($A571,4)) + TIMEVALUE($B571), "")</f>
        <v/>
      </c>
      <c r="P571" s="36" t="str">
        <f>IF(Account!$F571&lt;&gt;"", DATEVALUE(MID($C571,4,3) &amp; LEFT($C571,3) &amp; RIGHT($C571,4)), "")</f>
        <v/>
      </c>
      <c r="Q571" s="37" t="str">
        <f t="array" ref="Q571">IF($R571&lt;&gt;"",IFERROR(INDEX(ISIN!$B:$B,MATCH($R571,ISIN!$C:$C,0))),)</f>
        <v/>
      </c>
      <c r="R571" s="38" t="str">
        <f t="array" ref="R571">IF($E571&lt;&gt;""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7" t="str">
        <f t="shared" si="1"/>
        <v/>
      </c>
      <c r="T571" s="39" t="str">
        <f t="shared" si="2"/>
        <v/>
      </c>
      <c r="U571" s="40" t="str">
        <f t="shared" si="3"/>
        <v/>
      </c>
      <c r="V571" s="34" t="str">
        <f t="shared" si="4"/>
        <v/>
      </c>
      <c r="W571" s="41" t="str">
        <f>IFERROR(__xludf.DUMMYFUNCTION(" IF(Account!$F571&lt;&gt;"""", SPLIT(Account!$F571, "" ""), """")"),"")</f>
        <v/>
      </c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</row>
    <row r="572">
      <c r="A572" s="20"/>
      <c r="B572" s="20"/>
      <c r="C572" s="20"/>
      <c r="D572" s="20"/>
      <c r="E572" s="20"/>
      <c r="F572" s="21"/>
      <c r="G572" s="45"/>
      <c r="H572" s="20"/>
      <c r="I572" s="20"/>
      <c r="J572" s="20"/>
      <c r="K572" s="20"/>
      <c r="L572" s="21"/>
      <c r="M572" s="33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4" t="str">
        <f>IFERROR(__xludf.DUMMYFUNCTION("IF(Account!$F572&lt;&gt;"""", VALUE(REGEXREPLACE($I572, ""\,"", ""."")), """")"),"")</f>
        <v/>
      </c>
      <c r="O572" s="35" t="str">
        <f>IF(Account!$F572&lt;&gt;"", DATEVALUE(MID($A572,4,3) &amp; LEFT($A572,3) &amp; RIGHT($A572,4)) + TIMEVALUE($B572), "")</f>
        <v/>
      </c>
      <c r="P572" s="36" t="str">
        <f>IF(Account!$F572&lt;&gt;"", DATEVALUE(MID($C572,4,3) &amp; LEFT($C572,3) &amp; RIGHT($C572,4)), "")</f>
        <v/>
      </c>
      <c r="Q572" s="37" t="str">
        <f t="array" ref="Q572">IF($R572&lt;&gt;"",IFERROR(INDEX(ISIN!$B:$B,MATCH($R572,ISIN!$C:$C,0))),)</f>
        <v/>
      </c>
      <c r="R572" s="38" t="str">
        <f t="array" ref="R572">IF($E572&lt;&gt;""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7" t="str">
        <f t="shared" si="1"/>
        <v/>
      </c>
      <c r="T572" s="39" t="str">
        <f t="shared" si="2"/>
        <v/>
      </c>
      <c r="U572" s="40" t="str">
        <f t="shared" si="3"/>
        <v/>
      </c>
      <c r="V572" s="34" t="str">
        <f t="shared" si="4"/>
        <v/>
      </c>
      <c r="W572" s="41" t="str">
        <f>IFERROR(__xludf.DUMMYFUNCTION(" IF(Account!$F572&lt;&gt;"""", SPLIT(Account!$F572, "" ""), """")"),"")</f>
        <v/>
      </c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</row>
    <row r="573">
      <c r="A573" s="20"/>
      <c r="B573" s="20"/>
      <c r="C573" s="20"/>
      <c r="D573" s="20"/>
      <c r="E573" s="20"/>
      <c r="F573" s="21"/>
      <c r="G573" s="45"/>
      <c r="H573" s="20"/>
      <c r="I573" s="20"/>
      <c r="J573" s="20"/>
      <c r="K573" s="20"/>
      <c r="L573" s="21"/>
      <c r="M573" s="33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4" t="str">
        <f>IFERROR(__xludf.DUMMYFUNCTION("IF(Account!$F573&lt;&gt;"""", VALUE(REGEXREPLACE($I573, ""\,"", ""."")), """")"),"")</f>
        <v/>
      </c>
      <c r="O573" s="35" t="str">
        <f>IF(Account!$F573&lt;&gt;"", DATEVALUE(MID($A573,4,3) &amp; LEFT($A573,3) &amp; RIGHT($A573,4)) + TIMEVALUE($B573), "")</f>
        <v/>
      </c>
      <c r="P573" s="36" t="str">
        <f>IF(Account!$F573&lt;&gt;"", DATEVALUE(MID($C573,4,3) &amp; LEFT($C573,3) &amp; RIGHT($C573,4)), "")</f>
        <v/>
      </c>
      <c r="Q573" s="37" t="str">
        <f t="array" ref="Q573">IF($R573&lt;&gt;"",IFERROR(INDEX(ISIN!$B:$B,MATCH($R573,ISIN!$C:$C,0))),)</f>
        <v/>
      </c>
      <c r="R573" s="38" t="str">
        <f t="array" ref="R573">IF($E573&lt;&gt;""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7" t="str">
        <f t="shared" si="1"/>
        <v/>
      </c>
      <c r="T573" s="39" t="str">
        <f t="shared" si="2"/>
        <v/>
      </c>
      <c r="U573" s="40" t="str">
        <f t="shared" si="3"/>
        <v/>
      </c>
      <c r="V573" s="34" t="str">
        <f t="shared" si="4"/>
        <v/>
      </c>
      <c r="W573" s="41" t="str">
        <f>IFERROR(__xludf.DUMMYFUNCTION(" IF(Account!$F573&lt;&gt;"""", SPLIT(Account!$F573, "" ""), """")"),"")</f>
        <v/>
      </c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</row>
    <row r="574">
      <c r="A574" s="20"/>
      <c r="B574" s="20"/>
      <c r="C574" s="20"/>
      <c r="D574" s="45"/>
      <c r="E574" s="45"/>
      <c r="F574" s="21"/>
      <c r="G574" s="45"/>
      <c r="H574" s="20"/>
      <c r="I574" s="20"/>
      <c r="J574" s="20"/>
      <c r="K574" s="20"/>
      <c r="L574" s="21"/>
      <c r="M574" s="33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4" t="str">
        <f>IFERROR(__xludf.DUMMYFUNCTION("IF(Account!$F574&lt;&gt;"""", VALUE(REGEXREPLACE($I574, ""\,"", ""."")), """")"),"")</f>
        <v/>
      </c>
      <c r="O574" s="35" t="str">
        <f>IF(Account!$F574&lt;&gt;"", DATEVALUE(MID($A574,4,3) &amp; LEFT($A574,3) &amp; RIGHT($A574,4)) + TIMEVALUE($B574), "")</f>
        <v/>
      </c>
      <c r="P574" s="36" t="str">
        <f>IF(Account!$F574&lt;&gt;"", DATEVALUE(MID($C574,4,3) &amp; LEFT($C574,3) &amp; RIGHT($C574,4)), "")</f>
        <v/>
      </c>
      <c r="Q574" s="37" t="str">
        <f t="array" ref="Q574">IF($R574&lt;&gt;"",IFERROR(INDEX(ISIN!$B:$B,MATCH($R574,ISIN!$C:$C,0))),)</f>
        <v/>
      </c>
      <c r="R574" s="38" t="str">
        <f t="array" ref="R574">IF($E574&lt;&gt;""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7" t="str">
        <f t="shared" si="1"/>
        <v/>
      </c>
      <c r="T574" s="39" t="str">
        <f t="shared" si="2"/>
        <v/>
      </c>
      <c r="U574" s="40" t="str">
        <f t="shared" si="3"/>
        <v/>
      </c>
      <c r="V574" s="34" t="str">
        <f t="shared" si="4"/>
        <v/>
      </c>
      <c r="W574" s="41" t="str">
        <f>IFERROR(__xludf.DUMMYFUNCTION(" IF(Account!$F574&lt;&gt;"""", SPLIT(Account!$F574, "" ""), """")"),"")</f>
        <v/>
      </c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</row>
    <row r="575">
      <c r="A575" s="20"/>
      <c r="B575" s="20"/>
      <c r="C575" s="20"/>
      <c r="D575" s="45"/>
      <c r="E575" s="45"/>
      <c r="F575" s="21"/>
      <c r="G575" s="20"/>
      <c r="H575" s="20"/>
      <c r="I575" s="20"/>
      <c r="J575" s="20"/>
      <c r="K575" s="20"/>
      <c r="L575" s="21"/>
      <c r="M575" s="33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4" t="str">
        <f>IFERROR(__xludf.DUMMYFUNCTION("IF(Account!$F575&lt;&gt;"""", VALUE(REGEXREPLACE($I575, ""\,"", ""."")), """")"),"")</f>
        <v/>
      </c>
      <c r="O575" s="35" t="str">
        <f>IF(Account!$F575&lt;&gt;"", DATEVALUE(MID($A575,4,3) &amp; LEFT($A575,3) &amp; RIGHT($A575,4)) + TIMEVALUE($B575), "")</f>
        <v/>
      </c>
      <c r="P575" s="36" t="str">
        <f>IF(Account!$F575&lt;&gt;"", DATEVALUE(MID($C575,4,3) &amp; LEFT($C575,3) &amp; RIGHT($C575,4)), "")</f>
        <v/>
      </c>
      <c r="Q575" s="37" t="str">
        <f t="array" ref="Q575">IF($R575&lt;&gt;"",IFERROR(INDEX(ISIN!$B:$B,MATCH($R575,ISIN!$C:$C,0))),)</f>
        <v/>
      </c>
      <c r="R575" s="38" t="str">
        <f t="array" ref="R575">IF($E575&lt;&gt;""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7" t="str">
        <f t="shared" si="1"/>
        <v/>
      </c>
      <c r="T575" s="39" t="str">
        <f t="shared" si="2"/>
        <v/>
      </c>
      <c r="U575" s="40" t="str">
        <f t="shared" si="3"/>
        <v/>
      </c>
      <c r="V575" s="34" t="str">
        <f t="shared" si="4"/>
        <v/>
      </c>
      <c r="W575" s="41" t="str">
        <f>IFERROR(__xludf.DUMMYFUNCTION(" IF(Account!$F575&lt;&gt;"""", SPLIT(Account!$F575, "" ""), """")"),"")</f>
        <v/>
      </c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</row>
    <row r="576">
      <c r="A576" s="20"/>
      <c r="B576" s="20"/>
      <c r="C576" s="20"/>
      <c r="D576" s="20"/>
      <c r="E576" s="20"/>
      <c r="F576" s="21"/>
      <c r="G576" s="45"/>
      <c r="H576" s="45"/>
      <c r="I576" s="45"/>
      <c r="J576" s="20"/>
      <c r="K576" s="20"/>
      <c r="L576" s="46"/>
      <c r="M576" s="33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4" t="str">
        <f>IFERROR(__xludf.DUMMYFUNCTION("IF(Account!$F576&lt;&gt;"""", VALUE(REGEXREPLACE($I576, ""\,"", ""."")), """")"),"")</f>
        <v/>
      </c>
      <c r="O576" s="35" t="str">
        <f>IF(Account!$F576&lt;&gt;"", DATEVALUE(MID($A576,4,3) &amp; LEFT($A576,3) &amp; RIGHT($A576,4)) + TIMEVALUE($B576), "")</f>
        <v/>
      </c>
      <c r="P576" s="36" t="str">
        <f>IF(Account!$F576&lt;&gt;"", DATEVALUE(MID($C576,4,3) &amp; LEFT($C576,3) &amp; RIGHT($C576,4)), "")</f>
        <v/>
      </c>
      <c r="Q576" s="37" t="str">
        <f t="array" ref="Q576">IF($R576&lt;&gt;"",IFERROR(INDEX(ISIN!$B:$B,MATCH($R576,ISIN!$C:$C,0))),)</f>
        <v/>
      </c>
      <c r="R576" s="38" t="str">
        <f t="array" ref="R576">IF($E576&lt;&gt;""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7" t="str">
        <f t="shared" si="1"/>
        <v/>
      </c>
      <c r="T576" s="39" t="str">
        <f t="shared" si="2"/>
        <v/>
      </c>
      <c r="U576" s="40" t="str">
        <f t="shared" si="3"/>
        <v/>
      </c>
      <c r="V576" s="34" t="str">
        <f t="shared" si="4"/>
        <v/>
      </c>
      <c r="W576" s="41" t="str">
        <f>IFERROR(__xludf.DUMMYFUNCTION(" IF(Account!$F576&lt;&gt;"""", SPLIT(Account!$F576, "" ""), """")"),"")</f>
        <v/>
      </c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</row>
    <row r="577">
      <c r="A577" s="20"/>
      <c r="B577" s="20"/>
      <c r="C577" s="20"/>
      <c r="D577" s="45"/>
      <c r="E577" s="45"/>
      <c r="F577" s="21"/>
      <c r="G577" s="45"/>
      <c r="H577" s="20"/>
      <c r="I577" s="20"/>
      <c r="J577" s="20"/>
      <c r="K577" s="20"/>
      <c r="L577" s="46"/>
      <c r="M577" s="33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4" t="str">
        <f>IFERROR(__xludf.DUMMYFUNCTION("IF(Account!$F577&lt;&gt;"""", VALUE(REGEXREPLACE($I577, ""\,"", ""."")), """")"),"")</f>
        <v/>
      </c>
      <c r="O577" s="35" t="str">
        <f>IF(Account!$F577&lt;&gt;"", DATEVALUE(MID($A577,4,3) &amp; LEFT($A577,3) &amp; RIGHT($A577,4)) + TIMEVALUE($B577), "")</f>
        <v/>
      </c>
      <c r="P577" s="36" t="str">
        <f>IF(Account!$F577&lt;&gt;"", DATEVALUE(MID($C577,4,3) &amp; LEFT($C577,3) &amp; RIGHT($C577,4)), "")</f>
        <v/>
      </c>
      <c r="Q577" s="37" t="str">
        <f t="array" ref="Q577">IF($R577&lt;&gt;"",IFERROR(INDEX(ISIN!$B:$B,MATCH($R577,ISIN!$C:$C,0))),)</f>
        <v/>
      </c>
      <c r="R577" s="38" t="str">
        <f t="array" ref="R577">IF($E577&lt;&gt;""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7" t="str">
        <f t="shared" si="1"/>
        <v/>
      </c>
      <c r="T577" s="39" t="str">
        <f t="shared" si="2"/>
        <v/>
      </c>
      <c r="U577" s="40" t="str">
        <f t="shared" si="3"/>
        <v/>
      </c>
      <c r="V577" s="34" t="str">
        <f t="shared" si="4"/>
        <v/>
      </c>
      <c r="W577" s="41" t="str">
        <f>IFERROR(__xludf.DUMMYFUNCTION(" IF(Account!$F577&lt;&gt;"""", SPLIT(Account!$F577, "" ""), """")"),"")</f>
        <v/>
      </c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</row>
    <row r="578">
      <c r="A578" s="20"/>
      <c r="B578" s="20"/>
      <c r="C578" s="20"/>
      <c r="D578" s="45"/>
      <c r="E578" s="45"/>
      <c r="F578" s="21"/>
      <c r="G578" s="20"/>
      <c r="H578" s="20"/>
      <c r="I578" s="20"/>
      <c r="J578" s="20"/>
      <c r="K578" s="20"/>
      <c r="L578" s="46"/>
      <c r="M578" s="33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4" t="str">
        <f>IFERROR(__xludf.DUMMYFUNCTION("IF(Account!$F578&lt;&gt;"""", VALUE(REGEXREPLACE($I578, ""\,"", ""."")), """")"),"")</f>
        <v/>
      </c>
      <c r="O578" s="35" t="str">
        <f>IF(Account!$F578&lt;&gt;"", DATEVALUE(MID($A578,4,3) &amp; LEFT($A578,3) &amp; RIGHT($A578,4)) + TIMEVALUE($B578), "")</f>
        <v/>
      </c>
      <c r="P578" s="36" t="str">
        <f>IF(Account!$F578&lt;&gt;"", DATEVALUE(MID($C578,4,3) &amp; LEFT($C578,3) &amp; RIGHT($C578,4)), "")</f>
        <v/>
      </c>
      <c r="Q578" s="37" t="str">
        <f t="array" ref="Q578">IF($R578&lt;&gt;"",IFERROR(INDEX(ISIN!$B:$B,MATCH($R578,ISIN!$C:$C,0))),)</f>
        <v/>
      </c>
      <c r="R578" s="38" t="str">
        <f t="array" ref="R578">IF($E578&lt;&gt;""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7" t="str">
        <f t="shared" si="1"/>
        <v/>
      </c>
      <c r="T578" s="39" t="str">
        <f t="shared" si="2"/>
        <v/>
      </c>
      <c r="U578" s="40" t="str">
        <f t="shared" si="3"/>
        <v/>
      </c>
      <c r="V578" s="34" t="str">
        <f t="shared" si="4"/>
        <v/>
      </c>
      <c r="W578" s="41" t="str">
        <f>IFERROR(__xludf.DUMMYFUNCTION(" IF(Account!$F578&lt;&gt;"""", SPLIT(Account!$F578, "" ""), """")"),"")</f>
        <v/>
      </c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</row>
    <row r="579">
      <c r="A579" s="20"/>
      <c r="B579" s="20"/>
      <c r="C579" s="20"/>
      <c r="D579" s="20"/>
      <c r="E579" s="20"/>
      <c r="F579" s="21"/>
      <c r="G579" s="45"/>
      <c r="H579" s="45"/>
      <c r="I579" s="45"/>
      <c r="J579" s="20"/>
      <c r="K579" s="20"/>
      <c r="L579" s="46"/>
      <c r="M579" s="33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4" t="str">
        <f>IFERROR(__xludf.DUMMYFUNCTION("IF(Account!$F579&lt;&gt;"""", VALUE(REGEXREPLACE($I579, ""\,"", ""."")), """")"),"")</f>
        <v/>
      </c>
      <c r="O579" s="35" t="str">
        <f>IF(Account!$F579&lt;&gt;"", DATEVALUE(MID($A579,4,3) &amp; LEFT($A579,3) &amp; RIGHT($A579,4)) + TIMEVALUE($B579), "")</f>
        <v/>
      </c>
      <c r="P579" s="36" t="str">
        <f>IF(Account!$F579&lt;&gt;"", DATEVALUE(MID($C579,4,3) &amp; LEFT($C579,3) &amp; RIGHT($C579,4)), "")</f>
        <v/>
      </c>
      <c r="Q579" s="37" t="str">
        <f t="array" ref="Q579">IF($R579&lt;&gt;"",IFERROR(INDEX(ISIN!$B:$B,MATCH($R579,ISIN!$C:$C,0))),)</f>
        <v/>
      </c>
      <c r="R579" s="38" t="str">
        <f t="array" ref="R579">IF($E579&lt;&gt;""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7" t="str">
        <f t="shared" si="1"/>
        <v/>
      </c>
      <c r="T579" s="39" t="str">
        <f t="shared" si="2"/>
        <v/>
      </c>
      <c r="U579" s="40" t="str">
        <f t="shared" si="3"/>
        <v/>
      </c>
      <c r="V579" s="34" t="str">
        <f t="shared" si="4"/>
        <v/>
      </c>
      <c r="W579" s="41" t="str">
        <f>IFERROR(__xludf.DUMMYFUNCTION(" IF(Account!$F579&lt;&gt;"""", SPLIT(Account!$F579, "" ""), """")"),"")</f>
        <v/>
      </c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</row>
    <row r="580">
      <c r="A580" s="20"/>
      <c r="B580" s="20"/>
      <c r="C580" s="20"/>
      <c r="D580" s="20"/>
      <c r="E580" s="20"/>
      <c r="F580" s="21"/>
      <c r="G580" s="45"/>
      <c r="H580" s="20"/>
      <c r="I580" s="20"/>
      <c r="J580" s="20"/>
      <c r="K580" s="20"/>
      <c r="L580" s="46"/>
      <c r="M580" s="33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4" t="str">
        <f>IFERROR(__xludf.DUMMYFUNCTION("IF(Account!$F580&lt;&gt;"""", VALUE(REGEXREPLACE($I580, ""\,"", ""."")), """")"),"")</f>
        <v/>
      </c>
      <c r="O580" s="35" t="str">
        <f>IF(Account!$F580&lt;&gt;"", DATEVALUE(MID($A580,4,3) &amp; LEFT($A580,3) &amp; RIGHT($A580,4)) + TIMEVALUE($B580), "")</f>
        <v/>
      </c>
      <c r="P580" s="36" t="str">
        <f>IF(Account!$F580&lt;&gt;"", DATEVALUE(MID($C580,4,3) &amp; LEFT($C580,3) &amp; RIGHT($C580,4)), "")</f>
        <v/>
      </c>
      <c r="Q580" s="37" t="str">
        <f t="array" ref="Q580">IF($R580&lt;&gt;"",IFERROR(INDEX(ISIN!$B:$B,MATCH($R580,ISIN!$C:$C,0))),)</f>
        <v/>
      </c>
      <c r="R580" s="38" t="str">
        <f t="array" ref="R580">IF($E580&lt;&gt;""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7" t="str">
        <f t="shared" si="1"/>
        <v/>
      </c>
      <c r="T580" s="39" t="str">
        <f t="shared" si="2"/>
        <v/>
      </c>
      <c r="U580" s="40" t="str">
        <f t="shared" si="3"/>
        <v/>
      </c>
      <c r="V580" s="34" t="str">
        <f t="shared" si="4"/>
        <v/>
      </c>
      <c r="W580" s="41" t="str">
        <f>IFERROR(__xludf.DUMMYFUNCTION(" IF(Account!$F580&lt;&gt;"""", SPLIT(Account!$F580, "" ""), """")"),"")</f>
        <v/>
      </c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</row>
    <row r="581">
      <c r="A581" s="20"/>
      <c r="B581" s="20"/>
      <c r="C581" s="20"/>
      <c r="D581" s="20"/>
      <c r="E581" s="20"/>
      <c r="F581" s="21"/>
      <c r="G581" s="45"/>
      <c r="H581" s="20"/>
      <c r="I581" s="20"/>
      <c r="J581" s="20"/>
      <c r="K581" s="20"/>
      <c r="L581" s="21"/>
      <c r="M581" s="33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4" t="str">
        <f>IFERROR(__xludf.DUMMYFUNCTION("IF(Account!$F581&lt;&gt;"""", VALUE(REGEXREPLACE($I581, ""\,"", ""."")), """")"),"")</f>
        <v/>
      </c>
      <c r="O581" s="35" t="str">
        <f>IF(Account!$F581&lt;&gt;"", DATEVALUE(MID($A581,4,3) &amp; LEFT($A581,3) &amp; RIGHT($A581,4)) + TIMEVALUE($B581), "")</f>
        <v/>
      </c>
      <c r="P581" s="36" t="str">
        <f>IF(Account!$F581&lt;&gt;"", DATEVALUE(MID($C581,4,3) &amp; LEFT($C581,3) &amp; RIGHT($C581,4)), "")</f>
        <v/>
      </c>
      <c r="Q581" s="37" t="str">
        <f t="array" ref="Q581">IF($R581&lt;&gt;"",IFERROR(INDEX(ISIN!$B:$B,MATCH($R581,ISIN!$C:$C,0))),)</f>
        <v/>
      </c>
      <c r="R581" s="38" t="str">
        <f t="array" ref="R581">IF($E581&lt;&gt;""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7" t="str">
        <f t="shared" si="1"/>
        <v/>
      </c>
      <c r="T581" s="39" t="str">
        <f t="shared" si="2"/>
        <v/>
      </c>
      <c r="U581" s="40" t="str">
        <f t="shared" si="3"/>
        <v/>
      </c>
      <c r="V581" s="34" t="str">
        <f t="shared" si="4"/>
        <v/>
      </c>
      <c r="W581" s="41" t="str">
        <f>IFERROR(__xludf.DUMMYFUNCTION(" IF(Account!$F581&lt;&gt;"""", SPLIT(Account!$F581, "" ""), """")"),"")</f>
        <v/>
      </c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</row>
    <row r="582">
      <c r="A582" s="20"/>
      <c r="B582" s="20"/>
      <c r="C582" s="20"/>
      <c r="D582" s="20"/>
      <c r="E582" s="20"/>
      <c r="F582" s="21"/>
      <c r="G582" s="20"/>
      <c r="H582" s="20"/>
      <c r="I582" s="20"/>
      <c r="J582" s="20"/>
      <c r="K582" s="20"/>
      <c r="L582" s="21"/>
      <c r="M582" s="33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4" t="str">
        <f>IFERROR(__xludf.DUMMYFUNCTION("IF(Account!$F582&lt;&gt;"""", VALUE(REGEXREPLACE($I582, ""\,"", ""."")), """")"),"")</f>
        <v/>
      </c>
      <c r="O582" s="35" t="str">
        <f>IF(Account!$F582&lt;&gt;"", DATEVALUE(MID($A582,4,3) &amp; LEFT($A582,3) &amp; RIGHT($A582,4)) + TIMEVALUE($B582), "")</f>
        <v/>
      </c>
      <c r="P582" s="36" t="str">
        <f>IF(Account!$F582&lt;&gt;"", DATEVALUE(MID($C582,4,3) &amp; LEFT($C582,3) &amp; RIGHT($C582,4)), "")</f>
        <v/>
      </c>
      <c r="Q582" s="37" t="str">
        <f t="array" ref="Q582">IF($R582&lt;&gt;"",IFERROR(INDEX(ISIN!$B:$B,MATCH($R582,ISIN!$C:$C,0))),)</f>
        <v/>
      </c>
      <c r="R582" s="38" t="str">
        <f t="array" ref="R582">IF($E582&lt;&gt;""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7" t="str">
        <f t="shared" si="1"/>
        <v/>
      </c>
      <c r="T582" s="39" t="str">
        <f t="shared" si="2"/>
        <v/>
      </c>
      <c r="U582" s="40" t="str">
        <f t="shared" si="3"/>
        <v/>
      </c>
      <c r="V582" s="34" t="str">
        <f t="shared" si="4"/>
        <v/>
      </c>
      <c r="W582" s="41" t="str">
        <f>IFERROR(__xludf.DUMMYFUNCTION(" IF(Account!$F582&lt;&gt;"""", SPLIT(Account!$F582, "" ""), """")"),"")</f>
        <v/>
      </c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</row>
    <row r="583">
      <c r="A583" s="20"/>
      <c r="B583" s="20"/>
      <c r="C583" s="20"/>
      <c r="D583" s="20"/>
      <c r="E583" s="20"/>
      <c r="F583" s="21"/>
      <c r="G583" s="45"/>
      <c r="H583" s="20"/>
      <c r="I583" s="20"/>
      <c r="J583" s="20"/>
      <c r="K583" s="20"/>
      <c r="L583" s="21"/>
      <c r="M583" s="33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4" t="str">
        <f>IFERROR(__xludf.DUMMYFUNCTION("IF(Account!$F583&lt;&gt;"""", VALUE(REGEXREPLACE($I583, ""\,"", ""."")), """")"),"")</f>
        <v/>
      </c>
      <c r="O583" s="35" t="str">
        <f>IF(Account!$F583&lt;&gt;"", DATEVALUE(MID($A583,4,3) &amp; LEFT($A583,3) &amp; RIGHT($A583,4)) + TIMEVALUE($B583), "")</f>
        <v/>
      </c>
      <c r="P583" s="36" t="str">
        <f>IF(Account!$F583&lt;&gt;"", DATEVALUE(MID($C583,4,3) &amp; LEFT($C583,3) &amp; RIGHT($C583,4)), "")</f>
        <v/>
      </c>
      <c r="Q583" s="37" t="str">
        <f t="array" ref="Q583">IF($R583&lt;&gt;"",IFERROR(INDEX(ISIN!$B:$B,MATCH($R583,ISIN!$C:$C,0))),)</f>
        <v/>
      </c>
      <c r="R583" s="38" t="str">
        <f t="array" ref="R583">IF($E583&lt;&gt;""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7" t="str">
        <f t="shared" si="1"/>
        <v/>
      </c>
      <c r="T583" s="39" t="str">
        <f t="shared" si="2"/>
        <v/>
      </c>
      <c r="U583" s="40" t="str">
        <f t="shared" si="3"/>
        <v/>
      </c>
      <c r="V583" s="34" t="str">
        <f t="shared" si="4"/>
        <v/>
      </c>
      <c r="W583" s="41" t="str">
        <f>IFERROR(__xludf.DUMMYFUNCTION(" IF(Account!$F583&lt;&gt;"""", SPLIT(Account!$F583, "" ""), """")"),"")</f>
        <v/>
      </c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</row>
    <row r="584">
      <c r="A584" s="20"/>
      <c r="B584" s="20"/>
      <c r="C584" s="20"/>
      <c r="D584" s="20"/>
      <c r="E584" s="20"/>
      <c r="F584" s="21"/>
      <c r="G584" s="45"/>
      <c r="H584" s="20"/>
      <c r="I584" s="20"/>
      <c r="J584" s="20"/>
      <c r="K584" s="20"/>
      <c r="L584" s="21"/>
      <c r="M584" s="33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4" t="str">
        <f>IFERROR(__xludf.DUMMYFUNCTION("IF(Account!$F584&lt;&gt;"""", VALUE(REGEXREPLACE($I584, ""\,"", ""."")), """")"),"")</f>
        <v/>
      </c>
      <c r="O584" s="35" t="str">
        <f>IF(Account!$F584&lt;&gt;"", DATEVALUE(MID($A584,4,3) &amp; LEFT($A584,3) &amp; RIGHT($A584,4)) + TIMEVALUE($B584), "")</f>
        <v/>
      </c>
      <c r="P584" s="36" t="str">
        <f>IF(Account!$F584&lt;&gt;"", DATEVALUE(MID($C584,4,3) &amp; LEFT($C584,3) &amp; RIGHT($C584,4)), "")</f>
        <v/>
      </c>
      <c r="Q584" s="37" t="str">
        <f t="array" ref="Q584">IF($R584&lt;&gt;"",IFERROR(INDEX(ISIN!$B:$B,MATCH($R584,ISIN!$C:$C,0))),)</f>
        <v/>
      </c>
      <c r="R584" s="38" t="str">
        <f t="array" ref="R584">IF($E584&lt;&gt;""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7" t="str">
        <f t="shared" si="1"/>
        <v/>
      </c>
      <c r="T584" s="39" t="str">
        <f t="shared" si="2"/>
        <v/>
      </c>
      <c r="U584" s="40" t="str">
        <f t="shared" si="3"/>
        <v/>
      </c>
      <c r="V584" s="34" t="str">
        <f t="shared" si="4"/>
        <v/>
      </c>
      <c r="W584" s="41" t="str">
        <f>IFERROR(__xludf.DUMMYFUNCTION(" IF(Account!$F584&lt;&gt;"""", SPLIT(Account!$F584, "" ""), """")"),"")</f>
        <v/>
      </c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</row>
    <row r="585">
      <c r="A585" s="20"/>
      <c r="B585" s="20"/>
      <c r="C585" s="20"/>
      <c r="D585" s="20"/>
      <c r="E585" s="20"/>
      <c r="F585" s="21"/>
      <c r="G585" s="45"/>
      <c r="H585" s="20"/>
      <c r="I585" s="20"/>
      <c r="J585" s="20"/>
      <c r="K585" s="20"/>
      <c r="L585" s="21"/>
      <c r="M585" s="33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4" t="str">
        <f>IFERROR(__xludf.DUMMYFUNCTION("IF(Account!$F585&lt;&gt;"""", VALUE(REGEXREPLACE($I585, ""\,"", ""."")), """")"),"")</f>
        <v/>
      </c>
      <c r="O585" s="35" t="str">
        <f>IF(Account!$F585&lt;&gt;"", DATEVALUE(MID($A585,4,3) &amp; LEFT($A585,3) &amp; RIGHT($A585,4)) + TIMEVALUE($B585), "")</f>
        <v/>
      </c>
      <c r="P585" s="36" t="str">
        <f>IF(Account!$F585&lt;&gt;"", DATEVALUE(MID($C585,4,3) &amp; LEFT($C585,3) &amp; RIGHT($C585,4)), "")</f>
        <v/>
      </c>
      <c r="Q585" s="37" t="str">
        <f t="array" ref="Q585">IF($R585&lt;&gt;"",IFERROR(INDEX(ISIN!$B:$B,MATCH($R585,ISIN!$C:$C,0))),)</f>
        <v/>
      </c>
      <c r="R585" s="38" t="str">
        <f t="array" ref="R585">IF($E585&lt;&gt;""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7" t="str">
        <f t="shared" si="1"/>
        <v/>
      </c>
      <c r="T585" s="39" t="str">
        <f t="shared" si="2"/>
        <v/>
      </c>
      <c r="U585" s="40" t="str">
        <f t="shared" si="3"/>
        <v/>
      </c>
      <c r="V585" s="34" t="str">
        <f t="shared" si="4"/>
        <v/>
      </c>
      <c r="W585" s="41" t="str">
        <f>IFERROR(__xludf.DUMMYFUNCTION(" IF(Account!$F585&lt;&gt;"""", SPLIT(Account!$F585, "" ""), """")"),"")</f>
        <v/>
      </c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</row>
    <row r="586">
      <c r="A586" s="20"/>
      <c r="B586" s="20"/>
      <c r="C586" s="20"/>
      <c r="D586" s="20"/>
      <c r="E586" s="20"/>
      <c r="F586" s="21"/>
      <c r="G586" s="45"/>
      <c r="H586" s="20"/>
      <c r="I586" s="20"/>
      <c r="J586" s="20"/>
      <c r="K586" s="20"/>
      <c r="L586" s="21"/>
      <c r="M586" s="33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4" t="str">
        <f>IFERROR(__xludf.DUMMYFUNCTION("IF(Account!$F586&lt;&gt;"""", VALUE(REGEXREPLACE($I586, ""\,"", ""."")), """")"),"")</f>
        <v/>
      </c>
      <c r="O586" s="35" t="str">
        <f>IF(Account!$F586&lt;&gt;"", DATEVALUE(MID($A586,4,3) &amp; LEFT($A586,3) &amp; RIGHT($A586,4)) + TIMEVALUE($B586), "")</f>
        <v/>
      </c>
      <c r="P586" s="36" t="str">
        <f>IF(Account!$F586&lt;&gt;"", DATEVALUE(MID($C586,4,3) &amp; LEFT($C586,3) &amp; RIGHT($C586,4)), "")</f>
        <v/>
      </c>
      <c r="Q586" s="37" t="str">
        <f t="array" ref="Q586">IF($R586&lt;&gt;"",IFERROR(INDEX(ISIN!$B:$B,MATCH($R586,ISIN!$C:$C,0))),)</f>
        <v/>
      </c>
      <c r="R586" s="38" t="str">
        <f t="array" ref="R586">IF($E586&lt;&gt;""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7" t="str">
        <f t="shared" si="1"/>
        <v/>
      </c>
      <c r="T586" s="39" t="str">
        <f t="shared" si="2"/>
        <v/>
      </c>
      <c r="U586" s="40" t="str">
        <f t="shared" si="3"/>
        <v/>
      </c>
      <c r="V586" s="34" t="str">
        <f t="shared" si="4"/>
        <v/>
      </c>
      <c r="W586" s="41" t="str">
        <f>IFERROR(__xludf.DUMMYFUNCTION(" IF(Account!$F586&lt;&gt;"""", SPLIT(Account!$F586, "" ""), """")"),"")</f>
        <v/>
      </c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</row>
    <row r="587">
      <c r="A587" s="20"/>
      <c r="B587" s="20"/>
      <c r="C587" s="20"/>
      <c r="D587" s="20"/>
      <c r="E587" s="20"/>
      <c r="F587" s="21"/>
      <c r="G587" s="45"/>
      <c r="H587" s="20"/>
      <c r="I587" s="20"/>
      <c r="J587" s="20"/>
      <c r="K587" s="20"/>
      <c r="L587" s="21"/>
      <c r="M587" s="33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4" t="str">
        <f>IFERROR(__xludf.DUMMYFUNCTION("IF(Account!$F587&lt;&gt;"""", VALUE(REGEXREPLACE($I587, ""\,"", ""."")), """")"),"")</f>
        <v/>
      </c>
      <c r="O587" s="35" t="str">
        <f>IF(Account!$F587&lt;&gt;"", DATEVALUE(MID($A587,4,3) &amp; LEFT($A587,3) &amp; RIGHT($A587,4)) + TIMEVALUE($B587), "")</f>
        <v/>
      </c>
      <c r="P587" s="36" t="str">
        <f>IF(Account!$F587&lt;&gt;"", DATEVALUE(MID($C587,4,3) &amp; LEFT($C587,3) &amp; RIGHT($C587,4)), "")</f>
        <v/>
      </c>
      <c r="Q587" s="37" t="str">
        <f t="array" ref="Q587">IF($R587&lt;&gt;"",IFERROR(INDEX(ISIN!$B:$B,MATCH($R587,ISIN!$C:$C,0))),)</f>
        <v/>
      </c>
      <c r="R587" s="38" t="str">
        <f t="array" ref="R587">IF($E587&lt;&gt;""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7" t="str">
        <f t="shared" si="1"/>
        <v/>
      </c>
      <c r="T587" s="39" t="str">
        <f t="shared" si="2"/>
        <v/>
      </c>
      <c r="U587" s="40" t="str">
        <f t="shared" si="3"/>
        <v/>
      </c>
      <c r="V587" s="34" t="str">
        <f t="shared" si="4"/>
        <v/>
      </c>
      <c r="W587" s="41" t="str">
        <f>IFERROR(__xludf.DUMMYFUNCTION(" IF(Account!$F587&lt;&gt;"""", SPLIT(Account!$F587, "" ""), """")"),"")</f>
        <v/>
      </c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</row>
    <row r="588">
      <c r="A588" s="20"/>
      <c r="B588" s="20"/>
      <c r="C588" s="20"/>
      <c r="D588" s="20"/>
      <c r="E588" s="20"/>
      <c r="F588" s="21"/>
      <c r="G588" s="45"/>
      <c r="H588" s="20"/>
      <c r="I588" s="20"/>
      <c r="J588" s="20"/>
      <c r="K588" s="20"/>
      <c r="L588" s="21"/>
      <c r="M588" s="33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4" t="str">
        <f>IFERROR(__xludf.DUMMYFUNCTION("IF(Account!$F588&lt;&gt;"""", VALUE(REGEXREPLACE($I588, ""\,"", ""."")), """")"),"")</f>
        <v/>
      </c>
      <c r="O588" s="35" t="str">
        <f>IF(Account!$F588&lt;&gt;"", DATEVALUE(MID($A588,4,3) &amp; LEFT($A588,3) &amp; RIGHT($A588,4)) + TIMEVALUE($B588), "")</f>
        <v/>
      </c>
      <c r="P588" s="36" t="str">
        <f>IF(Account!$F588&lt;&gt;"", DATEVALUE(MID($C588,4,3) &amp; LEFT($C588,3) &amp; RIGHT($C588,4)), "")</f>
        <v/>
      </c>
      <c r="Q588" s="37" t="str">
        <f t="array" ref="Q588">IF($R588&lt;&gt;"",IFERROR(INDEX(ISIN!$B:$B,MATCH($R588,ISIN!$C:$C,0))),)</f>
        <v/>
      </c>
      <c r="R588" s="38" t="str">
        <f t="array" ref="R588">IF($E588&lt;&gt;""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7" t="str">
        <f t="shared" si="1"/>
        <v/>
      </c>
      <c r="T588" s="39" t="str">
        <f t="shared" si="2"/>
        <v/>
      </c>
      <c r="U588" s="40" t="str">
        <f t="shared" si="3"/>
        <v/>
      </c>
      <c r="V588" s="34" t="str">
        <f t="shared" si="4"/>
        <v/>
      </c>
      <c r="W588" s="41" t="str">
        <f>IFERROR(__xludf.DUMMYFUNCTION(" IF(Account!$F588&lt;&gt;"""", SPLIT(Account!$F588, "" ""), """")"),"")</f>
        <v/>
      </c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</row>
    <row r="589">
      <c r="A589" s="20"/>
      <c r="B589" s="20"/>
      <c r="C589" s="20"/>
      <c r="D589" s="20"/>
      <c r="E589" s="20"/>
      <c r="F589" s="21"/>
      <c r="G589" s="45"/>
      <c r="H589" s="20"/>
      <c r="I589" s="20"/>
      <c r="J589" s="20"/>
      <c r="K589" s="20"/>
      <c r="L589" s="21"/>
      <c r="M589" s="33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4" t="str">
        <f>IFERROR(__xludf.DUMMYFUNCTION("IF(Account!$F589&lt;&gt;"""", VALUE(REGEXREPLACE($I589, ""\,"", ""."")), """")"),"")</f>
        <v/>
      </c>
      <c r="O589" s="35" t="str">
        <f>IF(Account!$F589&lt;&gt;"", DATEVALUE(MID($A589,4,3) &amp; LEFT($A589,3) &amp; RIGHT($A589,4)) + TIMEVALUE($B589), "")</f>
        <v/>
      </c>
      <c r="P589" s="36" t="str">
        <f>IF(Account!$F589&lt;&gt;"", DATEVALUE(MID($C589,4,3) &amp; LEFT($C589,3) &amp; RIGHT($C589,4)), "")</f>
        <v/>
      </c>
      <c r="Q589" s="37" t="str">
        <f t="array" ref="Q589">IF($R589&lt;&gt;"",IFERROR(INDEX(ISIN!$B:$B,MATCH($R589,ISIN!$C:$C,0))),)</f>
        <v/>
      </c>
      <c r="R589" s="38" t="str">
        <f t="array" ref="R589">IF($E589&lt;&gt;""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7" t="str">
        <f t="shared" si="1"/>
        <v/>
      </c>
      <c r="T589" s="39" t="str">
        <f t="shared" si="2"/>
        <v/>
      </c>
      <c r="U589" s="40" t="str">
        <f t="shared" si="3"/>
        <v/>
      </c>
      <c r="V589" s="34" t="str">
        <f t="shared" si="4"/>
        <v/>
      </c>
      <c r="W589" s="41" t="str">
        <f>IFERROR(__xludf.DUMMYFUNCTION(" IF(Account!$F589&lt;&gt;"""", SPLIT(Account!$F589, "" ""), """")"),"")</f>
        <v/>
      </c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</row>
    <row r="590">
      <c r="A590" s="20"/>
      <c r="B590" s="20"/>
      <c r="C590" s="20"/>
      <c r="D590" s="20"/>
      <c r="E590" s="20"/>
      <c r="F590" s="21"/>
      <c r="G590" s="45"/>
      <c r="H590" s="20"/>
      <c r="I590" s="20"/>
      <c r="J590" s="20"/>
      <c r="K590" s="20"/>
      <c r="L590" s="21"/>
      <c r="M590" s="33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4" t="str">
        <f>IFERROR(__xludf.DUMMYFUNCTION("IF(Account!$F590&lt;&gt;"""", VALUE(REGEXREPLACE($I590, ""\,"", ""."")), """")"),"")</f>
        <v/>
      </c>
      <c r="O590" s="35" t="str">
        <f>IF(Account!$F590&lt;&gt;"", DATEVALUE(MID($A590,4,3) &amp; LEFT($A590,3) &amp; RIGHT($A590,4)) + TIMEVALUE($B590), "")</f>
        <v/>
      </c>
      <c r="P590" s="36" t="str">
        <f>IF(Account!$F590&lt;&gt;"", DATEVALUE(MID($C590,4,3) &amp; LEFT($C590,3) &amp; RIGHT($C590,4)), "")</f>
        <v/>
      </c>
      <c r="Q590" s="37" t="str">
        <f t="array" ref="Q590">IF($R590&lt;&gt;"",IFERROR(INDEX(ISIN!$B:$B,MATCH($R590,ISIN!$C:$C,0))),)</f>
        <v/>
      </c>
      <c r="R590" s="38" t="str">
        <f t="array" ref="R590">IF($E590&lt;&gt;""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7" t="str">
        <f t="shared" si="1"/>
        <v/>
      </c>
      <c r="T590" s="39" t="str">
        <f t="shared" si="2"/>
        <v/>
      </c>
      <c r="U590" s="40" t="str">
        <f t="shared" si="3"/>
        <v/>
      </c>
      <c r="V590" s="34" t="str">
        <f t="shared" si="4"/>
        <v/>
      </c>
      <c r="W590" s="41" t="str">
        <f>IFERROR(__xludf.DUMMYFUNCTION(" IF(Account!$F590&lt;&gt;"""", SPLIT(Account!$F590, "" ""), """")"),"")</f>
        <v/>
      </c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</row>
    <row r="591">
      <c r="A591" s="20"/>
      <c r="B591" s="20"/>
      <c r="C591" s="20"/>
      <c r="D591" s="20"/>
      <c r="E591" s="20"/>
      <c r="F591" s="21"/>
      <c r="G591" s="45"/>
      <c r="H591" s="20"/>
      <c r="I591" s="20"/>
      <c r="J591" s="20"/>
      <c r="K591" s="20"/>
      <c r="L591" s="21"/>
      <c r="M591" s="33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4" t="str">
        <f>IFERROR(__xludf.DUMMYFUNCTION("IF(Account!$F591&lt;&gt;"""", VALUE(REGEXREPLACE($I591, ""\,"", ""."")), """")"),"")</f>
        <v/>
      </c>
      <c r="O591" s="35" t="str">
        <f>IF(Account!$F591&lt;&gt;"", DATEVALUE(MID($A591,4,3) &amp; LEFT($A591,3) &amp; RIGHT($A591,4)) + TIMEVALUE($B591), "")</f>
        <v/>
      </c>
      <c r="P591" s="36" t="str">
        <f>IF(Account!$F591&lt;&gt;"", DATEVALUE(MID($C591,4,3) &amp; LEFT($C591,3) &amp; RIGHT($C591,4)), "")</f>
        <v/>
      </c>
      <c r="Q591" s="37" t="str">
        <f t="array" ref="Q591">IF($R591&lt;&gt;"",IFERROR(INDEX(ISIN!$B:$B,MATCH($R591,ISIN!$C:$C,0))),)</f>
        <v/>
      </c>
      <c r="R591" s="38" t="str">
        <f t="array" ref="R591">IF($E591&lt;&gt;""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7" t="str">
        <f t="shared" si="1"/>
        <v/>
      </c>
      <c r="T591" s="39" t="str">
        <f t="shared" si="2"/>
        <v/>
      </c>
      <c r="U591" s="40" t="str">
        <f t="shared" si="3"/>
        <v/>
      </c>
      <c r="V591" s="34" t="str">
        <f t="shared" si="4"/>
        <v/>
      </c>
      <c r="W591" s="41" t="str">
        <f>IFERROR(__xludf.DUMMYFUNCTION(" IF(Account!$F591&lt;&gt;"""", SPLIT(Account!$F591, "" ""), """")"),"")</f>
        <v/>
      </c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</row>
    <row r="592">
      <c r="A592" s="20"/>
      <c r="B592" s="20"/>
      <c r="C592" s="20"/>
      <c r="D592" s="20"/>
      <c r="E592" s="20"/>
      <c r="F592" s="21"/>
      <c r="G592" s="45"/>
      <c r="H592" s="20"/>
      <c r="I592" s="20"/>
      <c r="J592" s="20"/>
      <c r="K592" s="20"/>
      <c r="L592" s="21"/>
      <c r="M592" s="33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4" t="str">
        <f>IFERROR(__xludf.DUMMYFUNCTION("IF(Account!$F592&lt;&gt;"""", VALUE(REGEXREPLACE($I592, ""\,"", ""."")), """")"),"")</f>
        <v/>
      </c>
      <c r="O592" s="35" t="str">
        <f>IF(Account!$F592&lt;&gt;"", DATEVALUE(MID($A592,4,3) &amp; LEFT($A592,3) &amp; RIGHT($A592,4)) + TIMEVALUE($B592), "")</f>
        <v/>
      </c>
      <c r="P592" s="36" t="str">
        <f>IF(Account!$F592&lt;&gt;"", DATEVALUE(MID($C592,4,3) &amp; LEFT($C592,3) &amp; RIGHT($C592,4)), "")</f>
        <v/>
      </c>
      <c r="Q592" s="37" t="str">
        <f t="array" ref="Q592">IF($R592&lt;&gt;"",IFERROR(INDEX(ISIN!$B:$B,MATCH($R592,ISIN!$C:$C,0))),)</f>
        <v/>
      </c>
      <c r="R592" s="38" t="str">
        <f t="array" ref="R592">IF($E592&lt;&gt;""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7" t="str">
        <f t="shared" si="1"/>
        <v/>
      </c>
      <c r="T592" s="39" t="str">
        <f t="shared" si="2"/>
        <v/>
      </c>
      <c r="U592" s="40" t="str">
        <f t="shared" si="3"/>
        <v/>
      </c>
      <c r="V592" s="34" t="str">
        <f t="shared" si="4"/>
        <v/>
      </c>
      <c r="W592" s="41" t="str">
        <f>IFERROR(__xludf.DUMMYFUNCTION(" IF(Account!$F592&lt;&gt;"""", SPLIT(Account!$F592, "" ""), """")"),"")</f>
        <v/>
      </c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</row>
    <row r="593">
      <c r="A593" s="20"/>
      <c r="B593" s="20"/>
      <c r="C593" s="20"/>
      <c r="D593" s="20"/>
      <c r="E593" s="20"/>
      <c r="F593" s="21"/>
      <c r="G593" s="45"/>
      <c r="H593" s="20"/>
      <c r="I593" s="20"/>
      <c r="J593" s="20"/>
      <c r="K593" s="20"/>
      <c r="L593" s="21"/>
      <c r="M593" s="33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4" t="str">
        <f>IFERROR(__xludf.DUMMYFUNCTION("IF(Account!$F593&lt;&gt;"""", VALUE(REGEXREPLACE($I593, ""\,"", ""."")), """")"),"")</f>
        <v/>
      </c>
      <c r="O593" s="35" t="str">
        <f>IF(Account!$F593&lt;&gt;"", DATEVALUE(MID($A593,4,3) &amp; LEFT($A593,3) &amp; RIGHT($A593,4)) + TIMEVALUE($B593), "")</f>
        <v/>
      </c>
      <c r="P593" s="36" t="str">
        <f>IF(Account!$F593&lt;&gt;"", DATEVALUE(MID($C593,4,3) &amp; LEFT($C593,3) &amp; RIGHT($C593,4)), "")</f>
        <v/>
      </c>
      <c r="Q593" s="37" t="str">
        <f t="array" ref="Q593">IF($R593&lt;&gt;"",IFERROR(INDEX(ISIN!$B:$B,MATCH($R593,ISIN!$C:$C,0))),)</f>
        <v/>
      </c>
      <c r="R593" s="38" t="str">
        <f t="array" ref="R593">IF($E593&lt;&gt;""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7" t="str">
        <f t="shared" si="1"/>
        <v/>
      </c>
      <c r="T593" s="39" t="str">
        <f t="shared" si="2"/>
        <v/>
      </c>
      <c r="U593" s="40" t="str">
        <f t="shared" si="3"/>
        <v/>
      </c>
      <c r="V593" s="34" t="str">
        <f t="shared" si="4"/>
        <v/>
      </c>
      <c r="W593" s="41" t="str">
        <f>IFERROR(__xludf.DUMMYFUNCTION(" IF(Account!$F593&lt;&gt;"""", SPLIT(Account!$F593, "" ""), """")"),"")</f>
        <v/>
      </c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</row>
    <row r="594">
      <c r="A594" s="20"/>
      <c r="B594" s="20"/>
      <c r="C594" s="20"/>
      <c r="D594" s="45"/>
      <c r="E594" s="45"/>
      <c r="F594" s="21"/>
      <c r="G594" s="45"/>
      <c r="H594" s="20"/>
      <c r="I594" s="20"/>
      <c r="J594" s="20"/>
      <c r="K594" s="20"/>
      <c r="L594" s="46"/>
      <c r="M594" s="33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4" t="str">
        <f>IFERROR(__xludf.DUMMYFUNCTION("IF(Account!$F594&lt;&gt;"""", VALUE(REGEXREPLACE($I594, ""\,"", ""."")), """")"),"")</f>
        <v/>
      </c>
      <c r="O594" s="35" t="str">
        <f>IF(Account!$F594&lt;&gt;"", DATEVALUE(MID($A594,4,3) &amp; LEFT($A594,3) &amp; RIGHT($A594,4)) + TIMEVALUE($B594), "")</f>
        <v/>
      </c>
      <c r="P594" s="36" t="str">
        <f>IF(Account!$F594&lt;&gt;"", DATEVALUE(MID($C594,4,3) &amp; LEFT($C594,3) &amp; RIGHT($C594,4)), "")</f>
        <v/>
      </c>
      <c r="Q594" s="37" t="str">
        <f t="array" ref="Q594">IF($R594&lt;&gt;"",IFERROR(INDEX(ISIN!$B:$B,MATCH($R594,ISIN!$C:$C,0))),)</f>
        <v/>
      </c>
      <c r="R594" s="38" t="str">
        <f t="array" ref="R594">IF($E594&lt;&gt;""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7" t="str">
        <f t="shared" si="1"/>
        <v/>
      </c>
      <c r="T594" s="39" t="str">
        <f t="shared" si="2"/>
        <v/>
      </c>
      <c r="U594" s="40" t="str">
        <f t="shared" si="3"/>
        <v/>
      </c>
      <c r="V594" s="34" t="str">
        <f t="shared" si="4"/>
        <v/>
      </c>
      <c r="W594" s="41" t="str">
        <f>IFERROR(__xludf.DUMMYFUNCTION(" IF(Account!$F594&lt;&gt;"""", SPLIT(Account!$F594, "" ""), """")"),"")</f>
        <v/>
      </c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</row>
    <row r="595">
      <c r="A595" s="20"/>
      <c r="B595" s="20"/>
      <c r="C595" s="20"/>
      <c r="D595" s="45"/>
      <c r="E595" s="45"/>
      <c r="F595" s="21"/>
      <c r="G595" s="45"/>
      <c r="H595" s="20"/>
      <c r="I595" s="20"/>
      <c r="J595" s="20"/>
      <c r="K595" s="20"/>
      <c r="L595" s="46"/>
      <c r="M595" s="33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4" t="str">
        <f>IFERROR(__xludf.DUMMYFUNCTION("IF(Account!$F595&lt;&gt;"""", VALUE(REGEXREPLACE($I595, ""\,"", ""."")), """")"),"")</f>
        <v/>
      </c>
      <c r="O595" s="35" t="str">
        <f>IF(Account!$F595&lt;&gt;"", DATEVALUE(MID($A595,4,3) &amp; LEFT($A595,3) &amp; RIGHT($A595,4)) + TIMEVALUE($B595), "")</f>
        <v/>
      </c>
      <c r="P595" s="36" t="str">
        <f>IF(Account!$F595&lt;&gt;"", DATEVALUE(MID($C595,4,3) &amp; LEFT($C595,3) &amp; RIGHT($C595,4)), "")</f>
        <v/>
      </c>
      <c r="Q595" s="37" t="str">
        <f t="array" ref="Q595">IF($R595&lt;&gt;"",IFERROR(INDEX(ISIN!$B:$B,MATCH($R595,ISIN!$C:$C,0))),)</f>
        <v/>
      </c>
      <c r="R595" s="38" t="str">
        <f t="array" ref="R595">IF($E595&lt;&gt;""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7" t="str">
        <f t="shared" si="1"/>
        <v/>
      </c>
      <c r="T595" s="39" t="str">
        <f t="shared" si="2"/>
        <v/>
      </c>
      <c r="U595" s="40" t="str">
        <f t="shared" si="3"/>
        <v/>
      </c>
      <c r="V595" s="34" t="str">
        <f t="shared" si="4"/>
        <v/>
      </c>
      <c r="W595" s="41" t="str">
        <f>IFERROR(__xludf.DUMMYFUNCTION(" IF(Account!$F595&lt;&gt;"""", SPLIT(Account!$F595, "" ""), """")"),"")</f>
        <v/>
      </c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</row>
    <row r="596">
      <c r="A596" s="20"/>
      <c r="B596" s="20"/>
      <c r="C596" s="20"/>
      <c r="D596" s="45"/>
      <c r="E596" s="45"/>
      <c r="F596" s="21"/>
      <c r="G596" s="45"/>
      <c r="H596" s="20"/>
      <c r="I596" s="20"/>
      <c r="J596" s="20"/>
      <c r="K596" s="20"/>
      <c r="L596" s="46"/>
      <c r="M596" s="33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4" t="str">
        <f>IFERROR(__xludf.DUMMYFUNCTION("IF(Account!$F596&lt;&gt;"""", VALUE(REGEXREPLACE($I596, ""\,"", ""."")), """")"),"")</f>
        <v/>
      </c>
      <c r="O596" s="35" t="str">
        <f>IF(Account!$F596&lt;&gt;"", DATEVALUE(MID($A596,4,3) &amp; LEFT($A596,3) &amp; RIGHT($A596,4)) + TIMEVALUE($B596), "")</f>
        <v/>
      </c>
      <c r="P596" s="36" t="str">
        <f>IF(Account!$F596&lt;&gt;"", DATEVALUE(MID($C596,4,3) &amp; LEFT($C596,3) &amp; RIGHT($C596,4)), "")</f>
        <v/>
      </c>
      <c r="Q596" s="37" t="str">
        <f t="array" ref="Q596">IF($R596&lt;&gt;"",IFERROR(INDEX(ISIN!$B:$B,MATCH($R596,ISIN!$C:$C,0))),)</f>
        <v/>
      </c>
      <c r="R596" s="38" t="str">
        <f t="array" ref="R596">IF($E596&lt;&gt;""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7" t="str">
        <f t="shared" si="1"/>
        <v/>
      </c>
      <c r="T596" s="39" t="str">
        <f t="shared" si="2"/>
        <v/>
      </c>
      <c r="U596" s="40" t="str">
        <f t="shared" si="3"/>
        <v/>
      </c>
      <c r="V596" s="34" t="str">
        <f t="shared" si="4"/>
        <v/>
      </c>
      <c r="W596" s="41" t="str">
        <f>IFERROR(__xludf.DUMMYFUNCTION(" IF(Account!$F596&lt;&gt;"""", SPLIT(Account!$F596, "" ""), """")"),"")</f>
        <v/>
      </c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</row>
    <row r="597">
      <c r="A597" s="20"/>
      <c r="B597" s="20"/>
      <c r="C597" s="20"/>
      <c r="D597" s="20"/>
      <c r="E597" s="20"/>
      <c r="F597" s="21"/>
      <c r="G597" s="45"/>
      <c r="H597" s="20"/>
      <c r="I597" s="20"/>
      <c r="J597" s="20"/>
      <c r="K597" s="20"/>
      <c r="L597" s="21"/>
      <c r="M597" s="33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4" t="str">
        <f>IFERROR(__xludf.DUMMYFUNCTION("IF(Account!$F597&lt;&gt;"""", VALUE(REGEXREPLACE($I597, ""\,"", ""."")), """")"),"")</f>
        <v/>
      </c>
      <c r="O597" s="35" t="str">
        <f>IF(Account!$F597&lt;&gt;"", DATEVALUE(MID($A597,4,3) &amp; LEFT($A597,3) &amp; RIGHT($A597,4)) + TIMEVALUE($B597), "")</f>
        <v/>
      </c>
      <c r="P597" s="36" t="str">
        <f>IF(Account!$F597&lt;&gt;"", DATEVALUE(MID($C597,4,3) &amp; LEFT($C597,3) &amp; RIGHT($C597,4)), "")</f>
        <v/>
      </c>
      <c r="Q597" s="37" t="str">
        <f t="array" ref="Q597">IF($R597&lt;&gt;"",IFERROR(INDEX(ISIN!$B:$B,MATCH($R597,ISIN!$C:$C,0))),)</f>
        <v/>
      </c>
      <c r="R597" s="38" t="str">
        <f t="array" ref="R597">IF($E597&lt;&gt;""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7" t="str">
        <f t="shared" si="1"/>
        <v/>
      </c>
      <c r="T597" s="39" t="str">
        <f t="shared" si="2"/>
        <v/>
      </c>
      <c r="U597" s="40" t="str">
        <f t="shared" si="3"/>
        <v/>
      </c>
      <c r="V597" s="34" t="str">
        <f t="shared" si="4"/>
        <v/>
      </c>
      <c r="W597" s="41" t="str">
        <f>IFERROR(__xludf.DUMMYFUNCTION(" IF(Account!$F597&lt;&gt;"""", SPLIT(Account!$F597, "" ""), """")"),"")</f>
        <v/>
      </c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</row>
    <row r="598">
      <c r="A598" s="20"/>
      <c r="B598" s="20"/>
      <c r="C598" s="20"/>
      <c r="D598" s="20"/>
      <c r="E598" s="20"/>
      <c r="F598" s="21"/>
      <c r="G598" s="45"/>
      <c r="H598" s="20"/>
      <c r="I598" s="20"/>
      <c r="J598" s="20"/>
      <c r="K598" s="20"/>
      <c r="L598" s="21"/>
      <c r="M598" s="33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4" t="str">
        <f>IFERROR(__xludf.DUMMYFUNCTION("IF(Account!$F598&lt;&gt;"""", VALUE(REGEXREPLACE($I598, ""\,"", ""."")), """")"),"")</f>
        <v/>
      </c>
      <c r="O598" s="35" t="str">
        <f>IF(Account!$F598&lt;&gt;"", DATEVALUE(MID($A598,4,3) &amp; LEFT($A598,3) &amp; RIGHT($A598,4)) + TIMEVALUE($B598), "")</f>
        <v/>
      </c>
      <c r="P598" s="36" t="str">
        <f>IF(Account!$F598&lt;&gt;"", DATEVALUE(MID($C598,4,3) &amp; LEFT($C598,3) &amp; RIGHT($C598,4)), "")</f>
        <v/>
      </c>
      <c r="Q598" s="37" t="str">
        <f t="array" ref="Q598">IF($R598&lt;&gt;"",IFERROR(INDEX(ISIN!$B:$B,MATCH($R598,ISIN!$C:$C,0))),)</f>
        <v/>
      </c>
      <c r="R598" s="38" t="str">
        <f t="array" ref="R598">IF($E598&lt;&gt;""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7" t="str">
        <f t="shared" si="1"/>
        <v/>
      </c>
      <c r="T598" s="39" t="str">
        <f t="shared" si="2"/>
        <v/>
      </c>
      <c r="U598" s="40" t="str">
        <f t="shared" si="3"/>
        <v/>
      </c>
      <c r="V598" s="34" t="str">
        <f t="shared" si="4"/>
        <v/>
      </c>
      <c r="W598" s="41" t="str">
        <f>IFERROR(__xludf.DUMMYFUNCTION(" IF(Account!$F598&lt;&gt;"""", SPLIT(Account!$F598, "" ""), """")"),"")</f>
        <v/>
      </c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</row>
    <row r="599">
      <c r="A599" s="20"/>
      <c r="B599" s="20"/>
      <c r="C599" s="20"/>
      <c r="D599" s="20"/>
      <c r="E599" s="20"/>
      <c r="F599" s="21"/>
      <c r="G599" s="45"/>
      <c r="H599" s="20"/>
      <c r="I599" s="20"/>
      <c r="J599" s="20"/>
      <c r="K599" s="20"/>
      <c r="L599" s="21"/>
      <c r="M599" s="33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4" t="str">
        <f>IFERROR(__xludf.DUMMYFUNCTION("IF(Account!$F599&lt;&gt;"""", VALUE(REGEXREPLACE($I599, ""\,"", ""."")), """")"),"")</f>
        <v/>
      </c>
      <c r="O599" s="35" t="str">
        <f>IF(Account!$F599&lt;&gt;"", DATEVALUE(MID($A599,4,3) &amp; LEFT($A599,3) &amp; RIGHT($A599,4)) + TIMEVALUE($B599), "")</f>
        <v/>
      </c>
      <c r="P599" s="36" t="str">
        <f>IF(Account!$F599&lt;&gt;"", DATEVALUE(MID($C599,4,3) &amp; LEFT($C599,3) &amp; RIGHT($C599,4)), "")</f>
        <v/>
      </c>
      <c r="Q599" s="37" t="str">
        <f t="array" ref="Q599">IF($R599&lt;&gt;"",IFERROR(INDEX(ISIN!$B:$B,MATCH($R599,ISIN!$C:$C,0))),)</f>
        <v/>
      </c>
      <c r="R599" s="38" t="str">
        <f t="array" ref="R599">IF($E599&lt;&gt;""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7" t="str">
        <f t="shared" si="1"/>
        <v/>
      </c>
      <c r="T599" s="39" t="str">
        <f t="shared" si="2"/>
        <v/>
      </c>
      <c r="U599" s="40" t="str">
        <f t="shared" si="3"/>
        <v/>
      </c>
      <c r="V599" s="34" t="str">
        <f t="shared" si="4"/>
        <v/>
      </c>
      <c r="W599" s="41" t="str">
        <f>IFERROR(__xludf.DUMMYFUNCTION(" IF(Account!$F599&lt;&gt;"""", SPLIT(Account!$F599, "" ""), """")"),"")</f>
        <v/>
      </c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</row>
    <row r="600">
      <c r="A600" s="20"/>
      <c r="B600" s="20"/>
      <c r="C600" s="20"/>
      <c r="D600" s="20"/>
      <c r="E600" s="20"/>
      <c r="F600" s="21"/>
      <c r="G600" s="45"/>
      <c r="H600" s="20"/>
      <c r="I600" s="20"/>
      <c r="J600" s="20"/>
      <c r="K600" s="20"/>
      <c r="L600" s="21"/>
      <c r="M600" s="33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4" t="str">
        <f>IFERROR(__xludf.DUMMYFUNCTION("IF(Account!$F600&lt;&gt;"""", VALUE(REGEXREPLACE($I600, ""\,"", ""."")), """")"),"")</f>
        <v/>
      </c>
      <c r="O600" s="35" t="str">
        <f>IF(Account!$F600&lt;&gt;"", DATEVALUE(MID($A600,4,3) &amp; LEFT($A600,3) &amp; RIGHT($A600,4)) + TIMEVALUE($B600), "")</f>
        <v/>
      </c>
      <c r="P600" s="36" t="str">
        <f>IF(Account!$F600&lt;&gt;"", DATEVALUE(MID($C600,4,3) &amp; LEFT($C600,3) &amp; RIGHT($C600,4)), "")</f>
        <v/>
      </c>
      <c r="Q600" s="37" t="str">
        <f t="array" ref="Q600">IF($R600&lt;&gt;"",IFERROR(INDEX(ISIN!$B:$B,MATCH($R600,ISIN!$C:$C,0))),)</f>
        <v/>
      </c>
      <c r="R600" s="38" t="str">
        <f t="array" ref="R600">IF($E600&lt;&gt;""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7" t="str">
        <f t="shared" si="1"/>
        <v/>
      </c>
      <c r="T600" s="39" t="str">
        <f t="shared" si="2"/>
        <v/>
      </c>
      <c r="U600" s="40" t="str">
        <f t="shared" si="3"/>
        <v/>
      </c>
      <c r="V600" s="34" t="str">
        <f t="shared" si="4"/>
        <v/>
      </c>
      <c r="W600" s="41" t="str">
        <f>IFERROR(__xludf.DUMMYFUNCTION(" IF(Account!$F600&lt;&gt;"""", SPLIT(Account!$F600, "" ""), """")"),"")</f>
        <v/>
      </c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</row>
    <row r="601">
      <c r="A601" s="20"/>
      <c r="B601" s="20"/>
      <c r="C601" s="20"/>
      <c r="D601" s="20"/>
      <c r="E601" s="20"/>
      <c r="F601" s="21"/>
      <c r="G601" s="45"/>
      <c r="H601" s="20"/>
      <c r="I601" s="20"/>
      <c r="J601" s="20"/>
      <c r="K601" s="20"/>
      <c r="L601" s="21"/>
      <c r="M601" s="33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4" t="str">
        <f>IFERROR(__xludf.DUMMYFUNCTION("IF(Account!$F601&lt;&gt;"""", VALUE(REGEXREPLACE($I601, ""\,"", ""."")), """")"),"")</f>
        <v/>
      </c>
      <c r="O601" s="35" t="str">
        <f>IF(Account!$F601&lt;&gt;"", DATEVALUE(MID($A601,4,3) &amp; LEFT($A601,3) &amp; RIGHT($A601,4)) + TIMEVALUE($B601), "")</f>
        <v/>
      </c>
      <c r="P601" s="36" t="str">
        <f>IF(Account!$F601&lt;&gt;"", DATEVALUE(MID($C601,4,3) &amp; LEFT($C601,3) &amp; RIGHT($C601,4)), "")</f>
        <v/>
      </c>
      <c r="Q601" s="37" t="str">
        <f t="array" ref="Q601">IF($R601&lt;&gt;"",IFERROR(INDEX(ISIN!$B:$B,MATCH($R601,ISIN!$C:$C,0))),)</f>
        <v/>
      </c>
      <c r="R601" s="38" t="str">
        <f t="array" ref="R601">IF($E601&lt;&gt;""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7" t="str">
        <f t="shared" si="1"/>
        <v/>
      </c>
      <c r="T601" s="39" t="str">
        <f t="shared" si="2"/>
        <v/>
      </c>
      <c r="U601" s="40" t="str">
        <f t="shared" si="3"/>
        <v/>
      </c>
      <c r="V601" s="34" t="str">
        <f t="shared" si="4"/>
        <v/>
      </c>
      <c r="W601" s="41" t="str">
        <f>IFERROR(__xludf.DUMMYFUNCTION(" IF(Account!$F601&lt;&gt;"""", SPLIT(Account!$F601, "" ""), """")"),"")</f>
        <v/>
      </c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</row>
    <row r="602">
      <c r="A602" s="20"/>
      <c r="B602" s="20"/>
      <c r="C602" s="20"/>
      <c r="D602" s="20"/>
      <c r="E602" s="20"/>
      <c r="F602" s="21"/>
      <c r="G602" s="45"/>
      <c r="H602" s="20"/>
      <c r="I602" s="20"/>
      <c r="J602" s="20"/>
      <c r="K602" s="20"/>
      <c r="L602" s="21"/>
      <c r="M602" s="33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4" t="str">
        <f>IFERROR(__xludf.DUMMYFUNCTION("IF(Account!$F602&lt;&gt;"""", VALUE(REGEXREPLACE($I602, ""\,"", ""."")), """")"),"")</f>
        <v/>
      </c>
      <c r="O602" s="35" t="str">
        <f>IF(Account!$F602&lt;&gt;"", DATEVALUE(MID($A602,4,3) &amp; LEFT($A602,3) &amp; RIGHT($A602,4)) + TIMEVALUE($B602), "")</f>
        <v/>
      </c>
      <c r="P602" s="36" t="str">
        <f>IF(Account!$F602&lt;&gt;"", DATEVALUE(MID($C602,4,3) &amp; LEFT($C602,3) &amp; RIGHT($C602,4)), "")</f>
        <v/>
      </c>
      <c r="Q602" s="37" t="str">
        <f t="array" ref="Q602">IF($R602&lt;&gt;"",IFERROR(INDEX(ISIN!$B:$B,MATCH($R602,ISIN!$C:$C,0))),)</f>
        <v/>
      </c>
      <c r="R602" s="38" t="str">
        <f t="array" ref="R602">IF($E602&lt;&gt;""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7" t="str">
        <f t="shared" si="1"/>
        <v/>
      </c>
      <c r="T602" s="39" t="str">
        <f t="shared" si="2"/>
        <v/>
      </c>
      <c r="U602" s="40" t="str">
        <f t="shared" si="3"/>
        <v/>
      </c>
      <c r="V602" s="34" t="str">
        <f t="shared" si="4"/>
        <v/>
      </c>
      <c r="W602" s="41" t="str">
        <f>IFERROR(__xludf.DUMMYFUNCTION(" IF(Account!$F602&lt;&gt;"""", SPLIT(Account!$F602, "" ""), """")"),"")</f>
        <v/>
      </c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</row>
    <row r="603">
      <c r="A603" s="20"/>
      <c r="B603" s="20"/>
      <c r="C603" s="20"/>
      <c r="D603" s="20"/>
      <c r="E603" s="20"/>
      <c r="F603" s="21"/>
      <c r="G603" s="20"/>
      <c r="H603" s="20"/>
      <c r="I603" s="20"/>
      <c r="J603" s="20"/>
      <c r="K603" s="20"/>
      <c r="L603" s="21"/>
      <c r="M603" s="33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4" t="str">
        <f>IFERROR(__xludf.DUMMYFUNCTION("IF(Account!$F603&lt;&gt;"""", VALUE(REGEXREPLACE($I603, ""\,"", ""."")), """")"),"")</f>
        <v/>
      </c>
      <c r="O603" s="35" t="str">
        <f>IF(Account!$F603&lt;&gt;"", DATEVALUE(MID($A603,4,3) &amp; LEFT($A603,3) &amp; RIGHT($A603,4)) + TIMEVALUE($B603), "")</f>
        <v/>
      </c>
      <c r="P603" s="36" t="str">
        <f>IF(Account!$F603&lt;&gt;"", DATEVALUE(MID($C603,4,3) &amp; LEFT($C603,3) &amp; RIGHT($C603,4)), "")</f>
        <v/>
      </c>
      <c r="Q603" s="37" t="str">
        <f t="array" ref="Q603">IF($R603&lt;&gt;"",IFERROR(INDEX(ISIN!$B:$B,MATCH($R603,ISIN!$C:$C,0))),)</f>
        <v/>
      </c>
      <c r="R603" s="38" t="str">
        <f t="array" ref="R603">IF($E603&lt;&gt;""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7" t="str">
        <f t="shared" si="1"/>
        <v/>
      </c>
      <c r="T603" s="39" t="str">
        <f t="shared" si="2"/>
        <v/>
      </c>
      <c r="U603" s="40" t="str">
        <f t="shared" si="3"/>
        <v/>
      </c>
      <c r="V603" s="34" t="str">
        <f t="shared" si="4"/>
        <v/>
      </c>
      <c r="W603" s="41" t="str">
        <f>IFERROR(__xludf.DUMMYFUNCTION(" IF(Account!$F603&lt;&gt;"""", SPLIT(Account!$F603, "" ""), """")"),"")</f>
        <v/>
      </c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</row>
    <row r="604">
      <c r="A604" s="20"/>
      <c r="B604" s="20"/>
      <c r="C604" s="20"/>
      <c r="D604" s="20"/>
      <c r="E604" s="20"/>
      <c r="F604" s="21"/>
      <c r="G604" s="45"/>
      <c r="H604" s="20"/>
      <c r="I604" s="20"/>
      <c r="J604" s="20"/>
      <c r="K604" s="20"/>
      <c r="L604" s="21"/>
      <c r="M604" s="33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4" t="str">
        <f>IFERROR(__xludf.DUMMYFUNCTION("IF(Account!$F604&lt;&gt;"""", VALUE(REGEXREPLACE($I604, ""\,"", ""."")), """")"),"")</f>
        <v/>
      </c>
      <c r="O604" s="35" t="str">
        <f>IF(Account!$F604&lt;&gt;"", DATEVALUE(MID($A604,4,3) &amp; LEFT($A604,3) &amp; RIGHT($A604,4)) + TIMEVALUE($B604), "")</f>
        <v/>
      </c>
      <c r="P604" s="36" t="str">
        <f>IF(Account!$F604&lt;&gt;"", DATEVALUE(MID($C604,4,3) &amp; LEFT($C604,3) &amp; RIGHT($C604,4)), "")</f>
        <v/>
      </c>
      <c r="Q604" s="37" t="str">
        <f t="array" ref="Q604">IF($R604&lt;&gt;"",IFERROR(INDEX(ISIN!$B:$B,MATCH($R604,ISIN!$C:$C,0))),)</f>
        <v/>
      </c>
      <c r="R604" s="38" t="str">
        <f t="array" ref="R604">IF($E604&lt;&gt;""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7" t="str">
        <f t="shared" si="1"/>
        <v/>
      </c>
      <c r="T604" s="39" t="str">
        <f t="shared" si="2"/>
        <v/>
      </c>
      <c r="U604" s="40" t="str">
        <f t="shared" si="3"/>
        <v/>
      </c>
      <c r="V604" s="34" t="str">
        <f t="shared" si="4"/>
        <v/>
      </c>
      <c r="W604" s="41" t="str">
        <f>IFERROR(__xludf.DUMMYFUNCTION(" IF(Account!$F604&lt;&gt;"""", SPLIT(Account!$F604, "" ""), """")"),"")</f>
        <v/>
      </c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</row>
    <row r="605">
      <c r="A605" s="20"/>
      <c r="B605" s="20"/>
      <c r="C605" s="20"/>
      <c r="D605" s="20"/>
      <c r="E605" s="20"/>
      <c r="F605" s="21"/>
      <c r="G605" s="45"/>
      <c r="H605" s="20"/>
      <c r="I605" s="20"/>
      <c r="J605" s="20"/>
      <c r="K605" s="20"/>
      <c r="L605" s="21"/>
      <c r="M605" s="33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4" t="str">
        <f>IFERROR(__xludf.DUMMYFUNCTION("IF(Account!$F605&lt;&gt;"""", VALUE(REGEXREPLACE($I605, ""\,"", ""."")), """")"),"")</f>
        <v/>
      </c>
      <c r="O605" s="35" t="str">
        <f>IF(Account!$F605&lt;&gt;"", DATEVALUE(MID($A605,4,3) &amp; LEFT($A605,3) &amp; RIGHT($A605,4)) + TIMEVALUE($B605), "")</f>
        <v/>
      </c>
      <c r="P605" s="36" t="str">
        <f>IF(Account!$F605&lt;&gt;"", DATEVALUE(MID($C605,4,3) &amp; LEFT($C605,3) &amp; RIGHT($C605,4)), "")</f>
        <v/>
      </c>
      <c r="Q605" s="37" t="str">
        <f t="array" ref="Q605">IF($R605&lt;&gt;"",IFERROR(INDEX(ISIN!$B:$B,MATCH($R605,ISIN!$C:$C,0))),)</f>
        <v/>
      </c>
      <c r="R605" s="38" t="str">
        <f t="array" ref="R605">IF($E605&lt;&gt;""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7" t="str">
        <f t="shared" si="1"/>
        <v/>
      </c>
      <c r="T605" s="39" t="str">
        <f t="shared" si="2"/>
        <v/>
      </c>
      <c r="U605" s="40" t="str">
        <f t="shared" si="3"/>
        <v/>
      </c>
      <c r="V605" s="34" t="str">
        <f t="shared" si="4"/>
        <v/>
      </c>
      <c r="W605" s="41" t="str">
        <f>IFERROR(__xludf.DUMMYFUNCTION(" IF(Account!$F605&lt;&gt;"""", SPLIT(Account!$F605, "" ""), """")"),"")</f>
        <v/>
      </c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</row>
    <row r="606">
      <c r="A606" s="20"/>
      <c r="B606" s="20"/>
      <c r="C606" s="20"/>
      <c r="D606" s="20"/>
      <c r="E606" s="20"/>
      <c r="F606" s="21"/>
      <c r="G606" s="45"/>
      <c r="H606" s="20"/>
      <c r="I606" s="20"/>
      <c r="J606" s="20"/>
      <c r="K606" s="20"/>
      <c r="L606" s="21"/>
      <c r="M606" s="33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4" t="str">
        <f>IFERROR(__xludf.DUMMYFUNCTION("IF(Account!$F606&lt;&gt;"""", VALUE(REGEXREPLACE($I606, ""\,"", ""."")), """")"),"")</f>
        <v/>
      </c>
      <c r="O606" s="35" t="str">
        <f>IF(Account!$F606&lt;&gt;"", DATEVALUE(MID($A606,4,3) &amp; LEFT($A606,3) &amp; RIGHT($A606,4)) + TIMEVALUE($B606), "")</f>
        <v/>
      </c>
      <c r="P606" s="36" t="str">
        <f>IF(Account!$F606&lt;&gt;"", DATEVALUE(MID($C606,4,3) &amp; LEFT($C606,3) &amp; RIGHT($C606,4)), "")</f>
        <v/>
      </c>
      <c r="Q606" s="37" t="str">
        <f t="array" ref="Q606">IF($R606&lt;&gt;"",IFERROR(INDEX(ISIN!$B:$B,MATCH($R606,ISIN!$C:$C,0))),)</f>
        <v/>
      </c>
      <c r="R606" s="38" t="str">
        <f t="array" ref="R606">IF($E606&lt;&gt;""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7" t="str">
        <f t="shared" si="1"/>
        <v/>
      </c>
      <c r="T606" s="39" t="str">
        <f t="shared" si="2"/>
        <v/>
      </c>
      <c r="U606" s="40" t="str">
        <f t="shared" si="3"/>
        <v/>
      </c>
      <c r="V606" s="34" t="str">
        <f t="shared" si="4"/>
        <v/>
      </c>
      <c r="W606" s="41" t="str">
        <f>IFERROR(__xludf.DUMMYFUNCTION(" IF(Account!$F606&lt;&gt;"""", SPLIT(Account!$F606, "" ""), """")"),"")</f>
        <v/>
      </c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</row>
    <row r="607">
      <c r="A607" s="20"/>
      <c r="B607" s="20"/>
      <c r="C607" s="20"/>
      <c r="D607" s="20"/>
      <c r="E607" s="20"/>
      <c r="F607" s="21"/>
      <c r="G607" s="45"/>
      <c r="H607" s="20"/>
      <c r="I607" s="20"/>
      <c r="J607" s="20"/>
      <c r="K607" s="20"/>
      <c r="L607" s="21"/>
      <c r="M607" s="33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4" t="str">
        <f>IFERROR(__xludf.DUMMYFUNCTION("IF(Account!$F607&lt;&gt;"""", VALUE(REGEXREPLACE($I607, ""\,"", ""."")), """")"),"")</f>
        <v/>
      </c>
      <c r="O607" s="35" t="str">
        <f>IF(Account!$F607&lt;&gt;"", DATEVALUE(MID($A607,4,3) &amp; LEFT($A607,3) &amp; RIGHT($A607,4)) + TIMEVALUE($B607), "")</f>
        <v/>
      </c>
      <c r="P607" s="36" t="str">
        <f>IF(Account!$F607&lt;&gt;"", DATEVALUE(MID($C607,4,3) &amp; LEFT($C607,3) &amp; RIGHT($C607,4)), "")</f>
        <v/>
      </c>
      <c r="Q607" s="37" t="str">
        <f t="array" ref="Q607">IF($R607&lt;&gt;"",IFERROR(INDEX(ISIN!$B:$B,MATCH($R607,ISIN!$C:$C,0))),)</f>
        <v/>
      </c>
      <c r="R607" s="38" t="str">
        <f t="array" ref="R607">IF($E607&lt;&gt;""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7" t="str">
        <f t="shared" si="1"/>
        <v/>
      </c>
      <c r="T607" s="39" t="str">
        <f t="shared" si="2"/>
        <v/>
      </c>
      <c r="U607" s="40" t="str">
        <f t="shared" si="3"/>
        <v/>
      </c>
      <c r="V607" s="34" t="str">
        <f t="shared" si="4"/>
        <v/>
      </c>
      <c r="W607" s="41" t="str">
        <f>IFERROR(__xludf.DUMMYFUNCTION(" IF(Account!$F607&lt;&gt;"""", SPLIT(Account!$F607, "" ""), """")"),"")</f>
        <v/>
      </c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</row>
    <row r="608">
      <c r="A608" s="20"/>
      <c r="B608" s="20"/>
      <c r="C608" s="20"/>
      <c r="D608" s="20"/>
      <c r="E608" s="20"/>
      <c r="F608" s="21"/>
      <c r="G608" s="45"/>
      <c r="H608" s="20"/>
      <c r="I608" s="20"/>
      <c r="J608" s="20"/>
      <c r="K608" s="20"/>
      <c r="L608" s="21"/>
      <c r="M608" s="33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4" t="str">
        <f>IFERROR(__xludf.DUMMYFUNCTION("IF(Account!$F608&lt;&gt;"""", VALUE(REGEXREPLACE($I608, ""\,"", ""."")), """")"),"")</f>
        <v/>
      </c>
      <c r="O608" s="35" t="str">
        <f>IF(Account!$F608&lt;&gt;"", DATEVALUE(MID($A608,4,3) &amp; LEFT($A608,3) &amp; RIGHT($A608,4)) + TIMEVALUE($B608), "")</f>
        <v/>
      </c>
      <c r="P608" s="36" t="str">
        <f>IF(Account!$F608&lt;&gt;"", DATEVALUE(MID($C608,4,3) &amp; LEFT($C608,3) &amp; RIGHT($C608,4)), "")</f>
        <v/>
      </c>
      <c r="Q608" s="37" t="str">
        <f t="array" ref="Q608">IF($R608&lt;&gt;"",IFERROR(INDEX(ISIN!$B:$B,MATCH($R608,ISIN!$C:$C,0))),)</f>
        <v/>
      </c>
      <c r="R608" s="38" t="str">
        <f t="array" ref="R608">IF($E608&lt;&gt;""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7" t="str">
        <f t="shared" si="1"/>
        <v/>
      </c>
      <c r="T608" s="39" t="str">
        <f t="shared" si="2"/>
        <v/>
      </c>
      <c r="U608" s="40" t="str">
        <f t="shared" si="3"/>
        <v/>
      </c>
      <c r="V608" s="34" t="str">
        <f t="shared" si="4"/>
        <v/>
      </c>
      <c r="W608" s="41" t="str">
        <f>IFERROR(__xludf.DUMMYFUNCTION(" IF(Account!$F608&lt;&gt;"""", SPLIT(Account!$F608, "" ""), """")"),"")</f>
        <v/>
      </c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</row>
    <row r="609">
      <c r="A609" s="20"/>
      <c r="B609" s="20"/>
      <c r="C609" s="20"/>
      <c r="D609" s="20"/>
      <c r="E609" s="20"/>
      <c r="F609" s="21"/>
      <c r="G609" s="45"/>
      <c r="H609" s="20"/>
      <c r="I609" s="20"/>
      <c r="J609" s="20"/>
      <c r="K609" s="20"/>
      <c r="L609" s="21"/>
      <c r="M609" s="33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4" t="str">
        <f>IFERROR(__xludf.DUMMYFUNCTION("IF(Account!$F609&lt;&gt;"""", VALUE(REGEXREPLACE($I609, ""\,"", ""."")), """")"),"")</f>
        <v/>
      </c>
      <c r="O609" s="35" t="str">
        <f>IF(Account!$F609&lt;&gt;"", DATEVALUE(MID($A609,4,3) &amp; LEFT($A609,3) &amp; RIGHT($A609,4)) + TIMEVALUE($B609), "")</f>
        <v/>
      </c>
      <c r="P609" s="36" t="str">
        <f>IF(Account!$F609&lt;&gt;"", DATEVALUE(MID($C609,4,3) &amp; LEFT($C609,3) &amp; RIGHT($C609,4)), "")</f>
        <v/>
      </c>
      <c r="Q609" s="37" t="str">
        <f t="array" ref="Q609">IF($R609&lt;&gt;"",IFERROR(INDEX(ISIN!$B:$B,MATCH($R609,ISIN!$C:$C,0))),)</f>
        <v/>
      </c>
      <c r="R609" s="38" t="str">
        <f t="array" ref="R609">IF($E609&lt;&gt;""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7" t="str">
        <f t="shared" si="1"/>
        <v/>
      </c>
      <c r="T609" s="39" t="str">
        <f t="shared" si="2"/>
        <v/>
      </c>
      <c r="U609" s="40" t="str">
        <f t="shared" si="3"/>
        <v/>
      </c>
      <c r="V609" s="34" t="str">
        <f t="shared" si="4"/>
        <v/>
      </c>
      <c r="W609" s="41" t="str">
        <f>IFERROR(__xludf.DUMMYFUNCTION(" IF(Account!$F609&lt;&gt;"""", SPLIT(Account!$F609, "" ""), """")"),"")</f>
        <v/>
      </c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</row>
    <row r="610">
      <c r="A610" s="20"/>
      <c r="B610" s="20"/>
      <c r="C610" s="20"/>
      <c r="D610" s="20"/>
      <c r="E610" s="20"/>
      <c r="F610" s="21"/>
      <c r="G610" s="45"/>
      <c r="H610" s="20"/>
      <c r="I610" s="20"/>
      <c r="J610" s="20"/>
      <c r="K610" s="20"/>
      <c r="L610" s="21"/>
      <c r="M610" s="33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4" t="str">
        <f>IFERROR(__xludf.DUMMYFUNCTION("IF(Account!$F610&lt;&gt;"""", VALUE(REGEXREPLACE($I610, ""\,"", ""."")), """")"),"")</f>
        <v/>
      </c>
      <c r="O610" s="35" t="str">
        <f>IF(Account!$F610&lt;&gt;"", DATEVALUE(MID($A610,4,3) &amp; LEFT($A610,3) &amp; RIGHT($A610,4)) + TIMEVALUE($B610), "")</f>
        <v/>
      </c>
      <c r="P610" s="36" t="str">
        <f>IF(Account!$F610&lt;&gt;"", DATEVALUE(MID($C610,4,3) &amp; LEFT($C610,3) &amp; RIGHT($C610,4)), "")</f>
        <v/>
      </c>
      <c r="Q610" s="37" t="str">
        <f t="array" ref="Q610">IF($R610&lt;&gt;"",IFERROR(INDEX(ISIN!$B:$B,MATCH($R610,ISIN!$C:$C,0))),)</f>
        <v/>
      </c>
      <c r="R610" s="38" t="str">
        <f t="array" ref="R610">IF($E610&lt;&gt;""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7" t="str">
        <f t="shared" si="1"/>
        <v/>
      </c>
      <c r="T610" s="39" t="str">
        <f t="shared" si="2"/>
        <v/>
      </c>
      <c r="U610" s="40" t="str">
        <f t="shared" si="3"/>
        <v/>
      </c>
      <c r="V610" s="34" t="str">
        <f t="shared" si="4"/>
        <v/>
      </c>
      <c r="W610" s="41" t="str">
        <f>IFERROR(__xludf.DUMMYFUNCTION(" IF(Account!$F610&lt;&gt;"""", SPLIT(Account!$F610, "" ""), """")"),"")</f>
        <v/>
      </c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</row>
    <row r="611">
      <c r="A611" s="20"/>
      <c r="B611" s="20"/>
      <c r="C611" s="20"/>
      <c r="D611" s="20"/>
      <c r="E611" s="20"/>
      <c r="F611" s="21"/>
      <c r="G611" s="20"/>
      <c r="H611" s="20"/>
      <c r="I611" s="20"/>
      <c r="J611" s="20"/>
      <c r="K611" s="20"/>
      <c r="L611" s="21"/>
      <c r="M611" s="33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4" t="str">
        <f>IFERROR(__xludf.DUMMYFUNCTION("IF(Account!$F611&lt;&gt;"""", VALUE(REGEXREPLACE($I611, ""\,"", ""."")), """")"),"")</f>
        <v/>
      </c>
      <c r="O611" s="35" t="str">
        <f>IF(Account!$F611&lt;&gt;"", DATEVALUE(MID($A611,4,3) &amp; LEFT($A611,3) &amp; RIGHT($A611,4)) + TIMEVALUE($B611), "")</f>
        <v/>
      </c>
      <c r="P611" s="36" t="str">
        <f>IF(Account!$F611&lt;&gt;"", DATEVALUE(MID($C611,4,3) &amp; LEFT($C611,3) &amp; RIGHT($C611,4)), "")</f>
        <v/>
      </c>
      <c r="Q611" s="37" t="str">
        <f t="array" ref="Q611">IF($R611&lt;&gt;"",IFERROR(INDEX(ISIN!$B:$B,MATCH($R611,ISIN!$C:$C,0))),)</f>
        <v/>
      </c>
      <c r="R611" s="38" t="str">
        <f t="array" ref="R611">IF($E611&lt;&gt;""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7" t="str">
        <f t="shared" si="1"/>
        <v/>
      </c>
      <c r="T611" s="39" t="str">
        <f t="shared" si="2"/>
        <v/>
      </c>
      <c r="U611" s="40" t="str">
        <f t="shared" si="3"/>
        <v/>
      </c>
      <c r="V611" s="34" t="str">
        <f t="shared" si="4"/>
        <v/>
      </c>
      <c r="W611" s="41" t="str">
        <f>IFERROR(__xludf.DUMMYFUNCTION(" IF(Account!$F611&lt;&gt;"""", SPLIT(Account!$F611, "" ""), """")"),"")</f>
        <v/>
      </c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</row>
    <row r="612">
      <c r="A612" s="20"/>
      <c r="B612" s="20"/>
      <c r="C612" s="20"/>
      <c r="D612" s="20"/>
      <c r="E612" s="20"/>
      <c r="F612" s="21"/>
      <c r="G612" s="45"/>
      <c r="H612" s="20"/>
      <c r="I612" s="20"/>
      <c r="J612" s="20"/>
      <c r="K612" s="20"/>
      <c r="L612" s="21"/>
      <c r="M612" s="33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4" t="str">
        <f>IFERROR(__xludf.DUMMYFUNCTION("IF(Account!$F612&lt;&gt;"""", VALUE(REGEXREPLACE($I612, ""\,"", ""."")), """")"),"")</f>
        <v/>
      </c>
      <c r="O612" s="35" t="str">
        <f>IF(Account!$F612&lt;&gt;"", DATEVALUE(MID($A612,4,3) &amp; LEFT($A612,3) &amp; RIGHT($A612,4)) + TIMEVALUE($B612), "")</f>
        <v/>
      </c>
      <c r="P612" s="36" t="str">
        <f>IF(Account!$F612&lt;&gt;"", DATEVALUE(MID($C612,4,3) &amp; LEFT($C612,3) &amp; RIGHT($C612,4)), "")</f>
        <v/>
      </c>
      <c r="Q612" s="37" t="str">
        <f t="array" ref="Q612">IF($R612&lt;&gt;"",IFERROR(INDEX(ISIN!$B:$B,MATCH($R612,ISIN!$C:$C,0))),)</f>
        <v/>
      </c>
      <c r="R612" s="38" t="str">
        <f t="array" ref="R612">IF($E612&lt;&gt;""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7" t="str">
        <f t="shared" si="1"/>
        <v/>
      </c>
      <c r="T612" s="39" t="str">
        <f t="shared" si="2"/>
        <v/>
      </c>
      <c r="U612" s="40" t="str">
        <f t="shared" si="3"/>
        <v/>
      </c>
      <c r="V612" s="34" t="str">
        <f t="shared" si="4"/>
        <v/>
      </c>
      <c r="W612" s="41" t="str">
        <f>IFERROR(__xludf.DUMMYFUNCTION(" IF(Account!$F612&lt;&gt;"""", SPLIT(Account!$F612, "" ""), """")"),"")</f>
        <v/>
      </c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</row>
    <row r="613">
      <c r="A613" s="20"/>
      <c r="B613" s="20"/>
      <c r="C613" s="20"/>
      <c r="D613" s="20"/>
      <c r="E613" s="20"/>
      <c r="F613" s="21"/>
      <c r="G613" s="45"/>
      <c r="H613" s="20"/>
      <c r="I613" s="20"/>
      <c r="J613" s="20"/>
      <c r="K613" s="20"/>
      <c r="L613" s="21"/>
      <c r="M613" s="33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4" t="str">
        <f>IFERROR(__xludf.DUMMYFUNCTION("IF(Account!$F613&lt;&gt;"""", VALUE(REGEXREPLACE($I613, ""\,"", ""."")), """")"),"")</f>
        <v/>
      </c>
      <c r="O613" s="35" t="str">
        <f>IF(Account!$F613&lt;&gt;"", DATEVALUE(MID($A613,4,3) &amp; LEFT($A613,3) &amp; RIGHT($A613,4)) + TIMEVALUE($B613), "")</f>
        <v/>
      </c>
      <c r="P613" s="36" t="str">
        <f>IF(Account!$F613&lt;&gt;"", DATEVALUE(MID($C613,4,3) &amp; LEFT($C613,3) &amp; RIGHT($C613,4)), "")</f>
        <v/>
      </c>
      <c r="Q613" s="37" t="str">
        <f t="array" ref="Q613">IF($R613&lt;&gt;"",IFERROR(INDEX(ISIN!$B:$B,MATCH($R613,ISIN!$C:$C,0))),)</f>
        <v/>
      </c>
      <c r="R613" s="38" t="str">
        <f t="array" ref="R613">IF($E613&lt;&gt;""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7" t="str">
        <f t="shared" si="1"/>
        <v/>
      </c>
      <c r="T613" s="39" t="str">
        <f t="shared" si="2"/>
        <v/>
      </c>
      <c r="U613" s="40" t="str">
        <f t="shared" si="3"/>
        <v/>
      </c>
      <c r="V613" s="34" t="str">
        <f t="shared" si="4"/>
        <v/>
      </c>
      <c r="W613" s="41" t="str">
        <f>IFERROR(__xludf.DUMMYFUNCTION(" IF(Account!$F613&lt;&gt;"""", SPLIT(Account!$F613, "" ""), """")"),"")</f>
        <v/>
      </c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</row>
    <row r="614">
      <c r="A614" s="45"/>
      <c r="B614" s="45"/>
      <c r="C614" s="45"/>
      <c r="D614" s="45"/>
      <c r="E614" s="45"/>
      <c r="F614" s="46"/>
      <c r="G614" s="45"/>
      <c r="H614" s="45"/>
      <c r="I614" s="45"/>
      <c r="J614" s="45"/>
      <c r="K614" s="45"/>
      <c r="L614" s="21"/>
      <c r="M614" s="33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4" t="str">
        <f>IFERROR(__xludf.DUMMYFUNCTION("IF(Account!$F614&lt;&gt;"""", VALUE(REGEXREPLACE($I614, ""\,"", ""."")), """")"),"")</f>
        <v/>
      </c>
      <c r="O614" s="35" t="str">
        <f>IF(Account!$F614&lt;&gt;"", DATEVALUE(MID($A614,4,3) &amp; LEFT($A614,3) &amp; RIGHT($A614,4)) + TIMEVALUE($B614), "")</f>
        <v/>
      </c>
      <c r="P614" s="36" t="str">
        <f>IF(Account!$F614&lt;&gt;"", DATEVALUE(MID($C614,4,3) &amp; LEFT($C614,3) &amp; RIGHT($C614,4)), "")</f>
        <v/>
      </c>
      <c r="Q614" s="37" t="str">
        <f t="array" ref="Q614">IF($R614&lt;&gt;"",IFERROR(INDEX(ISIN!$B:$B,MATCH($R614,ISIN!$C:$C,0))),)</f>
        <v/>
      </c>
      <c r="R614" s="38" t="str">
        <f t="array" ref="R614">IF($E614&lt;&gt;""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7" t="str">
        <f t="shared" si="1"/>
        <v/>
      </c>
      <c r="T614" s="39" t="str">
        <f t="shared" si="2"/>
        <v/>
      </c>
      <c r="U614" s="40" t="str">
        <f t="shared" si="3"/>
        <v/>
      </c>
      <c r="V614" s="34" t="str">
        <f t="shared" si="4"/>
        <v/>
      </c>
      <c r="W614" s="41" t="str">
        <f>IFERROR(__xludf.DUMMYFUNCTION(" IF(Account!$F614&lt;&gt;"""", SPLIT(Account!$F614, "" ""), """")"),"")</f>
        <v/>
      </c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</row>
    <row r="615">
      <c r="A615" s="20"/>
      <c r="B615" s="20"/>
      <c r="C615" s="20"/>
      <c r="D615" s="20"/>
      <c r="E615" s="20"/>
      <c r="F615" s="21"/>
      <c r="G615" s="45"/>
      <c r="H615" s="20"/>
      <c r="I615" s="20"/>
      <c r="J615" s="20"/>
      <c r="K615" s="20"/>
      <c r="L615" s="21"/>
      <c r="M615" s="33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4" t="str">
        <f>IFERROR(__xludf.DUMMYFUNCTION("IF(Account!$F615&lt;&gt;"""", VALUE(REGEXREPLACE($I615, ""\,"", ""."")), """")"),"")</f>
        <v/>
      </c>
      <c r="O615" s="35" t="str">
        <f>IF(Account!$F615&lt;&gt;"", DATEVALUE(MID($A615,4,3) &amp; LEFT($A615,3) &amp; RIGHT($A615,4)) + TIMEVALUE($B615), "")</f>
        <v/>
      </c>
      <c r="P615" s="36" t="str">
        <f>IF(Account!$F615&lt;&gt;"", DATEVALUE(MID($C615,4,3) &amp; LEFT($C615,3) &amp; RIGHT($C615,4)), "")</f>
        <v/>
      </c>
      <c r="Q615" s="37" t="str">
        <f t="array" ref="Q615">IF($R615&lt;&gt;"",IFERROR(INDEX(ISIN!$B:$B,MATCH($R615,ISIN!$C:$C,0))),)</f>
        <v/>
      </c>
      <c r="R615" s="38" t="str">
        <f t="array" ref="R615">IF($E615&lt;&gt;""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7" t="str">
        <f t="shared" si="1"/>
        <v/>
      </c>
      <c r="T615" s="39" t="str">
        <f t="shared" si="2"/>
        <v/>
      </c>
      <c r="U615" s="40" t="str">
        <f t="shared" si="3"/>
        <v/>
      </c>
      <c r="V615" s="34" t="str">
        <f t="shared" si="4"/>
        <v/>
      </c>
      <c r="W615" s="41" t="str">
        <f>IFERROR(__xludf.DUMMYFUNCTION(" IF(Account!$F615&lt;&gt;"""", SPLIT(Account!$F615, "" ""), """")"),"")</f>
        <v/>
      </c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</row>
    <row r="616">
      <c r="A616" s="20"/>
      <c r="B616" s="20"/>
      <c r="C616" s="20"/>
      <c r="D616" s="20"/>
      <c r="E616" s="20"/>
      <c r="F616" s="21"/>
      <c r="G616" s="45"/>
      <c r="H616" s="20"/>
      <c r="I616" s="20"/>
      <c r="J616" s="20"/>
      <c r="K616" s="20"/>
      <c r="L616" s="21"/>
      <c r="M616" s="33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4" t="str">
        <f>IFERROR(__xludf.DUMMYFUNCTION("IF(Account!$F616&lt;&gt;"""", VALUE(REGEXREPLACE($I616, ""\,"", ""."")), """")"),"")</f>
        <v/>
      </c>
      <c r="O616" s="35" t="str">
        <f>IF(Account!$F616&lt;&gt;"", DATEVALUE(MID($A616,4,3) &amp; LEFT($A616,3) &amp; RIGHT($A616,4)) + TIMEVALUE($B616), "")</f>
        <v/>
      </c>
      <c r="P616" s="36" t="str">
        <f>IF(Account!$F616&lt;&gt;"", DATEVALUE(MID($C616,4,3) &amp; LEFT($C616,3) &amp; RIGHT($C616,4)), "")</f>
        <v/>
      </c>
      <c r="Q616" s="37" t="str">
        <f t="array" ref="Q616">IF($R616&lt;&gt;"",IFERROR(INDEX(ISIN!$B:$B,MATCH($R616,ISIN!$C:$C,0))),)</f>
        <v/>
      </c>
      <c r="R616" s="38" t="str">
        <f t="array" ref="R616">IF($E616&lt;&gt;""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7" t="str">
        <f t="shared" si="1"/>
        <v/>
      </c>
      <c r="T616" s="39" t="str">
        <f t="shared" si="2"/>
        <v/>
      </c>
      <c r="U616" s="40" t="str">
        <f t="shared" si="3"/>
        <v/>
      </c>
      <c r="V616" s="34" t="str">
        <f t="shared" si="4"/>
        <v/>
      </c>
      <c r="W616" s="41" t="str">
        <f>IFERROR(__xludf.DUMMYFUNCTION(" IF(Account!$F616&lt;&gt;"""", SPLIT(Account!$F616, "" ""), """")"),"")</f>
        <v/>
      </c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</row>
    <row r="617">
      <c r="A617" s="20"/>
      <c r="B617" s="20"/>
      <c r="C617" s="20"/>
      <c r="D617" s="45"/>
      <c r="E617" s="45"/>
      <c r="F617" s="21"/>
      <c r="G617" s="45"/>
      <c r="H617" s="20"/>
      <c r="I617" s="20"/>
      <c r="J617" s="20"/>
      <c r="K617" s="20"/>
      <c r="L617" s="46"/>
      <c r="M617" s="33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4" t="str">
        <f>IFERROR(__xludf.DUMMYFUNCTION("IF(Account!$F617&lt;&gt;"""", VALUE(REGEXREPLACE($I617, ""\,"", ""."")), """")"),"")</f>
        <v/>
      </c>
      <c r="O617" s="35" t="str">
        <f>IF(Account!$F617&lt;&gt;"", DATEVALUE(MID($A617,4,3) &amp; LEFT($A617,3) &amp; RIGHT($A617,4)) + TIMEVALUE($B617), "")</f>
        <v/>
      </c>
      <c r="P617" s="36" t="str">
        <f>IF(Account!$F617&lt;&gt;"", DATEVALUE(MID($C617,4,3) &amp; LEFT($C617,3) &amp; RIGHT($C617,4)), "")</f>
        <v/>
      </c>
      <c r="Q617" s="37" t="str">
        <f t="array" ref="Q617">IF($R617&lt;&gt;"",IFERROR(INDEX(ISIN!$B:$B,MATCH($R617,ISIN!$C:$C,0))),)</f>
        <v/>
      </c>
      <c r="R617" s="38" t="str">
        <f t="array" ref="R617">IF($E617&lt;&gt;""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7" t="str">
        <f t="shared" si="1"/>
        <v/>
      </c>
      <c r="T617" s="39" t="str">
        <f t="shared" si="2"/>
        <v/>
      </c>
      <c r="U617" s="40" t="str">
        <f t="shared" si="3"/>
        <v/>
      </c>
      <c r="V617" s="34" t="str">
        <f t="shared" si="4"/>
        <v/>
      </c>
      <c r="W617" s="41" t="str">
        <f>IFERROR(__xludf.DUMMYFUNCTION(" IF(Account!$F617&lt;&gt;"""", SPLIT(Account!$F617, "" ""), """")"),"")</f>
        <v/>
      </c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</row>
    <row r="618">
      <c r="A618" s="20"/>
      <c r="B618" s="20"/>
      <c r="C618" s="20"/>
      <c r="D618" s="45"/>
      <c r="E618" s="45"/>
      <c r="F618" s="21"/>
      <c r="G618" s="20"/>
      <c r="H618" s="20"/>
      <c r="I618" s="20"/>
      <c r="J618" s="20"/>
      <c r="K618" s="20"/>
      <c r="L618" s="46"/>
      <c r="M618" s="33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4" t="str">
        <f>IFERROR(__xludf.DUMMYFUNCTION("IF(Account!$F618&lt;&gt;"""", VALUE(REGEXREPLACE($I618, ""\,"", ""."")), """")"),"")</f>
        <v/>
      </c>
      <c r="O618" s="35" t="str">
        <f>IF(Account!$F618&lt;&gt;"", DATEVALUE(MID($A618,4,3) &amp; LEFT($A618,3) &amp; RIGHT($A618,4)) + TIMEVALUE($B618), "")</f>
        <v/>
      </c>
      <c r="P618" s="36" t="str">
        <f>IF(Account!$F618&lt;&gt;"", DATEVALUE(MID($C618,4,3) &amp; LEFT($C618,3) &amp; RIGHT($C618,4)), "")</f>
        <v/>
      </c>
      <c r="Q618" s="37" t="str">
        <f t="array" ref="Q618">IF($R618&lt;&gt;"",IFERROR(INDEX(ISIN!$B:$B,MATCH($R618,ISIN!$C:$C,0))),)</f>
        <v/>
      </c>
      <c r="R618" s="38" t="str">
        <f t="array" ref="R618">IF($E618&lt;&gt;""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7" t="str">
        <f t="shared" si="1"/>
        <v/>
      </c>
      <c r="T618" s="39" t="str">
        <f t="shared" si="2"/>
        <v/>
      </c>
      <c r="U618" s="40" t="str">
        <f t="shared" si="3"/>
        <v/>
      </c>
      <c r="V618" s="34" t="str">
        <f t="shared" si="4"/>
        <v/>
      </c>
      <c r="W618" s="41" t="str">
        <f>IFERROR(__xludf.DUMMYFUNCTION(" IF(Account!$F618&lt;&gt;"""", SPLIT(Account!$F618, "" ""), """")"),"")</f>
        <v/>
      </c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</row>
    <row r="619">
      <c r="A619" s="20"/>
      <c r="B619" s="20"/>
      <c r="C619" s="20"/>
      <c r="D619" s="20"/>
      <c r="E619" s="20"/>
      <c r="F619" s="21"/>
      <c r="G619" s="45"/>
      <c r="H619" s="20"/>
      <c r="I619" s="20"/>
      <c r="J619" s="20"/>
      <c r="K619" s="20"/>
      <c r="L619" s="46"/>
      <c r="M619" s="33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4" t="str">
        <f>IFERROR(__xludf.DUMMYFUNCTION("IF(Account!$F619&lt;&gt;"""", VALUE(REGEXREPLACE($I619, ""\,"", ""."")), """")"),"")</f>
        <v/>
      </c>
      <c r="O619" s="35" t="str">
        <f>IF(Account!$F619&lt;&gt;"", DATEVALUE(MID($A619,4,3) &amp; LEFT($A619,3) &amp; RIGHT($A619,4)) + TIMEVALUE($B619), "")</f>
        <v/>
      </c>
      <c r="P619" s="36" t="str">
        <f>IF(Account!$F619&lt;&gt;"", DATEVALUE(MID($C619,4,3) &amp; LEFT($C619,3) &amp; RIGHT($C619,4)), "")</f>
        <v/>
      </c>
      <c r="Q619" s="37" t="str">
        <f t="array" ref="Q619">IF($R619&lt;&gt;"",IFERROR(INDEX(ISIN!$B:$B,MATCH($R619,ISIN!$C:$C,0))),)</f>
        <v/>
      </c>
      <c r="R619" s="38" t="str">
        <f t="array" ref="R619">IF($E619&lt;&gt;""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7" t="str">
        <f t="shared" si="1"/>
        <v/>
      </c>
      <c r="T619" s="39" t="str">
        <f t="shared" si="2"/>
        <v/>
      </c>
      <c r="U619" s="40" t="str">
        <f t="shared" si="3"/>
        <v/>
      </c>
      <c r="V619" s="34" t="str">
        <f t="shared" si="4"/>
        <v/>
      </c>
      <c r="W619" s="41" t="str">
        <f>IFERROR(__xludf.DUMMYFUNCTION(" IF(Account!$F619&lt;&gt;"""", SPLIT(Account!$F619, "" ""), """")"),"")</f>
        <v/>
      </c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</row>
    <row r="620">
      <c r="A620" s="20"/>
      <c r="B620" s="20"/>
      <c r="C620" s="20"/>
      <c r="D620" s="45"/>
      <c r="E620" s="45"/>
      <c r="F620" s="21"/>
      <c r="G620" s="45"/>
      <c r="H620" s="20"/>
      <c r="I620" s="20"/>
      <c r="J620" s="20"/>
      <c r="K620" s="20"/>
      <c r="L620" s="46"/>
      <c r="M620" s="33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4" t="str">
        <f>IFERROR(__xludf.DUMMYFUNCTION("IF(Account!$F620&lt;&gt;"""", VALUE(REGEXREPLACE($I620, ""\,"", ""."")), """")"),"")</f>
        <v/>
      </c>
      <c r="O620" s="35" t="str">
        <f>IF(Account!$F620&lt;&gt;"", DATEVALUE(MID($A620,4,3) &amp; LEFT($A620,3) &amp; RIGHT($A620,4)) + TIMEVALUE($B620), "")</f>
        <v/>
      </c>
      <c r="P620" s="36" t="str">
        <f>IF(Account!$F620&lt;&gt;"", DATEVALUE(MID($C620,4,3) &amp; LEFT($C620,3) &amp; RIGHT($C620,4)), "")</f>
        <v/>
      </c>
      <c r="Q620" s="37" t="str">
        <f t="array" ref="Q620">IF($R620&lt;&gt;"",IFERROR(INDEX(ISIN!$B:$B,MATCH($R620,ISIN!$C:$C,0))),)</f>
        <v/>
      </c>
      <c r="R620" s="38" t="str">
        <f t="array" ref="R620">IF($E620&lt;&gt;""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7" t="str">
        <f t="shared" si="1"/>
        <v/>
      </c>
      <c r="T620" s="39" t="str">
        <f t="shared" si="2"/>
        <v/>
      </c>
      <c r="U620" s="40" t="str">
        <f t="shared" si="3"/>
        <v/>
      </c>
      <c r="V620" s="34" t="str">
        <f t="shared" si="4"/>
        <v/>
      </c>
      <c r="W620" s="41" t="str">
        <f>IFERROR(__xludf.DUMMYFUNCTION(" IF(Account!$F620&lt;&gt;"""", SPLIT(Account!$F620, "" ""), """")"),"")</f>
        <v/>
      </c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</row>
    <row r="621">
      <c r="A621" s="20"/>
      <c r="B621" s="20"/>
      <c r="C621" s="20"/>
      <c r="D621" s="45"/>
      <c r="E621" s="45"/>
      <c r="F621" s="21"/>
      <c r="G621" s="20"/>
      <c r="H621" s="20"/>
      <c r="I621" s="20"/>
      <c r="J621" s="20"/>
      <c r="K621" s="20"/>
      <c r="L621" s="46"/>
      <c r="M621" s="33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4" t="str">
        <f>IFERROR(__xludf.DUMMYFUNCTION("IF(Account!$F621&lt;&gt;"""", VALUE(REGEXREPLACE($I621, ""\,"", ""."")), """")"),"")</f>
        <v/>
      </c>
      <c r="O621" s="35" t="str">
        <f>IF(Account!$F621&lt;&gt;"", DATEVALUE(MID($A621,4,3) &amp; LEFT($A621,3) &amp; RIGHT($A621,4)) + TIMEVALUE($B621), "")</f>
        <v/>
      </c>
      <c r="P621" s="36" t="str">
        <f>IF(Account!$F621&lt;&gt;"", DATEVALUE(MID($C621,4,3) &amp; LEFT($C621,3) &amp; RIGHT($C621,4)), "")</f>
        <v/>
      </c>
      <c r="Q621" s="37" t="str">
        <f t="array" ref="Q621">IF($R621&lt;&gt;"",IFERROR(INDEX(ISIN!$B:$B,MATCH($R621,ISIN!$C:$C,0))),)</f>
        <v/>
      </c>
      <c r="R621" s="38" t="str">
        <f t="array" ref="R621">IF($E621&lt;&gt;""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7" t="str">
        <f t="shared" si="1"/>
        <v/>
      </c>
      <c r="T621" s="39" t="str">
        <f t="shared" si="2"/>
        <v/>
      </c>
      <c r="U621" s="40" t="str">
        <f t="shared" si="3"/>
        <v/>
      </c>
      <c r="V621" s="34" t="str">
        <f t="shared" si="4"/>
        <v/>
      </c>
      <c r="W621" s="41" t="str">
        <f>IFERROR(__xludf.DUMMYFUNCTION(" IF(Account!$F621&lt;&gt;"""", SPLIT(Account!$F621, "" ""), """")"),"")</f>
        <v/>
      </c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</row>
    <row r="622">
      <c r="A622" s="20"/>
      <c r="B622" s="20"/>
      <c r="C622" s="20"/>
      <c r="D622" s="20"/>
      <c r="E622" s="20"/>
      <c r="F622" s="21"/>
      <c r="G622" s="45"/>
      <c r="H622" s="20"/>
      <c r="I622" s="20"/>
      <c r="J622" s="20"/>
      <c r="K622" s="20"/>
      <c r="L622" s="46"/>
      <c r="M622" s="33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4" t="str">
        <f>IFERROR(__xludf.DUMMYFUNCTION("IF(Account!$F622&lt;&gt;"""", VALUE(REGEXREPLACE($I622, ""\,"", ""."")), """")"),"")</f>
        <v/>
      </c>
      <c r="O622" s="35" t="str">
        <f>IF(Account!$F622&lt;&gt;"", DATEVALUE(MID($A622,4,3) &amp; LEFT($A622,3) &amp; RIGHT($A622,4)) + TIMEVALUE($B622), "")</f>
        <v/>
      </c>
      <c r="P622" s="36" t="str">
        <f>IF(Account!$F622&lt;&gt;"", DATEVALUE(MID($C622,4,3) &amp; LEFT($C622,3) &amp; RIGHT($C622,4)), "")</f>
        <v/>
      </c>
      <c r="Q622" s="37" t="str">
        <f t="array" ref="Q622">IF($R622&lt;&gt;"",IFERROR(INDEX(ISIN!$B:$B,MATCH($R622,ISIN!$C:$C,0))),)</f>
        <v/>
      </c>
      <c r="R622" s="38" t="str">
        <f t="array" ref="R622">IF($E622&lt;&gt;""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7" t="str">
        <f t="shared" si="1"/>
        <v/>
      </c>
      <c r="T622" s="39" t="str">
        <f t="shared" si="2"/>
        <v/>
      </c>
      <c r="U622" s="40" t="str">
        <f t="shared" si="3"/>
        <v/>
      </c>
      <c r="V622" s="34" t="str">
        <f t="shared" si="4"/>
        <v/>
      </c>
      <c r="W622" s="41" t="str">
        <f>IFERROR(__xludf.DUMMYFUNCTION(" IF(Account!$F622&lt;&gt;"""", SPLIT(Account!$F622, "" ""), """")"),"")</f>
        <v/>
      </c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</row>
    <row r="623">
      <c r="A623" s="20"/>
      <c r="B623" s="20"/>
      <c r="C623" s="20"/>
      <c r="D623" s="20"/>
      <c r="E623" s="20"/>
      <c r="F623" s="21"/>
      <c r="G623" s="45"/>
      <c r="H623" s="20"/>
      <c r="I623" s="20"/>
      <c r="J623" s="20"/>
      <c r="K623" s="20"/>
      <c r="L623" s="46"/>
      <c r="M623" s="33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4" t="str">
        <f>IFERROR(__xludf.DUMMYFUNCTION("IF(Account!$F623&lt;&gt;"""", VALUE(REGEXREPLACE($I623, ""\,"", ""."")), """")"),"")</f>
        <v/>
      </c>
      <c r="O623" s="35" t="str">
        <f>IF(Account!$F623&lt;&gt;"", DATEVALUE(MID($A623,4,3) &amp; LEFT($A623,3) &amp; RIGHT($A623,4)) + TIMEVALUE($B623), "")</f>
        <v/>
      </c>
      <c r="P623" s="36" t="str">
        <f>IF(Account!$F623&lt;&gt;"", DATEVALUE(MID($C623,4,3) &amp; LEFT($C623,3) &amp; RIGHT($C623,4)), "")</f>
        <v/>
      </c>
      <c r="Q623" s="37" t="str">
        <f t="array" ref="Q623">IF($R623&lt;&gt;"",IFERROR(INDEX(ISIN!$B:$B,MATCH($R623,ISIN!$C:$C,0))),)</f>
        <v/>
      </c>
      <c r="R623" s="38" t="str">
        <f t="array" ref="R623">IF($E623&lt;&gt;""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7" t="str">
        <f t="shared" si="1"/>
        <v/>
      </c>
      <c r="T623" s="39" t="str">
        <f t="shared" si="2"/>
        <v/>
      </c>
      <c r="U623" s="40" t="str">
        <f t="shared" si="3"/>
        <v/>
      </c>
      <c r="V623" s="34" t="str">
        <f t="shared" si="4"/>
        <v/>
      </c>
      <c r="W623" s="41" t="str">
        <f>IFERROR(__xludf.DUMMYFUNCTION(" IF(Account!$F623&lt;&gt;"""", SPLIT(Account!$F623, "" ""), """")"),"")</f>
        <v/>
      </c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</row>
    <row r="624">
      <c r="A624" s="20"/>
      <c r="B624" s="20"/>
      <c r="C624" s="20"/>
      <c r="D624" s="20"/>
      <c r="E624" s="20"/>
      <c r="F624" s="21"/>
      <c r="G624" s="45"/>
      <c r="H624" s="20"/>
      <c r="I624" s="20"/>
      <c r="J624" s="20"/>
      <c r="K624" s="20"/>
      <c r="L624" s="21"/>
      <c r="M624" s="33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4" t="str">
        <f>IFERROR(__xludf.DUMMYFUNCTION("IF(Account!$F624&lt;&gt;"""", VALUE(REGEXREPLACE($I624, ""\,"", ""."")), """")"),"")</f>
        <v/>
      </c>
      <c r="O624" s="35" t="str">
        <f>IF(Account!$F624&lt;&gt;"", DATEVALUE(MID($A624,4,3) &amp; LEFT($A624,3) &amp; RIGHT($A624,4)) + TIMEVALUE($B624), "")</f>
        <v/>
      </c>
      <c r="P624" s="36" t="str">
        <f>IF(Account!$F624&lt;&gt;"", DATEVALUE(MID($C624,4,3) &amp; LEFT($C624,3) &amp; RIGHT($C624,4)), "")</f>
        <v/>
      </c>
      <c r="Q624" s="37" t="str">
        <f t="array" ref="Q624">IF($R624&lt;&gt;"",IFERROR(INDEX(ISIN!$B:$B,MATCH($R624,ISIN!$C:$C,0))),)</f>
        <v/>
      </c>
      <c r="R624" s="38" t="str">
        <f t="array" ref="R624">IF($E624&lt;&gt;""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7" t="str">
        <f t="shared" si="1"/>
        <v/>
      </c>
      <c r="T624" s="39" t="str">
        <f t="shared" si="2"/>
        <v/>
      </c>
      <c r="U624" s="40" t="str">
        <f t="shared" si="3"/>
        <v/>
      </c>
      <c r="V624" s="34" t="str">
        <f t="shared" si="4"/>
        <v/>
      </c>
      <c r="W624" s="41" t="str">
        <f>IFERROR(__xludf.DUMMYFUNCTION(" IF(Account!$F624&lt;&gt;"""", SPLIT(Account!$F624, "" ""), """")"),"")</f>
        <v/>
      </c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</row>
    <row r="625">
      <c r="A625" s="20"/>
      <c r="B625" s="20"/>
      <c r="C625" s="20"/>
      <c r="D625" s="20"/>
      <c r="E625" s="20"/>
      <c r="F625" s="21"/>
      <c r="G625" s="45"/>
      <c r="H625" s="20"/>
      <c r="I625" s="20"/>
      <c r="J625" s="20"/>
      <c r="K625" s="20"/>
      <c r="L625" s="21"/>
      <c r="M625" s="33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4" t="str">
        <f>IFERROR(__xludf.DUMMYFUNCTION("IF(Account!$F625&lt;&gt;"""", VALUE(REGEXREPLACE($I625, ""\,"", ""."")), """")"),"")</f>
        <v/>
      </c>
      <c r="O625" s="35" t="str">
        <f>IF(Account!$F625&lt;&gt;"", DATEVALUE(MID($A625,4,3) &amp; LEFT($A625,3) &amp; RIGHT($A625,4)) + TIMEVALUE($B625), "")</f>
        <v/>
      </c>
      <c r="P625" s="36" t="str">
        <f>IF(Account!$F625&lt;&gt;"", DATEVALUE(MID($C625,4,3) &amp; LEFT($C625,3) &amp; RIGHT($C625,4)), "")</f>
        <v/>
      </c>
      <c r="Q625" s="37" t="str">
        <f t="array" ref="Q625">IF($R625&lt;&gt;"",IFERROR(INDEX(ISIN!$B:$B,MATCH($R625,ISIN!$C:$C,0))),)</f>
        <v/>
      </c>
      <c r="R625" s="38" t="str">
        <f t="array" ref="R625">IF($E625&lt;&gt;""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7" t="str">
        <f t="shared" si="1"/>
        <v/>
      </c>
      <c r="T625" s="39" t="str">
        <f t="shared" si="2"/>
        <v/>
      </c>
      <c r="U625" s="40" t="str">
        <f t="shared" si="3"/>
        <v/>
      </c>
      <c r="V625" s="34" t="str">
        <f t="shared" si="4"/>
        <v/>
      </c>
      <c r="W625" s="41" t="str">
        <f>IFERROR(__xludf.DUMMYFUNCTION(" IF(Account!$F625&lt;&gt;"""", SPLIT(Account!$F625, "" ""), """")"),"")</f>
        <v/>
      </c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</row>
    <row r="626">
      <c r="A626" s="20"/>
      <c r="B626" s="20"/>
      <c r="C626" s="20"/>
      <c r="D626" s="20"/>
      <c r="E626" s="20"/>
      <c r="F626" s="21"/>
      <c r="G626" s="45"/>
      <c r="H626" s="20"/>
      <c r="I626" s="20"/>
      <c r="J626" s="20"/>
      <c r="K626" s="20"/>
      <c r="L626" s="21"/>
      <c r="M626" s="33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4" t="str">
        <f>IFERROR(__xludf.DUMMYFUNCTION("IF(Account!$F626&lt;&gt;"""", VALUE(REGEXREPLACE($I626, ""\,"", ""."")), """")"),"")</f>
        <v/>
      </c>
      <c r="O626" s="35" t="str">
        <f>IF(Account!$F626&lt;&gt;"", DATEVALUE(MID($A626,4,3) &amp; LEFT($A626,3) &amp; RIGHT($A626,4)) + TIMEVALUE($B626), "")</f>
        <v/>
      </c>
      <c r="P626" s="36" t="str">
        <f>IF(Account!$F626&lt;&gt;"", DATEVALUE(MID($C626,4,3) &amp; LEFT($C626,3) &amp; RIGHT($C626,4)), "")</f>
        <v/>
      </c>
      <c r="Q626" s="37" t="str">
        <f t="array" ref="Q626">IF($R626&lt;&gt;"",IFERROR(INDEX(ISIN!$B:$B,MATCH($R626,ISIN!$C:$C,0))),)</f>
        <v/>
      </c>
      <c r="R626" s="38" t="str">
        <f t="array" ref="R626">IF($E626&lt;&gt;""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7" t="str">
        <f t="shared" si="1"/>
        <v/>
      </c>
      <c r="T626" s="39" t="str">
        <f t="shared" si="2"/>
        <v/>
      </c>
      <c r="U626" s="40" t="str">
        <f t="shared" si="3"/>
        <v/>
      </c>
      <c r="V626" s="34" t="str">
        <f t="shared" si="4"/>
        <v/>
      </c>
      <c r="W626" s="41" t="str">
        <f>IFERROR(__xludf.DUMMYFUNCTION(" IF(Account!$F626&lt;&gt;"""", SPLIT(Account!$F626, "" ""), """")"),"")</f>
        <v/>
      </c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</row>
    <row r="627">
      <c r="A627" s="20"/>
      <c r="B627" s="20"/>
      <c r="C627" s="20"/>
      <c r="D627" s="20"/>
      <c r="E627" s="20"/>
      <c r="F627" s="21"/>
      <c r="G627" s="20"/>
      <c r="H627" s="20"/>
      <c r="I627" s="20"/>
      <c r="J627" s="20"/>
      <c r="K627" s="20"/>
      <c r="L627" s="21"/>
      <c r="M627" s="33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4" t="str">
        <f>IFERROR(__xludf.DUMMYFUNCTION("IF(Account!$F627&lt;&gt;"""", VALUE(REGEXREPLACE($I627, ""\,"", ""."")), """")"),"")</f>
        <v/>
      </c>
      <c r="O627" s="35" t="str">
        <f>IF(Account!$F627&lt;&gt;"", DATEVALUE(MID($A627,4,3) &amp; LEFT($A627,3) &amp; RIGHT($A627,4)) + TIMEVALUE($B627), "")</f>
        <v/>
      </c>
      <c r="P627" s="36" t="str">
        <f>IF(Account!$F627&lt;&gt;"", DATEVALUE(MID($C627,4,3) &amp; LEFT($C627,3) &amp; RIGHT($C627,4)), "")</f>
        <v/>
      </c>
      <c r="Q627" s="37" t="str">
        <f t="array" ref="Q627">IF($R627&lt;&gt;"",IFERROR(INDEX(ISIN!$B:$B,MATCH($R627,ISIN!$C:$C,0))),)</f>
        <v/>
      </c>
      <c r="R627" s="38" t="str">
        <f t="array" ref="R627">IF($E627&lt;&gt;""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7" t="str">
        <f t="shared" si="1"/>
        <v/>
      </c>
      <c r="T627" s="39" t="str">
        <f t="shared" si="2"/>
        <v/>
      </c>
      <c r="U627" s="40" t="str">
        <f t="shared" si="3"/>
        <v/>
      </c>
      <c r="V627" s="34" t="str">
        <f t="shared" si="4"/>
        <v/>
      </c>
      <c r="W627" s="41" t="str">
        <f>IFERROR(__xludf.DUMMYFUNCTION(" IF(Account!$F627&lt;&gt;"""", SPLIT(Account!$F627, "" ""), """")"),"")</f>
        <v/>
      </c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</row>
    <row r="628">
      <c r="A628" s="20"/>
      <c r="B628" s="20"/>
      <c r="C628" s="20"/>
      <c r="D628" s="20"/>
      <c r="E628" s="20"/>
      <c r="F628" s="21"/>
      <c r="G628" s="45"/>
      <c r="H628" s="20"/>
      <c r="I628" s="20"/>
      <c r="J628" s="20"/>
      <c r="K628" s="20"/>
      <c r="L628" s="21"/>
      <c r="M628" s="33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4" t="str">
        <f>IFERROR(__xludf.DUMMYFUNCTION("IF(Account!$F628&lt;&gt;"""", VALUE(REGEXREPLACE($I628, ""\,"", ""."")), """")"),"")</f>
        <v/>
      </c>
      <c r="O628" s="35" t="str">
        <f>IF(Account!$F628&lt;&gt;"", DATEVALUE(MID($A628,4,3) &amp; LEFT($A628,3) &amp; RIGHT($A628,4)) + TIMEVALUE($B628), "")</f>
        <v/>
      </c>
      <c r="P628" s="36" t="str">
        <f>IF(Account!$F628&lt;&gt;"", DATEVALUE(MID($C628,4,3) &amp; LEFT($C628,3) &amp; RIGHT($C628,4)), "")</f>
        <v/>
      </c>
      <c r="Q628" s="37" t="str">
        <f t="array" ref="Q628">IF($R628&lt;&gt;"",IFERROR(INDEX(ISIN!$B:$B,MATCH($R628,ISIN!$C:$C,0))),)</f>
        <v/>
      </c>
      <c r="R628" s="38" t="str">
        <f t="array" ref="R628">IF($E628&lt;&gt;""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7" t="str">
        <f t="shared" si="1"/>
        <v/>
      </c>
      <c r="T628" s="39" t="str">
        <f t="shared" si="2"/>
        <v/>
      </c>
      <c r="U628" s="40" t="str">
        <f t="shared" si="3"/>
        <v/>
      </c>
      <c r="V628" s="34" t="str">
        <f t="shared" si="4"/>
        <v/>
      </c>
      <c r="W628" s="41" t="str">
        <f>IFERROR(__xludf.DUMMYFUNCTION(" IF(Account!$F628&lt;&gt;"""", SPLIT(Account!$F628, "" ""), """")"),"")</f>
        <v/>
      </c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</row>
    <row r="629">
      <c r="A629" s="20"/>
      <c r="B629" s="20"/>
      <c r="C629" s="20"/>
      <c r="D629" s="20"/>
      <c r="E629" s="20"/>
      <c r="F629" s="21"/>
      <c r="G629" s="45"/>
      <c r="H629" s="20"/>
      <c r="I629" s="20"/>
      <c r="J629" s="20"/>
      <c r="K629" s="20"/>
      <c r="L629" s="21"/>
      <c r="M629" s="33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4" t="str">
        <f>IFERROR(__xludf.DUMMYFUNCTION("IF(Account!$F629&lt;&gt;"""", VALUE(REGEXREPLACE($I629, ""\,"", ""."")), """")"),"")</f>
        <v/>
      </c>
      <c r="O629" s="35" t="str">
        <f>IF(Account!$F629&lt;&gt;"", DATEVALUE(MID($A629,4,3) &amp; LEFT($A629,3) &amp; RIGHT($A629,4)) + TIMEVALUE($B629), "")</f>
        <v/>
      </c>
      <c r="P629" s="36" t="str">
        <f>IF(Account!$F629&lt;&gt;"", DATEVALUE(MID($C629,4,3) &amp; LEFT($C629,3) &amp; RIGHT($C629,4)), "")</f>
        <v/>
      </c>
      <c r="Q629" s="37" t="str">
        <f t="array" ref="Q629">IF($R629&lt;&gt;"",IFERROR(INDEX(ISIN!$B:$B,MATCH($R629,ISIN!$C:$C,0))),)</f>
        <v/>
      </c>
      <c r="R629" s="38" t="str">
        <f t="array" ref="R629">IF($E629&lt;&gt;""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7" t="str">
        <f t="shared" si="1"/>
        <v/>
      </c>
      <c r="T629" s="39" t="str">
        <f t="shared" si="2"/>
        <v/>
      </c>
      <c r="U629" s="40" t="str">
        <f t="shared" si="3"/>
        <v/>
      </c>
      <c r="V629" s="34" t="str">
        <f t="shared" si="4"/>
        <v/>
      </c>
      <c r="W629" s="41" t="str">
        <f>IFERROR(__xludf.DUMMYFUNCTION(" IF(Account!$F629&lt;&gt;"""", SPLIT(Account!$F629, "" ""), """")"),"")</f>
        <v/>
      </c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</row>
    <row r="630">
      <c r="A630" s="20"/>
      <c r="B630" s="20"/>
      <c r="C630" s="20"/>
      <c r="D630" s="20"/>
      <c r="E630" s="20"/>
      <c r="F630" s="21"/>
      <c r="G630" s="20"/>
      <c r="H630" s="20"/>
      <c r="I630" s="20"/>
      <c r="J630" s="20"/>
      <c r="K630" s="20"/>
      <c r="L630" s="21"/>
      <c r="M630" s="33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4" t="str">
        <f>IFERROR(__xludf.DUMMYFUNCTION("IF(Account!$F630&lt;&gt;"""", VALUE(REGEXREPLACE($I630, ""\,"", ""."")), """")"),"")</f>
        <v/>
      </c>
      <c r="O630" s="35" t="str">
        <f>IF(Account!$F630&lt;&gt;"", DATEVALUE(MID($A630,4,3) &amp; LEFT($A630,3) &amp; RIGHT($A630,4)) + TIMEVALUE($B630), "")</f>
        <v/>
      </c>
      <c r="P630" s="36" t="str">
        <f>IF(Account!$F630&lt;&gt;"", DATEVALUE(MID($C630,4,3) &amp; LEFT($C630,3) &amp; RIGHT($C630,4)), "")</f>
        <v/>
      </c>
      <c r="Q630" s="37" t="str">
        <f t="array" ref="Q630">IF($R630&lt;&gt;"",IFERROR(INDEX(ISIN!$B:$B,MATCH($R630,ISIN!$C:$C,0))),)</f>
        <v/>
      </c>
      <c r="R630" s="38" t="str">
        <f t="array" ref="R630">IF($E630&lt;&gt;""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7" t="str">
        <f t="shared" si="1"/>
        <v/>
      </c>
      <c r="T630" s="39" t="str">
        <f t="shared" si="2"/>
        <v/>
      </c>
      <c r="U630" s="40" t="str">
        <f t="shared" si="3"/>
        <v/>
      </c>
      <c r="V630" s="34" t="str">
        <f t="shared" si="4"/>
        <v/>
      </c>
      <c r="W630" s="41" t="str">
        <f>IFERROR(__xludf.DUMMYFUNCTION(" IF(Account!$F630&lt;&gt;"""", SPLIT(Account!$F630, "" ""), """")"),"")</f>
        <v/>
      </c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</row>
    <row r="631">
      <c r="A631" s="20"/>
      <c r="B631" s="20"/>
      <c r="C631" s="20"/>
      <c r="D631" s="20"/>
      <c r="E631" s="20"/>
      <c r="F631" s="21"/>
      <c r="G631" s="45"/>
      <c r="H631" s="20"/>
      <c r="I631" s="20"/>
      <c r="J631" s="20"/>
      <c r="K631" s="20"/>
      <c r="L631" s="21"/>
      <c r="M631" s="33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4" t="str">
        <f>IFERROR(__xludf.DUMMYFUNCTION("IF(Account!$F631&lt;&gt;"""", VALUE(REGEXREPLACE($I631, ""\,"", ""."")), """")"),"")</f>
        <v/>
      </c>
      <c r="O631" s="35" t="str">
        <f>IF(Account!$F631&lt;&gt;"", DATEVALUE(MID($A631,4,3) &amp; LEFT($A631,3) &amp; RIGHT($A631,4)) + TIMEVALUE($B631), "")</f>
        <v/>
      </c>
      <c r="P631" s="36" t="str">
        <f>IF(Account!$F631&lt;&gt;"", DATEVALUE(MID($C631,4,3) &amp; LEFT($C631,3) &amp; RIGHT($C631,4)), "")</f>
        <v/>
      </c>
      <c r="Q631" s="37" t="str">
        <f t="array" ref="Q631">IF($R631&lt;&gt;"",IFERROR(INDEX(ISIN!$B:$B,MATCH($R631,ISIN!$C:$C,0))),)</f>
        <v/>
      </c>
      <c r="R631" s="38" t="str">
        <f t="array" ref="R631">IF($E631&lt;&gt;""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7" t="str">
        <f t="shared" si="1"/>
        <v/>
      </c>
      <c r="T631" s="39" t="str">
        <f t="shared" si="2"/>
        <v/>
      </c>
      <c r="U631" s="40" t="str">
        <f t="shared" si="3"/>
        <v/>
      </c>
      <c r="V631" s="34" t="str">
        <f t="shared" si="4"/>
        <v/>
      </c>
      <c r="W631" s="41" t="str">
        <f>IFERROR(__xludf.DUMMYFUNCTION(" IF(Account!$F631&lt;&gt;"""", SPLIT(Account!$F631, "" ""), """")"),"")</f>
        <v/>
      </c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</row>
    <row r="632">
      <c r="A632" s="20"/>
      <c r="B632" s="20"/>
      <c r="C632" s="20"/>
      <c r="D632" s="20"/>
      <c r="E632" s="20"/>
      <c r="F632" s="21"/>
      <c r="G632" s="45"/>
      <c r="H632" s="20"/>
      <c r="I632" s="20"/>
      <c r="J632" s="20"/>
      <c r="K632" s="20"/>
      <c r="L632" s="21"/>
      <c r="M632" s="33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4" t="str">
        <f>IFERROR(__xludf.DUMMYFUNCTION("IF(Account!$F632&lt;&gt;"""", VALUE(REGEXREPLACE($I632, ""\,"", ""."")), """")"),"")</f>
        <v/>
      </c>
      <c r="O632" s="35" t="str">
        <f>IF(Account!$F632&lt;&gt;"", DATEVALUE(MID($A632,4,3) &amp; LEFT($A632,3) &amp; RIGHT($A632,4)) + TIMEVALUE($B632), "")</f>
        <v/>
      </c>
      <c r="P632" s="36" t="str">
        <f>IF(Account!$F632&lt;&gt;"", DATEVALUE(MID($C632,4,3) &amp; LEFT($C632,3) &amp; RIGHT($C632,4)), "")</f>
        <v/>
      </c>
      <c r="Q632" s="37" t="str">
        <f t="array" ref="Q632">IF($R632&lt;&gt;"",IFERROR(INDEX(ISIN!$B:$B,MATCH($R632,ISIN!$C:$C,0))),)</f>
        <v/>
      </c>
      <c r="R632" s="38" t="str">
        <f t="array" ref="R632">IF($E632&lt;&gt;""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7" t="str">
        <f t="shared" si="1"/>
        <v/>
      </c>
      <c r="T632" s="39" t="str">
        <f t="shared" si="2"/>
        <v/>
      </c>
      <c r="U632" s="40" t="str">
        <f t="shared" si="3"/>
        <v/>
      </c>
      <c r="V632" s="34" t="str">
        <f t="shared" si="4"/>
        <v/>
      </c>
      <c r="W632" s="41" t="str">
        <f>IFERROR(__xludf.DUMMYFUNCTION(" IF(Account!$F632&lt;&gt;"""", SPLIT(Account!$F632, "" ""), """")"),"")</f>
        <v/>
      </c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</row>
    <row r="633">
      <c r="A633" s="20"/>
      <c r="B633" s="20"/>
      <c r="C633" s="20"/>
      <c r="D633" s="20"/>
      <c r="E633" s="20"/>
      <c r="F633" s="21"/>
      <c r="G633" s="45"/>
      <c r="H633" s="20"/>
      <c r="I633" s="20"/>
      <c r="J633" s="20"/>
      <c r="K633" s="20"/>
      <c r="L633" s="21"/>
      <c r="M633" s="33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4" t="str">
        <f>IFERROR(__xludf.DUMMYFUNCTION("IF(Account!$F633&lt;&gt;"""", VALUE(REGEXREPLACE($I633, ""\,"", ""."")), """")"),"")</f>
        <v/>
      </c>
      <c r="O633" s="35" t="str">
        <f>IF(Account!$F633&lt;&gt;"", DATEVALUE(MID($A633,4,3) &amp; LEFT($A633,3) &amp; RIGHT($A633,4)) + TIMEVALUE($B633), "")</f>
        <v/>
      </c>
      <c r="P633" s="36" t="str">
        <f>IF(Account!$F633&lt;&gt;"", DATEVALUE(MID($C633,4,3) &amp; LEFT($C633,3) &amp; RIGHT($C633,4)), "")</f>
        <v/>
      </c>
      <c r="Q633" s="37" t="str">
        <f t="array" ref="Q633">IF($R633&lt;&gt;"",IFERROR(INDEX(ISIN!$B:$B,MATCH($R633,ISIN!$C:$C,0))),)</f>
        <v/>
      </c>
      <c r="R633" s="38" t="str">
        <f t="array" ref="R633">IF($E633&lt;&gt;""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7" t="str">
        <f t="shared" si="1"/>
        <v/>
      </c>
      <c r="T633" s="39" t="str">
        <f t="shared" si="2"/>
        <v/>
      </c>
      <c r="U633" s="40" t="str">
        <f t="shared" si="3"/>
        <v/>
      </c>
      <c r="V633" s="34" t="str">
        <f t="shared" si="4"/>
        <v/>
      </c>
      <c r="W633" s="41" t="str">
        <f>IFERROR(__xludf.DUMMYFUNCTION(" IF(Account!$F633&lt;&gt;"""", SPLIT(Account!$F633, "" ""), """")"),"")</f>
        <v/>
      </c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</row>
    <row r="634">
      <c r="A634" s="20"/>
      <c r="B634" s="20"/>
      <c r="C634" s="20"/>
      <c r="D634" s="20"/>
      <c r="E634" s="20"/>
      <c r="F634" s="21"/>
      <c r="G634" s="45"/>
      <c r="H634" s="20"/>
      <c r="I634" s="20"/>
      <c r="J634" s="20"/>
      <c r="K634" s="20"/>
      <c r="L634" s="21"/>
      <c r="M634" s="33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4" t="str">
        <f>IFERROR(__xludf.DUMMYFUNCTION("IF(Account!$F634&lt;&gt;"""", VALUE(REGEXREPLACE($I634, ""\,"", ""."")), """")"),"")</f>
        <v/>
      </c>
      <c r="O634" s="35" t="str">
        <f>IF(Account!$F634&lt;&gt;"", DATEVALUE(MID($A634,4,3) &amp; LEFT($A634,3) &amp; RIGHT($A634,4)) + TIMEVALUE($B634), "")</f>
        <v/>
      </c>
      <c r="P634" s="36" t="str">
        <f>IF(Account!$F634&lt;&gt;"", DATEVALUE(MID($C634,4,3) &amp; LEFT($C634,3) &amp; RIGHT($C634,4)), "")</f>
        <v/>
      </c>
      <c r="Q634" s="37" t="str">
        <f t="array" ref="Q634">IF($R634&lt;&gt;"",IFERROR(INDEX(ISIN!$B:$B,MATCH($R634,ISIN!$C:$C,0))),)</f>
        <v/>
      </c>
      <c r="R634" s="38" t="str">
        <f t="array" ref="R634">IF($E634&lt;&gt;""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7" t="str">
        <f t="shared" si="1"/>
        <v/>
      </c>
      <c r="T634" s="39" t="str">
        <f t="shared" si="2"/>
        <v/>
      </c>
      <c r="U634" s="40" t="str">
        <f t="shared" si="3"/>
        <v/>
      </c>
      <c r="V634" s="34" t="str">
        <f t="shared" si="4"/>
        <v/>
      </c>
      <c r="W634" s="41" t="str">
        <f>IFERROR(__xludf.DUMMYFUNCTION(" IF(Account!$F634&lt;&gt;"""", SPLIT(Account!$F634, "" ""), """")"),"")</f>
        <v/>
      </c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</row>
    <row r="635">
      <c r="A635" s="20"/>
      <c r="B635" s="20"/>
      <c r="C635" s="20"/>
      <c r="D635" s="20"/>
      <c r="E635" s="20"/>
      <c r="F635" s="21"/>
      <c r="G635" s="45"/>
      <c r="H635" s="20"/>
      <c r="I635" s="20"/>
      <c r="J635" s="20"/>
      <c r="K635" s="20"/>
      <c r="L635" s="21"/>
      <c r="M635" s="33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4" t="str">
        <f>IFERROR(__xludf.DUMMYFUNCTION("IF(Account!$F635&lt;&gt;"""", VALUE(REGEXREPLACE($I635, ""\,"", ""."")), """")"),"")</f>
        <v/>
      </c>
      <c r="O635" s="35" t="str">
        <f>IF(Account!$F635&lt;&gt;"", DATEVALUE(MID($A635,4,3) &amp; LEFT($A635,3) &amp; RIGHT($A635,4)) + TIMEVALUE($B635), "")</f>
        <v/>
      </c>
      <c r="P635" s="36" t="str">
        <f>IF(Account!$F635&lt;&gt;"", DATEVALUE(MID($C635,4,3) &amp; LEFT($C635,3) &amp; RIGHT($C635,4)), "")</f>
        <v/>
      </c>
      <c r="Q635" s="37" t="str">
        <f t="array" ref="Q635">IF($R635&lt;&gt;"",IFERROR(INDEX(ISIN!$B:$B,MATCH($R635,ISIN!$C:$C,0))),)</f>
        <v/>
      </c>
      <c r="R635" s="38" t="str">
        <f t="array" ref="R635">IF($E635&lt;&gt;""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7" t="str">
        <f t="shared" si="1"/>
        <v/>
      </c>
      <c r="T635" s="39" t="str">
        <f t="shared" si="2"/>
        <v/>
      </c>
      <c r="U635" s="40" t="str">
        <f t="shared" si="3"/>
        <v/>
      </c>
      <c r="V635" s="34" t="str">
        <f t="shared" si="4"/>
        <v/>
      </c>
      <c r="W635" s="41" t="str">
        <f>IFERROR(__xludf.DUMMYFUNCTION(" IF(Account!$F635&lt;&gt;"""", SPLIT(Account!$F635, "" ""), """")"),"")</f>
        <v/>
      </c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</row>
    <row r="636">
      <c r="A636" s="20"/>
      <c r="B636" s="20"/>
      <c r="C636" s="20"/>
      <c r="D636" s="20"/>
      <c r="E636" s="20"/>
      <c r="F636" s="21"/>
      <c r="G636" s="20"/>
      <c r="H636" s="20"/>
      <c r="I636" s="20"/>
      <c r="J636" s="20"/>
      <c r="K636" s="20"/>
      <c r="L636" s="21"/>
      <c r="M636" s="33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4" t="str">
        <f>IFERROR(__xludf.DUMMYFUNCTION("IF(Account!$F636&lt;&gt;"""", VALUE(REGEXREPLACE($I636, ""\,"", ""."")), """")"),"")</f>
        <v/>
      </c>
      <c r="O636" s="35" t="str">
        <f>IF(Account!$F636&lt;&gt;"", DATEVALUE(MID($A636,4,3) &amp; LEFT($A636,3) &amp; RIGHT($A636,4)) + TIMEVALUE($B636), "")</f>
        <v/>
      </c>
      <c r="P636" s="36" t="str">
        <f>IF(Account!$F636&lt;&gt;"", DATEVALUE(MID($C636,4,3) &amp; LEFT($C636,3) &amp; RIGHT($C636,4)), "")</f>
        <v/>
      </c>
      <c r="Q636" s="37" t="str">
        <f t="array" ref="Q636">IF($R636&lt;&gt;"",IFERROR(INDEX(ISIN!$B:$B,MATCH($R636,ISIN!$C:$C,0))),)</f>
        <v/>
      </c>
      <c r="R636" s="38" t="str">
        <f t="array" ref="R636">IF($E636&lt;&gt;""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7" t="str">
        <f t="shared" si="1"/>
        <v/>
      </c>
      <c r="T636" s="39" t="str">
        <f t="shared" si="2"/>
        <v/>
      </c>
      <c r="U636" s="40" t="str">
        <f t="shared" si="3"/>
        <v/>
      </c>
      <c r="V636" s="34" t="str">
        <f t="shared" si="4"/>
        <v/>
      </c>
      <c r="W636" s="41" t="str">
        <f>IFERROR(__xludf.DUMMYFUNCTION(" IF(Account!$F636&lt;&gt;"""", SPLIT(Account!$F636, "" ""), """")"),"")</f>
        <v/>
      </c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</row>
    <row r="637">
      <c r="A637" s="20"/>
      <c r="B637" s="20"/>
      <c r="C637" s="20"/>
      <c r="D637" s="20"/>
      <c r="E637" s="20"/>
      <c r="F637" s="21"/>
      <c r="G637" s="45"/>
      <c r="H637" s="20"/>
      <c r="I637" s="20"/>
      <c r="J637" s="20"/>
      <c r="K637" s="20"/>
      <c r="L637" s="21"/>
      <c r="M637" s="33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4" t="str">
        <f>IFERROR(__xludf.DUMMYFUNCTION("IF(Account!$F637&lt;&gt;"""", VALUE(REGEXREPLACE($I637, ""\,"", ""."")), """")"),"")</f>
        <v/>
      </c>
      <c r="O637" s="35" t="str">
        <f>IF(Account!$F637&lt;&gt;"", DATEVALUE(MID($A637,4,3) &amp; LEFT($A637,3) &amp; RIGHT($A637,4)) + TIMEVALUE($B637), "")</f>
        <v/>
      </c>
      <c r="P637" s="36" t="str">
        <f>IF(Account!$F637&lt;&gt;"", DATEVALUE(MID($C637,4,3) &amp; LEFT($C637,3) &amp; RIGHT($C637,4)), "")</f>
        <v/>
      </c>
      <c r="Q637" s="37" t="str">
        <f t="array" ref="Q637">IF($R637&lt;&gt;"",IFERROR(INDEX(ISIN!$B:$B,MATCH($R637,ISIN!$C:$C,0))),)</f>
        <v/>
      </c>
      <c r="R637" s="38" t="str">
        <f t="array" ref="R637">IF($E637&lt;&gt;""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7" t="str">
        <f t="shared" si="1"/>
        <v/>
      </c>
      <c r="T637" s="39" t="str">
        <f t="shared" si="2"/>
        <v/>
      </c>
      <c r="U637" s="40" t="str">
        <f t="shared" si="3"/>
        <v/>
      </c>
      <c r="V637" s="34" t="str">
        <f t="shared" si="4"/>
        <v/>
      </c>
      <c r="W637" s="41" t="str">
        <f>IFERROR(__xludf.DUMMYFUNCTION(" IF(Account!$F637&lt;&gt;"""", SPLIT(Account!$F637, "" ""), """")"),"")</f>
        <v/>
      </c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</row>
    <row r="638">
      <c r="A638" s="20"/>
      <c r="B638" s="20"/>
      <c r="C638" s="20"/>
      <c r="D638" s="20"/>
      <c r="E638" s="20"/>
      <c r="F638" s="21"/>
      <c r="G638" s="20"/>
      <c r="H638" s="20"/>
      <c r="I638" s="20"/>
      <c r="J638" s="20"/>
      <c r="K638" s="20"/>
      <c r="L638" s="21"/>
      <c r="M638" s="33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4" t="str">
        <f>IFERROR(__xludf.DUMMYFUNCTION("IF(Account!$F638&lt;&gt;"""", VALUE(REGEXREPLACE($I638, ""\,"", ""."")), """")"),"")</f>
        <v/>
      </c>
      <c r="O638" s="35" t="str">
        <f>IF(Account!$F638&lt;&gt;"", DATEVALUE(MID($A638,4,3) &amp; LEFT($A638,3) &amp; RIGHT($A638,4)) + TIMEVALUE($B638), "")</f>
        <v/>
      </c>
      <c r="P638" s="36" t="str">
        <f>IF(Account!$F638&lt;&gt;"", DATEVALUE(MID($C638,4,3) &amp; LEFT($C638,3) &amp; RIGHT($C638,4)), "")</f>
        <v/>
      </c>
      <c r="Q638" s="37" t="str">
        <f t="array" ref="Q638">IF($R638&lt;&gt;"",IFERROR(INDEX(ISIN!$B:$B,MATCH($R638,ISIN!$C:$C,0))),)</f>
        <v/>
      </c>
      <c r="R638" s="38" t="str">
        <f t="array" ref="R638">IF($E638&lt;&gt;""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7" t="str">
        <f t="shared" si="1"/>
        <v/>
      </c>
      <c r="T638" s="39" t="str">
        <f t="shared" si="2"/>
        <v/>
      </c>
      <c r="U638" s="40" t="str">
        <f t="shared" si="3"/>
        <v/>
      </c>
      <c r="V638" s="34" t="str">
        <f t="shared" si="4"/>
        <v/>
      </c>
      <c r="W638" s="41" t="str">
        <f>IFERROR(__xludf.DUMMYFUNCTION(" IF(Account!$F638&lt;&gt;"""", SPLIT(Account!$F638, "" ""), """")"),"")</f>
        <v/>
      </c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</row>
    <row r="639">
      <c r="A639" s="20"/>
      <c r="B639" s="20"/>
      <c r="C639" s="20"/>
      <c r="D639" s="20"/>
      <c r="E639" s="20"/>
      <c r="F639" s="21"/>
      <c r="G639" s="45"/>
      <c r="H639" s="20"/>
      <c r="I639" s="20"/>
      <c r="J639" s="20"/>
      <c r="K639" s="20"/>
      <c r="L639" s="21"/>
      <c r="M639" s="33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4" t="str">
        <f>IFERROR(__xludf.DUMMYFUNCTION("IF(Account!$F639&lt;&gt;"""", VALUE(REGEXREPLACE($I639, ""\,"", ""."")), """")"),"")</f>
        <v/>
      </c>
      <c r="O639" s="35" t="str">
        <f>IF(Account!$F639&lt;&gt;"", DATEVALUE(MID($A639,4,3) &amp; LEFT($A639,3) &amp; RIGHT($A639,4)) + TIMEVALUE($B639), "")</f>
        <v/>
      </c>
      <c r="P639" s="36" t="str">
        <f>IF(Account!$F639&lt;&gt;"", DATEVALUE(MID($C639,4,3) &amp; LEFT($C639,3) &amp; RIGHT($C639,4)), "")</f>
        <v/>
      </c>
      <c r="Q639" s="37" t="str">
        <f t="array" ref="Q639">IF($R639&lt;&gt;"",IFERROR(INDEX(ISIN!$B:$B,MATCH($R639,ISIN!$C:$C,0))),)</f>
        <v/>
      </c>
      <c r="R639" s="38" t="str">
        <f t="array" ref="R639">IF($E639&lt;&gt;""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7" t="str">
        <f t="shared" si="1"/>
        <v/>
      </c>
      <c r="T639" s="39" t="str">
        <f t="shared" si="2"/>
        <v/>
      </c>
      <c r="U639" s="40" t="str">
        <f t="shared" si="3"/>
        <v/>
      </c>
      <c r="V639" s="34" t="str">
        <f t="shared" si="4"/>
        <v/>
      </c>
      <c r="W639" s="41" t="str">
        <f>IFERROR(__xludf.DUMMYFUNCTION(" IF(Account!$F639&lt;&gt;"""", SPLIT(Account!$F639, "" ""), """")"),"")</f>
        <v/>
      </c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</row>
    <row r="640">
      <c r="A640" s="20"/>
      <c r="B640" s="20"/>
      <c r="C640" s="20"/>
      <c r="D640" s="20"/>
      <c r="E640" s="20"/>
      <c r="F640" s="21"/>
      <c r="G640" s="20"/>
      <c r="H640" s="20"/>
      <c r="I640" s="20"/>
      <c r="J640" s="20"/>
      <c r="K640" s="20"/>
      <c r="L640" s="21"/>
      <c r="M640" s="33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4" t="str">
        <f>IFERROR(__xludf.DUMMYFUNCTION("IF(Account!$F640&lt;&gt;"""", VALUE(REGEXREPLACE($I640, ""\,"", ""."")), """")"),"")</f>
        <v/>
      </c>
      <c r="O640" s="35" t="str">
        <f>IF(Account!$F640&lt;&gt;"", DATEVALUE(MID($A640,4,3) &amp; LEFT($A640,3) &amp; RIGHT($A640,4)) + TIMEVALUE($B640), "")</f>
        <v/>
      </c>
      <c r="P640" s="36" t="str">
        <f>IF(Account!$F640&lt;&gt;"", DATEVALUE(MID($C640,4,3) &amp; LEFT($C640,3) &amp; RIGHT($C640,4)), "")</f>
        <v/>
      </c>
      <c r="Q640" s="37" t="str">
        <f t="array" ref="Q640">IF($R640&lt;&gt;"",IFERROR(INDEX(ISIN!$B:$B,MATCH($R640,ISIN!$C:$C,0))),)</f>
        <v/>
      </c>
      <c r="R640" s="38" t="str">
        <f t="array" ref="R640">IF($E640&lt;&gt;""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7" t="str">
        <f t="shared" si="1"/>
        <v/>
      </c>
      <c r="T640" s="39" t="str">
        <f t="shared" si="2"/>
        <v/>
      </c>
      <c r="U640" s="40" t="str">
        <f t="shared" si="3"/>
        <v/>
      </c>
      <c r="V640" s="34" t="str">
        <f t="shared" si="4"/>
        <v/>
      </c>
      <c r="W640" s="41" t="str">
        <f>IFERROR(__xludf.DUMMYFUNCTION(" IF(Account!$F640&lt;&gt;"""", SPLIT(Account!$F640, "" ""), """")"),"")</f>
        <v/>
      </c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</row>
    <row r="641">
      <c r="A641" s="20"/>
      <c r="B641" s="20"/>
      <c r="C641" s="20"/>
      <c r="D641" s="20"/>
      <c r="E641" s="20"/>
      <c r="F641" s="21"/>
      <c r="G641" s="45"/>
      <c r="H641" s="20"/>
      <c r="I641" s="20"/>
      <c r="J641" s="20"/>
      <c r="K641" s="20"/>
      <c r="L641" s="21"/>
      <c r="M641" s="33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4" t="str">
        <f>IFERROR(__xludf.DUMMYFUNCTION("IF(Account!$F641&lt;&gt;"""", VALUE(REGEXREPLACE($I641, ""\,"", ""."")), """")"),"")</f>
        <v/>
      </c>
      <c r="O641" s="35" t="str">
        <f>IF(Account!$F641&lt;&gt;"", DATEVALUE(MID($A641,4,3) &amp; LEFT($A641,3) &amp; RIGHT($A641,4)) + TIMEVALUE($B641), "")</f>
        <v/>
      </c>
      <c r="P641" s="36" t="str">
        <f>IF(Account!$F641&lt;&gt;"", DATEVALUE(MID($C641,4,3) &amp; LEFT($C641,3) &amp; RIGHT($C641,4)), "")</f>
        <v/>
      </c>
      <c r="Q641" s="37" t="str">
        <f t="array" ref="Q641">IF($R641&lt;&gt;"",IFERROR(INDEX(ISIN!$B:$B,MATCH($R641,ISIN!$C:$C,0))),)</f>
        <v/>
      </c>
      <c r="R641" s="38" t="str">
        <f t="array" ref="R641">IF($E641&lt;&gt;""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7" t="str">
        <f t="shared" si="1"/>
        <v/>
      </c>
      <c r="T641" s="39" t="str">
        <f t="shared" si="2"/>
        <v/>
      </c>
      <c r="U641" s="40" t="str">
        <f t="shared" si="3"/>
        <v/>
      </c>
      <c r="V641" s="34" t="str">
        <f t="shared" si="4"/>
        <v/>
      </c>
      <c r="W641" s="41" t="str">
        <f>IFERROR(__xludf.DUMMYFUNCTION(" IF(Account!$F641&lt;&gt;"""", SPLIT(Account!$F641, "" ""), """")"),"")</f>
        <v/>
      </c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</row>
    <row r="642">
      <c r="A642" s="20"/>
      <c r="B642" s="20"/>
      <c r="C642" s="20"/>
      <c r="D642" s="20"/>
      <c r="E642" s="20"/>
      <c r="F642" s="21"/>
      <c r="G642" s="20"/>
      <c r="H642" s="20"/>
      <c r="I642" s="20"/>
      <c r="J642" s="20"/>
      <c r="K642" s="20"/>
      <c r="L642" s="21"/>
      <c r="M642" s="33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4" t="str">
        <f>IFERROR(__xludf.DUMMYFUNCTION("IF(Account!$F642&lt;&gt;"""", VALUE(REGEXREPLACE($I642, ""\,"", ""."")), """")"),"")</f>
        <v/>
      </c>
      <c r="O642" s="35" t="str">
        <f>IF(Account!$F642&lt;&gt;"", DATEVALUE(MID($A642,4,3) &amp; LEFT($A642,3) &amp; RIGHT($A642,4)) + TIMEVALUE($B642), "")</f>
        <v/>
      </c>
      <c r="P642" s="36" t="str">
        <f>IF(Account!$F642&lt;&gt;"", DATEVALUE(MID($C642,4,3) &amp; LEFT($C642,3) &amp; RIGHT($C642,4)), "")</f>
        <v/>
      </c>
      <c r="Q642" s="37" t="str">
        <f t="array" ref="Q642">IF($R642&lt;&gt;"",IFERROR(INDEX(ISIN!$B:$B,MATCH($R642,ISIN!$C:$C,0))),)</f>
        <v/>
      </c>
      <c r="R642" s="38" t="str">
        <f t="array" ref="R642">IF($E642&lt;&gt;""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7" t="str">
        <f t="shared" si="1"/>
        <v/>
      </c>
      <c r="T642" s="39" t="str">
        <f t="shared" si="2"/>
        <v/>
      </c>
      <c r="U642" s="40" t="str">
        <f t="shared" si="3"/>
        <v/>
      </c>
      <c r="V642" s="34" t="str">
        <f t="shared" si="4"/>
        <v/>
      </c>
      <c r="W642" s="41" t="str">
        <f>IFERROR(__xludf.DUMMYFUNCTION(" IF(Account!$F642&lt;&gt;"""", SPLIT(Account!$F642, "" ""), """")"),"")</f>
        <v/>
      </c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</row>
    <row r="643">
      <c r="A643" s="20"/>
      <c r="B643" s="20"/>
      <c r="C643" s="20"/>
      <c r="D643" s="20"/>
      <c r="E643" s="20"/>
      <c r="F643" s="21"/>
      <c r="G643" s="45"/>
      <c r="H643" s="20"/>
      <c r="I643" s="20"/>
      <c r="J643" s="20"/>
      <c r="K643" s="20"/>
      <c r="L643" s="21"/>
      <c r="M643" s="33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4" t="str">
        <f>IFERROR(__xludf.DUMMYFUNCTION("IF(Account!$F643&lt;&gt;"""", VALUE(REGEXREPLACE($I643, ""\,"", ""."")), """")"),"")</f>
        <v/>
      </c>
      <c r="O643" s="35" t="str">
        <f>IF(Account!$F643&lt;&gt;"", DATEVALUE(MID($A643,4,3) &amp; LEFT($A643,3) &amp; RIGHT($A643,4)) + TIMEVALUE($B643), "")</f>
        <v/>
      </c>
      <c r="P643" s="36" t="str">
        <f>IF(Account!$F643&lt;&gt;"", DATEVALUE(MID($C643,4,3) &amp; LEFT($C643,3) &amp; RIGHT($C643,4)), "")</f>
        <v/>
      </c>
      <c r="Q643" s="37" t="str">
        <f t="array" ref="Q643">IF($R643&lt;&gt;"",IFERROR(INDEX(ISIN!$B:$B,MATCH($R643,ISIN!$C:$C,0))),)</f>
        <v/>
      </c>
      <c r="R643" s="38" t="str">
        <f t="array" ref="R643">IF($E643&lt;&gt;""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7" t="str">
        <f t="shared" si="1"/>
        <v/>
      </c>
      <c r="T643" s="39" t="str">
        <f t="shared" si="2"/>
        <v/>
      </c>
      <c r="U643" s="40" t="str">
        <f t="shared" si="3"/>
        <v/>
      </c>
      <c r="V643" s="34" t="str">
        <f t="shared" si="4"/>
        <v/>
      </c>
      <c r="W643" s="41" t="str">
        <f>IFERROR(__xludf.DUMMYFUNCTION(" IF(Account!$F643&lt;&gt;"""", SPLIT(Account!$F643, "" ""), """")"),"")</f>
        <v/>
      </c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</row>
    <row r="644">
      <c r="A644" s="20"/>
      <c r="B644" s="20"/>
      <c r="C644" s="20"/>
      <c r="D644" s="20"/>
      <c r="E644" s="20"/>
      <c r="F644" s="21"/>
      <c r="G644" s="45"/>
      <c r="H644" s="20"/>
      <c r="I644" s="20"/>
      <c r="J644" s="20"/>
      <c r="K644" s="20"/>
      <c r="L644" s="21"/>
      <c r="M644" s="33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4" t="str">
        <f>IFERROR(__xludf.DUMMYFUNCTION("IF(Account!$F644&lt;&gt;"""", VALUE(REGEXREPLACE($I644, ""\,"", ""."")), """")"),"")</f>
        <v/>
      </c>
      <c r="O644" s="35" t="str">
        <f>IF(Account!$F644&lt;&gt;"", DATEVALUE(MID($A644,4,3) &amp; LEFT($A644,3) &amp; RIGHT($A644,4)) + TIMEVALUE($B644), "")</f>
        <v/>
      </c>
      <c r="P644" s="36" t="str">
        <f>IF(Account!$F644&lt;&gt;"", DATEVALUE(MID($C644,4,3) &amp; LEFT($C644,3) &amp; RIGHT($C644,4)), "")</f>
        <v/>
      </c>
      <c r="Q644" s="37" t="str">
        <f t="array" ref="Q644">IF($R644&lt;&gt;"",IFERROR(INDEX(ISIN!$B:$B,MATCH($R644,ISIN!$C:$C,0))),)</f>
        <v/>
      </c>
      <c r="R644" s="38" t="str">
        <f t="array" ref="R644">IF($E644&lt;&gt;""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7" t="str">
        <f t="shared" si="1"/>
        <v/>
      </c>
      <c r="T644" s="39" t="str">
        <f t="shared" si="2"/>
        <v/>
      </c>
      <c r="U644" s="40" t="str">
        <f t="shared" si="3"/>
        <v/>
      </c>
      <c r="V644" s="34" t="str">
        <f t="shared" si="4"/>
        <v/>
      </c>
      <c r="W644" s="41" t="str">
        <f>IFERROR(__xludf.DUMMYFUNCTION(" IF(Account!$F644&lt;&gt;"""", SPLIT(Account!$F644, "" ""), """")"),"")</f>
        <v/>
      </c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</row>
    <row r="645">
      <c r="A645" s="20"/>
      <c r="B645" s="20"/>
      <c r="C645" s="20"/>
      <c r="D645" s="20"/>
      <c r="E645" s="20"/>
      <c r="F645" s="21"/>
      <c r="G645" s="45"/>
      <c r="H645" s="20"/>
      <c r="I645" s="20"/>
      <c r="J645" s="20"/>
      <c r="K645" s="20"/>
      <c r="L645" s="21"/>
      <c r="M645" s="33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4" t="str">
        <f>IFERROR(__xludf.DUMMYFUNCTION("IF(Account!$F645&lt;&gt;"""", VALUE(REGEXREPLACE($I645, ""\,"", ""."")), """")"),"")</f>
        <v/>
      </c>
      <c r="O645" s="35" t="str">
        <f>IF(Account!$F645&lt;&gt;"", DATEVALUE(MID($A645,4,3) &amp; LEFT($A645,3) &amp; RIGHT($A645,4)) + TIMEVALUE($B645), "")</f>
        <v/>
      </c>
      <c r="P645" s="36" t="str">
        <f>IF(Account!$F645&lt;&gt;"", DATEVALUE(MID($C645,4,3) &amp; LEFT($C645,3) &amp; RIGHT($C645,4)), "")</f>
        <v/>
      </c>
      <c r="Q645" s="37" t="str">
        <f t="array" ref="Q645">IF($R645&lt;&gt;"",IFERROR(INDEX(ISIN!$B:$B,MATCH($R645,ISIN!$C:$C,0))),)</f>
        <v/>
      </c>
      <c r="R645" s="38" t="str">
        <f t="array" ref="R645">IF($E645&lt;&gt;""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7" t="str">
        <f t="shared" si="1"/>
        <v/>
      </c>
      <c r="T645" s="39" t="str">
        <f t="shared" si="2"/>
        <v/>
      </c>
      <c r="U645" s="40" t="str">
        <f t="shared" si="3"/>
        <v/>
      </c>
      <c r="V645" s="34" t="str">
        <f t="shared" si="4"/>
        <v/>
      </c>
      <c r="W645" s="41" t="str">
        <f>IFERROR(__xludf.DUMMYFUNCTION(" IF(Account!$F645&lt;&gt;"""", SPLIT(Account!$F645, "" ""), """")"),"")</f>
        <v/>
      </c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</row>
    <row r="646">
      <c r="A646" s="20"/>
      <c r="B646" s="20"/>
      <c r="C646" s="20"/>
      <c r="D646" s="20"/>
      <c r="E646" s="20"/>
      <c r="F646" s="21"/>
      <c r="G646" s="45"/>
      <c r="H646" s="20"/>
      <c r="I646" s="20"/>
      <c r="J646" s="20"/>
      <c r="K646" s="20"/>
      <c r="L646" s="21"/>
      <c r="M646" s="33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4" t="str">
        <f>IFERROR(__xludf.DUMMYFUNCTION("IF(Account!$F646&lt;&gt;"""", VALUE(REGEXREPLACE($I646, ""\,"", ""."")), """")"),"")</f>
        <v/>
      </c>
      <c r="O646" s="35" t="str">
        <f>IF(Account!$F646&lt;&gt;"", DATEVALUE(MID($A646,4,3) &amp; LEFT($A646,3) &amp; RIGHT($A646,4)) + TIMEVALUE($B646), "")</f>
        <v/>
      </c>
      <c r="P646" s="36" t="str">
        <f>IF(Account!$F646&lt;&gt;"", DATEVALUE(MID($C646,4,3) &amp; LEFT($C646,3) &amp; RIGHT($C646,4)), "")</f>
        <v/>
      </c>
      <c r="Q646" s="37" t="str">
        <f t="array" ref="Q646">IF($R646&lt;&gt;"",IFERROR(INDEX(ISIN!$B:$B,MATCH($R646,ISIN!$C:$C,0))),)</f>
        <v/>
      </c>
      <c r="R646" s="38" t="str">
        <f t="array" ref="R646">IF($E646&lt;&gt;""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7" t="str">
        <f t="shared" si="1"/>
        <v/>
      </c>
      <c r="T646" s="39" t="str">
        <f t="shared" si="2"/>
        <v/>
      </c>
      <c r="U646" s="40" t="str">
        <f t="shared" si="3"/>
        <v/>
      </c>
      <c r="V646" s="34" t="str">
        <f t="shared" si="4"/>
        <v/>
      </c>
      <c r="W646" s="41" t="str">
        <f>IFERROR(__xludf.DUMMYFUNCTION(" IF(Account!$F646&lt;&gt;"""", SPLIT(Account!$F646, "" ""), """")"),"")</f>
        <v/>
      </c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</row>
    <row r="647">
      <c r="A647" s="20"/>
      <c r="B647" s="20"/>
      <c r="C647" s="20"/>
      <c r="D647" s="20"/>
      <c r="E647" s="20"/>
      <c r="F647" s="21"/>
      <c r="G647" s="45"/>
      <c r="H647" s="20"/>
      <c r="I647" s="20"/>
      <c r="J647" s="20"/>
      <c r="K647" s="20"/>
      <c r="L647" s="21"/>
      <c r="M647" s="33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4" t="str">
        <f>IFERROR(__xludf.DUMMYFUNCTION("IF(Account!$F647&lt;&gt;"""", VALUE(REGEXREPLACE($I647, ""\,"", ""."")), """")"),"")</f>
        <v/>
      </c>
      <c r="O647" s="35" t="str">
        <f>IF(Account!$F647&lt;&gt;"", DATEVALUE(MID($A647,4,3) &amp; LEFT($A647,3) &amp; RIGHT($A647,4)) + TIMEVALUE($B647), "")</f>
        <v/>
      </c>
      <c r="P647" s="36" t="str">
        <f>IF(Account!$F647&lt;&gt;"", DATEVALUE(MID($C647,4,3) &amp; LEFT($C647,3) &amp; RIGHT($C647,4)), "")</f>
        <v/>
      </c>
      <c r="Q647" s="37" t="str">
        <f t="array" ref="Q647">IF($R647&lt;&gt;"",IFERROR(INDEX(ISIN!$B:$B,MATCH($R647,ISIN!$C:$C,0))),)</f>
        <v/>
      </c>
      <c r="R647" s="38" t="str">
        <f t="array" ref="R647">IF($E647&lt;&gt;""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7" t="str">
        <f t="shared" si="1"/>
        <v/>
      </c>
      <c r="T647" s="39" t="str">
        <f t="shared" si="2"/>
        <v/>
      </c>
      <c r="U647" s="40" t="str">
        <f t="shared" si="3"/>
        <v/>
      </c>
      <c r="V647" s="34" t="str">
        <f t="shared" si="4"/>
        <v/>
      </c>
      <c r="W647" s="41" t="str">
        <f>IFERROR(__xludf.DUMMYFUNCTION(" IF(Account!$F647&lt;&gt;"""", SPLIT(Account!$F647, "" ""), """")"),"")</f>
        <v/>
      </c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</row>
    <row r="648">
      <c r="A648" s="20"/>
      <c r="B648" s="20"/>
      <c r="C648" s="20"/>
      <c r="D648" s="45"/>
      <c r="E648" s="45"/>
      <c r="F648" s="21"/>
      <c r="G648" s="45"/>
      <c r="H648" s="20"/>
      <c r="I648" s="20"/>
      <c r="J648" s="20"/>
      <c r="K648" s="20"/>
      <c r="L648" s="46"/>
      <c r="M648" s="33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4" t="str">
        <f>IFERROR(__xludf.DUMMYFUNCTION("IF(Account!$F648&lt;&gt;"""", VALUE(REGEXREPLACE($I648, ""\,"", ""."")), """")"),"")</f>
        <v/>
      </c>
      <c r="O648" s="35" t="str">
        <f>IF(Account!$F648&lt;&gt;"", DATEVALUE(MID($A648,4,3) &amp; LEFT($A648,3) &amp; RIGHT($A648,4)) + TIMEVALUE($B648), "")</f>
        <v/>
      </c>
      <c r="P648" s="36" t="str">
        <f>IF(Account!$F648&lt;&gt;"", DATEVALUE(MID($C648,4,3) &amp; LEFT($C648,3) &amp; RIGHT($C648,4)), "")</f>
        <v/>
      </c>
      <c r="Q648" s="37" t="str">
        <f t="array" ref="Q648">IF($R648&lt;&gt;"",IFERROR(INDEX(ISIN!$B:$B,MATCH($R648,ISIN!$C:$C,0))),)</f>
        <v/>
      </c>
      <c r="R648" s="38" t="str">
        <f t="array" ref="R648">IF($E648&lt;&gt;""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7" t="str">
        <f t="shared" si="1"/>
        <v/>
      </c>
      <c r="T648" s="39" t="str">
        <f t="shared" si="2"/>
        <v/>
      </c>
      <c r="U648" s="40" t="str">
        <f t="shared" si="3"/>
        <v/>
      </c>
      <c r="V648" s="34" t="str">
        <f t="shared" si="4"/>
        <v/>
      </c>
      <c r="W648" s="41" t="str">
        <f>IFERROR(__xludf.DUMMYFUNCTION(" IF(Account!$F648&lt;&gt;"""", SPLIT(Account!$F648, "" ""), """")"),"")</f>
        <v/>
      </c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</row>
    <row r="649">
      <c r="A649" s="20"/>
      <c r="B649" s="20"/>
      <c r="C649" s="20"/>
      <c r="D649" s="20"/>
      <c r="E649" s="20"/>
      <c r="F649" s="21"/>
      <c r="G649" s="45"/>
      <c r="H649" s="20"/>
      <c r="I649" s="20"/>
      <c r="J649" s="20"/>
      <c r="K649" s="20"/>
      <c r="L649" s="21"/>
      <c r="M649" s="33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4" t="str">
        <f>IFERROR(__xludf.DUMMYFUNCTION("IF(Account!$F649&lt;&gt;"""", VALUE(REGEXREPLACE($I649, ""\,"", ""."")), """")"),"")</f>
        <v/>
      </c>
      <c r="O649" s="35" t="str">
        <f>IF(Account!$F649&lt;&gt;"", DATEVALUE(MID($A649,4,3) &amp; LEFT($A649,3) &amp; RIGHT($A649,4)) + TIMEVALUE($B649), "")</f>
        <v/>
      </c>
      <c r="P649" s="36" t="str">
        <f>IF(Account!$F649&lt;&gt;"", DATEVALUE(MID($C649,4,3) &amp; LEFT($C649,3) &amp; RIGHT($C649,4)), "")</f>
        <v/>
      </c>
      <c r="Q649" s="37" t="str">
        <f t="array" ref="Q649">IF($R649&lt;&gt;"",IFERROR(INDEX(ISIN!$B:$B,MATCH($R649,ISIN!$C:$C,0))),)</f>
        <v/>
      </c>
      <c r="R649" s="38" t="str">
        <f t="array" ref="R649">IF($E649&lt;&gt;""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7" t="str">
        <f t="shared" si="1"/>
        <v/>
      </c>
      <c r="T649" s="39" t="str">
        <f t="shared" si="2"/>
        <v/>
      </c>
      <c r="U649" s="40" t="str">
        <f t="shared" si="3"/>
        <v/>
      </c>
      <c r="V649" s="34" t="str">
        <f t="shared" si="4"/>
        <v/>
      </c>
      <c r="W649" s="41" t="str">
        <f>IFERROR(__xludf.DUMMYFUNCTION(" IF(Account!$F649&lt;&gt;"""", SPLIT(Account!$F649, "" ""), """")"),"")</f>
        <v/>
      </c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</row>
    <row r="650">
      <c r="A650" s="20"/>
      <c r="B650" s="20"/>
      <c r="C650" s="20"/>
      <c r="D650" s="20"/>
      <c r="E650" s="20"/>
      <c r="F650" s="21"/>
      <c r="G650" s="20"/>
      <c r="H650" s="20"/>
      <c r="I650" s="20"/>
      <c r="J650" s="20"/>
      <c r="K650" s="20"/>
      <c r="L650" s="21"/>
      <c r="M650" s="33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4" t="str">
        <f>IFERROR(__xludf.DUMMYFUNCTION("IF(Account!$F650&lt;&gt;"""", VALUE(REGEXREPLACE($I650, ""\,"", ""."")), """")"),"")</f>
        <v/>
      </c>
      <c r="O650" s="35" t="str">
        <f>IF(Account!$F650&lt;&gt;"", DATEVALUE(MID($A650,4,3) &amp; LEFT($A650,3) &amp; RIGHT($A650,4)) + TIMEVALUE($B650), "")</f>
        <v/>
      </c>
      <c r="P650" s="36" t="str">
        <f>IF(Account!$F650&lt;&gt;"", DATEVALUE(MID($C650,4,3) &amp; LEFT($C650,3) &amp; RIGHT($C650,4)), "")</f>
        <v/>
      </c>
      <c r="Q650" s="37" t="str">
        <f t="array" ref="Q650">IF($R650&lt;&gt;"",IFERROR(INDEX(ISIN!$B:$B,MATCH($R650,ISIN!$C:$C,0))),)</f>
        <v/>
      </c>
      <c r="R650" s="38" t="str">
        <f t="array" ref="R650">IF($E650&lt;&gt;""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7" t="str">
        <f t="shared" si="1"/>
        <v/>
      </c>
      <c r="T650" s="39" t="str">
        <f t="shared" si="2"/>
        <v/>
      </c>
      <c r="U650" s="40" t="str">
        <f t="shared" si="3"/>
        <v/>
      </c>
      <c r="V650" s="34" t="str">
        <f t="shared" si="4"/>
        <v/>
      </c>
      <c r="W650" s="41" t="str">
        <f>IFERROR(__xludf.DUMMYFUNCTION(" IF(Account!$F650&lt;&gt;"""", SPLIT(Account!$F650, "" ""), """")"),"")</f>
        <v/>
      </c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</row>
    <row r="651">
      <c r="A651" s="20"/>
      <c r="B651" s="20"/>
      <c r="C651" s="20"/>
      <c r="D651" s="20"/>
      <c r="E651" s="20"/>
      <c r="F651" s="21"/>
      <c r="G651" s="45"/>
      <c r="H651" s="20"/>
      <c r="I651" s="20"/>
      <c r="J651" s="20"/>
      <c r="K651" s="20"/>
      <c r="L651" s="21"/>
      <c r="M651" s="33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4" t="str">
        <f>IFERROR(__xludf.DUMMYFUNCTION("IF(Account!$F651&lt;&gt;"""", VALUE(REGEXREPLACE($I651, ""\,"", ""."")), """")"),"")</f>
        <v/>
      </c>
      <c r="O651" s="35" t="str">
        <f>IF(Account!$F651&lt;&gt;"", DATEVALUE(MID($A651,4,3) &amp; LEFT($A651,3) &amp; RIGHT($A651,4)) + TIMEVALUE($B651), "")</f>
        <v/>
      </c>
      <c r="P651" s="36" t="str">
        <f>IF(Account!$F651&lt;&gt;"", DATEVALUE(MID($C651,4,3) &amp; LEFT($C651,3) &amp; RIGHT($C651,4)), "")</f>
        <v/>
      </c>
      <c r="Q651" s="37" t="str">
        <f t="array" ref="Q651">IF($R651&lt;&gt;"",IFERROR(INDEX(ISIN!$B:$B,MATCH($R651,ISIN!$C:$C,0))),)</f>
        <v/>
      </c>
      <c r="R651" s="38" t="str">
        <f t="array" ref="R651">IF($E651&lt;&gt;""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7" t="str">
        <f t="shared" si="1"/>
        <v/>
      </c>
      <c r="T651" s="39" t="str">
        <f t="shared" si="2"/>
        <v/>
      </c>
      <c r="U651" s="40" t="str">
        <f t="shared" si="3"/>
        <v/>
      </c>
      <c r="V651" s="34" t="str">
        <f t="shared" si="4"/>
        <v/>
      </c>
      <c r="W651" s="41" t="str">
        <f>IFERROR(__xludf.DUMMYFUNCTION(" IF(Account!$F651&lt;&gt;"""", SPLIT(Account!$F651, "" ""), """")"),"")</f>
        <v/>
      </c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</row>
    <row r="652">
      <c r="A652" s="20"/>
      <c r="B652" s="20"/>
      <c r="C652" s="20"/>
      <c r="D652" s="20"/>
      <c r="E652" s="20"/>
      <c r="F652" s="21"/>
      <c r="G652" s="45"/>
      <c r="H652" s="20"/>
      <c r="I652" s="20"/>
      <c r="J652" s="20"/>
      <c r="K652" s="20"/>
      <c r="L652" s="21"/>
      <c r="M652" s="33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4" t="str">
        <f>IFERROR(__xludf.DUMMYFUNCTION("IF(Account!$F652&lt;&gt;"""", VALUE(REGEXREPLACE($I652, ""\,"", ""."")), """")"),"")</f>
        <v/>
      </c>
      <c r="O652" s="35" t="str">
        <f>IF(Account!$F652&lt;&gt;"", DATEVALUE(MID($A652,4,3) &amp; LEFT($A652,3) &amp; RIGHT($A652,4)) + TIMEVALUE($B652), "")</f>
        <v/>
      </c>
      <c r="P652" s="36" t="str">
        <f>IF(Account!$F652&lt;&gt;"", DATEVALUE(MID($C652,4,3) &amp; LEFT($C652,3) &amp; RIGHT($C652,4)), "")</f>
        <v/>
      </c>
      <c r="Q652" s="37" t="str">
        <f t="array" ref="Q652">IF($R652&lt;&gt;"",IFERROR(INDEX(ISIN!$B:$B,MATCH($R652,ISIN!$C:$C,0))),)</f>
        <v/>
      </c>
      <c r="R652" s="38" t="str">
        <f t="array" ref="R652">IF($E652&lt;&gt;""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7" t="str">
        <f t="shared" si="1"/>
        <v/>
      </c>
      <c r="T652" s="39" t="str">
        <f t="shared" si="2"/>
        <v/>
      </c>
      <c r="U652" s="40" t="str">
        <f t="shared" si="3"/>
        <v/>
      </c>
      <c r="V652" s="34" t="str">
        <f t="shared" si="4"/>
        <v/>
      </c>
      <c r="W652" s="41" t="str">
        <f>IFERROR(__xludf.DUMMYFUNCTION(" IF(Account!$F652&lt;&gt;"""", SPLIT(Account!$F652, "" ""), """")"),"")</f>
        <v/>
      </c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</row>
    <row r="653">
      <c r="A653" s="20"/>
      <c r="B653" s="20"/>
      <c r="C653" s="20"/>
      <c r="D653" s="20"/>
      <c r="E653" s="20"/>
      <c r="F653" s="21"/>
      <c r="G653" s="20"/>
      <c r="H653" s="20"/>
      <c r="I653" s="20"/>
      <c r="J653" s="20"/>
      <c r="K653" s="20"/>
      <c r="L653" s="21"/>
      <c r="M653" s="33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4" t="str">
        <f>IFERROR(__xludf.DUMMYFUNCTION("IF(Account!$F653&lt;&gt;"""", VALUE(REGEXREPLACE($I653, ""\,"", ""."")), """")"),"")</f>
        <v/>
      </c>
      <c r="O653" s="35" t="str">
        <f>IF(Account!$F653&lt;&gt;"", DATEVALUE(MID($A653,4,3) &amp; LEFT($A653,3) &amp; RIGHT($A653,4)) + TIMEVALUE($B653), "")</f>
        <v/>
      </c>
      <c r="P653" s="36" t="str">
        <f>IF(Account!$F653&lt;&gt;"", DATEVALUE(MID($C653,4,3) &amp; LEFT($C653,3) &amp; RIGHT($C653,4)), "")</f>
        <v/>
      </c>
      <c r="Q653" s="37" t="str">
        <f t="array" ref="Q653">IF($R653&lt;&gt;"",IFERROR(INDEX(ISIN!$B:$B,MATCH($R653,ISIN!$C:$C,0))),)</f>
        <v/>
      </c>
      <c r="R653" s="38" t="str">
        <f t="array" ref="R653">IF($E653&lt;&gt;""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7" t="str">
        <f t="shared" si="1"/>
        <v/>
      </c>
      <c r="T653" s="39" t="str">
        <f t="shared" si="2"/>
        <v/>
      </c>
      <c r="U653" s="40" t="str">
        <f t="shared" si="3"/>
        <v/>
      </c>
      <c r="V653" s="34" t="str">
        <f t="shared" si="4"/>
        <v/>
      </c>
      <c r="W653" s="41" t="str">
        <f>IFERROR(__xludf.DUMMYFUNCTION(" IF(Account!$F653&lt;&gt;"""", SPLIT(Account!$F653, "" ""), """")"),"")</f>
        <v/>
      </c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</row>
    <row r="654">
      <c r="A654" s="20"/>
      <c r="B654" s="20"/>
      <c r="C654" s="20"/>
      <c r="D654" s="20"/>
      <c r="E654" s="20"/>
      <c r="F654" s="21"/>
      <c r="G654" s="45"/>
      <c r="H654" s="20"/>
      <c r="I654" s="20"/>
      <c r="J654" s="20"/>
      <c r="K654" s="20"/>
      <c r="L654" s="21"/>
      <c r="M654" s="33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4" t="str">
        <f>IFERROR(__xludf.DUMMYFUNCTION("IF(Account!$F654&lt;&gt;"""", VALUE(REGEXREPLACE($I654, ""\,"", ""."")), """")"),"")</f>
        <v/>
      </c>
      <c r="O654" s="35" t="str">
        <f>IF(Account!$F654&lt;&gt;"", DATEVALUE(MID($A654,4,3) &amp; LEFT($A654,3) &amp; RIGHT($A654,4)) + TIMEVALUE($B654), "")</f>
        <v/>
      </c>
      <c r="P654" s="36" t="str">
        <f>IF(Account!$F654&lt;&gt;"", DATEVALUE(MID($C654,4,3) &amp; LEFT($C654,3) &amp; RIGHT($C654,4)), "")</f>
        <v/>
      </c>
      <c r="Q654" s="37" t="str">
        <f t="array" ref="Q654">IF($R654&lt;&gt;"",IFERROR(INDEX(ISIN!$B:$B,MATCH($R654,ISIN!$C:$C,0))),)</f>
        <v/>
      </c>
      <c r="R654" s="38" t="str">
        <f t="array" ref="R654">IF($E654&lt;&gt;""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7" t="str">
        <f t="shared" si="1"/>
        <v/>
      </c>
      <c r="T654" s="39" t="str">
        <f t="shared" si="2"/>
        <v/>
      </c>
      <c r="U654" s="40" t="str">
        <f t="shared" si="3"/>
        <v/>
      </c>
      <c r="V654" s="34" t="str">
        <f t="shared" si="4"/>
        <v/>
      </c>
      <c r="W654" s="41" t="str">
        <f>IFERROR(__xludf.DUMMYFUNCTION(" IF(Account!$F654&lt;&gt;"""", SPLIT(Account!$F654, "" ""), """")"),"")</f>
        <v/>
      </c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</row>
    <row r="655">
      <c r="A655" s="20"/>
      <c r="B655" s="20"/>
      <c r="C655" s="20"/>
      <c r="D655" s="20"/>
      <c r="E655" s="20"/>
      <c r="F655" s="21"/>
      <c r="G655" s="45"/>
      <c r="H655" s="20"/>
      <c r="I655" s="20"/>
      <c r="J655" s="20"/>
      <c r="K655" s="20"/>
      <c r="L655" s="21"/>
      <c r="M655" s="33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4" t="str">
        <f>IFERROR(__xludf.DUMMYFUNCTION("IF(Account!$F655&lt;&gt;"""", VALUE(REGEXREPLACE($I655, ""\,"", ""."")), """")"),"")</f>
        <v/>
      </c>
      <c r="O655" s="35" t="str">
        <f>IF(Account!$F655&lt;&gt;"", DATEVALUE(MID($A655,4,3) &amp; LEFT($A655,3) &amp; RIGHT($A655,4)) + TIMEVALUE($B655), "")</f>
        <v/>
      </c>
      <c r="P655" s="36" t="str">
        <f>IF(Account!$F655&lt;&gt;"", DATEVALUE(MID($C655,4,3) &amp; LEFT($C655,3) &amp; RIGHT($C655,4)), "")</f>
        <v/>
      </c>
      <c r="Q655" s="37" t="str">
        <f t="array" ref="Q655">IF($R655&lt;&gt;"",IFERROR(INDEX(ISIN!$B:$B,MATCH($R655,ISIN!$C:$C,0))),)</f>
        <v/>
      </c>
      <c r="R655" s="38" t="str">
        <f t="array" ref="R655">IF($E655&lt;&gt;""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7" t="str">
        <f t="shared" si="1"/>
        <v/>
      </c>
      <c r="T655" s="39" t="str">
        <f t="shared" si="2"/>
        <v/>
      </c>
      <c r="U655" s="40" t="str">
        <f t="shared" si="3"/>
        <v/>
      </c>
      <c r="V655" s="34" t="str">
        <f t="shared" si="4"/>
        <v/>
      </c>
      <c r="W655" s="41" t="str">
        <f>IFERROR(__xludf.DUMMYFUNCTION(" IF(Account!$F655&lt;&gt;"""", SPLIT(Account!$F655, "" ""), """")"),"")</f>
        <v/>
      </c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</row>
    <row r="656">
      <c r="A656" s="20"/>
      <c r="B656" s="20"/>
      <c r="C656" s="20"/>
      <c r="D656" s="20"/>
      <c r="E656" s="20"/>
      <c r="F656" s="21"/>
      <c r="G656" s="45"/>
      <c r="H656" s="20"/>
      <c r="I656" s="20"/>
      <c r="J656" s="20"/>
      <c r="K656" s="20"/>
      <c r="L656" s="21"/>
      <c r="M656" s="33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4" t="str">
        <f>IFERROR(__xludf.DUMMYFUNCTION("IF(Account!$F656&lt;&gt;"""", VALUE(REGEXREPLACE($I656, ""\,"", ""."")), """")"),"")</f>
        <v/>
      </c>
      <c r="O656" s="35" t="str">
        <f>IF(Account!$F656&lt;&gt;"", DATEVALUE(MID($A656,4,3) &amp; LEFT($A656,3) &amp; RIGHT($A656,4)) + TIMEVALUE($B656), "")</f>
        <v/>
      </c>
      <c r="P656" s="36" t="str">
        <f>IF(Account!$F656&lt;&gt;"", DATEVALUE(MID($C656,4,3) &amp; LEFT($C656,3) &amp; RIGHT($C656,4)), "")</f>
        <v/>
      </c>
      <c r="Q656" s="37" t="str">
        <f t="array" ref="Q656">IF($R656&lt;&gt;"",IFERROR(INDEX(ISIN!$B:$B,MATCH($R656,ISIN!$C:$C,0))),)</f>
        <v/>
      </c>
      <c r="R656" s="38" t="str">
        <f t="array" ref="R656">IF($E656&lt;&gt;""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7" t="str">
        <f t="shared" si="1"/>
        <v/>
      </c>
      <c r="T656" s="39" t="str">
        <f t="shared" si="2"/>
        <v/>
      </c>
      <c r="U656" s="40" t="str">
        <f t="shared" si="3"/>
        <v/>
      </c>
      <c r="V656" s="34" t="str">
        <f t="shared" si="4"/>
        <v/>
      </c>
      <c r="W656" s="41" t="str">
        <f>IFERROR(__xludf.DUMMYFUNCTION(" IF(Account!$F656&lt;&gt;"""", SPLIT(Account!$F656, "" ""), """")"),"")</f>
        <v/>
      </c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</row>
    <row r="657">
      <c r="A657" s="20"/>
      <c r="B657" s="20"/>
      <c r="C657" s="20"/>
      <c r="D657" s="20"/>
      <c r="E657" s="20"/>
      <c r="F657" s="21"/>
      <c r="G657" s="45"/>
      <c r="H657" s="20"/>
      <c r="I657" s="20"/>
      <c r="J657" s="20"/>
      <c r="K657" s="20"/>
      <c r="L657" s="21"/>
      <c r="M657" s="33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4" t="str">
        <f>IFERROR(__xludf.DUMMYFUNCTION("IF(Account!$F657&lt;&gt;"""", VALUE(REGEXREPLACE($I657, ""\,"", ""."")), """")"),"")</f>
        <v/>
      </c>
      <c r="O657" s="35" t="str">
        <f>IF(Account!$F657&lt;&gt;"", DATEVALUE(MID($A657,4,3) &amp; LEFT($A657,3) &amp; RIGHT($A657,4)) + TIMEVALUE($B657), "")</f>
        <v/>
      </c>
      <c r="P657" s="36" t="str">
        <f>IF(Account!$F657&lt;&gt;"", DATEVALUE(MID($C657,4,3) &amp; LEFT($C657,3) &amp; RIGHT($C657,4)), "")</f>
        <v/>
      </c>
      <c r="Q657" s="37" t="str">
        <f t="array" ref="Q657">IF($R657&lt;&gt;"",IFERROR(INDEX(ISIN!$B:$B,MATCH($R657,ISIN!$C:$C,0))),)</f>
        <v/>
      </c>
      <c r="R657" s="38" t="str">
        <f t="array" ref="R657">IF($E657&lt;&gt;""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7" t="str">
        <f t="shared" si="1"/>
        <v/>
      </c>
      <c r="T657" s="39" t="str">
        <f t="shared" si="2"/>
        <v/>
      </c>
      <c r="U657" s="40" t="str">
        <f t="shared" si="3"/>
        <v/>
      </c>
      <c r="V657" s="34" t="str">
        <f t="shared" si="4"/>
        <v/>
      </c>
      <c r="W657" s="41" t="str">
        <f>IFERROR(__xludf.DUMMYFUNCTION(" IF(Account!$F657&lt;&gt;"""", SPLIT(Account!$F657, "" ""), """")"),"")</f>
        <v/>
      </c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</row>
    <row r="658">
      <c r="A658" s="20"/>
      <c r="B658" s="20"/>
      <c r="C658" s="20"/>
      <c r="D658" s="20"/>
      <c r="E658" s="20"/>
      <c r="F658" s="21"/>
      <c r="G658" s="45"/>
      <c r="H658" s="20"/>
      <c r="I658" s="20"/>
      <c r="J658" s="20"/>
      <c r="K658" s="20"/>
      <c r="L658" s="21"/>
      <c r="M658" s="33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4" t="str">
        <f>IFERROR(__xludf.DUMMYFUNCTION("IF(Account!$F658&lt;&gt;"""", VALUE(REGEXREPLACE($I658, ""\,"", ""."")), """")"),"")</f>
        <v/>
      </c>
      <c r="O658" s="35" t="str">
        <f>IF(Account!$F658&lt;&gt;"", DATEVALUE(MID($A658,4,3) &amp; LEFT($A658,3) &amp; RIGHT($A658,4)) + TIMEVALUE($B658), "")</f>
        <v/>
      </c>
      <c r="P658" s="36" t="str">
        <f>IF(Account!$F658&lt;&gt;"", DATEVALUE(MID($C658,4,3) &amp; LEFT($C658,3) &amp; RIGHT($C658,4)), "")</f>
        <v/>
      </c>
      <c r="Q658" s="37" t="str">
        <f t="array" ref="Q658">IF($R658&lt;&gt;"",IFERROR(INDEX(ISIN!$B:$B,MATCH($R658,ISIN!$C:$C,0))),)</f>
        <v/>
      </c>
      <c r="R658" s="38" t="str">
        <f t="array" ref="R658">IF($E658&lt;&gt;""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7" t="str">
        <f t="shared" si="1"/>
        <v/>
      </c>
      <c r="T658" s="39" t="str">
        <f t="shared" si="2"/>
        <v/>
      </c>
      <c r="U658" s="40" t="str">
        <f t="shared" si="3"/>
        <v/>
      </c>
      <c r="V658" s="34" t="str">
        <f t="shared" si="4"/>
        <v/>
      </c>
      <c r="W658" s="41" t="str">
        <f>IFERROR(__xludf.DUMMYFUNCTION(" IF(Account!$F658&lt;&gt;"""", SPLIT(Account!$F658, "" ""), """")"),"")</f>
        <v/>
      </c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</row>
    <row r="659">
      <c r="A659" s="20"/>
      <c r="B659" s="20"/>
      <c r="C659" s="20"/>
      <c r="D659" s="20"/>
      <c r="E659" s="20"/>
      <c r="F659" s="21"/>
      <c r="G659" s="45"/>
      <c r="H659" s="20"/>
      <c r="I659" s="20"/>
      <c r="J659" s="20"/>
      <c r="K659" s="20"/>
      <c r="L659" s="21"/>
      <c r="M659" s="33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4" t="str">
        <f>IFERROR(__xludf.DUMMYFUNCTION("IF(Account!$F659&lt;&gt;"""", VALUE(REGEXREPLACE($I659, ""\,"", ""."")), """")"),"")</f>
        <v/>
      </c>
      <c r="O659" s="35" t="str">
        <f>IF(Account!$F659&lt;&gt;"", DATEVALUE(MID($A659,4,3) &amp; LEFT($A659,3) &amp; RIGHT($A659,4)) + TIMEVALUE($B659), "")</f>
        <v/>
      </c>
      <c r="P659" s="36" t="str">
        <f>IF(Account!$F659&lt;&gt;"", DATEVALUE(MID($C659,4,3) &amp; LEFT($C659,3) &amp; RIGHT($C659,4)), "")</f>
        <v/>
      </c>
      <c r="Q659" s="37" t="str">
        <f t="array" ref="Q659">IF($R659&lt;&gt;"",IFERROR(INDEX(ISIN!$B:$B,MATCH($R659,ISIN!$C:$C,0))),)</f>
        <v/>
      </c>
      <c r="R659" s="38" t="str">
        <f t="array" ref="R659">IF($E659&lt;&gt;""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7" t="str">
        <f t="shared" si="1"/>
        <v/>
      </c>
      <c r="T659" s="39" t="str">
        <f t="shared" si="2"/>
        <v/>
      </c>
      <c r="U659" s="40" t="str">
        <f t="shared" si="3"/>
        <v/>
      </c>
      <c r="V659" s="34" t="str">
        <f t="shared" si="4"/>
        <v/>
      </c>
      <c r="W659" s="41" t="str">
        <f>IFERROR(__xludf.DUMMYFUNCTION(" IF(Account!$F659&lt;&gt;"""", SPLIT(Account!$F659, "" ""), """")"),"")</f>
        <v/>
      </c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</row>
    <row r="660">
      <c r="A660" s="20"/>
      <c r="B660" s="20"/>
      <c r="C660" s="20"/>
      <c r="D660" s="20"/>
      <c r="E660" s="20"/>
      <c r="F660" s="21"/>
      <c r="G660" s="20"/>
      <c r="H660" s="20"/>
      <c r="I660" s="20"/>
      <c r="J660" s="20"/>
      <c r="K660" s="20"/>
      <c r="L660" s="21"/>
      <c r="M660" s="33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4" t="str">
        <f>IFERROR(__xludf.DUMMYFUNCTION("IF(Account!$F660&lt;&gt;"""", VALUE(REGEXREPLACE($I660, ""\,"", ""."")), """")"),"")</f>
        <v/>
      </c>
      <c r="O660" s="35" t="str">
        <f>IF(Account!$F660&lt;&gt;"", DATEVALUE(MID($A660,4,3) &amp; LEFT($A660,3) &amp; RIGHT($A660,4)) + TIMEVALUE($B660), "")</f>
        <v/>
      </c>
      <c r="P660" s="36" t="str">
        <f>IF(Account!$F660&lt;&gt;"", DATEVALUE(MID($C660,4,3) &amp; LEFT($C660,3) &amp; RIGHT($C660,4)), "")</f>
        <v/>
      </c>
      <c r="Q660" s="37" t="str">
        <f t="array" ref="Q660">IF($R660&lt;&gt;"",IFERROR(INDEX(ISIN!$B:$B,MATCH($R660,ISIN!$C:$C,0))),)</f>
        <v/>
      </c>
      <c r="R660" s="38" t="str">
        <f t="array" ref="R660">IF($E660&lt;&gt;""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7" t="str">
        <f t="shared" si="1"/>
        <v/>
      </c>
      <c r="T660" s="39" t="str">
        <f t="shared" si="2"/>
        <v/>
      </c>
      <c r="U660" s="40" t="str">
        <f t="shared" si="3"/>
        <v/>
      </c>
      <c r="V660" s="34" t="str">
        <f t="shared" si="4"/>
        <v/>
      </c>
      <c r="W660" s="41" t="str">
        <f>IFERROR(__xludf.DUMMYFUNCTION(" IF(Account!$F660&lt;&gt;"""", SPLIT(Account!$F660, "" ""), """")"),"")</f>
        <v/>
      </c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</row>
    <row r="661">
      <c r="A661" s="20"/>
      <c r="B661" s="20"/>
      <c r="C661" s="20"/>
      <c r="D661" s="20"/>
      <c r="E661" s="20"/>
      <c r="F661" s="21"/>
      <c r="G661" s="45"/>
      <c r="H661" s="20"/>
      <c r="I661" s="20"/>
      <c r="J661" s="20"/>
      <c r="K661" s="20"/>
      <c r="L661" s="21"/>
      <c r="M661" s="33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4" t="str">
        <f>IFERROR(__xludf.DUMMYFUNCTION("IF(Account!$F661&lt;&gt;"""", VALUE(REGEXREPLACE($I661, ""\,"", ""."")), """")"),"")</f>
        <v/>
      </c>
      <c r="O661" s="35" t="str">
        <f>IF(Account!$F661&lt;&gt;"", DATEVALUE(MID($A661,4,3) &amp; LEFT($A661,3) &amp; RIGHT($A661,4)) + TIMEVALUE($B661), "")</f>
        <v/>
      </c>
      <c r="P661" s="36" t="str">
        <f>IF(Account!$F661&lt;&gt;"", DATEVALUE(MID($C661,4,3) &amp; LEFT($C661,3) &amp; RIGHT($C661,4)), "")</f>
        <v/>
      </c>
      <c r="Q661" s="37" t="str">
        <f t="array" ref="Q661">IF($R661&lt;&gt;"",IFERROR(INDEX(ISIN!$B:$B,MATCH($R661,ISIN!$C:$C,0))),)</f>
        <v/>
      </c>
      <c r="R661" s="38" t="str">
        <f t="array" ref="R661">IF($E661&lt;&gt;""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7" t="str">
        <f t="shared" si="1"/>
        <v/>
      </c>
      <c r="T661" s="39" t="str">
        <f t="shared" si="2"/>
        <v/>
      </c>
      <c r="U661" s="40" t="str">
        <f t="shared" si="3"/>
        <v/>
      </c>
      <c r="V661" s="34" t="str">
        <f t="shared" si="4"/>
        <v/>
      </c>
      <c r="W661" s="41" t="str">
        <f>IFERROR(__xludf.DUMMYFUNCTION(" IF(Account!$F661&lt;&gt;"""", SPLIT(Account!$F661, "" ""), """")"),"")</f>
        <v/>
      </c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</row>
    <row r="662">
      <c r="A662" s="20"/>
      <c r="B662" s="20"/>
      <c r="C662" s="20"/>
      <c r="D662" s="20"/>
      <c r="E662" s="20"/>
      <c r="F662" s="21"/>
      <c r="G662" s="45"/>
      <c r="H662" s="20"/>
      <c r="I662" s="20"/>
      <c r="J662" s="20"/>
      <c r="K662" s="20"/>
      <c r="L662" s="21"/>
      <c r="M662" s="33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4" t="str">
        <f>IFERROR(__xludf.DUMMYFUNCTION("IF(Account!$F662&lt;&gt;"""", VALUE(REGEXREPLACE($I662, ""\,"", ""."")), """")"),"")</f>
        <v/>
      </c>
      <c r="O662" s="35" t="str">
        <f>IF(Account!$F662&lt;&gt;"", DATEVALUE(MID($A662,4,3) &amp; LEFT($A662,3) &amp; RIGHT($A662,4)) + TIMEVALUE($B662), "")</f>
        <v/>
      </c>
      <c r="P662" s="36" t="str">
        <f>IF(Account!$F662&lt;&gt;"", DATEVALUE(MID($C662,4,3) &amp; LEFT($C662,3) &amp; RIGHT($C662,4)), "")</f>
        <v/>
      </c>
      <c r="Q662" s="37" t="str">
        <f t="array" ref="Q662">IF($R662&lt;&gt;"",IFERROR(INDEX(ISIN!$B:$B,MATCH($R662,ISIN!$C:$C,0))),)</f>
        <v/>
      </c>
      <c r="R662" s="38" t="str">
        <f t="array" ref="R662">IF($E662&lt;&gt;""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7" t="str">
        <f t="shared" si="1"/>
        <v/>
      </c>
      <c r="T662" s="39" t="str">
        <f t="shared" si="2"/>
        <v/>
      </c>
      <c r="U662" s="40" t="str">
        <f t="shared" si="3"/>
        <v/>
      </c>
      <c r="V662" s="34" t="str">
        <f t="shared" si="4"/>
        <v/>
      </c>
      <c r="W662" s="41" t="str">
        <f>IFERROR(__xludf.DUMMYFUNCTION(" IF(Account!$F662&lt;&gt;"""", SPLIT(Account!$F662, "" ""), """")"),"")</f>
        <v/>
      </c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</row>
    <row r="663">
      <c r="A663" s="20"/>
      <c r="B663" s="20"/>
      <c r="C663" s="20"/>
      <c r="D663" s="20"/>
      <c r="E663" s="20"/>
      <c r="F663" s="21"/>
      <c r="G663" s="20"/>
      <c r="H663" s="20"/>
      <c r="I663" s="20"/>
      <c r="J663" s="20"/>
      <c r="K663" s="20"/>
      <c r="L663" s="21"/>
      <c r="M663" s="33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4" t="str">
        <f>IFERROR(__xludf.DUMMYFUNCTION("IF(Account!$F663&lt;&gt;"""", VALUE(REGEXREPLACE($I663, ""\,"", ""."")), """")"),"")</f>
        <v/>
      </c>
      <c r="O663" s="35" t="str">
        <f>IF(Account!$F663&lt;&gt;"", DATEVALUE(MID($A663,4,3) &amp; LEFT($A663,3) &amp; RIGHT($A663,4)) + TIMEVALUE($B663), "")</f>
        <v/>
      </c>
      <c r="P663" s="36" t="str">
        <f>IF(Account!$F663&lt;&gt;"", DATEVALUE(MID($C663,4,3) &amp; LEFT($C663,3) &amp; RIGHT($C663,4)), "")</f>
        <v/>
      </c>
      <c r="Q663" s="37" t="str">
        <f t="array" ref="Q663">IF($R663&lt;&gt;"",IFERROR(INDEX(ISIN!$B:$B,MATCH($R663,ISIN!$C:$C,0))),)</f>
        <v/>
      </c>
      <c r="R663" s="38" t="str">
        <f t="array" ref="R663">IF($E663&lt;&gt;""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7" t="str">
        <f t="shared" si="1"/>
        <v/>
      </c>
      <c r="T663" s="39" t="str">
        <f t="shared" si="2"/>
        <v/>
      </c>
      <c r="U663" s="40" t="str">
        <f t="shared" si="3"/>
        <v/>
      </c>
      <c r="V663" s="34" t="str">
        <f t="shared" si="4"/>
        <v/>
      </c>
      <c r="W663" s="41" t="str">
        <f>IFERROR(__xludf.DUMMYFUNCTION(" IF(Account!$F663&lt;&gt;"""", SPLIT(Account!$F663, "" ""), """")"),"")</f>
        <v/>
      </c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</row>
    <row r="664">
      <c r="A664" s="20"/>
      <c r="B664" s="20"/>
      <c r="C664" s="20"/>
      <c r="D664" s="20"/>
      <c r="E664" s="20"/>
      <c r="F664" s="21"/>
      <c r="G664" s="45"/>
      <c r="H664" s="20"/>
      <c r="I664" s="20"/>
      <c r="J664" s="20"/>
      <c r="K664" s="20"/>
      <c r="L664" s="21"/>
      <c r="M664" s="33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4" t="str">
        <f>IFERROR(__xludf.DUMMYFUNCTION("IF(Account!$F664&lt;&gt;"""", VALUE(REGEXREPLACE($I664, ""\,"", ""."")), """")"),"")</f>
        <v/>
      </c>
      <c r="O664" s="35" t="str">
        <f>IF(Account!$F664&lt;&gt;"", DATEVALUE(MID($A664,4,3) &amp; LEFT($A664,3) &amp; RIGHT($A664,4)) + TIMEVALUE($B664), "")</f>
        <v/>
      </c>
      <c r="P664" s="36" t="str">
        <f>IF(Account!$F664&lt;&gt;"", DATEVALUE(MID($C664,4,3) &amp; LEFT($C664,3) &amp; RIGHT($C664,4)), "")</f>
        <v/>
      </c>
      <c r="Q664" s="37" t="str">
        <f t="array" ref="Q664">IF($R664&lt;&gt;"",IFERROR(INDEX(ISIN!$B:$B,MATCH($R664,ISIN!$C:$C,0))),)</f>
        <v/>
      </c>
      <c r="R664" s="38" t="str">
        <f t="array" ref="R664">IF($E664&lt;&gt;""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7" t="str">
        <f t="shared" si="1"/>
        <v/>
      </c>
      <c r="T664" s="39" t="str">
        <f t="shared" si="2"/>
        <v/>
      </c>
      <c r="U664" s="40" t="str">
        <f t="shared" si="3"/>
        <v/>
      </c>
      <c r="V664" s="34" t="str">
        <f t="shared" si="4"/>
        <v/>
      </c>
      <c r="W664" s="41" t="str">
        <f>IFERROR(__xludf.DUMMYFUNCTION(" IF(Account!$F664&lt;&gt;"""", SPLIT(Account!$F664, "" ""), """")"),"")</f>
        <v/>
      </c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</row>
    <row r="665">
      <c r="A665" s="20"/>
      <c r="B665" s="20"/>
      <c r="C665" s="20"/>
      <c r="D665" s="20"/>
      <c r="E665" s="20"/>
      <c r="F665" s="21"/>
      <c r="G665" s="45"/>
      <c r="H665" s="20"/>
      <c r="I665" s="20"/>
      <c r="J665" s="20"/>
      <c r="K665" s="20"/>
      <c r="L665" s="21"/>
      <c r="M665" s="33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4" t="str">
        <f>IFERROR(__xludf.DUMMYFUNCTION("IF(Account!$F665&lt;&gt;"""", VALUE(REGEXREPLACE($I665, ""\,"", ""."")), """")"),"")</f>
        <v/>
      </c>
      <c r="O665" s="35" t="str">
        <f>IF(Account!$F665&lt;&gt;"", DATEVALUE(MID($A665,4,3) &amp; LEFT($A665,3) &amp; RIGHT($A665,4)) + TIMEVALUE($B665), "")</f>
        <v/>
      </c>
      <c r="P665" s="36" t="str">
        <f>IF(Account!$F665&lt;&gt;"", DATEVALUE(MID($C665,4,3) &amp; LEFT($C665,3) &amp; RIGHT($C665,4)), "")</f>
        <v/>
      </c>
      <c r="Q665" s="37" t="str">
        <f t="array" ref="Q665">IF($R665&lt;&gt;"",IFERROR(INDEX(ISIN!$B:$B,MATCH($R665,ISIN!$C:$C,0))),)</f>
        <v/>
      </c>
      <c r="R665" s="38" t="str">
        <f t="array" ref="R665">IF($E665&lt;&gt;""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7" t="str">
        <f t="shared" si="1"/>
        <v/>
      </c>
      <c r="T665" s="39" t="str">
        <f t="shared" si="2"/>
        <v/>
      </c>
      <c r="U665" s="40" t="str">
        <f t="shared" si="3"/>
        <v/>
      </c>
      <c r="V665" s="34" t="str">
        <f t="shared" si="4"/>
        <v/>
      </c>
      <c r="W665" s="41" t="str">
        <f>IFERROR(__xludf.DUMMYFUNCTION(" IF(Account!$F665&lt;&gt;"""", SPLIT(Account!$F665, "" ""), """")"),"")</f>
        <v/>
      </c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</row>
    <row r="666">
      <c r="A666" s="45"/>
      <c r="B666" s="45"/>
      <c r="C666" s="45"/>
      <c r="D666" s="45"/>
      <c r="E666" s="45"/>
      <c r="F666" s="46"/>
      <c r="G666" s="45"/>
      <c r="H666" s="45"/>
      <c r="I666" s="45"/>
      <c r="J666" s="45"/>
      <c r="K666" s="45"/>
      <c r="L666" s="21"/>
      <c r="M666" s="33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4" t="str">
        <f>IFERROR(__xludf.DUMMYFUNCTION("IF(Account!$F666&lt;&gt;"""", VALUE(REGEXREPLACE($I666, ""\,"", ""."")), """")"),"")</f>
        <v/>
      </c>
      <c r="O666" s="35" t="str">
        <f>IF(Account!$F666&lt;&gt;"", DATEVALUE(MID($A666,4,3) &amp; LEFT($A666,3) &amp; RIGHT($A666,4)) + TIMEVALUE($B666), "")</f>
        <v/>
      </c>
      <c r="P666" s="36" t="str">
        <f>IF(Account!$F666&lt;&gt;"", DATEVALUE(MID($C666,4,3) &amp; LEFT($C666,3) &amp; RIGHT($C666,4)), "")</f>
        <v/>
      </c>
      <c r="Q666" s="37" t="str">
        <f t="array" ref="Q666">IF($R666&lt;&gt;"",IFERROR(INDEX(ISIN!$B:$B,MATCH($R666,ISIN!$C:$C,0))),)</f>
        <v/>
      </c>
      <c r="R666" s="38" t="str">
        <f t="array" ref="R666">IF($E666&lt;&gt;""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7" t="str">
        <f t="shared" si="1"/>
        <v/>
      </c>
      <c r="T666" s="39" t="str">
        <f t="shared" si="2"/>
        <v/>
      </c>
      <c r="U666" s="40" t="str">
        <f t="shared" si="3"/>
        <v/>
      </c>
      <c r="V666" s="34" t="str">
        <f t="shared" si="4"/>
        <v/>
      </c>
      <c r="W666" s="41" t="str">
        <f>IFERROR(__xludf.DUMMYFUNCTION(" IF(Account!$F666&lt;&gt;"""", SPLIT(Account!$F666, "" ""), """")"),"")</f>
        <v/>
      </c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</row>
    <row r="667">
      <c r="A667" s="20"/>
      <c r="B667" s="20"/>
      <c r="C667" s="20"/>
      <c r="D667" s="20"/>
      <c r="E667" s="20"/>
      <c r="F667" s="21"/>
      <c r="G667" s="45"/>
      <c r="H667" s="20"/>
      <c r="I667" s="20"/>
      <c r="J667" s="20"/>
      <c r="K667" s="20"/>
      <c r="L667" s="21"/>
      <c r="M667" s="33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4" t="str">
        <f>IFERROR(__xludf.DUMMYFUNCTION("IF(Account!$F667&lt;&gt;"""", VALUE(REGEXREPLACE($I667, ""\,"", ""."")), """")"),"")</f>
        <v/>
      </c>
      <c r="O667" s="35" t="str">
        <f>IF(Account!$F667&lt;&gt;"", DATEVALUE(MID($A667,4,3) &amp; LEFT($A667,3) &amp; RIGHT($A667,4)) + TIMEVALUE($B667), "")</f>
        <v/>
      </c>
      <c r="P667" s="36" t="str">
        <f>IF(Account!$F667&lt;&gt;"", DATEVALUE(MID($C667,4,3) &amp; LEFT($C667,3) &amp; RIGHT($C667,4)), "")</f>
        <v/>
      </c>
      <c r="Q667" s="37" t="str">
        <f t="array" ref="Q667">IF($R667&lt;&gt;"",IFERROR(INDEX(ISIN!$B:$B,MATCH($R667,ISIN!$C:$C,0))),)</f>
        <v/>
      </c>
      <c r="R667" s="38" t="str">
        <f t="array" ref="R667">IF($E667&lt;&gt;""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7" t="str">
        <f t="shared" si="1"/>
        <v/>
      </c>
      <c r="T667" s="39" t="str">
        <f t="shared" si="2"/>
        <v/>
      </c>
      <c r="U667" s="40" t="str">
        <f t="shared" si="3"/>
        <v/>
      </c>
      <c r="V667" s="34" t="str">
        <f t="shared" si="4"/>
        <v/>
      </c>
      <c r="W667" s="41" t="str">
        <f>IFERROR(__xludf.DUMMYFUNCTION(" IF(Account!$F667&lt;&gt;"""", SPLIT(Account!$F667, "" ""), """")"),"")</f>
        <v/>
      </c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</row>
    <row r="668">
      <c r="A668" s="20"/>
      <c r="B668" s="20"/>
      <c r="C668" s="20"/>
      <c r="D668" s="20"/>
      <c r="E668" s="20"/>
      <c r="F668" s="21"/>
      <c r="G668" s="45"/>
      <c r="H668" s="20"/>
      <c r="I668" s="20"/>
      <c r="J668" s="20"/>
      <c r="K668" s="20"/>
      <c r="L668" s="21"/>
      <c r="M668" s="33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4" t="str">
        <f>IFERROR(__xludf.DUMMYFUNCTION("IF(Account!$F668&lt;&gt;"""", VALUE(REGEXREPLACE($I668, ""\,"", ""."")), """")"),"")</f>
        <v/>
      </c>
      <c r="O668" s="35" t="str">
        <f>IF(Account!$F668&lt;&gt;"", DATEVALUE(MID($A668,4,3) &amp; LEFT($A668,3) &amp; RIGHT($A668,4)) + TIMEVALUE($B668), "")</f>
        <v/>
      </c>
      <c r="P668" s="36" t="str">
        <f>IF(Account!$F668&lt;&gt;"", DATEVALUE(MID($C668,4,3) &amp; LEFT($C668,3) &amp; RIGHT($C668,4)), "")</f>
        <v/>
      </c>
      <c r="Q668" s="37" t="str">
        <f t="array" ref="Q668">IF($R668&lt;&gt;"",IFERROR(INDEX(ISIN!$B:$B,MATCH($R668,ISIN!$C:$C,0))),)</f>
        <v/>
      </c>
      <c r="R668" s="38" t="str">
        <f t="array" ref="R668">IF($E668&lt;&gt;""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7" t="str">
        <f t="shared" si="1"/>
        <v/>
      </c>
      <c r="T668" s="39" t="str">
        <f t="shared" si="2"/>
        <v/>
      </c>
      <c r="U668" s="40" t="str">
        <f t="shared" si="3"/>
        <v/>
      </c>
      <c r="V668" s="34" t="str">
        <f t="shared" si="4"/>
        <v/>
      </c>
      <c r="W668" s="41" t="str">
        <f>IFERROR(__xludf.DUMMYFUNCTION(" IF(Account!$F668&lt;&gt;"""", SPLIT(Account!$F668, "" ""), """")"),"")</f>
        <v/>
      </c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</row>
    <row r="669">
      <c r="A669" s="20"/>
      <c r="B669" s="20"/>
      <c r="C669" s="20"/>
      <c r="D669" s="20"/>
      <c r="E669" s="20"/>
      <c r="F669" s="21"/>
      <c r="G669" s="45"/>
      <c r="H669" s="20"/>
      <c r="I669" s="20"/>
      <c r="J669" s="20"/>
      <c r="K669" s="20"/>
      <c r="L669" s="21"/>
      <c r="M669" s="33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4" t="str">
        <f>IFERROR(__xludf.DUMMYFUNCTION("IF(Account!$F669&lt;&gt;"""", VALUE(REGEXREPLACE($I669, ""\,"", ""."")), """")"),"")</f>
        <v/>
      </c>
      <c r="O669" s="35" t="str">
        <f>IF(Account!$F669&lt;&gt;"", DATEVALUE(MID($A669,4,3) &amp; LEFT($A669,3) &amp; RIGHT($A669,4)) + TIMEVALUE($B669), "")</f>
        <v/>
      </c>
      <c r="P669" s="36" t="str">
        <f>IF(Account!$F669&lt;&gt;"", DATEVALUE(MID($C669,4,3) &amp; LEFT($C669,3) &amp; RIGHT($C669,4)), "")</f>
        <v/>
      </c>
      <c r="Q669" s="37" t="str">
        <f t="array" ref="Q669">IF($R669&lt;&gt;"",IFERROR(INDEX(ISIN!$B:$B,MATCH($R669,ISIN!$C:$C,0))),)</f>
        <v/>
      </c>
      <c r="R669" s="38" t="str">
        <f t="array" ref="R669">IF($E669&lt;&gt;""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7" t="str">
        <f t="shared" si="1"/>
        <v/>
      </c>
      <c r="T669" s="39" t="str">
        <f t="shared" si="2"/>
        <v/>
      </c>
      <c r="U669" s="40" t="str">
        <f t="shared" si="3"/>
        <v/>
      </c>
      <c r="V669" s="34" t="str">
        <f t="shared" si="4"/>
        <v/>
      </c>
      <c r="W669" s="41" t="str">
        <f>IFERROR(__xludf.DUMMYFUNCTION(" IF(Account!$F669&lt;&gt;"""", SPLIT(Account!$F669, "" ""), """")"),"")</f>
        <v/>
      </c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</row>
    <row r="670">
      <c r="A670" s="20"/>
      <c r="B670" s="20"/>
      <c r="C670" s="20"/>
      <c r="D670" s="20"/>
      <c r="E670" s="20"/>
      <c r="F670" s="21"/>
      <c r="G670" s="45"/>
      <c r="H670" s="20"/>
      <c r="I670" s="20"/>
      <c r="J670" s="20"/>
      <c r="K670" s="20"/>
      <c r="L670" s="21"/>
      <c r="M670" s="33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4" t="str">
        <f>IFERROR(__xludf.DUMMYFUNCTION("IF(Account!$F670&lt;&gt;"""", VALUE(REGEXREPLACE($I670, ""\,"", ""."")), """")"),"")</f>
        <v/>
      </c>
      <c r="O670" s="35" t="str">
        <f>IF(Account!$F670&lt;&gt;"", DATEVALUE(MID($A670,4,3) &amp; LEFT($A670,3) &amp; RIGHT($A670,4)) + TIMEVALUE($B670), "")</f>
        <v/>
      </c>
      <c r="P670" s="36" t="str">
        <f>IF(Account!$F670&lt;&gt;"", DATEVALUE(MID($C670,4,3) &amp; LEFT($C670,3) &amp; RIGHT($C670,4)), "")</f>
        <v/>
      </c>
      <c r="Q670" s="37" t="str">
        <f t="array" ref="Q670">IF($R670&lt;&gt;"",IFERROR(INDEX(ISIN!$B:$B,MATCH($R670,ISIN!$C:$C,0))),)</f>
        <v/>
      </c>
      <c r="R670" s="38" t="str">
        <f t="array" ref="R670">IF($E670&lt;&gt;""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7" t="str">
        <f t="shared" si="1"/>
        <v/>
      </c>
      <c r="T670" s="39" t="str">
        <f t="shared" si="2"/>
        <v/>
      </c>
      <c r="U670" s="40" t="str">
        <f t="shared" si="3"/>
        <v/>
      </c>
      <c r="V670" s="34" t="str">
        <f t="shared" si="4"/>
        <v/>
      </c>
      <c r="W670" s="41" t="str">
        <f>IFERROR(__xludf.DUMMYFUNCTION(" IF(Account!$F670&lt;&gt;"""", SPLIT(Account!$F670, "" ""), """")"),"")</f>
        <v/>
      </c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</row>
    <row r="671">
      <c r="A671" s="20"/>
      <c r="B671" s="20"/>
      <c r="C671" s="20"/>
      <c r="D671" s="20"/>
      <c r="E671" s="20"/>
      <c r="F671" s="21"/>
      <c r="G671" s="45"/>
      <c r="H671" s="20"/>
      <c r="I671" s="20"/>
      <c r="J671" s="20"/>
      <c r="K671" s="20"/>
      <c r="L671" s="21"/>
      <c r="M671" s="33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4" t="str">
        <f>IFERROR(__xludf.DUMMYFUNCTION("IF(Account!$F671&lt;&gt;"""", VALUE(REGEXREPLACE($I671, ""\,"", ""."")), """")"),"")</f>
        <v/>
      </c>
      <c r="O671" s="35" t="str">
        <f>IF(Account!$F671&lt;&gt;"", DATEVALUE(MID($A671,4,3) &amp; LEFT($A671,3) &amp; RIGHT($A671,4)) + TIMEVALUE($B671), "")</f>
        <v/>
      </c>
      <c r="P671" s="36" t="str">
        <f>IF(Account!$F671&lt;&gt;"", DATEVALUE(MID($C671,4,3) &amp; LEFT($C671,3) &amp; RIGHT($C671,4)), "")</f>
        <v/>
      </c>
      <c r="Q671" s="37" t="str">
        <f t="array" ref="Q671">IF($R671&lt;&gt;"",IFERROR(INDEX(ISIN!$B:$B,MATCH($R671,ISIN!$C:$C,0))),)</f>
        <v/>
      </c>
      <c r="R671" s="38" t="str">
        <f t="array" ref="R671">IF($E671&lt;&gt;""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7" t="str">
        <f t="shared" si="1"/>
        <v/>
      </c>
      <c r="T671" s="39" t="str">
        <f t="shared" si="2"/>
        <v/>
      </c>
      <c r="U671" s="40" t="str">
        <f t="shared" si="3"/>
        <v/>
      </c>
      <c r="V671" s="34" t="str">
        <f t="shared" si="4"/>
        <v/>
      </c>
      <c r="W671" s="41" t="str">
        <f>IFERROR(__xludf.DUMMYFUNCTION(" IF(Account!$F671&lt;&gt;"""", SPLIT(Account!$F671, "" ""), """")"),"")</f>
        <v/>
      </c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</row>
    <row r="672">
      <c r="A672" s="20"/>
      <c r="B672" s="20"/>
      <c r="C672" s="20"/>
      <c r="D672" s="20"/>
      <c r="E672" s="20"/>
      <c r="F672" s="21"/>
      <c r="G672" s="45"/>
      <c r="H672" s="20"/>
      <c r="I672" s="20"/>
      <c r="J672" s="20"/>
      <c r="K672" s="20"/>
      <c r="L672" s="21"/>
      <c r="M672" s="33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4" t="str">
        <f>IFERROR(__xludf.DUMMYFUNCTION("IF(Account!$F672&lt;&gt;"""", VALUE(REGEXREPLACE($I672, ""\,"", ""."")), """")"),"")</f>
        <v/>
      </c>
      <c r="O672" s="35" t="str">
        <f>IF(Account!$F672&lt;&gt;"", DATEVALUE(MID($A672,4,3) &amp; LEFT($A672,3) &amp; RIGHT($A672,4)) + TIMEVALUE($B672), "")</f>
        <v/>
      </c>
      <c r="P672" s="36" t="str">
        <f>IF(Account!$F672&lt;&gt;"", DATEVALUE(MID($C672,4,3) &amp; LEFT($C672,3) &amp; RIGHT($C672,4)), "")</f>
        <v/>
      </c>
      <c r="Q672" s="37" t="str">
        <f t="array" ref="Q672">IF($R672&lt;&gt;"",IFERROR(INDEX(ISIN!$B:$B,MATCH($R672,ISIN!$C:$C,0))),)</f>
        <v/>
      </c>
      <c r="R672" s="38" t="str">
        <f t="array" ref="R672">IF($E672&lt;&gt;""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7" t="str">
        <f t="shared" si="1"/>
        <v/>
      </c>
      <c r="T672" s="39" t="str">
        <f t="shared" si="2"/>
        <v/>
      </c>
      <c r="U672" s="40" t="str">
        <f t="shared" si="3"/>
        <v/>
      </c>
      <c r="V672" s="34" t="str">
        <f t="shared" si="4"/>
        <v/>
      </c>
      <c r="W672" s="41" t="str">
        <f>IFERROR(__xludf.DUMMYFUNCTION(" IF(Account!$F672&lt;&gt;"""", SPLIT(Account!$F672, "" ""), """")"),"")</f>
        <v/>
      </c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</row>
    <row r="673">
      <c r="A673" s="20"/>
      <c r="B673" s="20"/>
      <c r="C673" s="20"/>
      <c r="D673" s="20"/>
      <c r="E673" s="20"/>
      <c r="F673" s="21"/>
      <c r="G673" s="20"/>
      <c r="H673" s="20"/>
      <c r="I673" s="20"/>
      <c r="J673" s="20"/>
      <c r="K673" s="20"/>
      <c r="L673" s="21"/>
      <c r="M673" s="33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4" t="str">
        <f>IFERROR(__xludf.DUMMYFUNCTION("IF(Account!$F673&lt;&gt;"""", VALUE(REGEXREPLACE($I673, ""\,"", ""."")), """")"),"")</f>
        <v/>
      </c>
      <c r="O673" s="35" t="str">
        <f>IF(Account!$F673&lt;&gt;"", DATEVALUE(MID($A673,4,3) &amp; LEFT($A673,3) &amp; RIGHT($A673,4)) + TIMEVALUE($B673), "")</f>
        <v/>
      </c>
      <c r="P673" s="36" t="str">
        <f>IF(Account!$F673&lt;&gt;"", DATEVALUE(MID($C673,4,3) &amp; LEFT($C673,3) &amp; RIGHT($C673,4)), "")</f>
        <v/>
      </c>
      <c r="Q673" s="37" t="str">
        <f t="array" ref="Q673">IF($R673&lt;&gt;"",IFERROR(INDEX(ISIN!$B:$B,MATCH($R673,ISIN!$C:$C,0))),)</f>
        <v/>
      </c>
      <c r="R673" s="38" t="str">
        <f t="array" ref="R673">IF($E673&lt;&gt;""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7" t="str">
        <f t="shared" si="1"/>
        <v/>
      </c>
      <c r="T673" s="39" t="str">
        <f t="shared" si="2"/>
        <v/>
      </c>
      <c r="U673" s="40" t="str">
        <f t="shared" si="3"/>
        <v/>
      </c>
      <c r="V673" s="34" t="str">
        <f t="shared" si="4"/>
        <v/>
      </c>
      <c r="W673" s="41" t="str">
        <f>IFERROR(__xludf.DUMMYFUNCTION(" IF(Account!$F673&lt;&gt;"""", SPLIT(Account!$F673, "" ""), """")"),"")</f>
        <v/>
      </c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</row>
    <row r="674">
      <c r="A674" s="20"/>
      <c r="B674" s="20"/>
      <c r="C674" s="20"/>
      <c r="D674" s="20"/>
      <c r="E674" s="20"/>
      <c r="F674" s="21"/>
      <c r="G674" s="45"/>
      <c r="H674" s="20"/>
      <c r="I674" s="20"/>
      <c r="J674" s="20"/>
      <c r="K674" s="20"/>
      <c r="L674" s="21"/>
      <c r="M674" s="33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4" t="str">
        <f>IFERROR(__xludf.DUMMYFUNCTION("IF(Account!$F674&lt;&gt;"""", VALUE(REGEXREPLACE($I674, ""\,"", ""."")), """")"),"")</f>
        <v/>
      </c>
      <c r="O674" s="35" t="str">
        <f>IF(Account!$F674&lt;&gt;"", DATEVALUE(MID($A674,4,3) &amp; LEFT($A674,3) &amp; RIGHT($A674,4)) + TIMEVALUE($B674), "")</f>
        <v/>
      </c>
      <c r="P674" s="36" t="str">
        <f>IF(Account!$F674&lt;&gt;"", DATEVALUE(MID($C674,4,3) &amp; LEFT($C674,3) &amp; RIGHT($C674,4)), "")</f>
        <v/>
      </c>
      <c r="Q674" s="37" t="str">
        <f t="array" ref="Q674">IF($R674&lt;&gt;"",IFERROR(INDEX(ISIN!$B:$B,MATCH($R674,ISIN!$C:$C,0))),)</f>
        <v/>
      </c>
      <c r="R674" s="38" t="str">
        <f t="array" ref="R674">IF($E674&lt;&gt;""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7" t="str">
        <f t="shared" si="1"/>
        <v/>
      </c>
      <c r="T674" s="39" t="str">
        <f t="shared" si="2"/>
        <v/>
      </c>
      <c r="U674" s="40" t="str">
        <f t="shared" si="3"/>
        <v/>
      </c>
      <c r="V674" s="34" t="str">
        <f t="shared" si="4"/>
        <v/>
      </c>
      <c r="W674" s="41" t="str">
        <f>IFERROR(__xludf.DUMMYFUNCTION(" IF(Account!$F674&lt;&gt;"""", SPLIT(Account!$F674, "" ""), """")"),"")</f>
        <v/>
      </c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</row>
    <row r="675">
      <c r="A675" s="20"/>
      <c r="B675" s="20"/>
      <c r="C675" s="20"/>
      <c r="D675" s="20"/>
      <c r="E675" s="20"/>
      <c r="F675" s="21"/>
      <c r="G675" s="20"/>
      <c r="H675" s="20"/>
      <c r="I675" s="20"/>
      <c r="J675" s="20"/>
      <c r="K675" s="20"/>
      <c r="L675" s="21"/>
      <c r="M675" s="33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4" t="str">
        <f>IFERROR(__xludf.DUMMYFUNCTION("IF(Account!$F675&lt;&gt;"""", VALUE(REGEXREPLACE($I675, ""\,"", ""."")), """")"),"")</f>
        <v/>
      </c>
      <c r="O675" s="35" t="str">
        <f>IF(Account!$F675&lt;&gt;"", DATEVALUE(MID($A675,4,3) &amp; LEFT($A675,3) &amp; RIGHT($A675,4)) + TIMEVALUE($B675), "")</f>
        <v/>
      </c>
      <c r="P675" s="36" t="str">
        <f>IF(Account!$F675&lt;&gt;"", DATEVALUE(MID($C675,4,3) &amp; LEFT($C675,3) &amp; RIGHT($C675,4)), "")</f>
        <v/>
      </c>
      <c r="Q675" s="37" t="str">
        <f t="array" ref="Q675">IF($R675&lt;&gt;"",IFERROR(INDEX(ISIN!$B:$B,MATCH($R675,ISIN!$C:$C,0))),)</f>
        <v/>
      </c>
      <c r="R675" s="38" t="str">
        <f t="array" ref="R675">IF($E675&lt;&gt;""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7" t="str">
        <f t="shared" si="1"/>
        <v/>
      </c>
      <c r="T675" s="39" t="str">
        <f t="shared" si="2"/>
        <v/>
      </c>
      <c r="U675" s="40" t="str">
        <f t="shared" si="3"/>
        <v/>
      </c>
      <c r="V675" s="34" t="str">
        <f t="shared" si="4"/>
        <v/>
      </c>
      <c r="W675" s="41" t="str">
        <f>IFERROR(__xludf.DUMMYFUNCTION(" IF(Account!$F675&lt;&gt;"""", SPLIT(Account!$F675, "" ""), """")"),"")</f>
        <v/>
      </c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</row>
    <row r="676">
      <c r="A676" s="20"/>
      <c r="B676" s="20"/>
      <c r="C676" s="20"/>
      <c r="D676" s="20"/>
      <c r="E676" s="20"/>
      <c r="F676" s="21"/>
      <c r="G676" s="45"/>
      <c r="H676" s="20"/>
      <c r="I676" s="20"/>
      <c r="J676" s="20"/>
      <c r="K676" s="20"/>
      <c r="L676" s="21"/>
      <c r="M676" s="33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4" t="str">
        <f>IFERROR(__xludf.DUMMYFUNCTION("IF(Account!$F676&lt;&gt;"""", VALUE(REGEXREPLACE($I676, ""\,"", ""."")), """")"),"")</f>
        <v/>
      </c>
      <c r="O676" s="35" t="str">
        <f>IF(Account!$F676&lt;&gt;"", DATEVALUE(MID($A676,4,3) &amp; LEFT($A676,3) &amp; RIGHT($A676,4)) + TIMEVALUE($B676), "")</f>
        <v/>
      </c>
      <c r="P676" s="36" t="str">
        <f>IF(Account!$F676&lt;&gt;"", DATEVALUE(MID($C676,4,3) &amp; LEFT($C676,3) &amp; RIGHT($C676,4)), "")</f>
        <v/>
      </c>
      <c r="Q676" s="37" t="str">
        <f t="array" ref="Q676">IF($R676&lt;&gt;"",IFERROR(INDEX(ISIN!$B:$B,MATCH($R676,ISIN!$C:$C,0))),)</f>
        <v/>
      </c>
      <c r="R676" s="38" t="str">
        <f t="array" ref="R676">IF($E676&lt;&gt;""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7" t="str">
        <f t="shared" si="1"/>
        <v/>
      </c>
      <c r="T676" s="39" t="str">
        <f t="shared" si="2"/>
        <v/>
      </c>
      <c r="U676" s="40" t="str">
        <f t="shared" si="3"/>
        <v/>
      </c>
      <c r="V676" s="34" t="str">
        <f t="shared" si="4"/>
        <v/>
      </c>
      <c r="W676" s="41" t="str">
        <f>IFERROR(__xludf.DUMMYFUNCTION(" IF(Account!$F676&lt;&gt;"""", SPLIT(Account!$F676, "" ""), """")"),"")</f>
        <v/>
      </c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</row>
    <row r="677">
      <c r="A677" s="20"/>
      <c r="B677" s="20"/>
      <c r="C677" s="20"/>
      <c r="D677" s="20"/>
      <c r="E677" s="20"/>
      <c r="F677" s="21"/>
      <c r="G677" s="45"/>
      <c r="H677" s="20"/>
      <c r="I677" s="20"/>
      <c r="J677" s="20"/>
      <c r="K677" s="20"/>
      <c r="L677" s="21"/>
      <c r="M677" s="33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4" t="str">
        <f>IFERROR(__xludf.DUMMYFUNCTION("IF(Account!$F677&lt;&gt;"""", VALUE(REGEXREPLACE($I677, ""\,"", ""."")), """")"),"")</f>
        <v/>
      </c>
      <c r="O677" s="35" t="str">
        <f>IF(Account!$F677&lt;&gt;"", DATEVALUE(MID($A677,4,3) &amp; LEFT($A677,3) &amp; RIGHT($A677,4)) + TIMEVALUE($B677), "")</f>
        <v/>
      </c>
      <c r="P677" s="36" t="str">
        <f>IF(Account!$F677&lt;&gt;"", DATEVALUE(MID($C677,4,3) &amp; LEFT($C677,3) &amp; RIGHT($C677,4)), "")</f>
        <v/>
      </c>
      <c r="Q677" s="37" t="str">
        <f t="array" ref="Q677">IF($R677&lt;&gt;"",IFERROR(INDEX(ISIN!$B:$B,MATCH($R677,ISIN!$C:$C,0))),)</f>
        <v/>
      </c>
      <c r="R677" s="38" t="str">
        <f t="array" ref="R677">IF($E677&lt;&gt;""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7" t="str">
        <f t="shared" si="1"/>
        <v/>
      </c>
      <c r="T677" s="39" t="str">
        <f t="shared" si="2"/>
        <v/>
      </c>
      <c r="U677" s="40" t="str">
        <f t="shared" si="3"/>
        <v/>
      </c>
      <c r="V677" s="34" t="str">
        <f t="shared" si="4"/>
        <v/>
      </c>
      <c r="W677" s="41" t="str">
        <f>IFERROR(__xludf.DUMMYFUNCTION(" IF(Account!$F677&lt;&gt;"""", SPLIT(Account!$F677, "" ""), """")"),"")</f>
        <v/>
      </c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</row>
    <row r="678">
      <c r="A678" s="20"/>
      <c r="B678" s="20"/>
      <c r="C678" s="20"/>
      <c r="D678" s="20"/>
      <c r="E678" s="20"/>
      <c r="F678" s="21"/>
      <c r="G678" s="45"/>
      <c r="H678" s="20"/>
      <c r="I678" s="20"/>
      <c r="J678" s="20"/>
      <c r="K678" s="20"/>
      <c r="L678" s="21"/>
      <c r="M678" s="33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4" t="str">
        <f>IFERROR(__xludf.DUMMYFUNCTION("IF(Account!$F678&lt;&gt;"""", VALUE(REGEXREPLACE($I678, ""\,"", ""."")), """")"),"")</f>
        <v/>
      </c>
      <c r="O678" s="35" t="str">
        <f>IF(Account!$F678&lt;&gt;"", DATEVALUE(MID($A678,4,3) &amp; LEFT($A678,3) &amp; RIGHT($A678,4)) + TIMEVALUE($B678), "")</f>
        <v/>
      </c>
      <c r="P678" s="36" t="str">
        <f>IF(Account!$F678&lt;&gt;"", DATEVALUE(MID($C678,4,3) &amp; LEFT($C678,3) &amp; RIGHT($C678,4)), "")</f>
        <v/>
      </c>
      <c r="Q678" s="37" t="str">
        <f t="array" ref="Q678">IF($R678&lt;&gt;"",IFERROR(INDEX(ISIN!$B:$B,MATCH($R678,ISIN!$C:$C,0))),)</f>
        <v/>
      </c>
      <c r="R678" s="38" t="str">
        <f t="array" ref="R678">IF($E678&lt;&gt;""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7" t="str">
        <f t="shared" si="1"/>
        <v/>
      </c>
      <c r="T678" s="39" t="str">
        <f t="shared" si="2"/>
        <v/>
      </c>
      <c r="U678" s="40" t="str">
        <f t="shared" si="3"/>
        <v/>
      </c>
      <c r="V678" s="34" t="str">
        <f t="shared" si="4"/>
        <v/>
      </c>
      <c r="W678" s="41" t="str">
        <f>IFERROR(__xludf.DUMMYFUNCTION(" IF(Account!$F678&lt;&gt;"""", SPLIT(Account!$F678, "" ""), """")"),"")</f>
        <v/>
      </c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</row>
    <row r="679">
      <c r="A679" s="20"/>
      <c r="B679" s="20"/>
      <c r="C679" s="20"/>
      <c r="D679" s="20"/>
      <c r="E679" s="20"/>
      <c r="F679" s="21"/>
      <c r="G679" s="45"/>
      <c r="H679" s="20"/>
      <c r="I679" s="20"/>
      <c r="J679" s="20"/>
      <c r="K679" s="20"/>
      <c r="L679" s="21"/>
      <c r="M679" s="33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4" t="str">
        <f>IFERROR(__xludf.DUMMYFUNCTION("IF(Account!$F679&lt;&gt;"""", VALUE(REGEXREPLACE($I679, ""\,"", ""."")), """")"),"")</f>
        <v/>
      </c>
      <c r="O679" s="35" t="str">
        <f>IF(Account!$F679&lt;&gt;"", DATEVALUE(MID($A679,4,3) &amp; LEFT($A679,3) &amp; RIGHT($A679,4)) + TIMEVALUE($B679), "")</f>
        <v/>
      </c>
      <c r="P679" s="36" t="str">
        <f>IF(Account!$F679&lt;&gt;"", DATEVALUE(MID($C679,4,3) &amp; LEFT($C679,3) &amp; RIGHT($C679,4)), "")</f>
        <v/>
      </c>
      <c r="Q679" s="37" t="str">
        <f t="array" ref="Q679">IF($R679&lt;&gt;"",IFERROR(INDEX(ISIN!$B:$B,MATCH($R679,ISIN!$C:$C,0))),)</f>
        <v/>
      </c>
      <c r="R679" s="38" t="str">
        <f t="array" ref="R679">IF($E679&lt;&gt;""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7" t="str">
        <f t="shared" si="1"/>
        <v/>
      </c>
      <c r="T679" s="39" t="str">
        <f t="shared" si="2"/>
        <v/>
      </c>
      <c r="U679" s="40" t="str">
        <f t="shared" si="3"/>
        <v/>
      </c>
      <c r="V679" s="34" t="str">
        <f t="shared" si="4"/>
        <v/>
      </c>
      <c r="W679" s="41" t="str">
        <f>IFERROR(__xludf.DUMMYFUNCTION(" IF(Account!$F679&lt;&gt;"""", SPLIT(Account!$F679, "" ""), """")"),"")</f>
        <v/>
      </c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</row>
    <row r="680">
      <c r="A680" s="20"/>
      <c r="B680" s="20"/>
      <c r="C680" s="20"/>
      <c r="D680" s="20"/>
      <c r="E680" s="20"/>
      <c r="F680" s="21"/>
      <c r="G680" s="45"/>
      <c r="H680" s="20"/>
      <c r="I680" s="20"/>
      <c r="J680" s="20"/>
      <c r="K680" s="20"/>
      <c r="L680" s="21"/>
      <c r="M680" s="33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4" t="str">
        <f>IFERROR(__xludf.DUMMYFUNCTION("IF(Account!$F680&lt;&gt;"""", VALUE(REGEXREPLACE($I680, ""\,"", ""."")), """")"),"")</f>
        <v/>
      </c>
      <c r="O680" s="35" t="str">
        <f>IF(Account!$F680&lt;&gt;"", DATEVALUE(MID($A680,4,3) &amp; LEFT($A680,3) &amp; RIGHT($A680,4)) + TIMEVALUE($B680), "")</f>
        <v/>
      </c>
      <c r="P680" s="36" t="str">
        <f>IF(Account!$F680&lt;&gt;"", DATEVALUE(MID($C680,4,3) &amp; LEFT($C680,3) &amp; RIGHT($C680,4)), "")</f>
        <v/>
      </c>
      <c r="Q680" s="37" t="str">
        <f t="array" ref="Q680">IF($R680&lt;&gt;"",IFERROR(INDEX(ISIN!$B:$B,MATCH($R680,ISIN!$C:$C,0))),)</f>
        <v/>
      </c>
      <c r="R680" s="38" t="str">
        <f t="array" ref="R680">IF($E680&lt;&gt;""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7" t="str">
        <f t="shared" si="1"/>
        <v/>
      </c>
      <c r="T680" s="39" t="str">
        <f t="shared" si="2"/>
        <v/>
      </c>
      <c r="U680" s="40" t="str">
        <f t="shared" si="3"/>
        <v/>
      </c>
      <c r="V680" s="34" t="str">
        <f t="shared" si="4"/>
        <v/>
      </c>
      <c r="W680" s="41" t="str">
        <f>IFERROR(__xludf.DUMMYFUNCTION(" IF(Account!$F680&lt;&gt;"""", SPLIT(Account!$F680, "" ""), """")"),"")</f>
        <v/>
      </c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</row>
    <row r="681">
      <c r="A681" s="20"/>
      <c r="B681" s="20"/>
      <c r="C681" s="20"/>
      <c r="D681" s="20"/>
      <c r="E681" s="20"/>
      <c r="F681" s="21"/>
      <c r="G681" s="45"/>
      <c r="H681" s="20"/>
      <c r="I681" s="20"/>
      <c r="J681" s="20"/>
      <c r="K681" s="20"/>
      <c r="L681" s="21"/>
      <c r="M681" s="33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4" t="str">
        <f>IFERROR(__xludf.DUMMYFUNCTION("IF(Account!$F681&lt;&gt;"""", VALUE(REGEXREPLACE($I681, ""\,"", ""."")), """")"),"")</f>
        <v/>
      </c>
      <c r="O681" s="35" t="str">
        <f>IF(Account!$F681&lt;&gt;"", DATEVALUE(MID($A681,4,3) &amp; LEFT($A681,3) &amp; RIGHT($A681,4)) + TIMEVALUE($B681), "")</f>
        <v/>
      </c>
      <c r="P681" s="36" t="str">
        <f>IF(Account!$F681&lt;&gt;"", DATEVALUE(MID($C681,4,3) &amp; LEFT($C681,3) &amp; RIGHT($C681,4)), "")</f>
        <v/>
      </c>
      <c r="Q681" s="37" t="str">
        <f t="array" ref="Q681">IF($R681&lt;&gt;"",IFERROR(INDEX(ISIN!$B:$B,MATCH($R681,ISIN!$C:$C,0))),)</f>
        <v/>
      </c>
      <c r="R681" s="38" t="str">
        <f t="array" ref="R681">IF($E681&lt;&gt;""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7" t="str">
        <f t="shared" si="1"/>
        <v/>
      </c>
      <c r="T681" s="39" t="str">
        <f t="shared" si="2"/>
        <v/>
      </c>
      <c r="U681" s="40" t="str">
        <f t="shared" si="3"/>
        <v/>
      </c>
      <c r="V681" s="34" t="str">
        <f t="shared" si="4"/>
        <v/>
      </c>
      <c r="W681" s="41" t="str">
        <f>IFERROR(__xludf.DUMMYFUNCTION(" IF(Account!$F681&lt;&gt;"""", SPLIT(Account!$F681, "" ""), """")"),"")</f>
        <v/>
      </c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</row>
    <row r="682">
      <c r="A682" s="20"/>
      <c r="B682" s="20"/>
      <c r="C682" s="20"/>
      <c r="D682" s="20"/>
      <c r="E682" s="20"/>
      <c r="F682" s="21"/>
      <c r="G682" s="45"/>
      <c r="H682" s="20"/>
      <c r="I682" s="20"/>
      <c r="J682" s="20"/>
      <c r="K682" s="20"/>
      <c r="L682" s="21"/>
      <c r="M682" s="33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4" t="str">
        <f>IFERROR(__xludf.DUMMYFUNCTION("IF(Account!$F682&lt;&gt;"""", VALUE(REGEXREPLACE($I682, ""\,"", ""."")), """")"),"")</f>
        <v/>
      </c>
      <c r="O682" s="35" t="str">
        <f>IF(Account!$F682&lt;&gt;"", DATEVALUE(MID($A682,4,3) &amp; LEFT($A682,3) &amp; RIGHT($A682,4)) + TIMEVALUE($B682), "")</f>
        <v/>
      </c>
      <c r="P682" s="36" t="str">
        <f>IF(Account!$F682&lt;&gt;"", DATEVALUE(MID($C682,4,3) &amp; LEFT($C682,3) &amp; RIGHT($C682,4)), "")</f>
        <v/>
      </c>
      <c r="Q682" s="37" t="str">
        <f t="array" ref="Q682">IF($R682&lt;&gt;"",IFERROR(INDEX(ISIN!$B:$B,MATCH($R682,ISIN!$C:$C,0))),)</f>
        <v/>
      </c>
      <c r="R682" s="38" t="str">
        <f t="array" ref="R682">IF($E682&lt;&gt;""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7" t="str">
        <f t="shared" si="1"/>
        <v/>
      </c>
      <c r="T682" s="39" t="str">
        <f t="shared" si="2"/>
        <v/>
      </c>
      <c r="U682" s="40" t="str">
        <f t="shared" si="3"/>
        <v/>
      </c>
      <c r="V682" s="34" t="str">
        <f t="shared" si="4"/>
        <v/>
      </c>
      <c r="W682" s="41" t="str">
        <f>IFERROR(__xludf.DUMMYFUNCTION(" IF(Account!$F682&lt;&gt;"""", SPLIT(Account!$F682, "" ""), """")"),"")</f>
        <v/>
      </c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</row>
    <row r="683">
      <c r="A683" s="20"/>
      <c r="B683" s="20"/>
      <c r="C683" s="20"/>
      <c r="D683" s="20"/>
      <c r="E683" s="20"/>
      <c r="F683" s="21"/>
      <c r="G683" s="45"/>
      <c r="H683" s="20"/>
      <c r="I683" s="20"/>
      <c r="J683" s="20"/>
      <c r="K683" s="20"/>
      <c r="L683" s="21"/>
      <c r="M683" s="33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4" t="str">
        <f>IFERROR(__xludf.DUMMYFUNCTION("IF(Account!$F683&lt;&gt;"""", VALUE(REGEXREPLACE($I683, ""\,"", ""."")), """")"),"")</f>
        <v/>
      </c>
      <c r="O683" s="35" t="str">
        <f>IF(Account!$F683&lt;&gt;"", DATEVALUE(MID($A683,4,3) &amp; LEFT($A683,3) &amp; RIGHT($A683,4)) + TIMEVALUE($B683), "")</f>
        <v/>
      </c>
      <c r="P683" s="36" t="str">
        <f>IF(Account!$F683&lt;&gt;"", DATEVALUE(MID($C683,4,3) &amp; LEFT($C683,3) &amp; RIGHT($C683,4)), "")</f>
        <v/>
      </c>
      <c r="Q683" s="37" t="str">
        <f t="array" ref="Q683">IF($R683&lt;&gt;"",IFERROR(INDEX(ISIN!$B:$B,MATCH($R683,ISIN!$C:$C,0))),)</f>
        <v/>
      </c>
      <c r="R683" s="38" t="str">
        <f t="array" ref="R683">IF($E683&lt;&gt;""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7" t="str">
        <f t="shared" si="1"/>
        <v/>
      </c>
      <c r="T683" s="39" t="str">
        <f t="shared" si="2"/>
        <v/>
      </c>
      <c r="U683" s="40" t="str">
        <f t="shared" si="3"/>
        <v/>
      </c>
      <c r="V683" s="34" t="str">
        <f t="shared" si="4"/>
        <v/>
      </c>
      <c r="W683" s="41" t="str">
        <f>IFERROR(__xludf.DUMMYFUNCTION(" IF(Account!$F683&lt;&gt;"""", SPLIT(Account!$F683, "" ""), """")"),"")</f>
        <v/>
      </c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</row>
    <row r="684">
      <c r="A684" s="20"/>
      <c r="B684" s="20"/>
      <c r="C684" s="20"/>
      <c r="D684" s="20"/>
      <c r="E684" s="20"/>
      <c r="F684" s="21"/>
      <c r="G684" s="45"/>
      <c r="H684" s="20"/>
      <c r="I684" s="20"/>
      <c r="J684" s="20"/>
      <c r="K684" s="20"/>
      <c r="L684" s="21"/>
      <c r="M684" s="33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4" t="str">
        <f>IFERROR(__xludf.DUMMYFUNCTION("IF(Account!$F684&lt;&gt;"""", VALUE(REGEXREPLACE($I684, ""\,"", ""."")), """")"),"")</f>
        <v/>
      </c>
      <c r="O684" s="35" t="str">
        <f>IF(Account!$F684&lt;&gt;"", DATEVALUE(MID($A684,4,3) &amp; LEFT($A684,3) &amp; RIGHT($A684,4)) + TIMEVALUE($B684), "")</f>
        <v/>
      </c>
      <c r="P684" s="36" t="str">
        <f>IF(Account!$F684&lt;&gt;"", DATEVALUE(MID($C684,4,3) &amp; LEFT($C684,3) &amp; RIGHT($C684,4)), "")</f>
        <v/>
      </c>
      <c r="Q684" s="37" t="str">
        <f t="array" ref="Q684">IF($R684&lt;&gt;"",IFERROR(INDEX(ISIN!$B:$B,MATCH($R684,ISIN!$C:$C,0))),)</f>
        <v/>
      </c>
      <c r="R684" s="38" t="str">
        <f t="array" ref="R684">IF($E684&lt;&gt;""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7" t="str">
        <f t="shared" si="1"/>
        <v/>
      </c>
      <c r="T684" s="39" t="str">
        <f t="shared" si="2"/>
        <v/>
      </c>
      <c r="U684" s="40" t="str">
        <f t="shared" si="3"/>
        <v/>
      </c>
      <c r="V684" s="34" t="str">
        <f t="shared" si="4"/>
        <v/>
      </c>
      <c r="W684" s="41" t="str">
        <f>IFERROR(__xludf.DUMMYFUNCTION(" IF(Account!$F684&lt;&gt;"""", SPLIT(Account!$F684, "" ""), """")"),"")</f>
        <v/>
      </c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</row>
    <row r="685">
      <c r="A685" s="20"/>
      <c r="B685" s="20"/>
      <c r="C685" s="20"/>
      <c r="D685" s="20"/>
      <c r="E685" s="20"/>
      <c r="F685" s="21"/>
      <c r="G685" s="45"/>
      <c r="H685" s="20"/>
      <c r="I685" s="20"/>
      <c r="J685" s="20"/>
      <c r="K685" s="20"/>
      <c r="L685" s="21"/>
      <c r="M685" s="33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4" t="str">
        <f>IFERROR(__xludf.DUMMYFUNCTION("IF(Account!$F685&lt;&gt;"""", VALUE(REGEXREPLACE($I685, ""\,"", ""."")), """")"),"")</f>
        <v/>
      </c>
      <c r="O685" s="35" t="str">
        <f>IF(Account!$F685&lt;&gt;"", DATEVALUE(MID($A685,4,3) &amp; LEFT($A685,3) &amp; RIGHT($A685,4)) + TIMEVALUE($B685), "")</f>
        <v/>
      </c>
      <c r="P685" s="36" t="str">
        <f>IF(Account!$F685&lt;&gt;"", DATEVALUE(MID($C685,4,3) &amp; LEFT($C685,3) &amp; RIGHT($C685,4)), "")</f>
        <v/>
      </c>
      <c r="Q685" s="37" t="str">
        <f t="array" ref="Q685">IF($R685&lt;&gt;"",IFERROR(INDEX(ISIN!$B:$B,MATCH($R685,ISIN!$C:$C,0))),)</f>
        <v/>
      </c>
      <c r="R685" s="38" t="str">
        <f t="array" ref="R685">IF($E685&lt;&gt;""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7" t="str">
        <f t="shared" si="1"/>
        <v/>
      </c>
      <c r="T685" s="39" t="str">
        <f t="shared" si="2"/>
        <v/>
      </c>
      <c r="U685" s="40" t="str">
        <f t="shared" si="3"/>
        <v/>
      </c>
      <c r="V685" s="34" t="str">
        <f t="shared" si="4"/>
        <v/>
      </c>
      <c r="W685" s="41" t="str">
        <f>IFERROR(__xludf.DUMMYFUNCTION(" IF(Account!$F685&lt;&gt;"""", SPLIT(Account!$F685, "" ""), """")"),"")</f>
        <v/>
      </c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</row>
    <row r="686">
      <c r="A686" s="20"/>
      <c r="B686" s="20"/>
      <c r="C686" s="20"/>
      <c r="D686" s="20"/>
      <c r="E686" s="20"/>
      <c r="F686" s="21"/>
      <c r="G686" s="45"/>
      <c r="H686" s="20"/>
      <c r="I686" s="20"/>
      <c r="J686" s="20"/>
      <c r="K686" s="20"/>
      <c r="L686" s="21"/>
      <c r="M686" s="33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4" t="str">
        <f>IFERROR(__xludf.DUMMYFUNCTION("IF(Account!$F686&lt;&gt;"""", VALUE(REGEXREPLACE($I686, ""\,"", ""."")), """")"),"")</f>
        <v/>
      </c>
      <c r="O686" s="35" t="str">
        <f>IF(Account!$F686&lt;&gt;"", DATEVALUE(MID($A686,4,3) &amp; LEFT($A686,3) &amp; RIGHT($A686,4)) + TIMEVALUE($B686), "")</f>
        <v/>
      </c>
      <c r="P686" s="36" t="str">
        <f>IF(Account!$F686&lt;&gt;"", DATEVALUE(MID($C686,4,3) &amp; LEFT($C686,3) &amp; RIGHT($C686,4)), "")</f>
        <v/>
      </c>
      <c r="Q686" s="37" t="str">
        <f t="array" ref="Q686">IF($R686&lt;&gt;"",IFERROR(INDEX(ISIN!$B:$B,MATCH($R686,ISIN!$C:$C,0))),)</f>
        <v/>
      </c>
      <c r="R686" s="38" t="str">
        <f t="array" ref="R686">IF($E686&lt;&gt;""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7" t="str">
        <f t="shared" si="1"/>
        <v/>
      </c>
      <c r="T686" s="39" t="str">
        <f t="shared" si="2"/>
        <v/>
      </c>
      <c r="U686" s="40" t="str">
        <f t="shared" si="3"/>
        <v/>
      </c>
      <c r="V686" s="34" t="str">
        <f t="shared" si="4"/>
        <v/>
      </c>
      <c r="W686" s="41" t="str">
        <f>IFERROR(__xludf.DUMMYFUNCTION(" IF(Account!$F686&lt;&gt;"""", SPLIT(Account!$F686, "" ""), """")"),"")</f>
        <v/>
      </c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</row>
    <row r="687">
      <c r="A687" s="20"/>
      <c r="B687" s="20"/>
      <c r="C687" s="20"/>
      <c r="D687" s="20"/>
      <c r="E687" s="20"/>
      <c r="F687" s="21"/>
      <c r="G687" s="45"/>
      <c r="H687" s="45"/>
      <c r="I687" s="45"/>
      <c r="J687" s="20"/>
      <c r="K687" s="20"/>
      <c r="L687" s="46"/>
      <c r="M687" s="33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4" t="str">
        <f>IFERROR(__xludf.DUMMYFUNCTION("IF(Account!$F687&lt;&gt;"""", VALUE(REGEXREPLACE($I687, ""\,"", ""."")), """")"),"")</f>
        <v/>
      </c>
      <c r="O687" s="35" t="str">
        <f>IF(Account!$F687&lt;&gt;"", DATEVALUE(MID($A687,4,3) &amp; LEFT($A687,3) &amp; RIGHT($A687,4)) + TIMEVALUE($B687), "")</f>
        <v/>
      </c>
      <c r="P687" s="36" t="str">
        <f>IF(Account!$F687&lt;&gt;"", DATEVALUE(MID($C687,4,3) &amp; LEFT($C687,3) &amp; RIGHT($C687,4)), "")</f>
        <v/>
      </c>
      <c r="Q687" s="37" t="str">
        <f t="array" ref="Q687">IF($R687&lt;&gt;"",IFERROR(INDEX(ISIN!$B:$B,MATCH($R687,ISIN!$C:$C,0))),)</f>
        <v/>
      </c>
      <c r="R687" s="38" t="str">
        <f t="array" ref="R687">IF($E687&lt;&gt;""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7" t="str">
        <f t="shared" si="1"/>
        <v/>
      </c>
      <c r="T687" s="39" t="str">
        <f t="shared" si="2"/>
        <v/>
      </c>
      <c r="U687" s="40" t="str">
        <f t="shared" si="3"/>
        <v/>
      </c>
      <c r="V687" s="34" t="str">
        <f t="shared" si="4"/>
        <v/>
      </c>
      <c r="W687" s="41" t="str">
        <f>IFERROR(__xludf.DUMMYFUNCTION(" IF(Account!$F687&lt;&gt;"""", SPLIT(Account!$F687, "" ""), """")"),"")</f>
        <v/>
      </c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</row>
    <row r="688">
      <c r="A688" s="20"/>
      <c r="B688" s="20"/>
      <c r="C688" s="20"/>
      <c r="D688" s="45"/>
      <c r="E688" s="45"/>
      <c r="F688" s="21"/>
      <c r="G688" s="45"/>
      <c r="H688" s="20"/>
      <c r="I688" s="20"/>
      <c r="J688" s="20"/>
      <c r="K688" s="20"/>
      <c r="L688" s="46"/>
      <c r="M688" s="33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4" t="str">
        <f>IFERROR(__xludf.DUMMYFUNCTION("IF(Account!$F688&lt;&gt;"""", VALUE(REGEXREPLACE($I688, ""\,"", ""."")), """")"),"")</f>
        <v/>
      </c>
      <c r="O688" s="35" t="str">
        <f>IF(Account!$F688&lt;&gt;"", DATEVALUE(MID($A688,4,3) &amp; LEFT($A688,3) &amp; RIGHT($A688,4)) + TIMEVALUE($B688), "")</f>
        <v/>
      </c>
      <c r="P688" s="36" t="str">
        <f>IF(Account!$F688&lt;&gt;"", DATEVALUE(MID($C688,4,3) &amp; LEFT($C688,3) &amp; RIGHT($C688,4)), "")</f>
        <v/>
      </c>
      <c r="Q688" s="37" t="str">
        <f t="array" ref="Q688">IF($R688&lt;&gt;"",IFERROR(INDEX(ISIN!$B:$B,MATCH($R688,ISIN!$C:$C,0))),)</f>
        <v/>
      </c>
      <c r="R688" s="38" t="str">
        <f t="array" ref="R688">IF($E688&lt;&gt;""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7" t="str">
        <f t="shared" si="1"/>
        <v/>
      </c>
      <c r="T688" s="39" t="str">
        <f t="shared" si="2"/>
        <v/>
      </c>
      <c r="U688" s="40" t="str">
        <f t="shared" si="3"/>
        <v/>
      </c>
      <c r="V688" s="34" t="str">
        <f t="shared" si="4"/>
        <v/>
      </c>
      <c r="W688" s="41" t="str">
        <f>IFERROR(__xludf.DUMMYFUNCTION(" IF(Account!$F688&lt;&gt;"""", SPLIT(Account!$F688, "" ""), """")"),"")</f>
        <v/>
      </c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</row>
    <row r="689">
      <c r="A689" s="20"/>
      <c r="B689" s="20"/>
      <c r="C689" s="20"/>
      <c r="D689" s="45"/>
      <c r="E689" s="45"/>
      <c r="F689" s="21"/>
      <c r="G689" s="20"/>
      <c r="H689" s="20"/>
      <c r="I689" s="20"/>
      <c r="J689" s="20"/>
      <c r="K689" s="20"/>
      <c r="L689" s="46"/>
      <c r="M689" s="33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4" t="str">
        <f>IFERROR(__xludf.DUMMYFUNCTION("IF(Account!$F689&lt;&gt;"""", VALUE(REGEXREPLACE($I689, ""\,"", ""."")), """")"),"")</f>
        <v/>
      </c>
      <c r="O689" s="35" t="str">
        <f>IF(Account!$F689&lt;&gt;"", DATEVALUE(MID($A689,4,3) &amp; LEFT($A689,3) &amp; RIGHT($A689,4)) + TIMEVALUE($B689), "")</f>
        <v/>
      </c>
      <c r="P689" s="36" t="str">
        <f>IF(Account!$F689&lt;&gt;"", DATEVALUE(MID($C689,4,3) &amp; LEFT($C689,3) &amp; RIGHT($C689,4)), "")</f>
        <v/>
      </c>
      <c r="Q689" s="37" t="str">
        <f t="array" ref="Q689">IF($R689&lt;&gt;"",IFERROR(INDEX(ISIN!$B:$B,MATCH($R689,ISIN!$C:$C,0))),)</f>
        <v/>
      </c>
      <c r="R689" s="38" t="str">
        <f t="array" ref="R689">IF($E689&lt;&gt;""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7" t="str">
        <f t="shared" si="1"/>
        <v/>
      </c>
      <c r="T689" s="39" t="str">
        <f t="shared" si="2"/>
        <v/>
      </c>
      <c r="U689" s="40" t="str">
        <f t="shared" si="3"/>
        <v/>
      </c>
      <c r="V689" s="34" t="str">
        <f t="shared" si="4"/>
        <v/>
      </c>
      <c r="W689" s="41" t="str">
        <f>IFERROR(__xludf.DUMMYFUNCTION(" IF(Account!$F689&lt;&gt;"""", SPLIT(Account!$F689, "" ""), """")"),"")</f>
        <v/>
      </c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</row>
    <row r="690">
      <c r="A690" s="20"/>
      <c r="B690" s="20"/>
      <c r="C690" s="20"/>
      <c r="D690" s="20"/>
      <c r="E690" s="20"/>
      <c r="F690" s="21"/>
      <c r="G690" s="45"/>
      <c r="H690" s="45"/>
      <c r="I690" s="45"/>
      <c r="J690" s="20"/>
      <c r="K690" s="20"/>
      <c r="L690" s="46"/>
      <c r="M690" s="33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4" t="str">
        <f>IFERROR(__xludf.DUMMYFUNCTION("IF(Account!$F690&lt;&gt;"""", VALUE(REGEXREPLACE($I690, ""\,"", ""."")), """")"),"")</f>
        <v/>
      </c>
      <c r="O690" s="35" t="str">
        <f>IF(Account!$F690&lt;&gt;"", DATEVALUE(MID($A690,4,3) &amp; LEFT($A690,3) &amp; RIGHT($A690,4)) + TIMEVALUE($B690), "")</f>
        <v/>
      </c>
      <c r="P690" s="36" t="str">
        <f>IF(Account!$F690&lt;&gt;"", DATEVALUE(MID($C690,4,3) &amp; LEFT($C690,3) &amp; RIGHT($C690,4)), "")</f>
        <v/>
      </c>
      <c r="Q690" s="37" t="str">
        <f t="array" ref="Q690">IF($R690&lt;&gt;"",IFERROR(INDEX(ISIN!$B:$B,MATCH($R690,ISIN!$C:$C,0))),)</f>
        <v/>
      </c>
      <c r="R690" s="38" t="str">
        <f t="array" ref="R690">IF($E690&lt;&gt;""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7" t="str">
        <f t="shared" si="1"/>
        <v/>
      </c>
      <c r="T690" s="39" t="str">
        <f t="shared" si="2"/>
        <v/>
      </c>
      <c r="U690" s="40" t="str">
        <f t="shared" si="3"/>
        <v/>
      </c>
      <c r="V690" s="34" t="str">
        <f t="shared" si="4"/>
        <v/>
      </c>
      <c r="W690" s="41" t="str">
        <f>IFERROR(__xludf.DUMMYFUNCTION(" IF(Account!$F690&lt;&gt;"""", SPLIT(Account!$F690, "" ""), """")"),"")</f>
        <v/>
      </c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</row>
    <row r="691">
      <c r="A691" s="20"/>
      <c r="B691" s="20"/>
      <c r="C691" s="20"/>
      <c r="D691" s="20"/>
      <c r="E691" s="20"/>
      <c r="F691" s="21"/>
      <c r="G691" s="45"/>
      <c r="H691" s="20"/>
      <c r="I691" s="20"/>
      <c r="J691" s="20"/>
      <c r="K691" s="20"/>
      <c r="L691" s="46"/>
      <c r="M691" s="33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4" t="str">
        <f>IFERROR(__xludf.DUMMYFUNCTION("IF(Account!$F691&lt;&gt;"""", VALUE(REGEXREPLACE($I691, ""\,"", ""."")), """")"),"")</f>
        <v/>
      </c>
      <c r="O691" s="35" t="str">
        <f>IF(Account!$F691&lt;&gt;"", DATEVALUE(MID($A691,4,3) &amp; LEFT($A691,3) &amp; RIGHT($A691,4)) + TIMEVALUE($B691), "")</f>
        <v/>
      </c>
      <c r="P691" s="36" t="str">
        <f>IF(Account!$F691&lt;&gt;"", DATEVALUE(MID($C691,4,3) &amp; LEFT($C691,3) &amp; RIGHT($C691,4)), "")</f>
        <v/>
      </c>
      <c r="Q691" s="37" t="str">
        <f t="array" ref="Q691">IF($R691&lt;&gt;"",IFERROR(INDEX(ISIN!$B:$B,MATCH($R691,ISIN!$C:$C,0))),)</f>
        <v/>
      </c>
      <c r="R691" s="38" t="str">
        <f t="array" ref="R691">IF($E691&lt;&gt;""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7" t="str">
        <f t="shared" si="1"/>
        <v/>
      </c>
      <c r="T691" s="39" t="str">
        <f t="shared" si="2"/>
        <v/>
      </c>
      <c r="U691" s="40" t="str">
        <f t="shared" si="3"/>
        <v/>
      </c>
      <c r="V691" s="34" t="str">
        <f t="shared" si="4"/>
        <v/>
      </c>
      <c r="W691" s="41" t="str">
        <f>IFERROR(__xludf.DUMMYFUNCTION(" IF(Account!$F691&lt;&gt;"""", SPLIT(Account!$F691, "" ""), """")"),"")</f>
        <v/>
      </c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</row>
    <row r="692">
      <c r="A692" s="20"/>
      <c r="B692" s="20"/>
      <c r="C692" s="20"/>
      <c r="D692" s="20"/>
      <c r="E692" s="20"/>
      <c r="F692" s="21"/>
      <c r="G692" s="45"/>
      <c r="H692" s="20"/>
      <c r="I692" s="20"/>
      <c r="J692" s="20"/>
      <c r="K692" s="20"/>
      <c r="L692" s="46"/>
      <c r="M692" s="33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4" t="str">
        <f>IFERROR(__xludf.DUMMYFUNCTION("IF(Account!$F692&lt;&gt;"""", VALUE(REGEXREPLACE($I692, ""\,"", ""."")), """")"),"")</f>
        <v/>
      </c>
      <c r="O692" s="35" t="str">
        <f>IF(Account!$F692&lt;&gt;"", DATEVALUE(MID($A692,4,3) &amp; LEFT($A692,3) &amp; RIGHT($A692,4)) + TIMEVALUE($B692), "")</f>
        <v/>
      </c>
      <c r="P692" s="36" t="str">
        <f>IF(Account!$F692&lt;&gt;"", DATEVALUE(MID($C692,4,3) &amp; LEFT($C692,3) &amp; RIGHT($C692,4)), "")</f>
        <v/>
      </c>
      <c r="Q692" s="37" t="str">
        <f t="array" ref="Q692">IF($R692&lt;&gt;"",IFERROR(INDEX(ISIN!$B:$B,MATCH($R692,ISIN!$C:$C,0))),)</f>
        <v/>
      </c>
      <c r="R692" s="38" t="str">
        <f t="array" ref="R692">IF($E692&lt;&gt;""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7" t="str">
        <f t="shared" si="1"/>
        <v/>
      </c>
      <c r="T692" s="39" t="str">
        <f t="shared" si="2"/>
        <v/>
      </c>
      <c r="U692" s="40" t="str">
        <f t="shared" si="3"/>
        <v/>
      </c>
      <c r="V692" s="34" t="str">
        <f t="shared" si="4"/>
        <v/>
      </c>
      <c r="W692" s="41" t="str">
        <f>IFERROR(__xludf.DUMMYFUNCTION(" IF(Account!$F692&lt;&gt;"""", SPLIT(Account!$F692, "" ""), """")"),"")</f>
        <v/>
      </c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</row>
    <row r="693">
      <c r="A693" s="20"/>
      <c r="B693" s="20"/>
      <c r="C693" s="20"/>
      <c r="D693" s="20"/>
      <c r="E693" s="20"/>
      <c r="F693" s="21"/>
      <c r="G693" s="45"/>
      <c r="H693" s="20"/>
      <c r="I693" s="20"/>
      <c r="J693" s="20"/>
      <c r="K693" s="20"/>
      <c r="L693" s="46"/>
      <c r="M693" s="33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4" t="str">
        <f>IFERROR(__xludf.DUMMYFUNCTION("IF(Account!$F693&lt;&gt;"""", VALUE(REGEXREPLACE($I693, ""\,"", ""."")), """")"),"")</f>
        <v/>
      </c>
      <c r="O693" s="35" t="str">
        <f>IF(Account!$F693&lt;&gt;"", DATEVALUE(MID($A693,4,3) &amp; LEFT($A693,3) &amp; RIGHT($A693,4)) + TIMEVALUE($B693), "")</f>
        <v/>
      </c>
      <c r="P693" s="36" t="str">
        <f>IF(Account!$F693&lt;&gt;"", DATEVALUE(MID($C693,4,3) &amp; LEFT($C693,3) &amp; RIGHT($C693,4)), "")</f>
        <v/>
      </c>
      <c r="Q693" s="37" t="str">
        <f t="array" ref="Q693">IF($R693&lt;&gt;"",IFERROR(INDEX(ISIN!$B:$B,MATCH($R693,ISIN!$C:$C,0))),)</f>
        <v/>
      </c>
      <c r="R693" s="38" t="str">
        <f t="array" ref="R693">IF($E693&lt;&gt;""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7" t="str">
        <f t="shared" si="1"/>
        <v/>
      </c>
      <c r="T693" s="39" t="str">
        <f t="shared" si="2"/>
        <v/>
      </c>
      <c r="U693" s="40" t="str">
        <f t="shared" si="3"/>
        <v/>
      </c>
      <c r="V693" s="34" t="str">
        <f t="shared" si="4"/>
        <v/>
      </c>
      <c r="W693" s="41" t="str">
        <f>IFERROR(__xludf.DUMMYFUNCTION(" IF(Account!$F693&lt;&gt;"""", SPLIT(Account!$F693, "" ""), """")"),"")</f>
        <v/>
      </c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</row>
    <row r="694">
      <c r="A694" s="20"/>
      <c r="B694" s="20"/>
      <c r="C694" s="20"/>
      <c r="D694" s="20"/>
      <c r="E694" s="20"/>
      <c r="F694" s="21"/>
      <c r="G694" s="45"/>
      <c r="H694" s="45"/>
      <c r="I694" s="45"/>
      <c r="J694" s="20"/>
      <c r="K694" s="20"/>
      <c r="L694" s="46"/>
      <c r="M694" s="33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4" t="str">
        <f>IFERROR(__xludf.DUMMYFUNCTION("IF(Account!$F694&lt;&gt;"""", VALUE(REGEXREPLACE($I694, ""\,"", ""."")), """")"),"")</f>
        <v/>
      </c>
      <c r="O694" s="35" t="str">
        <f>IF(Account!$F694&lt;&gt;"", DATEVALUE(MID($A694,4,3) &amp; LEFT($A694,3) &amp; RIGHT($A694,4)) + TIMEVALUE($B694), "")</f>
        <v/>
      </c>
      <c r="P694" s="36" t="str">
        <f>IF(Account!$F694&lt;&gt;"", DATEVALUE(MID($C694,4,3) &amp; LEFT($C694,3) &amp; RIGHT($C694,4)), "")</f>
        <v/>
      </c>
      <c r="Q694" s="37" t="str">
        <f t="array" ref="Q694">IF($R694&lt;&gt;"",IFERROR(INDEX(ISIN!$B:$B,MATCH($R694,ISIN!$C:$C,0))),)</f>
        <v/>
      </c>
      <c r="R694" s="38" t="str">
        <f t="array" ref="R694">IF($E694&lt;&gt;""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7" t="str">
        <f t="shared" si="1"/>
        <v/>
      </c>
      <c r="T694" s="39" t="str">
        <f t="shared" si="2"/>
        <v/>
      </c>
      <c r="U694" s="40" t="str">
        <f t="shared" si="3"/>
        <v/>
      </c>
      <c r="V694" s="34" t="str">
        <f t="shared" si="4"/>
        <v/>
      </c>
      <c r="W694" s="41" t="str">
        <f>IFERROR(__xludf.DUMMYFUNCTION(" IF(Account!$F694&lt;&gt;"""", SPLIT(Account!$F694, "" ""), """")"),"")</f>
        <v/>
      </c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</row>
    <row r="695">
      <c r="A695" s="20"/>
      <c r="B695" s="20"/>
      <c r="C695" s="20"/>
      <c r="D695" s="45"/>
      <c r="E695" s="45"/>
      <c r="F695" s="21"/>
      <c r="G695" s="45"/>
      <c r="H695" s="20"/>
      <c r="I695" s="20"/>
      <c r="J695" s="20"/>
      <c r="K695" s="20"/>
      <c r="L695" s="46"/>
      <c r="M695" s="33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4" t="str">
        <f>IFERROR(__xludf.DUMMYFUNCTION("IF(Account!$F695&lt;&gt;"""", VALUE(REGEXREPLACE($I695, ""\,"", ""."")), """")"),"")</f>
        <v/>
      </c>
      <c r="O695" s="35" t="str">
        <f>IF(Account!$F695&lt;&gt;"", DATEVALUE(MID($A695,4,3) &amp; LEFT($A695,3) &amp; RIGHT($A695,4)) + TIMEVALUE($B695), "")</f>
        <v/>
      </c>
      <c r="P695" s="36" t="str">
        <f>IF(Account!$F695&lt;&gt;"", DATEVALUE(MID($C695,4,3) &amp; LEFT($C695,3) &amp; RIGHT($C695,4)), "")</f>
        <v/>
      </c>
      <c r="Q695" s="37" t="str">
        <f t="array" ref="Q695">IF($R695&lt;&gt;"",IFERROR(INDEX(ISIN!$B:$B,MATCH($R695,ISIN!$C:$C,0))),)</f>
        <v/>
      </c>
      <c r="R695" s="38" t="str">
        <f t="array" ref="R695">IF($E695&lt;&gt;""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7" t="str">
        <f t="shared" si="1"/>
        <v/>
      </c>
      <c r="T695" s="39" t="str">
        <f t="shared" si="2"/>
        <v/>
      </c>
      <c r="U695" s="40" t="str">
        <f t="shared" si="3"/>
        <v/>
      </c>
      <c r="V695" s="34" t="str">
        <f t="shared" si="4"/>
        <v/>
      </c>
      <c r="W695" s="41" t="str">
        <f>IFERROR(__xludf.DUMMYFUNCTION(" IF(Account!$F695&lt;&gt;"""", SPLIT(Account!$F695, "" ""), """")"),"")</f>
        <v/>
      </c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</row>
    <row r="696">
      <c r="A696" s="20"/>
      <c r="B696" s="20"/>
      <c r="C696" s="20"/>
      <c r="D696" s="20"/>
      <c r="E696" s="20"/>
      <c r="F696" s="21"/>
      <c r="G696" s="45"/>
      <c r="H696" s="45"/>
      <c r="I696" s="45"/>
      <c r="J696" s="20"/>
      <c r="K696" s="20"/>
      <c r="L696" s="46"/>
      <c r="M696" s="33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4" t="str">
        <f>IFERROR(__xludf.DUMMYFUNCTION("IF(Account!$F696&lt;&gt;"""", VALUE(REGEXREPLACE($I696, ""\,"", ""."")), """")"),"")</f>
        <v/>
      </c>
      <c r="O696" s="35" t="str">
        <f>IF(Account!$F696&lt;&gt;"", DATEVALUE(MID($A696,4,3) &amp; LEFT($A696,3) &amp; RIGHT($A696,4)) + TIMEVALUE($B696), "")</f>
        <v/>
      </c>
      <c r="P696" s="36" t="str">
        <f>IF(Account!$F696&lt;&gt;"", DATEVALUE(MID($C696,4,3) &amp; LEFT($C696,3) &amp; RIGHT($C696,4)), "")</f>
        <v/>
      </c>
      <c r="Q696" s="37" t="str">
        <f t="array" ref="Q696">IF($R696&lt;&gt;"",IFERROR(INDEX(ISIN!$B:$B,MATCH($R696,ISIN!$C:$C,0))),)</f>
        <v/>
      </c>
      <c r="R696" s="38" t="str">
        <f t="array" ref="R696">IF($E696&lt;&gt;""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7" t="str">
        <f t="shared" si="1"/>
        <v/>
      </c>
      <c r="T696" s="39" t="str">
        <f t="shared" si="2"/>
        <v/>
      </c>
      <c r="U696" s="40" t="str">
        <f t="shared" si="3"/>
        <v/>
      </c>
      <c r="V696" s="34" t="str">
        <f t="shared" si="4"/>
        <v/>
      </c>
      <c r="W696" s="41" t="str">
        <f>IFERROR(__xludf.DUMMYFUNCTION(" IF(Account!$F696&lt;&gt;"""", SPLIT(Account!$F696, "" ""), """")"),"")</f>
        <v/>
      </c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</row>
    <row r="697">
      <c r="A697" s="20"/>
      <c r="B697" s="20"/>
      <c r="C697" s="20"/>
      <c r="D697" s="45"/>
      <c r="E697" s="45"/>
      <c r="F697" s="21"/>
      <c r="G697" s="45"/>
      <c r="H697" s="20"/>
      <c r="I697" s="20"/>
      <c r="J697" s="20"/>
      <c r="K697" s="20"/>
      <c r="L697" s="46"/>
      <c r="M697" s="33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4" t="str">
        <f>IFERROR(__xludf.DUMMYFUNCTION("IF(Account!$F697&lt;&gt;"""", VALUE(REGEXREPLACE($I697, ""\,"", ""."")), """")"),"")</f>
        <v/>
      </c>
      <c r="O697" s="35" t="str">
        <f>IF(Account!$F697&lt;&gt;"", DATEVALUE(MID($A697,4,3) &amp; LEFT($A697,3) &amp; RIGHT($A697,4)) + TIMEVALUE($B697), "")</f>
        <v/>
      </c>
      <c r="P697" s="36" t="str">
        <f>IF(Account!$F697&lt;&gt;"", DATEVALUE(MID($C697,4,3) &amp; LEFT($C697,3) &amp; RIGHT($C697,4)), "")</f>
        <v/>
      </c>
      <c r="Q697" s="37" t="str">
        <f t="array" ref="Q697">IF($R697&lt;&gt;"",IFERROR(INDEX(ISIN!$B:$B,MATCH($R697,ISIN!$C:$C,0))),)</f>
        <v/>
      </c>
      <c r="R697" s="38" t="str">
        <f t="array" ref="R697">IF($E697&lt;&gt;""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7" t="str">
        <f t="shared" si="1"/>
        <v/>
      </c>
      <c r="T697" s="39" t="str">
        <f t="shared" si="2"/>
        <v/>
      </c>
      <c r="U697" s="40" t="str">
        <f t="shared" si="3"/>
        <v/>
      </c>
      <c r="V697" s="34" t="str">
        <f t="shared" si="4"/>
        <v/>
      </c>
      <c r="W697" s="41" t="str">
        <f>IFERROR(__xludf.DUMMYFUNCTION(" IF(Account!$F697&lt;&gt;"""", SPLIT(Account!$F697, "" ""), """")"),"")</f>
        <v/>
      </c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</row>
    <row r="698">
      <c r="A698" s="20"/>
      <c r="B698" s="20"/>
      <c r="C698" s="20"/>
      <c r="D698" s="45"/>
      <c r="E698" s="45"/>
      <c r="F698" s="21"/>
      <c r="G698" s="20"/>
      <c r="H698" s="20"/>
      <c r="I698" s="20"/>
      <c r="J698" s="20"/>
      <c r="K698" s="20"/>
      <c r="L698" s="46"/>
      <c r="M698" s="33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4" t="str">
        <f>IFERROR(__xludf.DUMMYFUNCTION("IF(Account!$F698&lt;&gt;"""", VALUE(REGEXREPLACE($I698, ""\,"", ""."")), """")"),"")</f>
        <v/>
      </c>
      <c r="O698" s="35" t="str">
        <f>IF(Account!$F698&lt;&gt;"", DATEVALUE(MID($A698,4,3) &amp; LEFT($A698,3) &amp; RIGHT($A698,4)) + TIMEVALUE($B698), "")</f>
        <v/>
      </c>
      <c r="P698" s="36" t="str">
        <f>IF(Account!$F698&lt;&gt;"", DATEVALUE(MID($C698,4,3) &amp; LEFT($C698,3) &amp; RIGHT($C698,4)), "")</f>
        <v/>
      </c>
      <c r="Q698" s="37" t="str">
        <f t="array" ref="Q698">IF($R698&lt;&gt;"",IFERROR(INDEX(ISIN!$B:$B,MATCH($R698,ISIN!$C:$C,0))),)</f>
        <v/>
      </c>
      <c r="R698" s="38" t="str">
        <f t="array" ref="R698">IF($E698&lt;&gt;""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7" t="str">
        <f t="shared" si="1"/>
        <v/>
      </c>
      <c r="T698" s="39" t="str">
        <f t="shared" si="2"/>
        <v/>
      </c>
      <c r="U698" s="40" t="str">
        <f t="shared" si="3"/>
        <v/>
      </c>
      <c r="V698" s="34" t="str">
        <f t="shared" si="4"/>
        <v/>
      </c>
      <c r="W698" s="41" t="str">
        <f>IFERROR(__xludf.DUMMYFUNCTION(" IF(Account!$F698&lt;&gt;"""", SPLIT(Account!$F698, "" ""), """")"),"")</f>
        <v/>
      </c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</row>
    <row r="699">
      <c r="A699" s="20"/>
      <c r="B699" s="20"/>
      <c r="C699" s="20"/>
      <c r="D699" s="20"/>
      <c r="E699" s="20"/>
      <c r="F699" s="21"/>
      <c r="G699" s="45"/>
      <c r="H699" s="20"/>
      <c r="I699" s="20"/>
      <c r="J699" s="20"/>
      <c r="K699" s="20"/>
      <c r="L699" s="46"/>
      <c r="M699" s="33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4" t="str">
        <f>IFERROR(__xludf.DUMMYFUNCTION("IF(Account!$F699&lt;&gt;"""", VALUE(REGEXREPLACE($I699, ""\,"", ""."")), """")"),"")</f>
        <v/>
      </c>
      <c r="O699" s="35" t="str">
        <f>IF(Account!$F699&lt;&gt;"", DATEVALUE(MID($A699,4,3) &amp; LEFT($A699,3) &amp; RIGHT($A699,4)) + TIMEVALUE($B699), "")</f>
        <v/>
      </c>
      <c r="P699" s="36" t="str">
        <f>IF(Account!$F699&lt;&gt;"", DATEVALUE(MID($C699,4,3) &amp; LEFT($C699,3) &amp; RIGHT($C699,4)), "")</f>
        <v/>
      </c>
      <c r="Q699" s="37" t="str">
        <f t="array" ref="Q699">IF($R699&lt;&gt;"",IFERROR(INDEX(ISIN!$B:$B,MATCH($R699,ISIN!$C:$C,0))),)</f>
        <v/>
      </c>
      <c r="R699" s="38" t="str">
        <f t="array" ref="R699">IF($E699&lt;&gt;""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7" t="str">
        <f t="shared" si="1"/>
        <v/>
      </c>
      <c r="T699" s="39" t="str">
        <f t="shared" si="2"/>
        <v/>
      </c>
      <c r="U699" s="40" t="str">
        <f t="shared" si="3"/>
        <v/>
      </c>
      <c r="V699" s="34" t="str">
        <f t="shared" si="4"/>
        <v/>
      </c>
      <c r="W699" s="41" t="str">
        <f>IFERROR(__xludf.DUMMYFUNCTION(" IF(Account!$F699&lt;&gt;"""", SPLIT(Account!$F699, "" ""), """")"),"")</f>
        <v/>
      </c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</row>
    <row r="700">
      <c r="A700" s="20"/>
      <c r="B700" s="20"/>
      <c r="C700" s="20"/>
      <c r="D700" s="20"/>
      <c r="E700" s="20"/>
      <c r="F700" s="21"/>
      <c r="G700" s="45"/>
      <c r="H700" s="45"/>
      <c r="I700" s="45"/>
      <c r="J700" s="20"/>
      <c r="K700" s="20"/>
      <c r="L700" s="46"/>
      <c r="M700" s="33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4" t="str">
        <f>IFERROR(__xludf.DUMMYFUNCTION("IF(Account!$F700&lt;&gt;"""", VALUE(REGEXREPLACE($I700, ""\,"", ""."")), """")"),"")</f>
        <v/>
      </c>
      <c r="O700" s="35" t="str">
        <f>IF(Account!$F700&lt;&gt;"", DATEVALUE(MID($A700,4,3) &amp; LEFT($A700,3) &amp; RIGHT($A700,4)) + TIMEVALUE($B700), "")</f>
        <v/>
      </c>
      <c r="P700" s="36" t="str">
        <f>IF(Account!$F700&lt;&gt;"", DATEVALUE(MID($C700,4,3) &amp; LEFT($C700,3) &amp; RIGHT($C700,4)), "")</f>
        <v/>
      </c>
      <c r="Q700" s="37" t="str">
        <f t="array" ref="Q700">IF($R700&lt;&gt;"",IFERROR(INDEX(ISIN!$B:$B,MATCH($R700,ISIN!$C:$C,0))),)</f>
        <v/>
      </c>
      <c r="R700" s="38" t="str">
        <f t="array" ref="R700">IF($E700&lt;&gt;""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7" t="str">
        <f t="shared" si="1"/>
        <v/>
      </c>
      <c r="T700" s="39" t="str">
        <f t="shared" si="2"/>
        <v/>
      </c>
      <c r="U700" s="40" t="str">
        <f t="shared" si="3"/>
        <v/>
      </c>
      <c r="V700" s="34" t="str">
        <f t="shared" si="4"/>
        <v/>
      </c>
      <c r="W700" s="41" t="str">
        <f>IFERROR(__xludf.DUMMYFUNCTION(" IF(Account!$F700&lt;&gt;"""", SPLIT(Account!$F700, "" ""), """")"),"")</f>
        <v/>
      </c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</row>
    <row r="701">
      <c r="A701" s="20"/>
      <c r="B701" s="20"/>
      <c r="C701" s="20"/>
      <c r="D701" s="45"/>
      <c r="E701" s="45"/>
      <c r="F701" s="21"/>
      <c r="G701" s="45"/>
      <c r="H701" s="20"/>
      <c r="I701" s="20"/>
      <c r="J701" s="20"/>
      <c r="K701" s="20"/>
      <c r="L701" s="46"/>
      <c r="M701" s="33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4" t="str">
        <f>IFERROR(__xludf.DUMMYFUNCTION("IF(Account!$F701&lt;&gt;"""", VALUE(REGEXREPLACE($I701, ""\,"", ""."")), """")"),"")</f>
        <v/>
      </c>
      <c r="O701" s="35" t="str">
        <f>IF(Account!$F701&lt;&gt;"", DATEVALUE(MID($A701,4,3) &amp; LEFT($A701,3) &amp; RIGHT($A701,4)) + TIMEVALUE($B701), "")</f>
        <v/>
      </c>
      <c r="P701" s="36" t="str">
        <f>IF(Account!$F701&lt;&gt;"", DATEVALUE(MID($C701,4,3) &amp; LEFT($C701,3) &amp; RIGHT($C701,4)), "")</f>
        <v/>
      </c>
      <c r="Q701" s="37" t="str">
        <f t="array" ref="Q701">IF($R701&lt;&gt;"",IFERROR(INDEX(ISIN!$B:$B,MATCH($R701,ISIN!$C:$C,0))),)</f>
        <v/>
      </c>
      <c r="R701" s="38" t="str">
        <f t="array" ref="R701">IF($E701&lt;&gt;""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7" t="str">
        <f t="shared" si="1"/>
        <v/>
      </c>
      <c r="T701" s="39" t="str">
        <f t="shared" si="2"/>
        <v/>
      </c>
      <c r="U701" s="40" t="str">
        <f t="shared" si="3"/>
        <v/>
      </c>
      <c r="V701" s="34" t="str">
        <f t="shared" si="4"/>
        <v/>
      </c>
      <c r="W701" s="41" t="str">
        <f>IFERROR(__xludf.DUMMYFUNCTION(" IF(Account!$F701&lt;&gt;"""", SPLIT(Account!$F701, "" ""), """")"),"")</f>
        <v/>
      </c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</row>
    <row r="702">
      <c r="A702" s="20"/>
      <c r="B702" s="20"/>
      <c r="C702" s="20"/>
      <c r="D702" s="45"/>
      <c r="E702" s="45"/>
      <c r="F702" s="21"/>
      <c r="G702" s="20"/>
      <c r="H702" s="20"/>
      <c r="I702" s="20"/>
      <c r="J702" s="20"/>
      <c r="K702" s="20"/>
      <c r="L702" s="46"/>
      <c r="M702" s="33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4" t="str">
        <f>IFERROR(__xludf.DUMMYFUNCTION("IF(Account!$F702&lt;&gt;"""", VALUE(REGEXREPLACE($I702, ""\,"", ""."")), """")"),"")</f>
        <v/>
      </c>
      <c r="O702" s="35" t="str">
        <f>IF(Account!$F702&lt;&gt;"", DATEVALUE(MID($A702,4,3) &amp; LEFT($A702,3) &amp; RIGHT($A702,4)) + TIMEVALUE($B702), "")</f>
        <v/>
      </c>
      <c r="P702" s="36" t="str">
        <f>IF(Account!$F702&lt;&gt;"", DATEVALUE(MID($C702,4,3) &amp; LEFT($C702,3) &amp; RIGHT($C702,4)), "")</f>
        <v/>
      </c>
      <c r="Q702" s="37" t="str">
        <f t="array" ref="Q702">IF($R702&lt;&gt;"",IFERROR(INDEX(ISIN!$B:$B,MATCH($R702,ISIN!$C:$C,0))),)</f>
        <v/>
      </c>
      <c r="R702" s="38" t="str">
        <f t="array" ref="R702">IF($E702&lt;&gt;""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7" t="str">
        <f t="shared" si="1"/>
        <v/>
      </c>
      <c r="T702" s="39" t="str">
        <f t="shared" si="2"/>
        <v/>
      </c>
      <c r="U702" s="40" t="str">
        <f t="shared" si="3"/>
        <v/>
      </c>
      <c r="V702" s="34" t="str">
        <f t="shared" si="4"/>
        <v/>
      </c>
      <c r="W702" s="41" t="str">
        <f>IFERROR(__xludf.DUMMYFUNCTION(" IF(Account!$F702&lt;&gt;"""", SPLIT(Account!$F702, "" ""), """")"),"")</f>
        <v/>
      </c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</row>
    <row r="703">
      <c r="A703" s="20"/>
      <c r="B703" s="20"/>
      <c r="C703" s="20"/>
      <c r="D703" s="20"/>
      <c r="E703" s="20"/>
      <c r="F703" s="21"/>
      <c r="G703" s="45"/>
      <c r="H703" s="45"/>
      <c r="I703" s="45"/>
      <c r="J703" s="20"/>
      <c r="K703" s="20"/>
      <c r="L703" s="46"/>
      <c r="M703" s="33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4" t="str">
        <f>IFERROR(__xludf.DUMMYFUNCTION("IF(Account!$F703&lt;&gt;"""", VALUE(REGEXREPLACE($I703, ""\,"", ""."")), """")"),"")</f>
        <v/>
      </c>
      <c r="O703" s="35" t="str">
        <f>IF(Account!$F703&lt;&gt;"", DATEVALUE(MID($A703,4,3) &amp; LEFT($A703,3) &amp; RIGHT($A703,4)) + TIMEVALUE($B703), "")</f>
        <v/>
      </c>
      <c r="P703" s="36" t="str">
        <f>IF(Account!$F703&lt;&gt;"", DATEVALUE(MID($C703,4,3) &amp; LEFT($C703,3) &amp; RIGHT($C703,4)), "")</f>
        <v/>
      </c>
      <c r="Q703" s="37" t="str">
        <f t="array" ref="Q703">IF($R703&lt;&gt;"",IFERROR(INDEX(ISIN!$B:$B,MATCH($R703,ISIN!$C:$C,0))),)</f>
        <v/>
      </c>
      <c r="R703" s="38" t="str">
        <f t="array" ref="R703">IF($E703&lt;&gt;""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7" t="str">
        <f t="shared" si="1"/>
        <v/>
      </c>
      <c r="T703" s="39" t="str">
        <f t="shared" si="2"/>
        <v/>
      </c>
      <c r="U703" s="40" t="str">
        <f t="shared" si="3"/>
        <v/>
      </c>
      <c r="V703" s="34" t="str">
        <f t="shared" si="4"/>
        <v/>
      </c>
      <c r="W703" s="41" t="str">
        <f>IFERROR(__xludf.DUMMYFUNCTION(" IF(Account!$F703&lt;&gt;"""", SPLIT(Account!$F703, "" ""), """")"),"")</f>
        <v/>
      </c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</row>
    <row r="704">
      <c r="A704" s="20"/>
      <c r="B704" s="20"/>
      <c r="C704" s="20"/>
      <c r="D704" s="20"/>
      <c r="E704" s="20"/>
      <c r="F704" s="21"/>
      <c r="G704" s="45"/>
      <c r="H704" s="20"/>
      <c r="I704" s="20"/>
      <c r="J704" s="20"/>
      <c r="K704" s="20"/>
      <c r="L704" s="46"/>
      <c r="M704" s="33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4" t="str">
        <f>IFERROR(__xludf.DUMMYFUNCTION("IF(Account!$F704&lt;&gt;"""", VALUE(REGEXREPLACE($I704, ""\,"", ""."")), """")"),"")</f>
        <v/>
      </c>
      <c r="O704" s="35" t="str">
        <f>IF(Account!$F704&lt;&gt;"", DATEVALUE(MID($A704,4,3) &amp; LEFT($A704,3) &amp; RIGHT($A704,4)) + TIMEVALUE($B704), "")</f>
        <v/>
      </c>
      <c r="P704" s="36" t="str">
        <f>IF(Account!$F704&lt;&gt;"", DATEVALUE(MID($C704,4,3) &amp; LEFT($C704,3) &amp; RIGHT($C704,4)), "")</f>
        <v/>
      </c>
      <c r="Q704" s="37" t="str">
        <f t="array" ref="Q704">IF($R704&lt;&gt;"",IFERROR(INDEX(ISIN!$B:$B,MATCH($R704,ISIN!$C:$C,0))),)</f>
        <v/>
      </c>
      <c r="R704" s="38" t="str">
        <f t="array" ref="R704">IF($E704&lt;&gt;""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7" t="str">
        <f t="shared" si="1"/>
        <v/>
      </c>
      <c r="T704" s="39" t="str">
        <f t="shared" si="2"/>
        <v/>
      </c>
      <c r="U704" s="40" t="str">
        <f t="shared" si="3"/>
        <v/>
      </c>
      <c r="V704" s="34" t="str">
        <f t="shared" si="4"/>
        <v/>
      </c>
      <c r="W704" s="41" t="str">
        <f>IFERROR(__xludf.DUMMYFUNCTION(" IF(Account!$F704&lt;&gt;"""", SPLIT(Account!$F704, "" ""), """")"),"")</f>
        <v/>
      </c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</row>
    <row r="705">
      <c r="A705" s="20"/>
      <c r="B705" s="20"/>
      <c r="C705" s="20"/>
      <c r="D705" s="20"/>
      <c r="E705" s="20"/>
      <c r="F705" s="21"/>
      <c r="G705" s="45"/>
      <c r="H705" s="20"/>
      <c r="I705" s="20"/>
      <c r="J705" s="20"/>
      <c r="K705" s="20"/>
      <c r="L705" s="46"/>
      <c r="M705" s="33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4" t="str">
        <f>IFERROR(__xludf.DUMMYFUNCTION("IF(Account!$F705&lt;&gt;"""", VALUE(REGEXREPLACE($I705, ""\,"", ""."")), """")"),"")</f>
        <v/>
      </c>
      <c r="O705" s="35" t="str">
        <f>IF(Account!$F705&lt;&gt;"", DATEVALUE(MID($A705,4,3) &amp; LEFT($A705,3) &amp; RIGHT($A705,4)) + TIMEVALUE($B705), "")</f>
        <v/>
      </c>
      <c r="P705" s="36" t="str">
        <f>IF(Account!$F705&lt;&gt;"", DATEVALUE(MID($C705,4,3) &amp; LEFT($C705,3) &amp; RIGHT($C705,4)), "")</f>
        <v/>
      </c>
      <c r="Q705" s="37" t="str">
        <f t="array" ref="Q705">IF($R705&lt;&gt;"",IFERROR(INDEX(ISIN!$B:$B,MATCH($R705,ISIN!$C:$C,0))),)</f>
        <v/>
      </c>
      <c r="R705" s="38" t="str">
        <f t="array" ref="R705">IF($E705&lt;&gt;""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7" t="str">
        <f t="shared" si="1"/>
        <v/>
      </c>
      <c r="T705" s="39" t="str">
        <f t="shared" si="2"/>
        <v/>
      </c>
      <c r="U705" s="40" t="str">
        <f t="shared" si="3"/>
        <v/>
      </c>
      <c r="V705" s="34" t="str">
        <f t="shared" si="4"/>
        <v/>
      </c>
      <c r="W705" s="41" t="str">
        <f>IFERROR(__xludf.DUMMYFUNCTION(" IF(Account!$F705&lt;&gt;"""", SPLIT(Account!$F705, "" ""), """")"),"")</f>
        <v/>
      </c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</row>
    <row r="706">
      <c r="A706" s="20"/>
      <c r="B706" s="20"/>
      <c r="C706" s="20"/>
      <c r="D706" s="20"/>
      <c r="E706" s="20"/>
      <c r="F706" s="21"/>
      <c r="G706" s="45"/>
      <c r="H706" s="45"/>
      <c r="I706" s="45"/>
      <c r="J706" s="20"/>
      <c r="K706" s="20"/>
      <c r="L706" s="46"/>
      <c r="M706" s="33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4" t="str">
        <f>IFERROR(__xludf.DUMMYFUNCTION("IF(Account!$F706&lt;&gt;"""", VALUE(REGEXREPLACE($I706, ""\,"", ""."")), """")"),"")</f>
        <v/>
      </c>
      <c r="O706" s="35" t="str">
        <f>IF(Account!$F706&lt;&gt;"", DATEVALUE(MID($A706,4,3) &amp; LEFT($A706,3) &amp; RIGHT($A706,4)) + TIMEVALUE($B706), "")</f>
        <v/>
      </c>
      <c r="P706" s="36" t="str">
        <f>IF(Account!$F706&lt;&gt;"", DATEVALUE(MID($C706,4,3) &amp; LEFT($C706,3) &amp; RIGHT($C706,4)), "")</f>
        <v/>
      </c>
      <c r="Q706" s="37" t="str">
        <f t="array" ref="Q706">IF($R706&lt;&gt;"",IFERROR(INDEX(ISIN!$B:$B,MATCH($R706,ISIN!$C:$C,0))),)</f>
        <v/>
      </c>
      <c r="R706" s="38" t="str">
        <f t="array" ref="R706">IF($E706&lt;&gt;""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7" t="str">
        <f t="shared" si="1"/>
        <v/>
      </c>
      <c r="T706" s="39" t="str">
        <f t="shared" si="2"/>
        <v/>
      </c>
      <c r="U706" s="40" t="str">
        <f t="shared" si="3"/>
        <v/>
      </c>
      <c r="V706" s="34" t="str">
        <f t="shared" si="4"/>
        <v/>
      </c>
      <c r="W706" s="41" t="str">
        <f>IFERROR(__xludf.DUMMYFUNCTION(" IF(Account!$F706&lt;&gt;"""", SPLIT(Account!$F706, "" ""), """")"),"")</f>
        <v/>
      </c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</row>
    <row r="707">
      <c r="A707" s="20"/>
      <c r="B707" s="20"/>
      <c r="C707" s="20"/>
      <c r="D707" s="45"/>
      <c r="E707" s="45"/>
      <c r="F707" s="21"/>
      <c r="G707" s="45"/>
      <c r="H707" s="20"/>
      <c r="I707" s="20"/>
      <c r="J707" s="20"/>
      <c r="K707" s="20"/>
      <c r="L707" s="46"/>
      <c r="M707" s="33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4" t="str">
        <f>IFERROR(__xludf.DUMMYFUNCTION("IF(Account!$F707&lt;&gt;"""", VALUE(REGEXREPLACE($I707, ""\,"", ""."")), """")"),"")</f>
        <v/>
      </c>
      <c r="O707" s="35" t="str">
        <f>IF(Account!$F707&lt;&gt;"", DATEVALUE(MID($A707,4,3) &amp; LEFT($A707,3) &amp; RIGHT($A707,4)) + TIMEVALUE($B707), "")</f>
        <v/>
      </c>
      <c r="P707" s="36" t="str">
        <f>IF(Account!$F707&lt;&gt;"", DATEVALUE(MID($C707,4,3) &amp; LEFT($C707,3) &amp; RIGHT($C707,4)), "")</f>
        <v/>
      </c>
      <c r="Q707" s="37" t="str">
        <f t="array" ref="Q707">IF($R707&lt;&gt;"",IFERROR(INDEX(ISIN!$B:$B,MATCH($R707,ISIN!$C:$C,0))),)</f>
        <v/>
      </c>
      <c r="R707" s="38" t="str">
        <f t="array" ref="R707">IF($E707&lt;&gt;""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7" t="str">
        <f t="shared" si="1"/>
        <v/>
      </c>
      <c r="T707" s="39" t="str">
        <f t="shared" si="2"/>
        <v/>
      </c>
      <c r="U707" s="40" t="str">
        <f t="shared" si="3"/>
        <v/>
      </c>
      <c r="V707" s="34" t="str">
        <f t="shared" si="4"/>
        <v/>
      </c>
      <c r="W707" s="41" t="str">
        <f>IFERROR(__xludf.DUMMYFUNCTION(" IF(Account!$F707&lt;&gt;"""", SPLIT(Account!$F707, "" ""), """")"),"")</f>
        <v/>
      </c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</row>
    <row r="708">
      <c r="A708" s="20"/>
      <c r="B708" s="20"/>
      <c r="C708" s="20"/>
      <c r="D708" s="45"/>
      <c r="E708" s="45"/>
      <c r="F708" s="21"/>
      <c r="G708" s="20"/>
      <c r="H708" s="20"/>
      <c r="I708" s="20"/>
      <c r="J708" s="20"/>
      <c r="K708" s="20"/>
      <c r="L708" s="46"/>
      <c r="M708" s="33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4" t="str">
        <f>IFERROR(__xludf.DUMMYFUNCTION("IF(Account!$F708&lt;&gt;"""", VALUE(REGEXREPLACE($I708, ""\,"", ""."")), """")"),"")</f>
        <v/>
      </c>
      <c r="O708" s="35" t="str">
        <f>IF(Account!$F708&lt;&gt;"", DATEVALUE(MID($A708,4,3) &amp; LEFT($A708,3) &amp; RIGHT($A708,4)) + TIMEVALUE($B708), "")</f>
        <v/>
      </c>
      <c r="P708" s="36" t="str">
        <f>IF(Account!$F708&lt;&gt;"", DATEVALUE(MID($C708,4,3) &amp; LEFT($C708,3) &amp; RIGHT($C708,4)), "")</f>
        <v/>
      </c>
      <c r="Q708" s="37" t="str">
        <f t="array" ref="Q708">IF($R708&lt;&gt;"",IFERROR(INDEX(ISIN!$B:$B,MATCH($R708,ISIN!$C:$C,0))),)</f>
        <v/>
      </c>
      <c r="R708" s="38" t="str">
        <f t="array" ref="R708">IF($E708&lt;&gt;""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7" t="str">
        <f t="shared" si="1"/>
        <v/>
      </c>
      <c r="T708" s="39" t="str">
        <f t="shared" si="2"/>
        <v/>
      </c>
      <c r="U708" s="40" t="str">
        <f t="shared" si="3"/>
        <v/>
      </c>
      <c r="V708" s="34" t="str">
        <f t="shared" si="4"/>
        <v/>
      </c>
      <c r="W708" s="41" t="str">
        <f>IFERROR(__xludf.DUMMYFUNCTION(" IF(Account!$F708&lt;&gt;"""", SPLIT(Account!$F708, "" ""), """")"),"")</f>
        <v/>
      </c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</row>
    <row r="709">
      <c r="A709" s="20"/>
      <c r="B709" s="20"/>
      <c r="C709" s="20"/>
      <c r="D709" s="20"/>
      <c r="E709" s="20"/>
      <c r="F709" s="21"/>
      <c r="G709" s="45"/>
      <c r="H709" s="45"/>
      <c r="I709" s="45"/>
      <c r="J709" s="20"/>
      <c r="K709" s="20"/>
      <c r="L709" s="46"/>
      <c r="M709" s="33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4" t="str">
        <f>IFERROR(__xludf.DUMMYFUNCTION("IF(Account!$F709&lt;&gt;"""", VALUE(REGEXREPLACE($I709, ""\,"", ""."")), """")"),"")</f>
        <v/>
      </c>
      <c r="O709" s="35" t="str">
        <f>IF(Account!$F709&lt;&gt;"", DATEVALUE(MID($A709,4,3) &amp; LEFT($A709,3) &amp; RIGHT($A709,4)) + TIMEVALUE($B709), "")</f>
        <v/>
      </c>
      <c r="P709" s="36" t="str">
        <f>IF(Account!$F709&lt;&gt;"", DATEVALUE(MID($C709,4,3) &amp; LEFT($C709,3) &amp; RIGHT($C709,4)), "")</f>
        <v/>
      </c>
      <c r="Q709" s="37" t="str">
        <f t="array" ref="Q709">IF($R709&lt;&gt;"",IFERROR(INDEX(ISIN!$B:$B,MATCH($R709,ISIN!$C:$C,0))),)</f>
        <v/>
      </c>
      <c r="R709" s="38" t="str">
        <f t="array" ref="R709">IF($E709&lt;&gt;""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7" t="str">
        <f t="shared" si="1"/>
        <v/>
      </c>
      <c r="T709" s="39" t="str">
        <f t="shared" si="2"/>
        <v/>
      </c>
      <c r="U709" s="40" t="str">
        <f t="shared" si="3"/>
        <v/>
      </c>
      <c r="V709" s="34" t="str">
        <f t="shared" si="4"/>
        <v/>
      </c>
      <c r="W709" s="41" t="str">
        <f>IFERROR(__xludf.DUMMYFUNCTION(" IF(Account!$F709&lt;&gt;"""", SPLIT(Account!$F709, "" ""), """")"),"")</f>
        <v/>
      </c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</row>
    <row r="710">
      <c r="A710" s="20"/>
      <c r="B710" s="20"/>
      <c r="C710" s="20"/>
      <c r="D710" s="20"/>
      <c r="E710" s="20"/>
      <c r="F710" s="21"/>
      <c r="G710" s="45"/>
      <c r="H710" s="20"/>
      <c r="I710" s="20"/>
      <c r="J710" s="20"/>
      <c r="K710" s="20"/>
      <c r="L710" s="46"/>
      <c r="M710" s="33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4" t="str">
        <f>IFERROR(__xludf.DUMMYFUNCTION("IF(Account!$F710&lt;&gt;"""", VALUE(REGEXREPLACE($I710, ""\,"", ""."")), """")"),"")</f>
        <v/>
      </c>
      <c r="O710" s="35" t="str">
        <f>IF(Account!$F710&lt;&gt;"", DATEVALUE(MID($A710,4,3) &amp; LEFT($A710,3) &amp; RIGHT($A710,4)) + TIMEVALUE($B710), "")</f>
        <v/>
      </c>
      <c r="P710" s="36" t="str">
        <f>IF(Account!$F710&lt;&gt;"", DATEVALUE(MID($C710,4,3) &amp; LEFT($C710,3) &amp; RIGHT($C710,4)), "")</f>
        <v/>
      </c>
      <c r="Q710" s="37" t="str">
        <f t="array" ref="Q710">IF($R710&lt;&gt;"",IFERROR(INDEX(ISIN!$B:$B,MATCH($R710,ISIN!$C:$C,0))),)</f>
        <v/>
      </c>
      <c r="R710" s="38" t="str">
        <f t="array" ref="R710">IF($E710&lt;&gt;""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7" t="str">
        <f t="shared" si="1"/>
        <v/>
      </c>
      <c r="T710" s="39" t="str">
        <f t="shared" si="2"/>
        <v/>
      </c>
      <c r="U710" s="40" t="str">
        <f t="shared" si="3"/>
        <v/>
      </c>
      <c r="V710" s="34" t="str">
        <f t="shared" si="4"/>
        <v/>
      </c>
      <c r="W710" s="41" t="str">
        <f>IFERROR(__xludf.DUMMYFUNCTION(" IF(Account!$F710&lt;&gt;"""", SPLIT(Account!$F710, "" ""), """")"),"")</f>
        <v/>
      </c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</row>
    <row r="711">
      <c r="A711" s="20"/>
      <c r="B711" s="20"/>
      <c r="C711" s="20"/>
      <c r="D711" s="20"/>
      <c r="E711" s="20"/>
      <c r="F711" s="21"/>
      <c r="G711" s="45"/>
      <c r="H711" s="20"/>
      <c r="I711" s="20"/>
      <c r="J711" s="20"/>
      <c r="K711" s="20"/>
      <c r="L711" s="46"/>
      <c r="M711" s="33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4" t="str">
        <f>IFERROR(__xludf.DUMMYFUNCTION("IF(Account!$F711&lt;&gt;"""", VALUE(REGEXREPLACE($I711, ""\,"", ""."")), """")"),"")</f>
        <v/>
      </c>
      <c r="O711" s="35" t="str">
        <f>IF(Account!$F711&lt;&gt;"", DATEVALUE(MID($A711,4,3) &amp; LEFT($A711,3) &amp; RIGHT($A711,4)) + TIMEVALUE($B711), "")</f>
        <v/>
      </c>
      <c r="P711" s="36" t="str">
        <f>IF(Account!$F711&lt;&gt;"", DATEVALUE(MID($C711,4,3) &amp; LEFT($C711,3) &amp; RIGHT($C711,4)), "")</f>
        <v/>
      </c>
      <c r="Q711" s="37" t="str">
        <f t="array" ref="Q711">IF($R711&lt;&gt;"",IFERROR(INDEX(ISIN!$B:$B,MATCH($R711,ISIN!$C:$C,0))),)</f>
        <v/>
      </c>
      <c r="R711" s="38" t="str">
        <f t="array" ref="R711">IF($E711&lt;&gt;""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7" t="str">
        <f t="shared" si="1"/>
        <v/>
      </c>
      <c r="T711" s="39" t="str">
        <f t="shared" si="2"/>
        <v/>
      </c>
      <c r="U711" s="40" t="str">
        <f t="shared" si="3"/>
        <v/>
      </c>
      <c r="V711" s="34" t="str">
        <f t="shared" si="4"/>
        <v/>
      </c>
      <c r="W711" s="41" t="str">
        <f>IFERROR(__xludf.DUMMYFUNCTION(" IF(Account!$F711&lt;&gt;"""", SPLIT(Account!$F711, "" ""), """")"),"")</f>
        <v/>
      </c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</row>
    <row r="712">
      <c r="A712" s="20"/>
      <c r="B712" s="20"/>
      <c r="C712" s="20"/>
      <c r="D712" s="45"/>
      <c r="E712" s="45"/>
      <c r="F712" s="21"/>
      <c r="G712" s="45"/>
      <c r="H712" s="20"/>
      <c r="I712" s="20"/>
      <c r="J712" s="20"/>
      <c r="K712" s="20"/>
      <c r="L712" s="46"/>
      <c r="M712" s="33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4" t="str">
        <f>IFERROR(__xludf.DUMMYFUNCTION("IF(Account!$F712&lt;&gt;"""", VALUE(REGEXREPLACE($I712, ""\,"", ""."")), """")"),"")</f>
        <v/>
      </c>
      <c r="O712" s="35" t="str">
        <f>IF(Account!$F712&lt;&gt;"", DATEVALUE(MID($A712,4,3) &amp; LEFT($A712,3) &amp; RIGHT($A712,4)) + TIMEVALUE($B712), "")</f>
        <v/>
      </c>
      <c r="P712" s="36" t="str">
        <f>IF(Account!$F712&lt;&gt;"", DATEVALUE(MID($C712,4,3) &amp; LEFT($C712,3) &amp; RIGHT($C712,4)), "")</f>
        <v/>
      </c>
      <c r="Q712" s="37" t="str">
        <f t="array" ref="Q712">IF($R712&lt;&gt;"",IFERROR(INDEX(ISIN!$B:$B,MATCH($R712,ISIN!$C:$C,0))),)</f>
        <v/>
      </c>
      <c r="R712" s="38" t="str">
        <f t="array" ref="R712">IF($E712&lt;&gt;""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7" t="str">
        <f t="shared" si="1"/>
        <v/>
      </c>
      <c r="T712" s="39" t="str">
        <f t="shared" si="2"/>
        <v/>
      </c>
      <c r="U712" s="40" t="str">
        <f t="shared" si="3"/>
        <v/>
      </c>
      <c r="V712" s="34" t="str">
        <f t="shared" si="4"/>
        <v/>
      </c>
      <c r="W712" s="41" t="str">
        <f>IFERROR(__xludf.DUMMYFUNCTION(" IF(Account!$F712&lt;&gt;"""", SPLIT(Account!$F712, "" ""), """")"),"")</f>
        <v/>
      </c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</row>
    <row r="713">
      <c r="A713" s="20"/>
      <c r="B713" s="20"/>
      <c r="C713" s="20"/>
      <c r="D713" s="20"/>
      <c r="E713" s="20"/>
      <c r="F713" s="21"/>
      <c r="G713" s="45"/>
      <c r="H713" s="20"/>
      <c r="I713" s="20"/>
      <c r="J713" s="20"/>
      <c r="K713" s="20"/>
      <c r="L713" s="21"/>
      <c r="M713" s="33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4" t="str">
        <f>IFERROR(__xludf.DUMMYFUNCTION("IF(Account!$F713&lt;&gt;"""", VALUE(REGEXREPLACE($I713, ""\,"", ""."")), """")"),"")</f>
        <v/>
      </c>
      <c r="O713" s="35" t="str">
        <f>IF(Account!$F713&lt;&gt;"", DATEVALUE(MID($A713,4,3) &amp; LEFT($A713,3) &amp; RIGHT($A713,4)) + TIMEVALUE($B713), "")</f>
        <v/>
      </c>
      <c r="P713" s="36" t="str">
        <f>IF(Account!$F713&lt;&gt;"", DATEVALUE(MID($C713,4,3) &amp; LEFT($C713,3) &amp; RIGHT($C713,4)), "")</f>
        <v/>
      </c>
      <c r="Q713" s="37" t="str">
        <f t="array" ref="Q713">IF($R713&lt;&gt;"",IFERROR(INDEX(ISIN!$B:$B,MATCH($R713,ISIN!$C:$C,0))),)</f>
        <v/>
      </c>
      <c r="R713" s="38" t="str">
        <f t="array" ref="R713">IF($E713&lt;&gt;""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7" t="str">
        <f t="shared" si="1"/>
        <v/>
      </c>
      <c r="T713" s="39" t="str">
        <f t="shared" si="2"/>
        <v/>
      </c>
      <c r="U713" s="40" t="str">
        <f t="shared" si="3"/>
        <v/>
      </c>
      <c r="V713" s="34" t="str">
        <f t="shared" si="4"/>
        <v/>
      </c>
      <c r="W713" s="41" t="str">
        <f>IFERROR(__xludf.DUMMYFUNCTION(" IF(Account!$F713&lt;&gt;"""", SPLIT(Account!$F713, "" ""), """")"),"")</f>
        <v/>
      </c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</row>
    <row r="714">
      <c r="A714" s="20"/>
      <c r="B714" s="20"/>
      <c r="C714" s="20"/>
      <c r="D714" s="20"/>
      <c r="E714" s="20"/>
      <c r="F714" s="21"/>
      <c r="G714" s="45"/>
      <c r="H714" s="20"/>
      <c r="I714" s="20"/>
      <c r="J714" s="20"/>
      <c r="K714" s="20"/>
      <c r="L714" s="21"/>
      <c r="M714" s="33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4" t="str">
        <f>IFERROR(__xludf.DUMMYFUNCTION("IF(Account!$F714&lt;&gt;"""", VALUE(REGEXREPLACE($I714, ""\,"", ""."")), """")"),"")</f>
        <v/>
      </c>
      <c r="O714" s="35" t="str">
        <f>IF(Account!$F714&lt;&gt;"", DATEVALUE(MID($A714,4,3) &amp; LEFT($A714,3) &amp; RIGHT($A714,4)) + TIMEVALUE($B714), "")</f>
        <v/>
      </c>
      <c r="P714" s="36" t="str">
        <f>IF(Account!$F714&lt;&gt;"", DATEVALUE(MID($C714,4,3) &amp; LEFT($C714,3) &amp; RIGHT($C714,4)), "")</f>
        <v/>
      </c>
      <c r="Q714" s="37" t="str">
        <f t="array" ref="Q714">IF($R714&lt;&gt;"",IFERROR(INDEX(ISIN!$B:$B,MATCH($R714,ISIN!$C:$C,0))),)</f>
        <v/>
      </c>
      <c r="R714" s="38" t="str">
        <f t="array" ref="R714">IF($E714&lt;&gt;""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7" t="str">
        <f t="shared" si="1"/>
        <v/>
      </c>
      <c r="T714" s="39" t="str">
        <f t="shared" si="2"/>
        <v/>
      </c>
      <c r="U714" s="40" t="str">
        <f t="shared" si="3"/>
        <v/>
      </c>
      <c r="V714" s="34" t="str">
        <f t="shared" si="4"/>
        <v/>
      </c>
      <c r="W714" s="41" t="str">
        <f>IFERROR(__xludf.DUMMYFUNCTION(" IF(Account!$F714&lt;&gt;"""", SPLIT(Account!$F714, "" ""), """")"),"")</f>
        <v/>
      </c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</row>
    <row r="715">
      <c r="A715" s="20"/>
      <c r="B715" s="20"/>
      <c r="C715" s="20"/>
      <c r="D715" s="20"/>
      <c r="E715" s="20"/>
      <c r="F715" s="21"/>
      <c r="G715" s="45"/>
      <c r="H715" s="20"/>
      <c r="I715" s="20"/>
      <c r="J715" s="20"/>
      <c r="K715" s="20"/>
      <c r="L715" s="21"/>
      <c r="M715" s="33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4" t="str">
        <f>IFERROR(__xludf.DUMMYFUNCTION("IF(Account!$F715&lt;&gt;"""", VALUE(REGEXREPLACE($I715, ""\,"", ""."")), """")"),"")</f>
        <v/>
      </c>
      <c r="O715" s="35" t="str">
        <f>IF(Account!$F715&lt;&gt;"", DATEVALUE(MID($A715,4,3) &amp; LEFT($A715,3) &amp; RIGHT($A715,4)) + TIMEVALUE($B715), "")</f>
        <v/>
      </c>
      <c r="P715" s="36" t="str">
        <f>IF(Account!$F715&lt;&gt;"", DATEVALUE(MID($C715,4,3) &amp; LEFT($C715,3) &amp; RIGHT($C715,4)), "")</f>
        <v/>
      </c>
      <c r="Q715" s="37" t="str">
        <f t="array" ref="Q715">IF($R715&lt;&gt;"",IFERROR(INDEX(ISIN!$B:$B,MATCH($R715,ISIN!$C:$C,0))),)</f>
        <v/>
      </c>
      <c r="R715" s="38" t="str">
        <f t="array" ref="R715">IF($E715&lt;&gt;""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7" t="str">
        <f t="shared" si="1"/>
        <v/>
      </c>
      <c r="T715" s="39" t="str">
        <f t="shared" si="2"/>
        <v/>
      </c>
      <c r="U715" s="40" t="str">
        <f t="shared" si="3"/>
        <v/>
      </c>
      <c r="V715" s="34" t="str">
        <f t="shared" si="4"/>
        <v/>
      </c>
      <c r="W715" s="41" t="str">
        <f>IFERROR(__xludf.DUMMYFUNCTION(" IF(Account!$F715&lt;&gt;"""", SPLIT(Account!$F715, "" ""), """")"),"")</f>
        <v/>
      </c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</row>
    <row r="716">
      <c r="A716" s="20"/>
      <c r="B716" s="20"/>
      <c r="C716" s="20"/>
      <c r="D716" s="20"/>
      <c r="E716" s="20"/>
      <c r="F716" s="21"/>
      <c r="G716" s="45"/>
      <c r="H716" s="20"/>
      <c r="I716" s="20"/>
      <c r="J716" s="20"/>
      <c r="K716" s="20"/>
      <c r="L716" s="21"/>
      <c r="M716" s="33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4" t="str">
        <f>IFERROR(__xludf.DUMMYFUNCTION("IF(Account!$F716&lt;&gt;"""", VALUE(REGEXREPLACE($I716, ""\,"", ""."")), """")"),"")</f>
        <v/>
      </c>
      <c r="O716" s="35" t="str">
        <f>IF(Account!$F716&lt;&gt;"", DATEVALUE(MID($A716,4,3) &amp; LEFT($A716,3) &amp; RIGHT($A716,4)) + TIMEVALUE($B716), "")</f>
        <v/>
      </c>
      <c r="P716" s="36" t="str">
        <f>IF(Account!$F716&lt;&gt;"", DATEVALUE(MID($C716,4,3) &amp; LEFT($C716,3) &amp; RIGHT($C716,4)), "")</f>
        <v/>
      </c>
      <c r="Q716" s="37" t="str">
        <f t="array" ref="Q716">IF($R716&lt;&gt;"",IFERROR(INDEX(ISIN!$B:$B,MATCH($R716,ISIN!$C:$C,0))),)</f>
        <v/>
      </c>
      <c r="R716" s="38" t="str">
        <f t="array" ref="R716">IF($E716&lt;&gt;""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7" t="str">
        <f t="shared" si="1"/>
        <v/>
      </c>
      <c r="T716" s="39" t="str">
        <f t="shared" si="2"/>
        <v/>
      </c>
      <c r="U716" s="40" t="str">
        <f t="shared" si="3"/>
        <v/>
      </c>
      <c r="V716" s="34" t="str">
        <f t="shared" si="4"/>
        <v/>
      </c>
      <c r="W716" s="41" t="str">
        <f>IFERROR(__xludf.DUMMYFUNCTION(" IF(Account!$F716&lt;&gt;"""", SPLIT(Account!$F716, "" ""), """")"),"")</f>
        <v/>
      </c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</row>
    <row r="717">
      <c r="A717" s="20"/>
      <c r="B717" s="20"/>
      <c r="C717" s="20"/>
      <c r="D717" s="20"/>
      <c r="E717" s="20"/>
      <c r="F717" s="21"/>
      <c r="G717" s="45"/>
      <c r="H717" s="45"/>
      <c r="I717" s="45"/>
      <c r="J717" s="20"/>
      <c r="K717" s="20"/>
      <c r="L717" s="46"/>
      <c r="M717" s="33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4" t="str">
        <f>IFERROR(__xludf.DUMMYFUNCTION("IF(Account!$F717&lt;&gt;"""", VALUE(REGEXREPLACE($I717, ""\,"", ""."")), """")"),"")</f>
        <v/>
      </c>
      <c r="O717" s="35" t="str">
        <f>IF(Account!$F717&lt;&gt;"", DATEVALUE(MID($A717,4,3) &amp; LEFT($A717,3) &amp; RIGHT($A717,4)) + TIMEVALUE($B717), "")</f>
        <v/>
      </c>
      <c r="P717" s="36" t="str">
        <f>IF(Account!$F717&lt;&gt;"", DATEVALUE(MID($C717,4,3) &amp; LEFT($C717,3) &amp; RIGHT($C717,4)), "")</f>
        <v/>
      </c>
      <c r="Q717" s="37" t="str">
        <f t="array" ref="Q717">IF($R717&lt;&gt;"",IFERROR(INDEX(ISIN!$B:$B,MATCH($R717,ISIN!$C:$C,0))),)</f>
        <v/>
      </c>
      <c r="R717" s="38" t="str">
        <f t="array" ref="R717">IF($E717&lt;&gt;""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7" t="str">
        <f t="shared" si="1"/>
        <v/>
      </c>
      <c r="T717" s="39" t="str">
        <f t="shared" si="2"/>
        <v/>
      </c>
      <c r="U717" s="40" t="str">
        <f t="shared" si="3"/>
        <v/>
      </c>
      <c r="V717" s="34" t="str">
        <f t="shared" si="4"/>
        <v/>
      </c>
      <c r="W717" s="41" t="str">
        <f>IFERROR(__xludf.DUMMYFUNCTION(" IF(Account!$F717&lt;&gt;"""", SPLIT(Account!$F717, "" ""), """")"),"")</f>
        <v/>
      </c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</row>
    <row r="718">
      <c r="A718" s="20"/>
      <c r="B718" s="20"/>
      <c r="C718" s="20"/>
      <c r="D718" s="45"/>
      <c r="E718" s="45"/>
      <c r="F718" s="21"/>
      <c r="G718" s="45"/>
      <c r="H718" s="20"/>
      <c r="I718" s="20"/>
      <c r="J718" s="20"/>
      <c r="K718" s="20"/>
      <c r="L718" s="46"/>
      <c r="M718" s="33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4" t="str">
        <f>IFERROR(__xludf.DUMMYFUNCTION("IF(Account!$F718&lt;&gt;"""", VALUE(REGEXREPLACE($I718, ""\,"", ""."")), """")"),"")</f>
        <v/>
      </c>
      <c r="O718" s="35" t="str">
        <f>IF(Account!$F718&lt;&gt;"", DATEVALUE(MID($A718,4,3) &amp; LEFT($A718,3) &amp; RIGHT($A718,4)) + TIMEVALUE($B718), "")</f>
        <v/>
      </c>
      <c r="P718" s="36" t="str">
        <f>IF(Account!$F718&lt;&gt;"", DATEVALUE(MID($C718,4,3) &amp; LEFT($C718,3) &amp; RIGHT($C718,4)), "")</f>
        <v/>
      </c>
      <c r="Q718" s="37" t="str">
        <f t="array" ref="Q718">IF($R718&lt;&gt;"",IFERROR(INDEX(ISIN!$B:$B,MATCH($R718,ISIN!$C:$C,0))),)</f>
        <v/>
      </c>
      <c r="R718" s="38" t="str">
        <f t="array" ref="R718">IF($E718&lt;&gt;""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7" t="str">
        <f t="shared" si="1"/>
        <v/>
      </c>
      <c r="T718" s="39" t="str">
        <f t="shared" si="2"/>
        <v/>
      </c>
      <c r="U718" s="40" t="str">
        <f t="shared" si="3"/>
        <v/>
      </c>
      <c r="V718" s="34" t="str">
        <f t="shared" si="4"/>
        <v/>
      </c>
      <c r="W718" s="41" t="str">
        <f>IFERROR(__xludf.DUMMYFUNCTION(" IF(Account!$F718&lt;&gt;"""", SPLIT(Account!$F718, "" ""), """")"),"")</f>
        <v/>
      </c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</row>
    <row r="719">
      <c r="A719" s="20"/>
      <c r="B719" s="20"/>
      <c r="C719" s="20"/>
      <c r="D719" s="45"/>
      <c r="E719" s="45"/>
      <c r="F719" s="21"/>
      <c r="G719" s="20"/>
      <c r="H719" s="20"/>
      <c r="I719" s="20"/>
      <c r="J719" s="20"/>
      <c r="K719" s="20"/>
      <c r="L719" s="46"/>
      <c r="M719" s="33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4" t="str">
        <f>IFERROR(__xludf.DUMMYFUNCTION("IF(Account!$F719&lt;&gt;"""", VALUE(REGEXREPLACE($I719, ""\,"", ""."")), """")"),"")</f>
        <v/>
      </c>
      <c r="O719" s="35" t="str">
        <f>IF(Account!$F719&lt;&gt;"", DATEVALUE(MID($A719,4,3) &amp; LEFT($A719,3) &amp; RIGHT($A719,4)) + TIMEVALUE($B719), "")</f>
        <v/>
      </c>
      <c r="P719" s="36" t="str">
        <f>IF(Account!$F719&lt;&gt;"", DATEVALUE(MID($C719,4,3) &amp; LEFT($C719,3) &amp; RIGHT($C719,4)), "")</f>
        <v/>
      </c>
      <c r="Q719" s="37" t="str">
        <f t="array" ref="Q719">IF($R719&lt;&gt;"",IFERROR(INDEX(ISIN!$B:$B,MATCH($R719,ISIN!$C:$C,0))),)</f>
        <v/>
      </c>
      <c r="R719" s="38" t="str">
        <f t="array" ref="R719">IF($E719&lt;&gt;""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7" t="str">
        <f t="shared" si="1"/>
        <v/>
      </c>
      <c r="T719" s="39" t="str">
        <f t="shared" si="2"/>
        <v/>
      </c>
      <c r="U719" s="40" t="str">
        <f t="shared" si="3"/>
        <v/>
      </c>
      <c r="V719" s="34" t="str">
        <f t="shared" si="4"/>
        <v/>
      </c>
      <c r="W719" s="41" t="str">
        <f>IFERROR(__xludf.DUMMYFUNCTION(" IF(Account!$F719&lt;&gt;"""", SPLIT(Account!$F719, "" ""), """")"),"")</f>
        <v/>
      </c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</row>
    <row r="720">
      <c r="A720" s="20"/>
      <c r="B720" s="20"/>
      <c r="C720" s="20"/>
      <c r="D720" s="20"/>
      <c r="E720" s="20"/>
      <c r="F720" s="21"/>
      <c r="G720" s="45"/>
      <c r="H720" s="45"/>
      <c r="I720" s="45"/>
      <c r="J720" s="20"/>
      <c r="K720" s="20"/>
      <c r="L720" s="46"/>
      <c r="M720" s="33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4" t="str">
        <f>IFERROR(__xludf.DUMMYFUNCTION("IF(Account!$F720&lt;&gt;"""", VALUE(REGEXREPLACE($I720, ""\,"", ""."")), """")"),"")</f>
        <v/>
      </c>
      <c r="O720" s="35" t="str">
        <f>IF(Account!$F720&lt;&gt;"", DATEVALUE(MID($A720,4,3) &amp; LEFT($A720,3) &amp; RIGHT($A720,4)) + TIMEVALUE($B720), "")</f>
        <v/>
      </c>
      <c r="P720" s="36" t="str">
        <f>IF(Account!$F720&lt;&gt;"", DATEVALUE(MID($C720,4,3) &amp; LEFT($C720,3) &amp; RIGHT($C720,4)), "")</f>
        <v/>
      </c>
      <c r="Q720" s="37" t="str">
        <f t="array" ref="Q720">IF($R720&lt;&gt;"",IFERROR(INDEX(ISIN!$B:$B,MATCH($R720,ISIN!$C:$C,0))),)</f>
        <v/>
      </c>
      <c r="R720" s="38" t="str">
        <f t="array" ref="R720">IF($E720&lt;&gt;""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7" t="str">
        <f t="shared" si="1"/>
        <v/>
      </c>
      <c r="T720" s="39" t="str">
        <f t="shared" si="2"/>
        <v/>
      </c>
      <c r="U720" s="40" t="str">
        <f t="shared" si="3"/>
        <v/>
      </c>
      <c r="V720" s="34" t="str">
        <f t="shared" si="4"/>
        <v/>
      </c>
      <c r="W720" s="41" t="str">
        <f>IFERROR(__xludf.DUMMYFUNCTION(" IF(Account!$F720&lt;&gt;"""", SPLIT(Account!$F720, "" ""), """")"),"")</f>
        <v/>
      </c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</row>
    <row r="721">
      <c r="A721" s="20"/>
      <c r="B721" s="20"/>
      <c r="C721" s="20"/>
      <c r="D721" s="20"/>
      <c r="E721" s="20"/>
      <c r="F721" s="21"/>
      <c r="G721" s="45"/>
      <c r="H721" s="20"/>
      <c r="I721" s="20"/>
      <c r="J721" s="20"/>
      <c r="K721" s="20"/>
      <c r="L721" s="46"/>
      <c r="M721" s="33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4" t="str">
        <f>IFERROR(__xludf.DUMMYFUNCTION("IF(Account!$F721&lt;&gt;"""", VALUE(REGEXREPLACE($I721, ""\,"", ""."")), """")"),"")</f>
        <v/>
      </c>
      <c r="O721" s="35" t="str">
        <f>IF(Account!$F721&lt;&gt;"", DATEVALUE(MID($A721,4,3) &amp; LEFT($A721,3) &amp; RIGHT($A721,4)) + TIMEVALUE($B721), "")</f>
        <v/>
      </c>
      <c r="P721" s="36" t="str">
        <f>IF(Account!$F721&lt;&gt;"", DATEVALUE(MID($C721,4,3) &amp; LEFT($C721,3) &amp; RIGHT($C721,4)), "")</f>
        <v/>
      </c>
      <c r="Q721" s="37" t="str">
        <f t="array" ref="Q721">IF($R721&lt;&gt;"",IFERROR(INDEX(ISIN!$B:$B,MATCH($R721,ISIN!$C:$C,0))),)</f>
        <v/>
      </c>
      <c r="R721" s="38" t="str">
        <f t="array" ref="R721">IF($E721&lt;&gt;""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7" t="str">
        <f t="shared" si="1"/>
        <v/>
      </c>
      <c r="T721" s="39" t="str">
        <f t="shared" si="2"/>
        <v/>
      </c>
      <c r="U721" s="40" t="str">
        <f t="shared" si="3"/>
        <v/>
      </c>
      <c r="V721" s="34" t="str">
        <f t="shared" si="4"/>
        <v/>
      </c>
      <c r="W721" s="41" t="str">
        <f>IFERROR(__xludf.DUMMYFUNCTION(" IF(Account!$F721&lt;&gt;"""", SPLIT(Account!$F721, "" ""), """")"),"")</f>
        <v/>
      </c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</row>
    <row r="722">
      <c r="A722" s="20"/>
      <c r="B722" s="20"/>
      <c r="C722" s="20"/>
      <c r="D722" s="20"/>
      <c r="E722" s="20"/>
      <c r="F722" s="21"/>
      <c r="G722" s="45"/>
      <c r="H722" s="20"/>
      <c r="I722" s="20"/>
      <c r="J722" s="20"/>
      <c r="K722" s="20"/>
      <c r="L722" s="46"/>
      <c r="M722" s="33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4" t="str">
        <f>IFERROR(__xludf.DUMMYFUNCTION("IF(Account!$F722&lt;&gt;"""", VALUE(REGEXREPLACE($I722, ""\,"", ""."")), """")"),"")</f>
        <v/>
      </c>
      <c r="O722" s="35" t="str">
        <f>IF(Account!$F722&lt;&gt;"", DATEVALUE(MID($A722,4,3) &amp; LEFT($A722,3) &amp; RIGHT($A722,4)) + TIMEVALUE($B722), "")</f>
        <v/>
      </c>
      <c r="P722" s="36" t="str">
        <f>IF(Account!$F722&lt;&gt;"", DATEVALUE(MID($C722,4,3) &amp; LEFT($C722,3) &amp; RIGHT($C722,4)), "")</f>
        <v/>
      </c>
      <c r="Q722" s="37" t="str">
        <f t="array" ref="Q722">IF($R722&lt;&gt;"",IFERROR(INDEX(ISIN!$B:$B,MATCH($R722,ISIN!$C:$C,0))),)</f>
        <v/>
      </c>
      <c r="R722" s="38" t="str">
        <f t="array" ref="R722">IF($E722&lt;&gt;""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7" t="str">
        <f t="shared" si="1"/>
        <v/>
      </c>
      <c r="T722" s="39" t="str">
        <f t="shared" si="2"/>
        <v/>
      </c>
      <c r="U722" s="40" t="str">
        <f t="shared" si="3"/>
        <v/>
      </c>
      <c r="V722" s="34" t="str">
        <f t="shared" si="4"/>
        <v/>
      </c>
      <c r="W722" s="41" t="str">
        <f>IFERROR(__xludf.DUMMYFUNCTION(" IF(Account!$F722&lt;&gt;"""", SPLIT(Account!$F722, "" ""), """")"),"")</f>
        <v/>
      </c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</row>
    <row r="723">
      <c r="A723" s="20"/>
      <c r="B723" s="20"/>
      <c r="C723" s="20"/>
      <c r="D723" s="45"/>
      <c r="E723" s="45"/>
      <c r="F723" s="21"/>
      <c r="G723" s="45"/>
      <c r="H723" s="20"/>
      <c r="I723" s="20"/>
      <c r="J723" s="20"/>
      <c r="K723" s="20"/>
      <c r="L723" s="46"/>
      <c r="M723" s="33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4" t="str">
        <f>IFERROR(__xludf.DUMMYFUNCTION("IF(Account!$F723&lt;&gt;"""", VALUE(REGEXREPLACE($I723, ""\,"", ""."")), """")"),"")</f>
        <v/>
      </c>
      <c r="O723" s="35" t="str">
        <f>IF(Account!$F723&lt;&gt;"", DATEVALUE(MID($A723,4,3) &amp; LEFT($A723,3) &amp; RIGHT($A723,4)) + TIMEVALUE($B723), "")</f>
        <v/>
      </c>
      <c r="P723" s="36" t="str">
        <f>IF(Account!$F723&lt;&gt;"", DATEVALUE(MID($C723,4,3) &amp; LEFT($C723,3) &amp; RIGHT($C723,4)), "")</f>
        <v/>
      </c>
      <c r="Q723" s="37" t="str">
        <f t="array" ref="Q723">IF($R723&lt;&gt;"",IFERROR(INDEX(ISIN!$B:$B,MATCH($R723,ISIN!$C:$C,0))),)</f>
        <v/>
      </c>
      <c r="R723" s="38" t="str">
        <f t="array" ref="R723">IF($E723&lt;&gt;""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7" t="str">
        <f t="shared" si="1"/>
        <v/>
      </c>
      <c r="T723" s="39" t="str">
        <f t="shared" si="2"/>
        <v/>
      </c>
      <c r="U723" s="40" t="str">
        <f t="shared" si="3"/>
        <v/>
      </c>
      <c r="V723" s="34" t="str">
        <f t="shared" si="4"/>
        <v/>
      </c>
      <c r="W723" s="41" t="str">
        <f>IFERROR(__xludf.DUMMYFUNCTION(" IF(Account!$F723&lt;&gt;"""", SPLIT(Account!$F723, "" ""), """")"),"")</f>
        <v/>
      </c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</row>
    <row r="724">
      <c r="A724" s="20"/>
      <c r="B724" s="20"/>
      <c r="C724" s="20"/>
      <c r="D724" s="45"/>
      <c r="E724" s="45"/>
      <c r="F724" s="21"/>
      <c r="G724" s="20"/>
      <c r="H724" s="20"/>
      <c r="I724" s="20"/>
      <c r="J724" s="20"/>
      <c r="K724" s="20"/>
      <c r="L724" s="46"/>
      <c r="M724" s="33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4" t="str">
        <f>IFERROR(__xludf.DUMMYFUNCTION("IF(Account!$F724&lt;&gt;"""", VALUE(REGEXREPLACE($I724, ""\,"", ""."")), """")"),"")</f>
        <v/>
      </c>
      <c r="O724" s="35" t="str">
        <f>IF(Account!$F724&lt;&gt;"", DATEVALUE(MID($A724,4,3) &amp; LEFT($A724,3) &amp; RIGHT($A724,4)) + TIMEVALUE($B724), "")</f>
        <v/>
      </c>
      <c r="P724" s="36" t="str">
        <f>IF(Account!$F724&lt;&gt;"", DATEVALUE(MID($C724,4,3) &amp; LEFT($C724,3) &amp; RIGHT($C724,4)), "")</f>
        <v/>
      </c>
      <c r="Q724" s="37" t="str">
        <f t="array" ref="Q724">IF($R724&lt;&gt;"",IFERROR(INDEX(ISIN!$B:$B,MATCH($R724,ISIN!$C:$C,0))),)</f>
        <v/>
      </c>
      <c r="R724" s="38" t="str">
        <f t="array" ref="R724">IF($E724&lt;&gt;""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7" t="str">
        <f t="shared" si="1"/>
        <v/>
      </c>
      <c r="T724" s="39" t="str">
        <f t="shared" si="2"/>
        <v/>
      </c>
      <c r="U724" s="40" t="str">
        <f t="shared" si="3"/>
        <v/>
      </c>
      <c r="V724" s="34" t="str">
        <f t="shared" si="4"/>
        <v/>
      </c>
      <c r="W724" s="41" t="str">
        <f>IFERROR(__xludf.DUMMYFUNCTION(" IF(Account!$F724&lt;&gt;"""", SPLIT(Account!$F724, "" ""), """")"),"")</f>
        <v/>
      </c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</row>
    <row r="725">
      <c r="A725" s="20"/>
      <c r="B725" s="20"/>
      <c r="C725" s="20"/>
      <c r="D725" s="20"/>
      <c r="E725" s="20"/>
      <c r="F725" s="21"/>
      <c r="G725" s="45"/>
      <c r="H725" s="20"/>
      <c r="I725" s="20"/>
      <c r="J725" s="20"/>
      <c r="K725" s="20"/>
      <c r="L725" s="46"/>
      <c r="M725" s="33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4" t="str">
        <f>IFERROR(__xludf.DUMMYFUNCTION("IF(Account!$F725&lt;&gt;"""", VALUE(REGEXREPLACE($I725, ""\,"", ""."")), """")"),"")</f>
        <v/>
      </c>
      <c r="O725" s="35" t="str">
        <f>IF(Account!$F725&lt;&gt;"", DATEVALUE(MID($A725,4,3) &amp; LEFT($A725,3) &amp; RIGHT($A725,4)) + TIMEVALUE($B725), "")</f>
        <v/>
      </c>
      <c r="P725" s="36" t="str">
        <f>IF(Account!$F725&lt;&gt;"", DATEVALUE(MID($C725,4,3) &amp; LEFT($C725,3) &amp; RIGHT($C725,4)), "")</f>
        <v/>
      </c>
      <c r="Q725" s="37" t="str">
        <f t="array" ref="Q725">IF($R725&lt;&gt;"",IFERROR(INDEX(ISIN!$B:$B,MATCH($R725,ISIN!$C:$C,0))),)</f>
        <v/>
      </c>
      <c r="R725" s="38" t="str">
        <f t="array" ref="R725">IF($E725&lt;&gt;""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7" t="str">
        <f t="shared" si="1"/>
        <v/>
      </c>
      <c r="T725" s="39" t="str">
        <f t="shared" si="2"/>
        <v/>
      </c>
      <c r="U725" s="40" t="str">
        <f t="shared" si="3"/>
        <v/>
      </c>
      <c r="V725" s="34" t="str">
        <f t="shared" si="4"/>
        <v/>
      </c>
      <c r="W725" s="41" t="str">
        <f>IFERROR(__xludf.DUMMYFUNCTION(" IF(Account!$F725&lt;&gt;"""", SPLIT(Account!$F725, "" ""), """")"),"")</f>
        <v/>
      </c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</row>
    <row r="726">
      <c r="A726" s="20"/>
      <c r="B726" s="20"/>
      <c r="C726" s="20"/>
      <c r="D726" s="20"/>
      <c r="E726" s="20"/>
      <c r="F726" s="21"/>
      <c r="G726" s="45"/>
      <c r="H726" s="20"/>
      <c r="I726" s="20"/>
      <c r="J726" s="20"/>
      <c r="K726" s="20"/>
      <c r="L726" s="21"/>
      <c r="M726" s="33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4" t="str">
        <f>IFERROR(__xludf.DUMMYFUNCTION("IF(Account!$F726&lt;&gt;"""", VALUE(REGEXREPLACE($I726, ""\,"", ""."")), """")"),"")</f>
        <v/>
      </c>
      <c r="O726" s="35" t="str">
        <f>IF(Account!$F726&lt;&gt;"", DATEVALUE(MID($A726,4,3) &amp; LEFT($A726,3) &amp; RIGHT($A726,4)) + TIMEVALUE($B726), "")</f>
        <v/>
      </c>
      <c r="P726" s="36" t="str">
        <f>IF(Account!$F726&lt;&gt;"", DATEVALUE(MID($C726,4,3) &amp; LEFT($C726,3) &amp; RIGHT($C726,4)), "")</f>
        <v/>
      </c>
      <c r="Q726" s="37" t="str">
        <f t="array" ref="Q726">IF($R726&lt;&gt;"",IFERROR(INDEX(ISIN!$B:$B,MATCH($R726,ISIN!$C:$C,0))),)</f>
        <v/>
      </c>
      <c r="R726" s="38" t="str">
        <f t="array" ref="R726">IF($E726&lt;&gt;""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7" t="str">
        <f t="shared" si="1"/>
        <v/>
      </c>
      <c r="T726" s="39" t="str">
        <f t="shared" si="2"/>
        <v/>
      </c>
      <c r="U726" s="40" t="str">
        <f t="shared" si="3"/>
        <v/>
      </c>
      <c r="V726" s="34" t="str">
        <f t="shared" si="4"/>
        <v/>
      </c>
      <c r="W726" s="41" t="str">
        <f>IFERROR(__xludf.DUMMYFUNCTION(" IF(Account!$F726&lt;&gt;"""", SPLIT(Account!$F726, "" ""), """")"),"")</f>
        <v/>
      </c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</row>
    <row r="727">
      <c r="A727" s="20"/>
      <c r="B727" s="20"/>
      <c r="C727" s="20"/>
      <c r="D727" s="20"/>
      <c r="E727" s="20"/>
      <c r="F727" s="21"/>
      <c r="G727" s="45"/>
      <c r="H727" s="20"/>
      <c r="I727" s="20"/>
      <c r="J727" s="20"/>
      <c r="K727" s="20"/>
      <c r="L727" s="21"/>
      <c r="M727" s="33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4" t="str">
        <f>IFERROR(__xludf.DUMMYFUNCTION("IF(Account!$F727&lt;&gt;"""", VALUE(REGEXREPLACE($I727, ""\,"", ""."")), """")"),"")</f>
        <v/>
      </c>
      <c r="O727" s="35" t="str">
        <f>IF(Account!$F727&lt;&gt;"", DATEVALUE(MID($A727,4,3) &amp; LEFT($A727,3) &amp; RIGHT($A727,4)) + TIMEVALUE($B727), "")</f>
        <v/>
      </c>
      <c r="P727" s="36" t="str">
        <f>IF(Account!$F727&lt;&gt;"", DATEVALUE(MID($C727,4,3) &amp; LEFT($C727,3) &amp; RIGHT($C727,4)), "")</f>
        <v/>
      </c>
      <c r="Q727" s="37" t="str">
        <f t="array" ref="Q727">IF($R727&lt;&gt;"",IFERROR(INDEX(ISIN!$B:$B,MATCH($R727,ISIN!$C:$C,0))),)</f>
        <v/>
      </c>
      <c r="R727" s="38" t="str">
        <f t="array" ref="R727">IF($E727&lt;&gt;""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7" t="str">
        <f t="shared" si="1"/>
        <v/>
      </c>
      <c r="T727" s="39" t="str">
        <f t="shared" si="2"/>
        <v/>
      </c>
      <c r="U727" s="40" t="str">
        <f t="shared" si="3"/>
        <v/>
      </c>
      <c r="V727" s="34" t="str">
        <f t="shared" si="4"/>
        <v/>
      </c>
      <c r="W727" s="41" t="str">
        <f>IFERROR(__xludf.DUMMYFUNCTION(" IF(Account!$F727&lt;&gt;"""", SPLIT(Account!$F727, "" ""), """")"),"")</f>
        <v/>
      </c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</row>
    <row r="728">
      <c r="A728" s="20"/>
      <c r="B728" s="20"/>
      <c r="C728" s="20"/>
      <c r="D728" s="20"/>
      <c r="E728" s="20"/>
      <c r="F728" s="21"/>
      <c r="G728" s="45"/>
      <c r="H728" s="20"/>
      <c r="I728" s="20"/>
      <c r="J728" s="20"/>
      <c r="K728" s="20"/>
      <c r="L728" s="21"/>
      <c r="M728" s="33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4" t="str">
        <f>IFERROR(__xludf.DUMMYFUNCTION("IF(Account!$F728&lt;&gt;"""", VALUE(REGEXREPLACE($I728, ""\,"", ""."")), """")"),"")</f>
        <v/>
      </c>
      <c r="O728" s="35" t="str">
        <f>IF(Account!$F728&lt;&gt;"", DATEVALUE(MID($A728,4,3) &amp; LEFT($A728,3) &amp; RIGHT($A728,4)) + TIMEVALUE($B728), "")</f>
        <v/>
      </c>
      <c r="P728" s="36" t="str">
        <f>IF(Account!$F728&lt;&gt;"", DATEVALUE(MID($C728,4,3) &amp; LEFT($C728,3) &amp; RIGHT($C728,4)), "")</f>
        <v/>
      </c>
      <c r="Q728" s="37" t="str">
        <f t="array" ref="Q728">IF($R728&lt;&gt;"",IFERROR(INDEX(ISIN!$B:$B,MATCH($R728,ISIN!$C:$C,0))),)</f>
        <v/>
      </c>
      <c r="R728" s="38" t="str">
        <f t="array" ref="R728">IF($E728&lt;&gt;""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7" t="str">
        <f t="shared" si="1"/>
        <v/>
      </c>
      <c r="T728" s="39" t="str">
        <f t="shared" si="2"/>
        <v/>
      </c>
      <c r="U728" s="40" t="str">
        <f t="shared" si="3"/>
        <v/>
      </c>
      <c r="V728" s="34" t="str">
        <f t="shared" si="4"/>
        <v/>
      </c>
      <c r="W728" s="41" t="str">
        <f>IFERROR(__xludf.DUMMYFUNCTION(" IF(Account!$F728&lt;&gt;"""", SPLIT(Account!$F728, "" ""), """")"),"")</f>
        <v/>
      </c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</row>
    <row r="729">
      <c r="A729" s="20"/>
      <c r="B729" s="20"/>
      <c r="C729" s="20"/>
      <c r="D729" s="20"/>
      <c r="E729" s="20"/>
      <c r="F729" s="21"/>
      <c r="G729" s="45"/>
      <c r="H729" s="20"/>
      <c r="I729" s="20"/>
      <c r="J729" s="20"/>
      <c r="K729" s="20"/>
      <c r="L729" s="21"/>
      <c r="M729" s="33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4" t="str">
        <f>IFERROR(__xludf.DUMMYFUNCTION("IF(Account!$F729&lt;&gt;"""", VALUE(REGEXREPLACE($I729, ""\,"", ""."")), """")"),"")</f>
        <v/>
      </c>
      <c r="O729" s="35" t="str">
        <f>IF(Account!$F729&lt;&gt;"", DATEVALUE(MID($A729,4,3) &amp; LEFT($A729,3) &amp; RIGHT($A729,4)) + TIMEVALUE($B729), "")</f>
        <v/>
      </c>
      <c r="P729" s="36" t="str">
        <f>IF(Account!$F729&lt;&gt;"", DATEVALUE(MID($C729,4,3) &amp; LEFT($C729,3) &amp; RIGHT($C729,4)), "")</f>
        <v/>
      </c>
      <c r="Q729" s="37" t="str">
        <f t="array" ref="Q729">IF($R729&lt;&gt;"",IFERROR(INDEX(ISIN!$B:$B,MATCH($R729,ISIN!$C:$C,0))),)</f>
        <v/>
      </c>
      <c r="R729" s="38" t="str">
        <f t="array" ref="R729">IF($E729&lt;&gt;""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7" t="str">
        <f t="shared" si="1"/>
        <v/>
      </c>
      <c r="T729" s="39" t="str">
        <f t="shared" si="2"/>
        <v/>
      </c>
      <c r="U729" s="40" t="str">
        <f t="shared" si="3"/>
        <v/>
      </c>
      <c r="V729" s="34" t="str">
        <f t="shared" si="4"/>
        <v/>
      </c>
      <c r="W729" s="41" t="str">
        <f>IFERROR(__xludf.DUMMYFUNCTION(" IF(Account!$F729&lt;&gt;"""", SPLIT(Account!$F729, "" ""), """")"),"")</f>
        <v/>
      </c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</row>
    <row r="730">
      <c r="A730" s="20"/>
      <c r="B730" s="20"/>
      <c r="C730" s="20"/>
      <c r="D730" s="20"/>
      <c r="E730" s="20"/>
      <c r="F730" s="21"/>
      <c r="G730" s="45"/>
      <c r="H730" s="20"/>
      <c r="I730" s="20"/>
      <c r="J730" s="20"/>
      <c r="K730" s="20"/>
      <c r="L730" s="21"/>
      <c r="M730" s="33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4" t="str">
        <f>IFERROR(__xludf.DUMMYFUNCTION("IF(Account!$F730&lt;&gt;"""", VALUE(REGEXREPLACE($I730, ""\,"", ""."")), """")"),"")</f>
        <v/>
      </c>
      <c r="O730" s="35" t="str">
        <f>IF(Account!$F730&lt;&gt;"", DATEVALUE(MID($A730,4,3) &amp; LEFT($A730,3) &amp; RIGHT($A730,4)) + TIMEVALUE($B730), "")</f>
        <v/>
      </c>
      <c r="P730" s="36" t="str">
        <f>IF(Account!$F730&lt;&gt;"", DATEVALUE(MID($C730,4,3) &amp; LEFT($C730,3) &amp; RIGHT($C730,4)), "")</f>
        <v/>
      </c>
      <c r="Q730" s="37" t="str">
        <f t="array" ref="Q730">IF($R730&lt;&gt;"",IFERROR(INDEX(ISIN!$B:$B,MATCH($R730,ISIN!$C:$C,0))),)</f>
        <v/>
      </c>
      <c r="R730" s="38" t="str">
        <f t="array" ref="R730">IF($E730&lt;&gt;""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7" t="str">
        <f t="shared" si="1"/>
        <v/>
      </c>
      <c r="T730" s="39" t="str">
        <f t="shared" si="2"/>
        <v/>
      </c>
      <c r="U730" s="40" t="str">
        <f t="shared" si="3"/>
        <v/>
      </c>
      <c r="V730" s="34" t="str">
        <f t="shared" si="4"/>
        <v/>
      </c>
      <c r="W730" s="41" t="str">
        <f>IFERROR(__xludf.DUMMYFUNCTION(" IF(Account!$F730&lt;&gt;"""", SPLIT(Account!$F730, "" ""), """")"),"")</f>
        <v/>
      </c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</row>
    <row r="731">
      <c r="A731" s="20"/>
      <c r="B731" s="20"/>
      <c r="C731" s="20"/>
      <c r="D731" s="20"/>
      <c r="E731" s="20"/>
      <c r="F731" s="21"/>
      <c r="G731" s="45"/>
      <c r="H731" s="20"/>
      <c r="I731" s="20"/>
      <c r="J731" s="20"/>
      <c r="K731" s="20"/>
      <c r="L731" s="21"/>
      <c r="M731" s="33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4" t="str">
        <f>IFERROR(__xludf.DUMMYFUNCTION("IF(Account!$F731&lt;&gt;"""", VALUE(REGEXREPLACE($I731, ""\,"", ""."")), """")"),"")</f>
        <v/>
      </c>
      <c r="O731" s="35" t="str">
        <f>IF(Account!$F731&lt;&gt;"", DATEVALUE(MID($A731,4,3) &amp; LEFT($A731,3) &amp; RIGHT($A731,4)) + TIMEVALUE($B731), "")</f>
        <v/>
      </c>
      <c r="P731" s="36" t="str">
        <f>IF(Account!$F731&lt;&gt;"", DATEVALUE(MID($C731,4,3) &amp; LEFT($C731,3) &amp; RIGHT($C731,4)), "")</f>
        <v/>
      </c>
      <c r="Q731" s="37" t="str">
        <f t="array" ref="Q731">IF($R731&lt;&gt;"",IFERROR(INDEX(ISIN!$B:$B,MATCH($R731,ISIN!$C:$C,0))),)</f>
        <v/>
      </c>
      <c r="R731" s="38" t="str">
        <f t="array" ref="R731">IF($E731&lt;&gt;""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7" t="str">
        <f t="shared" si="1"/>
        <v/>
      </c>
      <c r="T731" s="39" t="str">
        <f t="shared" si="2"/>
        <v/>
      </c>
      <c r="U731" s="40" t="str">
        <f t="shared" si="3"/>
        <v/>
      </c>
      <c r="V731" s="34" t="str">
        <f t="shared" si="4"/>
        <v/>
      </c>
      <c r="W731" s="41" t="str">
        <f>IFERROR(__xludf.DUMMYFUNCTION(" IF(Account!$F731&lt;&gt;"""", SPLIT(Account!$F731, "" ""), """")"),"")</f>
        <v/>
      </c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</row>
    <row r="732">
      <c r="A732" s="20"/>
      <c r="B732" s="20"/>
      <c r="C732" s="20"/>
      <c r="D732" s="20"/>
      <c r="E732" s="20"/>
      <c r="F732" s="21"/>
      <c r="G732" s="45"/>
      <c r="H732" s="20"/>
      <c r="I732" s="20"/>
      <c r="J732" s="20"/>
      <c r="K732" s="20"/>
      <c r="L732" s="21"/>
      <c r="M732" s="33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4" t="str">
        <f>IFERROR(__xludf.DUMMYFUNCTION("IF(Account!$F732&lt;&gt;"""", VALUE(REGEXREPLACE($I732, ""\,"", ""."")), """")"),"")</f>
        <v/>
      </c>
      <c r="O732" s="35" t="str">
        <f>IF(Account!$F732&lt;&gt;"", DATEVALUE(MID($A732,4,3) &amp; LEFT($A732,3) &amp; RIGHT($A732,4)) + TIMEVALUE($B732), "")</f>
        <v/>
      </c>
      <c r="P732" s="36" t="str">
        <f>IF(Account!$F732&lt;&gt;"", DATEVALUE(MID($C732,4,3) &amp; LEFT($C732,3) &amp; RIGHT($C732,4)), "")</f>
        <v/>
      </c>
      <c r="Q732" s="37" t="str">
        <f t="array" ref="Q732">IF($R732&lt;&gt;"",IFERROR(INDEX(ISIN!$B:$B,MATCH($R732,ISIN!$C:$C,0))),)</f>
        <v/>
      </c>
      <c r="R732" s="38" t="str">
        <f t="array" ref="R732">IF($E732&lt;&gt;""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7" t="str">
        <f t="shared" si="1"/>
        <v/>
      </c>
      <c r="T732" s="39" t="str">
        <f t="shared" si="2"/>
        <v/>
      </c>
      <c r="U732" s="40" t="str">
        <f t="shared" si="3"/>
        <v/>
      </c>
      <c r="V732" s="34" t="str">
        <f t="shared" si="4"/>
        <v/>
      </c>
      <c r="W732" s="41" t="str">
        <f>IFERROR(__xludf.DUMMYFUNCTION(" IF(Account!$F732&lt;&gt;"""", SPLIT(Account!$F732, "" ""), """")"),"")</f>
        <v/>
      </c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</row>
    <row r="733">
      <c r="A733" s="20"/>
      <c r="B733" s="20"/>
      <c r="C733" s="20"/>
      <c r="D733" s="20"/>
      <c r="E733" s="20"/>
      <c r="F733" s="21"/>
      <c r="G733" s="45"/>
      <c r="H733" s="20"/>
      <c r="I733" s="20"/>
      <c r="J733" s="20"/>
      <c r="K733" s="20"/>
      <c r="L733" s="21"/>
      <c r="M733" s="33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4" t="str">
        <f>IFERROR(__xludf.DUMMYFUNCTION("IF(Account!$F733&lt;&gt;"""", VALUE(REGEXREPLACE($I733, ""\,"", ""."")), """")"),"")</f>
        <v/>
      </c>
      <c r="O733" s="35" t="str">
        <f>IF(Account!$F733&lt;&gt;"", DATEVALUE(MID($A733,4,3) &amp; LEFT($A733,3) &amp; RIGHT($A733,4)) + TIMEVALUE($B733), "")</f>
        <v/>
      </c>
      <c r="P733" s="36" t="str">
        <f>IF(Account!$F733&lt;&gt;"", DATEVALUE(MID($C733,4,3) &amp; LEFT($C733,3) &amp; RIGHT($C733,4)), "")</f>
        <v/>
      </c>
      <c r="Q733" s="37" t="str">
        <f t="array" ref="Q733">IF($R733&lt;&gt;"",IFERROR(INDEX(ISIN!$B:$B,MATCH($R733,ISIN!$C:$C,0))),)</f>
        <v/>
      </c>
      <c r="R733" s="38" t="str">
        <f t="array" ref="R733">IF($E733&lt;&gt;""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7" t="str">
        <f t="shared" si="1"/>
        <v/>
      </c>
      <c r="T733" s="39" t="str">
        <f t="shared" si="2"/>
        <v/>
      </c>
      <c r="U733" s="40" t="str">
        <f t="shared" si="3"/>
        <v/>
      </c>
      <c r="V733" s="34" t="str">
        <f t="shared" si="4"/>
        <v/>
      </c>
      <c r="W733" s="41" t="str">
        <f>IFERROR(__xludf.DUMMYFUNCTION(" IF(Account!$F733&lt;&gt;"""", SPLIT(Account!$F733, "" ""), """")"),"")</f>
        <v/>
      </c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</row>
    <row r="734">
      <c r="A734" s="20"/>
      <c r="B734" s="20"/>
      <c r="C734" s="20"/>
      <c r="D734" s="20"/>
      <c r="E734" s="20"/>
      <c r="F734" s="21"/>
      <c r="G734" s="45"/>
      <c r="H734" s="20"/>
      <c r="I734" s="20"/>
      <c r="J734" s="20"/>
      <c r="K734" s="20"/>
      <c r="L734" s="21"/>
      <c r="M734" s="33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4" t="str">
        <f>IFERROR(__xludf.DUMMYFUNCTION("IF(Account!$F734&lt;&gt;"""", VALUE(REGEXREPLACE($I734, ""\,"", ""."")), """")"),"")</f>
        <v/>
      </c>
      <c r="O734" s="35" t="str">
        <f>IF(Account!$F734&lt;&gt;"", DATEVALUE(MID($A734,4,3) &amp; LEFT($A734,3) &amp; RIGHT($A734,4)) + TIMEVALUE($B734), "")</f>
        <v/>
      </c>
      <c r="P734" s="36" t="str">
        <f>IF(Account!$F734&lt;&gt;"", DATEVALUE(MID($C734,4,3) &amp; LEFT($C734,3) &amp; RIGHT($C734,4)), "")</f>
        <v/>
      </c>
      <c r="Q734" s="37" t="str">
        <f t="array" ref="Q734">IF($R734&lt;&gt;"",IFERROR(INDEX(ISIN!$B:$B,MATCH($R734,ISIN!$C:$C,0))),)</f>
        <v/>
      </c>
      <c r="R734" s="38" t="str">
        <f t="array" ref="R734">IF($E734&lt;&gt;""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7" t="str">
        <f t="shared" si="1"/>
        <v/>
      </c>
      <c r="T734" s="39" t="str">
        <f t="shared" si="2"/>
        <v/>
      </c>
      <c r="U734" s="40" t="str">
        <f t="shared" si="3"/>
        <v/>
      </c>
      <c r="V734" s="34" t="str">
        <f t="shared" si="4"/>
        <v/>
      </c>
      <c r="W734" s="41" t="str">
        <f>IFERROR(__xludf.DUMMYFUNCTION(" IF(Account!$F734&lt;&gt;"""", SPLIT(Account!$F734, "" ""), """")"),"")</f>
        <v/>
      </c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</row>
    <row r="735">
      <c r="A735" s="20"/>
      <c r="B735" s="20"/>
      <c r="C735" s="20"/>
      <c r="D735" s="20"/>
      <c r="E735" s="20"/>
      <c r="F735" s="21"/>
      <c r="G735" s="45"/>
      <c r="H735" s="20"/>
      <c r="I735" s="20"/>
      <c r="J735" s="20"/>
      <c r="K735" s="20"/>
      <c r="L735" s="21"/>
      <c r="M735" s="33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4" t="str">
        <f>IFERROR(__xludf.DUMMYFUNCTION("IF(Account!$F735&lt;&gt;"""", VALUE(REGEXREPLACE($I735, ""\,"", ""."")), """")"),"")</f>
        <v/>
      </c>
      <c r="O735" s="35" t="str">
        <f>IF(Account!$F735&lt;&gt;"", DATEVALUE(MID($A735,4,3) &amp; LEFT($A735,3) &amp; RIGHT($A735,4)) + TIMEVALUE($B735), "")</f>
        <v/>
      </c>
      <c r="P735" s="36" t="str">
        <f>IF(Account!$F735&lt;&gt;"", DATEVALUE(MID($C735,4,3) &amp; LEFT($C735,3) &amp; RIGHT($C735,4)), "")</f>
        <v/>
      </c>
      <c r="Q735" s="37" t="str">
        <f t="array" ref="Q735">IF($R735&lt;&gt;"",IFERROR(INDEX(ISIN!$B:$B,MATCH($R735,ISIN!$C:$C,0))),)</f>
        <v/>
      </c>
      <c r="R735" s="38" t="str">
        <f t="array" ref="R735">IF($E735&lt;&gt;""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7" t="str">
        <f t="shared" si="1"/>
        <v/>
      </c>
      <c r="T735" s="39" t="str">
        <f t="shared" si="2"/>
        <v/>
      </c>
      <c r="U735" s="40" t="str">
        <f t="shared" si="3"/>
        <v/>
      </c>
      <c r="V735" s="34" t="str">
        <f t="shared" si="4"/>
        <v/>
      </c>
      <c r="W735" s="41" t="str">
        <f>IFERROR(__xludf.DUMMYFUNCTION(" IF(Account!$F735&lt;&gt;"""", SPLIT(Account!$F735, "" ""), """")"),"")</f>
        <v/>
      </c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</row>
    <row r="736">
      <c r="A736" s="20"/>
      <c r="B736" s="20"/>
      <c r="C736" s="20"/>
      <c r="D736" s="20"/>
      <c r="E736" s="20"/>
      <c r="F736" s="21"/>
      <c r="G736" s="45"/>
      <c r="H736" s="20"/>
      <c r="I736" s="20"/>
      <c r="J736" s="20"/>
      <c r="K736" s="20"/>
      <c r="L736" s="21"/>
      <c r="M736" s="33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4" t="str">
        <f>IFERROR(__xludf.DUMMYFUNCTION("IF(Account!$F736&lt;&gt;"""", VALUE(REGEXREPLACE($I736, ""\,"", ""."")), """")"),"")</f>
        <v/>
      </c>
      <c r="O736" s="35" t="str">
        <f>IF(Account!$F736&lt;&gt;"", DATEVALUE(MID($A736,4,3) &amp; LEFT($A736,3) &amp; RIGHT($A736,4)) + TIMEVALUE($B736), "")</f>
        <v/>
      </c>
      <c r="P736" s="36" t="str">
        <f>IF(Account!$F736&lt;&gt;"", DATEVALUE(MID($C736,4,3) &amp; LEFT($C736,3) &amp; RIGHT($C736,4)), "")</f>
        <v/>
      </c>
      <c r="Q736" s="37" t="str">
        <f t="array" ref="Q736">IF($R736&lt;&gt;"",IFERROR(INDEX(ISIN!$B:$B,MATCH($R736,ISIN!$C:$C,0))),)</f>
        <v/>
      </c>
      <c r="R736" s="38" t="str">
        <f t="array" ref="R736">IF($E736&lt;&gt;""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7" t="str">
        <f t="shared" si="1"/>
        <v/>
      </c>
      <c r="T736" s="39" t="str">
        <f t="shared" si="2"/>
        <v/>
      </c>
      <c r="U736" s="40" t="str">
        <f t="shared" si="3"/>
        <v/>
      </c>
      <c r="V736" s="34" t="str">
        <f t="shared" si="4"/>
        <v/>
      </c>
      <c r="W736" s="41" t="str">
        <f>IFERROR(__xludf.DUMMYFUNCTION(" IF(Account!$F736&lt;&gt;"""", SPLIT(Account!$F736, "" ""), """")"),"")</f>
        <v/>
      </c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</row>
    <row r="737">
      <c r="A737" s="20"/>
      <c r="B737" s="20"/>
      <c r="C737" s="20"/>
      <c r="D737" s="20"/>
      <c r="E737" s="20"/>
      <c r="F737" s="21"/>
      <c r="G737" s="45"/>
      <c r="H737" s="20"/>
      <c r="I737" s="20"/>
      <c r="J737" s="20"/>
      <c r="K737" s="20"/>
      <c r="L737" s="21"/>
      <c r="M737" s="33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4" t="str">
        <f>IFERROR(__xludf.DUMMYFUNCTION("IF(Account!$F737&lt;&gt;"""", VALUE(REGEXREPLACE($I737, ""\,"", ""."")), """")"),"")</f>
        <v/>
      </c>
      <c r="O737" s="35" t="str">
        <f>IF(Account!$F737&lt;&gt;"", DATEVALUE(MID($A737,4,3) &amp; LEFT($A737,3) &amp; RIGHT($A737,4)) + TIMEVALUE($B737), "")</f>
        <v/>
      </c>
      <c r="P737" s="36" t="str">
        <f>IF(Account!$F737&lt;&gt;"", DATEVALUE(MID($C737,4,3) &amp; LEFT($C737,3) &amp; RIGHT($C737,4)), "")</f>
        <v/>
      </c>
      <c r="Q737" s="37" t="str">
        <f t="array" ref="Q737">IF($R737&lt;&gt;"",IFERROR(INDEX(ISIN!$B:$B,MATCH($R737,ISIN!$C:$C,0))),)</f>
        <v/>
      </c>
      <c r="R737" s="38" t="str">
        <f t="array" ref="R737">IF($E737&lt;&gt;""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7" t="str">
        <f t="shared" si="1"/>
        <v/>
      </c>
      <c r="T737" s="39" t="str">
        <f t="shared" si="2"/>
        <v/>
      </c>
      <c r="U737" s="40" t="str">
        <f t="shared" si="3"/>
        <v/>
      </c>
      <c r="V737" s="34" t="str">
        <f t="shared" si="4"/>
        <v/>
      </c>
      <c r="W737" s="41" t="str">
        <f>IFERROR(__xludf.DUMMYFUNCTION(" IF(Account!$F737&lt;&gt;"""", SPLIT(Account!$F737, "" ""), """")"),"")</f>
        <v/>
      </c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</row>
    <row r="738">
      <c r="A738" s="20"/>
      <c r="B738" s="20"/>
      <c r="C738" s="20"/>
      <c r="D738" s="20"/>
      <c r="E738" s="20"/>
      <c r="F738" s="21"/>
      <c r="G738" s="45"/>
      <c r="H738" s="20"/>
      <c r="I738" s="20"/>
      <c r="J738" s="20"/>
      <c r="K738" s="20"/>
      <c r="L738" s="21"/>
      <c r="M738" s="33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4" t="str">
        <f>IFERROR(__xludf.DUMMYFUNCTION("IF(Account!$F738&lt;&gt;"""", VALUE(REGEXREPLACE($I738, ""\,"", ""."")), """")"),"")</f>
        <v/>
      </c>
      <c r="O738" s="35" t="str">
        <f>IF(Account!$F738&lt;&gt;"", DATEVALUE(MID($A738,4,3) &amp; LEFT($A738,3) &amp; RIGHT($A738,4)) + TIMEVALUE($B738), "")</f>
        <v/>
      </c>
      <c r="P738" s="36" t="str">
        <f>IF(Account!$F738&lt;&gt;"", DATEVALUE(MID($C738,4,3) &amp; LEFT($C738,3) &amp; RIGHT($C738,4)), "")</f>
        <v/>
      </c>
      <c r="Q738" s="37" t="str">
        <f t="array" ref="Q738">IF($R738&lt;&gt;"",IFERROR(INDEX(ISIN!$B:$B,MATCH($R738,ISIN!$C:$C,0))),)</f>
        <v/>
      </c>
      <c r="R738" s="38" t="str">
        <f t="array" ref="R738">IF($E738&lt;&gt;""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7" t="str">
        <f t="shared" si="1"/>
        <v/>
      </c>
      <c r="T738" s="39" t="str">
        <f t="shared" si="2"/>
        <v/>
      </c>
      <c r="U738" s="40" t="str">
        <f t="shared" si="3"/>
        <v/>
      </c>
      <c r="V738" s="34" t="str">
        <f t="shared" si="4"/>
        <v/>
      </c>
      <c r="W738" s="41" t="str">
        <f>IFERROR(__xludf.DUMMYFUNCTION(" IF(Account!$F738&lt;&gt;"""", SPLIT(Account!$F738, "" ""), """")"),"")</f>
        <v/>
      </c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</row>
    <row r="739">
      <c r="A739" s="20"/>
      <c r="B739" s="20"/>
      <c r="C739" s="20"/>
      <c r="D739" s="20"/>
      <c r="E739" s="20"/>
      <c r="F739" s="21"/>
      <c r="G739" s="45"/>
      <c r="H739" s="20"/>
      <c r="I739" s="20"/>
      <c r="J739" s="20"/>
      <c r="K739" s="20"/>
      <c r="L739" s="21"/>
      <c r="M739" s="33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4" t="str">
        <f>IFERROR(__xludf.DUMMYFUNCTION("IF(Account!$F739&lt;&gt;"""", VALUE(REGEXREPLACE($I739, ""\,"", ""."")), """")"),"")</f>
        <v/>
      </c>
      <c r="O739" s="35" t="str">
        <f>IF(Account!$F739&lt;&gt;"", DATEVALUE(MID($A739,4,3) &amp; LEFT($A739,3) &amp; RIGHT($A739,4)) + TIMEVALUE($B739), "")</f>
        <v/>
      </c>
      <c r="P739" s="36" t="str">
        <f>IF(Account!$F739&lt;&gt;"", DATEVALUE(MID($C739,4,3) &amp; LEFT($C739,3) &amp; RIGHT($C739,4)), "")</f>
        <v/>
      </c>
      <c r="Q739" s="37" t="str">
        <f t="array" ref="Q739">IF($R739&lt;&gt;"",IFERROR(INDEX(ISIN!$B:$B,MATCH($R739,ISIN!$C:$C,0))),)</f>
        <v/>
      </c>
      <c r="R739" s="38" t="str">
        <f t="array" ref="R739">IF($E739&lt;&gt;""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7" t="str">
        <f t="shared" si="1"/>
        <v/>
      </c>
      <c r="T739" s="39" t="str">
        <f t="shared" si="2"/>
        <v/>
      </c>
      <c r="U739" s="40" t="str">
        <f t="shared" si="3"/>
        <v/>
      </c>
      <c r="V739" s="34" t="str">
        <f t="shared" si="4"/>
        <v/>
      </c>
      <c r="W739" s="41" t="str">
        <f>IFERROR(__xludf.DUMMYFUNCTION(" IF(Account!$F739&lt;&gt;"""", SPLIT(Account!$F739, "" ""), """")"),"")</f>
        <v/>
      </c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</row>
    <row r="740">
      <c r="A740" s="20"/>
      <c r="B740" s="20"/>
      <c r="C740" s="20"/>
      <c r="D740" s="20"/>
      <c r="E740" s="20"/>
      <c r="F740" s="21"/>
      <c r="G740" s="45"/>
      <c r="H740" s="20"/>
      <c r="I740" s="20"/>
      <c r="J740" s="20"/>
      <c r="K740" s="20"/>
      <c r="L740" s="21"/>
      <c r="M740" s="33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4" t="str">
        <f>IFERROR(__xludf.DUMMYFUNCTION("IF(Account!$F740&lt;&gt;"""", VALUE(REGEXREPLACE($I740, ""\,"", ""."")), """")"),"")</f>
        <v/>
      </c>
      <c r="O740" s="35" t="str">
        <f>IF(Account!$F740&lt;&gt;"", DATEVALUE(MID($A740,4,3) &amp; LEFT($A740,3) &amp; RIGHT($A740,4)) + TIMEVALUE($B740), "")</f>
        <v/>
      </c>
      <c r="P740" s="36" t="str">
        <f>IF(Account!$F740&lt;&gt;"", DATEVALUE(MID($C740,4,3) &amp; LEFT($C740,3) &amp; RIGHT($C740,4)), "")</f>
        <v/>
      </c>
      <c r="Q740" s="37" t="str">
        <f t="array" ref="Q740">IF($R740&lt;&gt;"",IFERROR(INDEX(ISIN!$B:$B,MATCH($R740,ISIN!$C:$C,0))),)</f>
        <v/>
      </c>
      <c r="R740" s="38" t="str">
        <f t="array" ref="R740">IF($E740&lt;&gt;""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7" t="str">
        <f t="shared" si="1"/>
        <v/>
      </c>
      <c r="T740" s="39" t="str">
        <f t="shared" si="2"/>
        <v/>
      </c>
      <c r="U740" s="40" t="str">
        <f t="shared" si="3"/>
        <v/>
      </c>
      <c r="V740" s="34" t="str">
        <f t="shared" si="4"/>
        <v/>
      </c>
      <c r="W740" s="41" t="str">
        <f>IFERROR(__xludf.DUMMYFUNCTION(" IF(Account!$F740&lt;&gt;"""", SPLIT(Account!$F740, "" ""), """")"),"")</f>
        <v/>
      </c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</row>
    <row r="741">
      <c r="A741" s="20"/>
      <c r="B741" s="20"/>
      <c r="C741" s="20"/>
      <c r="D741" s="20"/>
      <c r="E741" s="20"/>
      <c r="F741" s="21"/>
      <c r="G741" s="45"/>
      <c r="H741" s="20"/>
      <c r="I741" s="20"/>
      <c r="J741" s="20"/>
      <c r="K741" s="20"/>
      <c r="L741" s="21"/>
      <c r="M741" s="33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4" t="str">
        <f>IFERROR(__xludf.DUMMYFUNCTION("IF(Account!$F741&lt;&gt;"""", VALUE(REGEXREPLACE($I741, ""\,"", ""."")), """")"),"")</f>
        <v/>
      </c>
      <c r="O741" s="35" t="str">
        <f>IF(Account!$F741&lt;&gt;"", DATEVALUE(MID($A741,4,3) &amp; LEFT($A741,3) &amp; RIGHT($A741,4)) + TIMEVALUE($B741), "")</f>
        <v/>
      </c>
      <c r="P741" s="36" t="str">
        <f>IF(Account!$F741&lt;&gt;"", DATEVALUE(MID($C741,4,3) &amp; LEFT($C741,3) &amp; RIGHT($C741,4)), "")</f>
        <v/>
      </c>
      <c r="Q741" s="37" t="str">
        <f t="array" ref="Q741">IF($R741&lt;&gt;"",IFERROR(INDEX(ISIN!$B:$B,MATCH($R741,ISIN!$C:$C,0))),)</f>
        <v/>
      </c>
      <c r="R741" s="38" t="str">
        <f t="array" ref="R741">IF($E741&lt;&gt;""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7" t="str">
        <f t="shared" si="1"/>
        <v/>
      </c>
      <c r="T741" s="39" t="str">
        <f t="shared" si="2"/>
        <v/>
      </c>
      <c r="U741" s="40" t="str">
        <f t="shared" si="3"/>
        <v/>
      </c>
      <c r="V741" s="34" t="str">
        <f t="shared" si="4"/>
        <v/>
      </c>
      <c r="W741" s="41" t="str">
        <f>IFERROR(__xludf.DUMMYFUNCTION(" IF(Account!$F741&lt;&gt;"""", SPLIT(Account!$F741, "" ""), """")"),"")</f>
        <v/>
      </c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</row>
    <row r="742">
      <c r="A742" s="20"/>
      <c r="B742" s="20"/>
      <c r="C742" s="20"/>
      <c r="D742" s="20"/>
      <c r="E742" s="20"/>
      <c r="F742" s="21"/>
      <c r="G742" s="45"/>
      <c r="H742" s="20"/>
      <c r="I742" s="20"/>
      <c r="J742" s="20"/>
      <c r="K742" s="20"/>
      <c r="L742" s="21"/>
      <c r="M742" s="33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4" t="str">
        <f>IFERROR(__xludf.DUMMYFUNCTION("IF(Account!$F742&lt;&gt;"""", VALUE(REGEXREPLACE($I742, ""\,"", ""."")), """")"),"")</f>
        <v/>
      </c>
      <c r="O742" s="35" t="str">
        <f>IF(Account!$F742&lt;&gt;"", DATEVALUE(MID($A742,4,3) &amp; LEFT($A742,3) &amp; RIGHT($A742,4)) + TIMEVALUE($B742), "")</f>
        <v/>
      </c>
      <c r="P742" s="36" t="str">
        <f>IF(Account!$F742&lt;&gt;"", DATEVALUE(MID($C742,4,3) &amp; LEFT($C742,3) &amp; RIGHT($C742,4)), "")</f>
        <v/>
      </c>
      <c r="Q742" s="37" t="str">
        <f t="array" ref="Q742">IF($R742&lt;&gt;"",IFERROR(INDEX(ISIN!$B:$B,MATCH($R742,ISIN!$C:$C,0))),)</f>
        <v/>
      </c>
      <c r="R742" s="38" t="str">
        <f t="array" ref="R742">IF($E742&lt;&gt;""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7" t="str">
        <f t="shared" si="1"/>
        <v/>
      </c>
      <c r="T742" s="39" t="str">
        <f t="shared" si="2"/>
        <v/>
      </c>
      <c r="U742" s="40" t="str">
        <f t="shared" si="3"/>
        <v/>
      </c>
      <c r="V742" s="34" t="str">
        <f t="shared" si="4"/>
        <v/>
      </c>
      <c r="W742" s="41" t="str">
        <f>IFERROR(__xludf.DUMMYFUNCTION(" IF(Account!$F742&lt;&gt;"""", SPLIT(Account!$F742, "" ""), """")"),"")</f>
        <v/>
      </c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</row>
    <row r="743">
      <c r="A743" s="20"/>
      <c r="B743" s="20"/>
      <c r="C743" s="20"/>
      <c r="D743" s="20"/>
      <c r="E743" s="20"/>
      <c r="F743" s="21"/>
      <c r="G743" s="45"/>
      <c r="H743" s="20"/>
      <c r="I743" s="20"/>
      <c r="J743" s="20"/>
      <c r="K743" s="20"/>
      <c r="L743" s="21"/>
      <c r="M743" s="33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4" t="str">
        <f>IFERROR(__xludf.DUMMYFUNCTION("IF(Account!$F743&lt;&gt;"""", VALUE(REGEXREPLACE($I743, ""\,"", ""."")), """")"),"")</f>
        <v/>
      </c>
      <c r="O743" s="35" t="str">
        <f>IF(Account!$F743&lt;&gt;"", DATEVALUE(MID($A743,4,3) &amp; LEFT($A743,3) &amp; RIGHT($A743,4)) + TIMEVALUE($B743), "")</f>
        <v/>
      </c>
      <c r="P743" s="36" t="str">
        <f>IF(Account!$F743&lt;&gt;"", DATEVALUE(MID($C743,4,3) &amp; LEFT($C743,3) &amp; RIGHT($C743,4)), "")</f>
        <v/>
      </c>
      <c r="Q743" s="37" t="str">
        <f t="array" ref="Q743">IF($R743&lt;&gt;"",IFERROR(INDEX(ISIN!$B:$B,MATCH($R743,ISIN!$C:$C,0))),)</f>
        <v/>
      </c>
      <c r="R743" s="38" t="str">
        <f t="array" ref="R743">IF($E743&lt;&gt;""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7" t="str">
        <f t="shared" si="1"/>
        <v/>
      </c>
      <c r="T743" s="39" t="str">
        <f t="shared" si="2"/>
        <v/>
      </c>
      <c r="U743" s="40" t="str">
        <f t="shared" si="3"/>
        <v/>
      </c>
      <c r="V743" s="34" t="str">
        <f t="shared" si="4"/>
        <v/>
      </c>
      <c r="W743" s="41" t="str">
        <f>IFERROR(__xludf.DUMMYFUNCTION(" IF(Account!$F743&lt;&gt;"""", SPLIT(Account!$F743, "" ""), """")"),"")</f>
        <v/>
      </c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</row>
    <row r="744">
      <c r="A744" s="20"/>
      <c r="B744" s="20"/>
      <c r="C744" s="20"/>
      <c r="D744" s="20"/>
      <c r="E744" s="20"/>
      <c r="F744" s="21"/>
      <c r="G744" s="45"/>
      <c r="H744" s="20"/>
      <c r="I744" s="20"/>
      <c r="J744" s="20"/>
      <c r="K744" s="20"/>
      <c r="L744" s="21"/>
      <c r="M744" s="33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4" t="str">
        <f>IFERROR(__xludf.DUMMYFUNCTION("IF(Account!$F744&lt;&gt;"""", VALUE(REGEXREPLACE($I744, ""\,"", ""."")), """")"),"")</f>
        <v/>
      </c>
      <c r="O744" s="35" t="str">
        <f>IF(Account!$F744&lt;&gt;"", DATEVALUE(MID($A744,4,3) &amp; LEFT($A744,3) &amp; RIGHT($A744,4)) + TIMEVALUE($B744), "")</f>
        <v/>
      </c>
      <c r="P744" s="36" t="str">
        <f>IF(Account!$F744&lt;&gt;"", DATEVALUE(MID($C744,4,3) &amp; LEFT($C744,3) &amp; RIGHT($C744,4)), "")</f>
        <v/>
      </c>
      <c r="Q744" s="37" t="str">
        <f t="array" ref="Q744">IF($R744&lt;&gt;"",IFERROR(INDEX(ISIN!$B:$B,MATCH($R744,ISIN!$C:$C,0))),)</f>
        <v/>
      </c>
      <c r="R744" s="38" t="str">
        <f t="array" ref="R744">IF($E744&lt;&gt;""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7" t="str">
        <f t="shared" si="1"/>
        <v/>
      </c>
      <c r="T744" s="39" t="str">
        <f t="shared" si="2"/>
        <v/>
      </c>
      <c r="U744" s="40" t="str">
        <f t="shared" si="3"/>
        <v/>
      </c>
      <c r="V744" s="34" t="str">
        <f t="shared" si="4"/>
        <v/>
      </c>
      <c r="W744" s="41" t="str">
        <f>IFERROR(__xludf.DUMMYFUNCTION(" IF(Account!$F744&lt;&gt;"""", SPLIT(Account!$F744, "" ""), """")"),"")</f>
        <v/>
      </c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</row>
    <row r="745">
      <c r="A745" s="20"/>
      <c r="B745" s="20"/>
      <c r="C745" s="20"/>
      <c r="D745" s="45"/>
      <c r="E745" s="45"/>
      <c r="F745" s="21"/>
      <c r="G745" s="45"/>
      <c r="H745" s="20"/>
      <c r="I745" s="20"/>
      <c r="J745" s="20"/>
      <c r="K745" s="20"/>
      <c r="L745" s="46"/>
      <c r="M745" s="33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4" t="str">
        <f>IFERROR(__xludf.DUMMYFUNCTION("IF(Account!$F745&lt;&gt;"""", VALUE(REGEXREPLACE($I745, ""\,"", ""."")), """")"),"")</f>
        <v/>
      </c>
      <c r="O745" s="35" t="str">
        <f>IF(Account!$F745&lt;&gt;"", DATEVALUE(MID($A745,4,3) &amp; LEFT($A745,3) &amp; RIGHT($A745,4)) + TIMEVALUE($B745), "")</f>
        <v/>
      </c>
      <c r="P745" s="36" t="str">
        <f>IF(Account!$F745&lt;&gt;"", DATEVALUE(MID($C745,4,3) &amp; LEFT($C745,3) &amp; RIGHT($C745,4)), "")</f>
        <v/>
      </c>
      <c r="Q745" s="37" t="str">
        <f t="array" ref="Q745">IF($R745&lt;&gt;"",IFERROR(INDEX(ISIN!$B:$B,MATCH($R745,ISIN!$C:$C,0))),)</f>
        <v/>
      </c>
      <c r="R745" s="38" t="str">
        <f t="array" ref="R745">IF($E745&lt;&gt;""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7" t="str">
        <f t="shared" si="1"/>
        <v/>
      </c>
      <c r="T745" s="39" t="str">
        <f t="shared" si="2"/>
        <v/>
      </c>
      <c r="U745" s="40" t="str">
        <f t="shared" si="3"/>
        <v/>
      </c>
      <c r="V745" s="34" t="str">
        <f t="shared" si="4"/>
        <v/>
      </c>
      <c r="W745" s="41" t="str">
        <f>IFERROR(__xludf.DUMMYFUNCTION(" IF(Account!$F745&lt;&gt;"""", SPLIT(Account!$F745, "" ""), """")"),"")</f>
        <v/>
      </c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</row>
    <row r="746">
      <c r="A746" s="20"/>
      <c r="B746" s="20"/>
      <c r="C746" s="20"/>
      <c r="D746" s="45"/>
      <c r="E746" s="45"/>
      <c r="F746" s="21"/>
      <c r="G746" s="45"/>
      <c r="H746" s="20"/>
      <c r="I746" s="20"/>
      <c r="J746" s="20"/>
      <c r="K746" s="20"/>
      <c r="L746" s="46"/>
      <c r="M746" s="33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4" t="str">
        <f>IFERROR(__xludf.DUMMYFUNCTION("IF(Account!$F746&lt;&gt;"""", VALUE(REGEXREPLACE($I746, ""\,"", ""."")), """")"),"")</f>
        <v/>
      </c>
      <c r="O746" s="35" t="str">
        <f>IF(Account!$F746&lt;&gt;"", DATEVALUE(MID($A746,4,3) &amp; LEFT($A746,3) &amp; RIGHT($A746,4)) + TIMEVALUE($B746), "")</f>
        <v/>
      </c>
      <c r="P746" s="36" t="str">
        <f>IF(Account!$F746&lt;&gt;"", DATEVALUE(MID($C746,4,3) &amp; LEFT($C746,3) &amp; RIGHT($C746,4)), "")</f>
        <v/>
      </c>
      <c r="Q746" s="37" t="str">
        <f t="array" ref="Q746">IF($R746&lt;&gt;"",IFERROR(INDEX(ISIN!$B:$B,MATCH($R746,ISIN!$C:$C,0))),)</f>
        <v/>
      </c>
      <c r="R746" s="38" t="str">
        <f t="array" ref="R746">IF($E746&lt;&gt;""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7" t="str">
        <f t="shared" si="1"/>
        <v/>
      </c>
      <c r="T746" s="39" t="str">
        <f t="shared" si="2"/>
        <v/>
      </c>
      <c r="U746" s="40" t="str">
        <f t="shared" si="3"/>
        <v/>
      </c>
      <c r="V746" s="34" t="str">
        <f t="shared" si="4"/>
        <v/>
      </c>
      <c r="W746" s="41" t="str">
        <f>IFERROR(__xludf.DUMMYFUNCTION(" IF(Account!$F746&lt;&gt;"""", SPLIT(Account!$F746, "" ""), """")"),"")</f>
        <v/>
      </c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</row>
    <row r="747">
      <c r="A747" s="20"/>
      <c r="B747" s="20"/>
      <c r="C747" s="20"/>
      <c r="D747" s="45"/>
      <c r="E747" s="45"/>
      <c r="F747" s="21"/>
      <c r="G747" s="45"/>
      <c r="H747" s="20"/>
      <c r="I747" s="20"/>
      <c r="J747" s="20"/>
      <c r="K747" s="20"/>
      <c r="L747" s="46"/>
      <c r="M747" s="33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4" t="str">
        <f>IFERROR(__xludf.DUMMYFUNCTION("IF(Account!$F747&lt;&gt;"""", VALUE(REGEXREPLACE($I747, ""\,"", ""."")), """")"),"")</f>
        <v/>
      </c>
      <c r="O747" s="35" t="str">
        <f>IF(Account!$F747&lt;&gt;"", DATEVALUE(MID($A747,4,3) &amp; LEFT($A747,3) &amp; RIGHT($A747,4)) + TIMEVALUE($B747), "")</f>
        <v/>
      </c>
      <c r="P747" s="36" t="str">
        <f>IF(Account!$F747&lt;&gt;"", DATEVALUE(MID($C747,4,3) &amp; LEFT($C747,3) &amp; RIGHT($C747,4)), "")</f>
        <v/>
      </c>
      <c r="Q747" s="37" t="str">
        <f t="array" ref="Q747">IF($R747&lt;&gt;"",IFERROR(INDEX(ISIN!$B:$B,MATCH($R747,ISIN!$C:$C,0))),)</f>
        <v/>
      </c>
      <c r="R747" s="38" t="str">
        <f t="array" ref="R747">IF($E747&lt;&gt;""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7" t="str">
        <f t="shared" si="1"/>
        <v/>
      </c>
      <c r="T747" s="39" t="str">
        <f t="shared" si="2"/>
        <v/>
      </c>
      <c r="U747" s="40" t="str">
        <f t="shared" si="3"/>
        <v/>
      </c>
      <c r="V747" s="34" t="str">
        <f t="shared" si="4"/>
        <v/>
      </c>
      <c r="W747" s="41" t="str">
        <f>IFERROR(__xludf.DUMMYFUNCTION(" IF(Account!$F747&lt;&gt;"""", SPLIT(Account!$F747, "" ""), """")"),"")</f>
        <v/>
      </c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</row>
    <row r="748">
      <c r="A748" s="20"/>
      <c r="B748" s="20"/>
      <c r="C748" s="20"/>
      <c r="D748" s="45"/>
      <c r="E748" s="45"/>
      <c r="F748" s="21"/>
      <c r="G748" s="45"/>
      <c r="H748" s="20"/>
      <c r="I748" s="20"/>
      <c r="J748" s="20"/>
      <c r="K748" s="20"/>
      <c r="L748" s="46"/>
      <c r="M748" s="33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4" t="str">
        <f>IFERROR(__xludf.DUMMYFUNCTION("IF(Account!$F748&lt;&gt;"""", VALUE(REGEXREPLACE($I748, ""\,"", ""."")), """")"),"")</f>
        <v/>
      </c>
      <c r="O748" s="35" t="str">
        <f>IF(Account!$F748&lt;&gt;"", DATEVALUE(MID($A748,4,3) &amp; LEFT($A748,3) &amp; RIGHT($A748,4)) + TIMEVALUE($B748), "")</f>
        <v/>
      </c>
      <c r="P748" s="36" t="str">
        <f>IF(Account!$F748&lt;&gt;"", DATEVALUE(MID($C748,4,3) &amp; LEFT($C748,3) &amp; RIGHT($C748,4)), "")</f>
        <v/>
      </c>
      <c r="Q748" s="37" t="str">
        <f t="array" ref="Q748">IF($R748&lt;&gt;"",IFERROR(INDEX(ISIN!$B:$B,MATCH($R748,ISIN!$C:$C,0))),)</f>
        <v/>
      </c>
      <c r="R748" s="38" t="str">
        <f t="array" ref="R748">IF($E748&lt;&gt;""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7" t="str">
        <f t="shared" si="1"/>
        <v/>
      </c>
      <c r="T748" s="39" t="str">
        <f t="shared" si="2"/>
        <v/>
      </c>
      <c r="U748" s="40" t="str">
        <f t="shared" si="3"/>
        <v/>
      </c>
      <c r="V748" s="34" t="str">
        <f t="shared" si="4"/>
        <v/>
      </c>
      <c r="W748" s="41" t="str">
        <f>IFERROR(__xludf.DUMMYFUNCTION(" IF(Account!$F748&lt;&gt;"""", SPLIT(Account!$F748, "" ""), """")"),"")</f>
        <v/>
      </c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</row>
    <row r="749">
      <c r="A749" s="20"/>
      <c r="B749" s="20"/>
      <c r="C749" s="20"/>
      <c r="D749" s="20"/>
      <c r="E749" s="20"/>
      <c r="F749" s="21"/>
      <c r="G749" s="45"/>
      <c r="H749" s="20"/>
      <c r="I749" s="20"/>
      <c r="J749" s="20"/>
      <c r="K749" s="20"/>
      <c r="L749" s="21"/>
      <c r="M749" s="33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4" t="str">
        <f>IFERROR(__xludf.DUMMYFUNCTION("IF(Account!$F749&lt;&gt;"""", VALUE(REGEXREPLACE($I749, ""\,"", ""."")), """")"),"")</f>
        <v/>
      </c>
      <c r="O749" s="35" t="str">
        <f>IF(Account!$F749&lt;&gt;"", DATEVALUE(MID($A749,4,3) &amp; LEFT($A749,3) &amp; RIGHT($A749,4)) + TIMEVALUE($B749), "")</f>
        <v/>
      </c>
      <c r="P749" s="36" t="str">
        <f>IF(Account!$F749&lt;&gt;"", DATEVALUE(MID($C749,4,3) &amp; LEFT($C749,3) &amp; RIGHT($C749,4)), "")</f>
        <v/>
      </c>
      <c r="Q749" s="37" t="str">
        <f t="array" ref="Q749">IF($R749&lt;&gt;"",IFERROR(INDEX(ISIN!$B:$B,MATCH($R749,ISIN!$C:$C,0))),)</f>
        <v/>
      </c>
      <c r="R749" s="38" t="str">
        <f t="array" ref="R749">IF($E749&lt;&gt;""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7" t="str">
        <f t="shared" si="1"/>
        <v/>
      </c>
      <c r="T749" s="39" t="str">
        <f t="shared" si="2"/>
        <v/>
      </c>
      <c r="U749" s="40" t="str">
        <f t="shared" si="3"/>
        <v/>
      </c>
      <c r="V749" s="34" t="str">
        <f t="shared" si="4"/>
        <v/>
      </c>
      <c r="W749" s="41" t="str">
        <f>IFERROR(__xludf.DUMMYFUNCTION(" IF(Account!$F749&lt;&gt;"""", SPLIT(Account!$F749, "" ""), """")"),"")</f>
        <v/>
      </c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</row>
    <row r="750">
      <c r="A750" s="20"/>
      <c r="B750" s="20"/>
      <c r="C750" s="20"/>
      <c r="D750" s="20"/>
      <c r="E750" s="20"/>
      <c r="F750" s="21"/>
      <c r="G750" s="45"/>
      <c r="H750" s="20"/>
      <c r="I750" s="20"/>
      <c r="J750" s="20"/>
      <c r="K750" s="20"/>
      <c r="L750" s="21"/>
      <c r="M750" s="33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4" t="str">
        <f>IFERROR(__xludf.DUMMYFUNCTION("IF(Account!$F750&lt;&gt;"""", VALUE(REGEXREPLACE($I750, ""\,"", ""."")), """")"),"")</f>
        <v/>
      </c>
      <c r="O750" s="35" t="str">
        <f>IF(Account!$F750&lt;&gt;"", DATEVALUE(MID($A750,4,3) &amp; LEFT($A750,3) &amp; RIGHT($A750,4)) + TIMEVALUE($B750), "")</f>
        <v/>
      </c>
      <c r="P750" s="36" t="str">
        <f>IF(Account!$F750&lt;&gt;"", DATEVALUE(MID($C750,4,3) &amp; LEFT($C750,3) &amp; RIGHT($C750,4)), "")</f>
        <v/>
      </c>
      <c r="Q750" s="37" t="str">
        <f t="array" ref="Q750">IF($R750&lt;&gt;"",IFERROR(INDEX(ISIN!$B:$B,MATCH($R750,ISIN!$C:$C,0))),)</f>
        <v/>
      </c>
      <c r="R750" s="38" t="str">
        <f t="array" ref="R750">IF($E750&lt;&gt;""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7" t="str">
        <f t="shared" si="1"/>
        <v/>
      </c>
      <c r="T750" s="39" t="str">
        <f t="shared" si="2"/>
        <v/>
      </c>
      <c r="U750" s="40" t="str">
        <f t="shared" si="3"/>
        <v/>
      </c>
      <c r="V750" s="34" t="str">
        <f t="shared" si="4"/>
        <v/>
      </c>
      <c r="W750" s="41" t="str">
        <f>IFERROR(__xludf.DUMMYFUNCTION(" IF(Account!$F750&lt;&gt;"""", SPLIT(Account!$F750, "" ""), """")"),"")</f>
        <v/>
      </c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</row>
    <row r="751">
      <c r="A751" s="20"/>
      <c r="B751" s="20"/>
      <c r="C751" s="20"/>
      <c r="D751" s="45"/>
      <c r="E751" s="45"/>
      <c r="F751" s="21"/>
      <c r="G751" s="45"/>
      <c r="H751" s="20"/>
      <c r="I751" s="20"/>
      <c r="J751" s="20"/>
      <c r="K751" s="20"/>
      <c r="L751" s="46"/>
      <c r="M751" s="33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4" t="str">
        <f>IFERROR(__xludf.DUMMYFUNCTION("IF(Account!$F751&lt;&gt;"""", VALUE(REGEXREPLACE($I751, ""\,"", ""."")), """")"),"")</f>
        <v/>
      </c>
      <c r="O751" s="35" t="str">
        <f>IF(Account!$F751&lt;&gt;"", DATEVALUE(MID($A751,4,3) &amp; LEFT($A751,3) &amp; RIGHT($A751,4)) + TIMEVALUE($B751), "")</f>
        <v/>
      </c>
      <c r="P751" s="36" t="str">
        <f>IF(Account!$F751&lt;&gt;"", DATEVALUE(MID($C751,4,3) &amp; LEFT($C751,3) &amp; RIGHT($C751,4)), "")</f>
        <v/>
      </c>
      <c r="Q751" s="37" t="str">
        <f t="array" ref="Q751">IF($R751&lt;&gt;"",IFERROR(INDEX(ISIN!$B:$B,MATCH($R751,ISIN!$C:$C,0))),)</f>
        <v/>
      </c>
      <c r="R751" s="38" t="str">
        <f t="array" ref="R751">IF($E751&lt;&gt;""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7" t="str">
        <f t="shared" si="1"/>
        <v/>
      </c>
      <c r="T751" s="39" t="str">
        <f t="shared" si="2"/>
        <v/>
      </c>
      <c r="U751" s="40" t="str">
        <f t="shared" si="3"/>
        <v/>
      </c>
      <c r="V751" s="34" t="str">
        <f t="shared" si="4"/>
        <v/>
      </c>
      <c r="W751" s="41" t="str">
        <f>IFERROR(__xludf.DUMMYFUNCTION(" IF(Account!$F751&lt;&gt;"""", SPLIT(Account!$F751, "" ""), """")"),"")</f>
        <v/>
      </c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</row>
    <row r="752">
      <c r="A752" s="20"/>
      <c r="B752" s="20"/>
      <c r="C752" s="20"/>
      <c r="D752" s="45"/>
      <c r="E752" s="45"/>
      <c r="F752" s="21"/>
      <c r="G752" s="20"/>
      <c r="H752" s="20"/>
      <c r="I752" s="20"/>
      <c r="J752" s="20"/>
      <c r="K752" s="20"/>
      <c r="L752" s="46"/>
      <c r="M752" s="33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4" t="str">
        <f>IFERROR(__xludf.DUMMYFUNCTION("IF(Account!$F752&lt;&gt;"""", VALUE(REGEXREPLACE($I752, ""\,"", ""."")), """")"),"")</f>
        <v/>
      </c>
      <c r="O752" s="35" t="str">
        <f>IF(Account!$F752&lt;&gt;"", DATEVALUE(MID($A752,4,3) &amp; LEFT($A752,3) &amp; RIGHT($A752,4)) + TIMEVALUE($B752), "")</f>
        <v/>
      </c>
      <c r="P752" s="36" t="str">
        <f>IF(Account!$F752&lt;&gt;"", DATEVALUE(MID($C752,4,3) &amp; LEFT($C752,3) &amp; RIGHT($C752,4)), "")</f>
        <v/>
      </c>
      <c r="Q752" s="37" t="str">
        <f t="array" ref="Q752">IF($R752&lt;&gt;"",IFERROR(INDEX(ISIN!$B:$B,MATCH($R752,ISIN!$C:$C,0))),)</f>
        <v/>
      </c>
      <c r="R752" s="38" t="str">
        <f t="array" ref="R752">IF($E752&lt;&gt;""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7" t="str">
        <f t="shared" si="1"/>
        <v/>
      </c>
      <c r="T752" s="39" t="str">
        <f t="shared" si="2"/>
        <v/>
      </c>
      <c r="U752" s="40" t="str">
        <f t="shared" si="3"/>
        <v/>
      </c>
      <c r="V752" s="34" t="str">
        <f t="shared" si="4"/>
        <v/>
      </c>
      <c r="W752" s="41" t="str">
        <f>IFERROR(__xludf.DUMMYFUNCTION(" IF(Account!$F752&lt;&gt;"""", SPLIT(Account!$F752, "" ""), """")"),"")</f>
        <v/>
      </c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</row>
    <row r="753">
      <c r="A753" s="20"/>
      <c r="B753" s="20"/>
      <c r="C753" s="20"/>
      <c r="D753" s="20"/>
      <c r="E753" s="20"/>
      <c r="F753" s="21"/>
      <c r="G753" s="45"/>
      <c r="H753" s="20"/>
      <c r="I753" s="20"/>
      <c r="J753" s="20"/>
      <c r="K753" s="20"/>
      <c r="L753" s="46"/>
      <c r="M753" s="33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4" t="str">
        <f>IFERROR(__xludf.DUMMYFUNCTION("IF(Account!$F753&lt;&gt;"""", VALUE(REGEXREPLACE($I753, ""\,"", ""."")), """")"),"")</f>
        <v/>
      </c>
      <c r="O753" s="35" t="str">
        <f>IF(Account!$F753&lt;&gt;"", DATEVALUE(MID($A753,4,3) &amp; LEFT($A753,3) &amp; RIGHT($A753,4)) + TIMEVALUE($B753), "")</f>
        <v/>
      </c>
      <c r="P753" s="36" t="str">
        <f>IF(Account!$F753&lt;&gt;"", DATEVALUE(MID($C753,4,3) &amp; LEFT($C753,3) &amp; RIGHT($C753,4)), "")</f>
        <v/>
      </c>
      <c r="Q753" s="37" t="str">
        <f t="array" ref="Q753">IF($R753&lt;&gt;"",IFERROR(INDEX(ISIN!$B:$B,MATCH($R753,ISIN!$C:$C,0))),)</f>
        <v/>
      </c>
      <c r="R753" s="38" t="str">
        <f t="array" ref="R753">IF($E753&lt;&gt;""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7" t="str">
        <f t="shared" si="1"/>
        <v/>
      </c>
      <c r="T753" s="39" t="str">
        <f t="shared" si="2"/>
        <v/>
      </c>
      <c r="U753" s="40" t="str">
        <f t="shared" si="3"/>
        <v/>
      </c>
      <c r="V753" s="34" t="str">
        <f t="shared" si="4"/>
        <v/>
      </c>
      <c r="W753" s="41" t="str">
        <f>IFERROR(__xludf.DUMMYFUNCTION(" IF(Account!$F753&lt;&gt;"""", SPLIT(Account!$F753, "" ""), """")"),"")</f>
        <v/>
      </c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</row>
    <row r="754">
      <c r="A754" s="20"/>
      <c r="B754" s="20"/>
      <c r="C754" s="20"/>
      <c r="D754" s="20"/>
      <c r="E754" s="20"/>
      <c r="F754" s="21"/>
      <c r="G754" s="45"/>
      <c r="H754" s="20"/>
      <c r="I754" s="20"/>
      <c r="J754" s="20"/>
      <c r="K754" s="20"/>
      <c r="L754" s="21"/>
      <c r="M754" s="33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4" t="str">
        <f>IFERROR(__xludf.DUMMYFUNCTION("IF(Account!$F754&lt;&gt;"""", VALUE(REGEXREPLACE($I754, ""\,"", ""."")), """")"),"")</f>
        <v/>
      </c>
      <c r="O754" s="35" t="str">
        <f>IF(Account!$F754&lt;&gt;"", DATEVALUE(MID($A754,4,3) &amp; LEFT($A754,3) &amp; RIGHT($A754,4)) + TIMEVALUE($B754), "")</f>
        <v/>
      </c>
      <c r="P754" s="36" t="str">
        <f>IF(Account!$F754&lt;&gt;"", DATEVALUE(MID($C754,4,3) &amp; LEFT($C754,3) &amp; RIGHT($C754,4)), "")</f>
        <v/>
      </c>
      <c r="Q754" s="37" t="str">
        <f t="array" ref="Q754">IF($R754&lt;&gt;"",IFERROR(INDEX(ISIN!$B:$B,MATCH($R754,ISIN!$C:$C,0))),)</f>
        <v/>
      </c>
      <c r="R754" s="38" t="str">
        <f t="array" ref="R754">IF($E754&lt;&gt;""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7" t="str">
        <f t="shared" si="1"/>
        <v/>
      </c>
      <c r="T754" s="39" t="str">
        <f t="shared" si="2"/>
        <v/>
      </c>
      <c r="U754" s="40" t="str">
        <f t="shared" si="3"/>
        <v/>
      </c>
      <c r="V754" s="34" t="str">
        <f t="shared" si="4"/>
        <v/>
      </c>
      <c r="W754" s="41" t="str">
        <f>IFERROR(__xludf.DUMMYFUNCTION(" IF(Account!$F754&lt;&gt;"""", SPLIT(Account!$F754, "" ""), """")"),"")</f>
        <v/>
      </c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</row>
    <row r="755">
      <c r="A755" s="20"/>
      <c r="B755" s="20"/>
      <c r="C755" s="20"/>
      <c r="D755" s="20"/>
      <c r="E755" s="20"/>
      <c r="F755" s="21"/>
      <c r="G755" s="45"/>
      <c r="H755" s="20"/>
      <c r="I755" s="20"/>
      <c r="J755" s="20"/>
      <c r="K755" s="20"/>
      <c r="L755" s="21"/>
      <c r="M755" s="33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4" t="str">
        <f>IFERROR(__xludf.DUMMYFUNCTION("IF(Account!$F755&lt;&gt;"""", VALUE(REGEXREPLACE($I755, ""\,"", ""."")), """")"),"")</f>
        <v/>
      </c>
      <c r="O755" s="35" t="str">
        <f>IF(Account!$F755&lt;&gt;"", DATEVALUE(MID($A755,4,3) &amp; LEFT($A755,3) &amp; RIGHT($A755,4)) + TIMEVALUE($B755), "")</f>
        <v/>
      </c>
      <c r="P755" s="36" t="str">
        <f>IF(Account!$F755&lt;&gt;"", DATEVALUE(MID($C755,4,3) &amp; LEFT($C755,3) &amp; RIGHT($C755,4)), "")</f>
        <v/>
      </c>
      <c r="Q755" s="37" t="str">
        <f t="array" ref="Q755">IF($R755&lt;&gt;"",IFERROR(INDEX(ISIN!$B:$B,MATCH($R755,ISIN!$C:$C,0))),)</f>
        <v/>
      </c>
      <c r="R755" s="38" t="str">
        <f t="array" ref="R755">IF($E755&lt;&gt;""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7" t="str">
        <f t="shared" si="1"/>
        <v/>
      </c>
      <c r="T755" s="39" t="str">
        <f t="shared" si="2"/>
        <v/>
      </c>
      <c r="U755" s="40" t="str">
        <f t="shared" si="3"/>
        <v/>
      </c>
      <c r="V755" s="34" t="str">
        <f t="shared" si="4"/>
        <v/>
      </c>
      <c r="W755" s="41" t="str">
        <f>IFERROR(__xludf.DUMMYFUNCTION(" IF(Account!$F755&lt;&gt;"""", SPLIT(Account!$F755, "" ""), """")"),"")</f>
        <v/>
      </c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</row>
    <row r="756">
      <c r="A756" s="20"/>
      <c r="B756" s="20"/>
      <c r="C756" s="20"/>
      <c r="D756" s="20"/>
      <c r="E756" s="20"/>
      <c r="F756" s="21"/>
      <c r="G756" s="45"/>
      <c r="H756" s="20"/>
      <c r="I756" s="20"/>
      <c r="J756" s="20"/>
      <c r="K756" s="20"/>
      <c r="L756" s="21"/>
      <c r="M756" s="33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4" t="str">
        <f>IFERROR(__xludf.DUMMYFUNCTION("IF(Account!$F756&lt;&gt;"""", VALUE(REGEXREPLACE($I756, ""\,"", ""."")), """")"),"")</f>
        <v/>
      </c>
      <c r="O756" s="35" t="str">
        <f>IF(Account!$F756&lt;&gt;"", DATEVALUE(MID($A756,4,3) &amp; LEFT($A756,3) &amp; RIGHT($A756,4)) + TIMEVALUE($B756), "")</f>
        <v/>
      </c>
      <c r="P756" s="36" t="str">
        <f>IF(Account!$F756&lt;&gt;"", DATEVALUE(MID($C756,4,3) &amp; LEFT($C756,3) &amp; RIGHT($C756,4)), "")</f>
        <v/>
      </c>
      <c r="Q756" s="37" t="str">
        <f t="array" ref="Q756">IF($R756&lt;&gt;"",IFERROR(INDEX(ISIN!$B:$B,MATCH($R756,ISIN!$C:$C,0))),)</f>
        <v/>
      </c>
      <c r="R756" s="38" t="str">
        <f t="array" ref="R756">IF($E756&lt;&gt;""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7" t="str">
        <f t="shared" si="1"/>
        <v/>
      </c>
      <c r="T756" s="39" t="str">
        <f t="shared" si="2"/>
        <v/>
      </c>
      <c r="U756" s="40" t="str">
        <f t="shared" si="3"/>
        <v/>
      </c>
      <c r="V756" s="34" t="str">
        <f t="shared" si="4"/>
        <v/>
      </c>
      <c r="W756" s="41" t="str">
        <f>IFERROR(__xludf.DUMMYFUNCTION(" IF(Account!$F756&lt;&gt;"""", SPLIT(Account!$F756, "" ""), """")"),"")</f>
        <v/>
      </c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</row>
    <row r="757">
      <c r="A757" s="20"/>
      <c r="B757" s="20"/>
      <c r="C757" s="20"/>
      <c r="D757" s="20"/>
      <c r="E757" s="20"/>
      <c r="F757" s="21"/>
      <c r="G757" s="45"/>
      <c r="H757" s="20"/>
      <c r="I757" s="20"/>
      <c r="J757" s="20"/>
      <c r="K757" s="20"/>
      <c r="L757" s="21"/>
      <c r="M757" s="33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4" t="str">
        <f>IFERROR(__xludf.DUMMYFUNCTION("IF(Account!$F757&lt;&gt;"""", VALUE(REGEXREPLACE($I757, ""\,"", ""."")), """")"),"")</f>
        <v/>
      </c>
      <c r="O757" s="35" t="str">
        <f>IF(Account!$F757&lt;&gt;"", DATEVALUE(MID($A757,4,3) &amp; LEFT($A757,3) &amp; RIGHT($A757,4)) + TIMEVALUE($B757), "")</f>
        <v/>
      </c>
      <c r="P757" s="36" t="str">
        <f>IF(Account!$F757&lt;&gt;"", DATEVALUE(MID($C757,4,3) &amp; LEFT($C757,3) &amp; RIGHT($C757,4)), "")</f>
        <v/>
      </c>
      <c r="Q757" s="37" t="str">
        <f t="array" ref="Q757">IF($R757&lt;&gt;"",IFERROR(INDEX(ISIN!$B:$B,MATCH($R757,ISIN!$C:$C,0))),)</f>
        <v/>
      </c>
      <c r="R757" s="38" t="str">
        <f t="array" ref="R757">IF($E757&lt;&gt;""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7" t="str">
        <f t="shared" si="1"/>
        <v/>
      </c>
      <c r="T757" s="39" t="str">
        <f t="shared" si="2"/>
        <v/>
      </c>
      <c r="U757" s="40" t="str">
        <f t="shared" si="3"/>
        <v/>
      </c>
      <c r="V757" s="34" t="str">
        <f t="shared" si="4"/>
        <v/>
      </c>
      <c r="W757" s="41" t="str">
        <f>IFERROR(__xludf.DUMMYFUNCTION(" IF(Account!$F757&lt;&gt;"""", SPLIT(Account!$F757, "" ""), """")"),"")</f>
        <v/>
      </c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</row>
    <row r="758">
      <c r="A758" s="20"/>
      <c r="B758" s="20"/>
      <c r="C758" s="20"/>
      <c r="D758" s="20"/>
      <c r="E758" s="20"/>
      <c r="F758" s="21"/>
      <c r="G758" s="45"/>
      <c r="H758" s="45"/>
      <c r="I758" s="45"/>
      <c r="J758" s="20"/>
      <c r="K758" s="20"/>
      <c r="L758" s="46"/>
      <c r="M758" s="33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4" t="str">
        <f>IFERROR(__xludf.DUMMYFUNCTION("IF(Account!$F758&lt;&gt;"""", VALUE(REGEXREPLACE($I758, ""\,"", ""."")), """")"),"")</f>
        <v/>
      </c>
      <c r="O758" s="35" t="str">
        <f>IF(Account!$F758&lt;&gt;"", DATEVALUE(MID($A758,4,3) &amp; LEFT($A758,3) &amp; RIGHT($A758,4)) + TIMEVALUE($B758), "")</f>
        <v/>
      </c>
      <c r="P758" s="36" t="str">
        <f>IF(Account!$F758&lt;&gt;"", DATEVALUE(MID($C758,4,3) &amp; LEFT($C758,3) &amp; RIGHT($C758,4)), "")</f>
        <v/>
      </c>
      <c r="Q758" s="37" t="str">
        <f t="array" ref="Q758">IF($R758&lt;&gt;"",IFERROR(INDEX(ISIN!$B:$B,MATCH($R758,ISIN!$C:$C,0))),)</f>
        <v/>
      </c>
      <c r="R758" s="38" t="str">
        <f t="array" ref="R758">IF($E758&lt;&gt;""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7" t="str">
        <f t="shared" si="1"/>
        <v/>
      </c>
      <c r="T758" s="39" t="str">
        <f t="shared" si="2"/>
        <v/>
      </c>
      <c r="U758" s="40" t="str">
        <f t="shared" si="3"/>
        <v/>
      </c>
      <c r="V758" s="34" t="str">
        <f t="shared" si="4"/>
        <v/>
      </c>
      <c r="W758" s="41" t="str">
        <f>IFERROR(__xludf.DUMMYFUNCTION(" IF(Account!$F758&lt;&gt;"""", SPLIT(Account!$F758, "" ""), """")"),"")</f>
        <v/>
      </c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</row>
    <row r="759">
      <c r="A759" s="20"/>
      <c r="B759" s="20"/>
      <c r="C759" s="20"/>
      <c r="D759" s="45"/>
      <c r="E759" s="45"/>
      <c r="F759" s="21"/>
      <c r="G759" s="45"/>
      <c r="H759" s="20"/>
      <c r="I759" s="20"/>
      <c r="J759" s="20"/>
      <c r="K759" s="20"/>
      <c r="L759" s="46"/>
      <c r="M759" s="33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4" t="str">
        <f>IFERROR(__xludf.DUMMYFUNCTION("IF(Account!$F759&lt;&gt;"""", VALUE(REGEXREPLACE($I759, ""\,"", ""."")), """")"),"")</f>
        <v/>
      </c>
      <c r="O759" s="35" t="str">
        <f>IF(Account!$F759&lt;&gt;"", DATEVALUE(MID($A759,4,3) &amp; LEFT($A759,3) &amp; RIGHT($A759,4)) + TIMEVALUE($B759), "")</f>
        <v/>
      </c>
      <c r="P759" s="36" t="str">
        <f>IF(Account!$F759&lt;&gt;"", DATEVALUE(MID($C759,4,3) &amp; LEFT($C759,3) &amp; RIGHT($C759,4)), "")</f>
        <v/>
      </c>
      <c r="Q759" s="37" t="str">
        <f t="array" ref="Q759">IF($R759&lt;&gt;"",IFERROR(INDEX(ISIN!$B:$B,MATCH($R759,ISIN!$C:$C,0))),)</f>
        <v/>
      </c>
      <c r="R759" s="38" t="str">
        <f t="array" ref="R759">IF($E759&lt;&gt;""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7" t="str">
        <f t="shared" si="1"/>
        <v/>
      </c>
      <c r="T759" s="39" t="str">
        <f t="shared" si="2"/>
        <v/>
      </c>
      <c r="U759" s="40" t="str">
        <f t="shared" si="3"/>
        <v/>
      </c>
      <c r="V759" s="34" t="str">
        <f t="shared" si="4"/>
        <v/>
      </c>
      <c r="W759" s="41" t="str">
        <f>IFERROR(__xludf.DUMMYFUNCTION(" IF(Account!$F759&lt;&gt;"""", SPLIT(Account!$F759, "" ""), """")"),"")</f>
        <v/>
      </c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</row>
    <row r="760">
      <c r="A760" s="20"/>
      <c r="B760" s="20"/>
      <c r="C760" s="20"/>
      <c r="D760" s="45"/>
      <c r="E760" s="45"/>
      <c r="F760" s="21"/>
      <c r="G760" s="20"/>
      <c r="H760" s="20"/>
      <c r="I760" s="20"/>
      <c r="J760" s="20"/>
      <c r="K760" s="20"/>
      <c r="L760" s="46"/>
      <c r="M760" s="33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4" t="str">
        <f>IFERROR(__xludf.DUMMYFUNCTION("IF(Account!$F760&lt;&gt;"""", VALUE(REGEXREPLACE($I760, ""\,"", ""."")), """")"),"")</f>
        <v/>
      </c>
      <c r="O760" s="35" t="str">
        <f>IF(Account!$F760&lt;&gt;"", DATEVALUE(MID($A760,4,3) &amp; LEFT($A760,3) &amp; RIGHT($A760,4)) + TIMEVALUE($B760), "")</f>
        <v/>
      </c>
      <c r="P760" s="36" t="str">
        <f>IF(Account!$F760&lt;&gt;"", DATEVALUE(MID($C760,4,3) &amp; LEFT($C760,3) &amp; RIGHT($C760,4)), "")</f>
        <v/>
      </c>
      <c r="Q760" s="37" t="str">
        <f t="array" ref="Q760">IF($R760&lt;&gt;"",IFERROR(INDEX(ISIN!$B:$B,MATCH($R760,ISIN!$C:$C,0))),)</f>
        <v/>
      </c>
      <c r="R760" s="38" t="str">
        <f t="array" ref="R760">IF($E760&lt;&gt;""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7" t="str">
        <f t="shared" si="1"/>
        <v/>
      </c>
      <c r="T760" s="39" t="str">
        <f t="shared" si="2"/>
        <v/>
      </c>
      <c r="U760" s="40" t="str">
        <f t="shared" si="3"/>
        <v/>
      </c>
      <c r="V760" s="34" t="str">
        <f t="shared" si="4"/>
        <v/>
      </c>
      <c r="W760" s="41" t="str">
        <f>IFERROR(__xludf.DUMMYFUNCTION(" IF(Account!$F760&lt;&gt;"""", SPLIT(Account!$F760, "" ""), """")"),"")</f>
        <v/>
      </c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</row>
    <row r="761">
      <c r="A761" s="20"/>
      <c r="B761" s="20"/>
      <c r="C761" s="20"/>
      <c r="D761" s="20"/>
      <c r="E761" s="20"/>
      <c r="F761" s="21"/>
      <c r="G761" s="45"/>
      <c r="H761" s="45"/>
      <c r="I761" s="45"/>
      <c r="J761" s="20"/>
      <c r="K761" s="20"/>
      <c r="L761" s="46"/>
      <c r="M761" s="33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4" t="str">
        <f>IFERROR(__xludf.DUMMYFUNCTION("IF(Account!$F761&lt;&gt;"""", VALUE(REGEXREPLACE($I761, ""\,"", ""."")), """")"),"")</f>
        <v/>
      </c>
      <c r="O761" s="35" t="str">
        <f>IF(Account!$F761&lt;&gt;"", DATEVALUE(MID($A761,4,3) &amp; LEFT($A761,3) &amp; RIGHT($A761,4)) + TIMEVALUE($B761), "")</f>
        <v/>
      </c>
      <c r="P761" s="36" t="str">
        <f>IF(Account!$F761&lt;&gt;"", DATEVALUE(MID($C761,4,3) &amp; LEFT($C761,3) &amp; RIGHT($C761,4)), "")</f>
        <v/>
      </c>
      <c r="Q761" s="37" t="str">
        <f t="array" ref="Q761">IF($R761&lt;&gt;"",IFERROR(INDEX(ISIN!$B:$B,MATCH($R761,ISIN!$C:$C,0))),)</f>
        <v/>
      </c>
      <c r="R761" s="38" t="str">
        <f t="array" ref="R761">IF($E761&lt;&gt;""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7" t="str">
        <f t="shared" si="1"/>
        <v/>
      </c>
      <c r="T761" s="39" t="str">
        <f t="shared" si="2"/>
        <v/>
      </c>
      <c r="U761" s="40" t="str">
        <f t="shared" si="3"/>
        <v/>
      </c>
      <c r="V761" s="34" t="str">
        <f t="shared" si="4"/>
        <v/>
      </c>
      <c r="W761" s="41" t="str">
        <f>IFERROR(__xludf.DUMMYFUNCTION(" IF(Account!$F761&lt;&gt;"""", SPLIT(Account!$F761, "" ""), """")"),"")</f>
        <v/>
      </c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</row>
    <row r="762">
      <c r="A762" s="20"/>
      <c r="B762" s="20"/>
      <c r="C762" s="20"/>
      <c r="D762" s="20"/>
      <c r="E762" s="20"/>
      <c r="F762" s="21"/>
      <c r="G762" s="45"/>
      <c r="H762" s="20"/>
      <c r="I762" s="20"/>
      <c r="J762" s="20"/>
      <c r="K762" s="20"/>
      <c r="L762" s="46"/>
      <c r="M762" s="33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4" t="str">
        <f>IFERROR(__xludf.DUMMYFUNCTION("IF(Account!$F762&lt;&gt;"""", VALUE(REGEXREPLACE($I762, ""\,"", ""."")), """")"),"")</f>
        <v/>
      </c>
      <c r="O762" s="35" t="str">
        <f>IF(Account!$F762&lt;&gt;"", DATEVALUE(MID($A762,4,3) &amp; LEFT($A762,3) &amp; RIGHT($A762,4)) + TIMEVALUE($B762), "")</f>
        <v/>
      </c>
      <c r="P762" s="36" t="str">
        <f>IF(Account!$F762&lt;&gt;"", DATEVALUE(MID($C762,4,3) &amp; LEFT($C762,3) &amp; RIGHT($C762,4)), "")</f>
        <v/>
      </c>
      <c r="Q762" s="37" t="str">
        <f t="array" ref="Q762">IF($R762&lt;&gt;"",IFERROR(INDEX(ISIN!$B:$B,MATCH($R762,ISIN!$C:$C,0))),)</f>
        <v/>
      </c>
      <c r="R762" s="38" t="str">
        <f t="array" ref="R762">IF($E762&lt;&gt;""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7" t="str">
        <f t="shared" si="1"/>
        <v/>
      </c>
      <c r="T762" s="39" t="str">
        <f t="shared" si="2"/>
        <v/>
      </c>
      <c r="U762" s="40" t="str">
        <f t="shared" si="3"/>
        <v/>
      </c>
      <c r="V762" s="34" t="str">
        <f t="shared" si="4"/>
        <v/>
      </c>
      <c r="W762" s="41" t="str">
        <f>IFERROR(__xludf.DUMMYFUNCTION(" IF(Account!$F762&lt;&gt;"""", SPLIT(Account!$F762, "" ""), """")"),"")</f>
        <v/>
      </c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</row>
    <row r="763">
      <c r="A763" s="20"/>
      <c r="B763" s="20"/>
      <c r="C763" s="20"/>
      <c r="D763" s="45"/>
      <c r="E763" s="45"/>
      <c r="F763" s="21"/>
      <c r="G763" s="45"/>
      <c r="H763" s="20"/>
      <c r="I763" s="20"/>
      <c r="J763" s="20"/>
      <c r="K763" s="20"/>
      <c r="L763" s="46"/>
      <c r="M763" s="33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4" t="str">
        <f>IFERROR(__xludf.DUMMYFUNCTION("IF(Account!$F763&lt;&gt;"""", VALUE(REGEXREPLACE($I763, ""\,"", ""."")), """")"),"")</f>
        <v/>
      </c>
      <c r="O763" s="35" t="str">
        <f>IF(Account!$F763&lt;&gt;"", DATEVALUE(MID($A763,4,3) &amp; LEFT($A763,3) &amp; RIGHT($A763,4)) + TIMEVALUE($B763), "")</f>
        <v/>
      </c>
      <c r="P763" s="36" t="str">
        <f>IF(Account!$F763&lt;&gt;"", DATEVALUE(MID($C763,4,3) &amp; LEFT($C763,3) &amp; RIGHT($C763,4)), "")</f>
        <v/>
      </c>
      <c r="Q763" s="37" t="str">
        <f t="array" ref="Q763">IF($R763&lt;&gt;"",IFERROR(INDEX(ISIN!$B:$B,MATCH($R763,ISIN!$C:$C,0))),)</f>
        <v/>
      </c>
      <c r="R763" s="38" t="str">
        <f t="array" ref="R763">IF($E763&lt;&gt;""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7" t="str">
        <f t="shared" si="1"/>
        <v/>
      </c>
      <c r="T763" s="39" t="str">
        <f t="shared" si="2"/>
        <v/>
      </c>
      <c r="U763" s="40" t="str">
        <f t="shared" si="3"/>
        <v/>
      </c>
      <c r="V763" s="34" t="str">
        <f t="shared" si="4"/>
        <v/>
      </c>
      <c r="W763" s="41" t="str">
        <f>IFERROR(__xludf.DUMMYFUNCTION(" IF(Account!$F763&lt;&gt;"""", SPLIT(Account!$F763, "" ""), """")"),"")</f>
        <v/>
      </c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</row>
    <row r="764">
      <c r="A764" s="20"/>
      <c r="B764" s="20"/>
      <c r="C764" s="20"/>
      <c r="D764" s="45"/>
      <c r="E764" s="45"/>
      <c r="F764" s="21"/>
      <c r="G764" s="45"/>
      <c r="H764" s="20"/>
      <c r="I764" s="20"/>
      <c r="J764" s="20"/>
      <c r="K764" s="20"/>
      <c r="L764" s="46"/>
      <c r="M764" s="33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4" t="str">
        <f>IFERROR(__xludf.DUMMYFUNCTION("IF(Account!$F764&lt;&gt;"""", VALUE(REGEXREPLACE($I764, ""\,"", ""."")), """")"),"")</f>
        <v/>
      </c>
      <c r="O764" s="35" t="str">
        <f>IF(Account!$F764&lt;&gt;"", DATEVALUE(MID($A764,4,3) &amp; LEFT($A764,3) &amp; RIGHT($A764,4)) + TIMEVALUE($B764), "")</f>
        <v/>
      </c>
      <c r="P764" s="36" t="str">
        <f>IF(Account!$F764&lt;&gt;"", DATEVALUE(MID($C764,4,3) &amp; LEFT($C764,3) &amp; RIGHT($C764,4)), "")</f>
        <v/>
      </c>
      <c r="Q764" s="37" t="str">
        <f t="array" ref="Q764">IF($R764&lt;&gt;"",IFERROR(INDEX(ISIN!$B:$B,MATCH($R764,ISIN!$C:$C,0))),)</f>
        <v/>
      </c>
      <c r="R764" s="38" t="str">
        <f t="array" ref="R764">IF($E764&lt;&gt;""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7" t="str">
        <f t="shared" si="1"/>
        <v/>
      </c>
      <c r="T764" s="39" t="str">
        <f t="shared" si="2"/>
        <v/>
      </c>
      <c r="U764" s="40" t="str">
        <f t="shared" si="3"/>
        <v/>
      </c>
      <c r="V764" s="34" t="str">
        <f t="shared" si="4"/>
        <v/>
      </c>
      <c r="W764" s="41" t="str">
        <f>IFERROR(__xludf.DUMMYFUNCTION(" IF(Account!$F764&lt;&gt;"""", SPLIT(Account!$F764, "" ""), """")"),"")</f>
        <v/>
      </c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</row>
    <row r="765">
      <c r="A765" s="20"/>
      <c r="B765" s="20"/>
      <c r="C765" s="20"/>
      <c r="D765" s="45"/>
      <c r="E765" s="45"/>
      <c r="F765" s="21"/>
      <c r="G765" s="45"/>
      <c r="H765" s="20"/>
      <c r="I765" s="20"/>
      <c r="J765" s="20"/>
      <c r="K765" s="20"/>
      <c r="L765" s="46"/>
      <c r="M765" s="33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4" t="str">
        <f>IFERROR(__xludf.DUMMYFUNCTION("IF(Account!$F765&lt;&gt;"""", VALUE(REGEXREPLACE($I765, ""\,"", ""."")), """")"),"")</f>
        <v/>
      </c>
      <c r="O765" s="35" t="str">
        <f>IF(Account!$F765&lt;&gt;"", DATEVALUE(MID($A765,4,3) &amp; LEFT($A765,3) &amp; RIGHT($A765,4)) + TIMEVALUE($B765), "")</f>
        <v/>
      </c>
      <c r="P765" s="36" t="str">
        <f>IF(Account!$F765&lt;&gt;"", DATEVALUE(MID($C765,4,3) &amp; LEFT($C765,3) &amp; RIGHT($C765,4)), "")</f>
        <v/>
      </c>
      <c r="Q765" s="37" t="str">
        <f t="array" ref="Q765">IF($R765&lt;&gt;"",IFERROR(INDEX(ISIN!$B:$B,MATCH($R765,ISIN!$C:$C,0))),)</f>
        <v/>
      </c>
      <c r="R765" s="38" t="str">
        <f t="array" ref="R765">IF($E765&lt;&gt;""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7" t="str">
        <f t="shared" si="1"/>
        <v/>
      </c>
      <c r="T765" s="39" t="str">
        <f t="shared" si="2"/>
        <v/>
      </c>
      <c r="U765" s="40" t="str">
        <f t="shared" si="3"/>
        <v/>
      </c>
      <c r="V765" s="34" t="str">
        <f t="shared" si="4"/>
        <v/>
      </c>
      <c r="W765" s="41" t="str">
        <f>IFERROR(__xludf.DUMMYFUNCTION(" IF(Account!$F765&lt;&gt;"""", SPLIT(Account!$F765, "" ""), """")"),"")</f>
        <v/>
      </c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</row>
    <row r="766">
      <c r="A766" s="20"/>
      <c r="B766" s="20"/>
      <c r="C766" s="20"/>
      <c r="D766" s="45"/>
      <c r="E766" s="45"/>
      <c r="F766" s="21"/>
      <c r="G766" s="20"/>
      <c r="H766" s="20"/>
      <c r="I766" s="20"/>
      <c r="J766" s="20"/>
      <c r="K766" s="20"/>
      <c r="L766" s="46"/>
      <c r="M766" s="33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4" t="str">
        <f>IFERROR(__xludf.DUMMYFUNCTION("IF(Account!$F766&lt;&gt;"""", VALUE(REGEXREPLACE($I766, ""\,"", ""."")), """")"),"")</f>
        <v/>
      </c>
      <c r="O766" s="35" t="str">
        <f>IF(Account!$F766&lt;&gt;"", DATEVALUE(MID($A766,4,3) &amp; LEFT($A766,3) &amp; RIGHT($A766,4)) + TIMEVALUE($B766), "")</f>
        <v/>
      </c>
      <c r="P766" s="36" t="str">
        <f>IF(Account!$F766&lt;&gt;"", DATEVALUE(MID($C766,4,3) &amp; LEFT($C766,3) &amp; RIGHT($C766,4)), "")</f>
        <v/>
      </c>
      <c r="Q766" s="37" t="str">
        <f t="array" ref="Q766">IF($R766&lt;&gt;"",IFERROR(INDEX(ISIN!$B:$B,MATCH($R766,ISIN!$C:$C,0))),)</f>
        <v/>
      </c>
      <c r="R766" s="38" t="str">
        <f t="array" ref="R766">IF($E766&lt;&gt;""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7" t="str">
        <f t="shared" si="1"/>
        <v/>
      </c>
      <c r="T766" s="39" t="str">
        <f t="shared" si="2"/>
        <v/>
      </c>
      <c r="U766" s="40" t="str">
        <f t="shared" si="3"/>
        <v/>
      </c>
      <c r="V766" s="34" t="str">
        <f t="shared" si="4"/>
        <v/>
      </c>
      <c r="W766" s="41" t="str">
        <f>IFERROR(__xludf.DUMMYFUNCTION(" IF(Account!$F766&lt;&gt;"""", SPLIT(Account!$F766, "" ""), """")"),"")</f>
        <v/>
      </c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</row>
    <row r="767">
      <c r="A767" s="20"/>
      <c r="B767" s="20"/>
      <c r="C767" s="20"/>
      <c r="D767" s="20"/>
      <c r="E767" s="20"/>
      <c r="F767" s="21"/>
      <c r="G767" s="45"/>
      <c r="H767" s="20"/>
      <c r="I767" s="20"/>
      <c r="J767" s="20"/>
      <c r="K767" s="20"/>
      <c r="L767" s="46"/>
      <c r="M767" s="33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4" t="str">
        <f>IFERROR(__xludf.DUMMYFUNCTION("IF(Account!$F767&lt;&gt;"""", VALUE(REGEXREPLACE($I767, ""\,"", ""."")), """")"),"")</f>
        <v/>
      </c>
      <c r="O767" s="35" t="str">
        <f>IF(Account!$F767&lt;&gt;"", DATEVALUE(MID($A767,4,3) &amp; LEFT($A767,3) &amp; RIGHT($A767,4)) + TIMEVALUE($B767), "")</f>
        <v/>
      </c>
      <c r="P767" s="36" t="str">
        <f>IF(Account!$F767&lt;&gt;"", DATEVALUE(MID($C767,4,3) &amp; LEFT($C767,3) &amp; RIGHT($C767,4)), "")</f>
        <v/>
      </c>
      <c r="Q767" s="37" t="str">
        <f t="array" ref="Q767">IF($R767&lt;&gt;"",IFERROR(INDEX(ISIN!$B:$B,MATCH($R767,ISIN!$C:$C,0))),)</f>
        <v/>
      </c>
      <c r="R767" s="38" t="str">
        <f t="array" ref="R767">IF($E767&lt;&gt;""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7" t="str">
        <f t="shared" si="1"/>
        <v/>
      </c>
      <c r="T767" s="39" t="str">
        <f t="shared" si="2"/>
        <v/>
      </c>
      <c r="U767" s="40" t="str">
        <f t="shared" si="3"/>
        <v/>
      </c>
      <c r="V767" s="34" t="str">
        <f t="shared" si="4"/>
        <v/>
      </c>
      <c r="W767" s="41" t="str">
        <f>IFERROR(__xludf.DUMMYFUNCTION(" IF(Account!$F767&lt;&gt;"""", SPLIT(Account!$F767, "" ""), """")"),"")</f>
        <v/>
      </c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</row>
    <row r="768">
      <c r="A768" s="20"/>
      <c r="B768" s="20"/>
      <c r="C768" s="20"/>
      <c r="D768" s="20"/>
      <c r="E768" s="20"/>
      <c r="F768" s="21"/>
      <c r="G768" s="45"/>
      <c r="H768" s="20"/>
      <c r="I768" s="20"/>
      <c r="J768" s="20"/>
      <c r="K768" s="20"/>
      <c r="L768" s="46"/>
      <c r="M768" s="33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4" t="str">
        <f>IFERROR(__xludf.DUMMYFUNCTION("IF(Account!$F768&lt;&gt;"""", VALUE(REGEXREPLACE($I768, ""\,"", ""."")), """")"),"")</f>
        <v/>
      </c>
      <c r="O768" s="35" t="str">
        <f>IF(Account!$F768&lt;&gt;"", DATEVALUE(MID($A768,4,3) &amp; LEFT($A768,3) &amp; RIGHT($A768,4)) + TIMEVALUE($B768), "")</f>
        <v/>
      </c>
      <c r="P768" s="36" t="str">
        <f>IF(Account!$F768&lt;&gt;"", DATEVALUE(MID($C768,4,3) &amp; LEFT($C768,3) &amp; RIGHT($C768,4)), "")</f>
        <v/>
      </c>
      <c r="Q768" s="37" t="str">
        <f t="array" ref="Q768">IF($R768&lt;&gt;"",IFERROR(INDEX(ISIN!$B:$B,MATCH($R768,ISIN!$C:$C,0))),)</f>
        <v/>
      </c>
      <c r="R768" s="38" t="str">
        <f t="array" ref="R768">IF($E768&lt;&gt;""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7" t="str">
        <f t="shared" si="1"/>
        <v/>
      </c>
      <c r="T768" s="39" t="str">
        <f t="shared" si="2"/>
        <v/>
      </c>
      <c r="U768" s="40" t="str">
        <f t="shared" si="3"/>
        <v/>
      </c>
      <c r="V768" s="34" t="str">
        <f t="shared" si="4"/>
        <v/>
      </c>
      <c r="W768" s="41" t="str">
        <f>IFERROR(__xludf.DUMMYFUNCTION(" IF(Account!$F768&lt;&gt;"""", SPLIT(Account!$F768, "" ""), """")"),"")</f>
        <v/>
      </c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</row>
    <row r="769">
      <c r="A769" s="20"/>
      <c r="B769" s="20"/>
      <c r="C769" s="20"/>
      <c r="D769" s="20"/>
      <c r="E769" s="20"/>
      <c r="F769" s="21"/>
      <c r="G769" s="45"/>
      <c r="H769" s="20"/>
      <c r="I769" s="20"/>
      <c r="J769" s="20"/>
      <c r="K769" s="20"/>
      <c r="L769" s="46"/>
      <c r="M769" s="33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4" t="str">
        <f>IFERROR(__xludf.DUMMYFUNCTION("IF(Account!$F769&lt;&gt;"""", VALUE(REGEXREPLACE($I769, ""\,"", ""."")), """")"),"")</f>
        <v/>
      </c>
      <c r="O769" s="35" t="str">
        <f>IF(Account!$F769&lt;&gt;"", DATEVALUE(MID($A769,4,3) &amp; LEFT($A769,3) &amp; RIGHT($A769,4)) + TIMEVALUE($B769), "")</f>
        <v/>
      </c>
      <c r="P769" s="36" t="str">
        <f>IF(Account!$F769&lt;&gt;"", DATEVALUE(MID($C769,4,3) &amp; LEFT($C769,3) &amp; RIGHT($C769,4)), "")</f>
        <v/>
      </c>
      <c r="Q769" s="37" t="str">
        <f t="array" ref="Q769">IF($R769&lt;&gt;"",IFERROR(INDEX(ISIN!$B:$B,MATCH($R769,ISIN!$C:$C,0))),)</f>
        <v/>
      </c>
      <c r="R769" s="38" t="str">
        <f t="array" ref="R769">IF($E769&lt;&gt;""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7" t="str">
        <f t="shared" si="1"/>
        <v/>
      </c>
      <c r="T769" s="39" t="str">
        <f t="shared" si="2"/>
        <v/>
      </c>
      <c r="U769" s="40" t="str">
        <f t="shared" si="3"/>
        <v/>
      </c>
      <c r="V769" s="34" t="str">
        <f t="shared" si="4"/>
        <v/>
      </c>
      <c r="W769" s="41" t="str">
        <f>IFERROR(__xludf.DUMMYFUNCTION(" IF(Account!$F769&lt;&gt;"""", SPLIT(Account!$F769, "" ""), """")"),"")</f>
        <v/>
      </c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</row>
    <row r="770">
      <c r="A770" s="20"/>
      <c r="B770" s="20"/>
      <c r="C770" s="20"/>
      <c r="D770" s="20"/>
      <c r="E770" s="20"/>
      <c r="F770" s="21"/>
      <c r="G770" s="45"/>
      <c r="H770" s="20"/>
      <c r="I770" s="20"/>
      <c r="J770" s="20"/>
      <c r="K770" s="20"/>
      <c r="L770" s="46"/>
      <c r="M770" s="33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4" t="str">
        <f>IFERROR(__xludf.DUMMYFUNCTION("IF(Account!$F770&lt;&gt;"""", VALUE(REGEXREPLACE($I770, ""\,"", ""."")), """")"),"")</f>
        <v/>
      </c>
      <c r="O770" s="35" t="str">
        <f>IF(Account!$F770&lt;&gt;"", DATEVALUE(MID($A770,4,3) &amp; LEFT($A770,3) &amp; RIGHT($A770,4)) + TIMEVALUE($B770), "")</f>
        <v/>
      </c>
      <c r="P770" s="36" t="str">
        <f>IF(Account!$F770&lt;&gt;"", DATEVALUE(MID($C770,4,3) &amp; LEFT($C770,3) &amp; RIGHT($C770,4)), "")</f>
        <v/>
      </c>
      <c r="Q770" s="37" t="str">
        <f t="array" ref="Q770">IF($R770&lt;&gt;"",IFERROR(INDEX(ISIN!$B:$B,MATCH($R770,ISIN!$C:$C,0))),)</f>
        <v/>
      </c>
      <c r="R770" s="38" t="str">
        <f t="array" ref="R770">IF($E770&lt;&gt;""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7" t="str">
        <f t="shared" si="1"/>
        <v/>
      </c>
      <c r="T770" s="39" t="str">
        <f t="shared" si="2"/>
        <v/>
      </c>
      <c r="U770" s="40" t="str">
        <f t="shared" si="3"/>
        <v/>
      </c>
      <c r="V770" s="34" t="str">
        <f t="shared" si="4"/>
        <v/>
      </c>
      <c r="W770" s="41" t="str">
        <f>IFERROR(__xludf.DUMMYFUNCTION(" IF(Account!$F770&lt;&gt;"""", SPLIT(Account!$F770, "" ""), """")"),"")</f>
        <v/>
      </c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</row>
    <row r="771">
      <c r="A771" s="20"/>
      <c r="B771" s="20"/>
      <c r="C771" s="20"/>
      <c r="D771" s="20"/>
      <c r="E771" s="20"/>
      <c r="F771" s="21"/>
      <c r="G771" s="45"/>
      <c r="H771" s="20"/>
      <c r="I771" s="20"/>
      <c r="J771" s="20"/>
      <c r="K771" s="20"/>
      <c r="L771" s="46"/>
      <c r="M771" s="33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4" t="str">
        <f>IFERROR(__xludf.DUMMYFUNCTION("IF(Account!$F771&lt;&gt;"""", VALUE(REGEXREPLACE($I771, ""\,"", ""."")), """")"),"")</f>
        <v/>
      </c>
      <c r="O771" s="35" t="str">
        <f>IF(Account!$F771&lt;&gt;"", DATEVALUE(MID($A771,4,3) &amp; LEFT($A771,3) &amp; RIGHT($A771,4)) + TIMEVALUE($B771), "")</f>
        <v/>
      </c>
      <c r="P771" s="36" t="str">
        <f>IF(Account!$F771&lt;&gt;"", DATEVALUE(MID($C771,4,3) &amp; LEFT($C771,3) &amp; RIGHT($C771,4)), "")</f>
        <v/>
      </c>
      <c r="Q771" s="37" t="str">
        <f t="array" ref="Q771">IF($R771&lt;&gt;"",IFERROR(INDEX(ISIN!$B:$B,MATCH($R771,ISIN!$C:$C,0))),)</f>
        <v/>
      </c>
      <c r="R771" s="38" t="str">
        <f t="array" ref="R771">IF($E771&lt;&gt;""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7" t="str">
        <f t="shared" si="1"/>
        <v/>
      </c>
      <c r="T771" s="39" t="str">
        <f t="shared" si="2"/>
        <v/>
      </c>
      <c r="U771" s="40" t="str">
        <f t="shared" si="3"/>
        <v/>
      </c>
      <c r="V771" s="34" t="str">
        <f t="shared" si="4"/>
        <v/>
      </c>
      <c r="W771" s="41" t="str">
        <f>IFERROR(__xludf.DUMMYFUNCTION(" IF(Account!$F771&lt;&gt;"""", SPLIT(Account!$F771, "" ""), """")"),"")</f>
        <v/>
      </c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</row>
    <row r="772">
      <c r="A772" s="20"/>
      <c r="B772" s="20"/>
      <c r="C772" s="20"/>
      <c r="D772" s="20"/>
      <c r="E772" s="20"/>
      <c r="F772" s="21"/>
      <c r="G772" s="45"/>
      <c r="H772" s="20"/>
      <c r="I772" s="20"/>
      <c r="J772" s="20"/>
      <c r="K772" s="20"/>
      <c r="L772" s="46"/>
      <c r="M772" s="33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4" t="str">
        <f>IFERROR(__xludf.DUMMYFUNCTION("IF(Account!$F772&lt;&gt;"""", VALUE(REGEXREPLACE($I772, ""\,"", ""."")), """")"),"")</f>
        <v/>
      </c>
      <c r="O772" s="35" t="str">
        <f>IF(Account!$F772&lt;&gt;"", DATEVALUE(MID($A772,4,3) &amp; LEFT($A772,3) &amp; RIGHT($A772,4)) + TIMEVALUE($B772), "")</f>
        <v/>
      </c>
      <c r="P772" s="36" t="str">
        <f>IF(Account!$F772&lt;&gt;"", DATEVALUE(MID($C772,4,3) &amp; LEFT($C772,3) &amp; RIGHT($C772,4)), "")</f>
        <v/>
      </c>
      <c r="Q772" s="37" t="str">
        <f t="array" ref="Q772">IF($R772&lt;&gt;"",IFERROR(INDEX(ISIN!$B:$B,MATCH($R772,ISIN!$C:$C,0))),)</f>
        <v/>
      </c>
      <c r="R772" s="38" t="str">
        <f t="array" ref="R772">IF($E772&lt;&gt;""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7" t="str">
        <f t="shared" si="1"/>
        <v/>
      </c>
      <c r="T772" s="39" t="str">
        <f t="shared" si="2"/>
        <v/>
      </c>
      <c r="U772" s="40" t="str">
        <f t="shared" si="3"/>
        <v/>
      </c>
      <c r="V772" s="34" t="str">
        <f t="shared" si="4"/>
        <v/>
      </c>
      <c r="W772" s="41" t="str">
        <f>IFERROR(__xludf.DUMMYFUNCTION(" IF(Account!$F772&lt;&gt;"""", SPLIT(Account!$F772, "" ""), """")"),"")</f>
        <v/>
      </c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</row>
    <row r="773">
      <c r="A773" s="20"/>
      <c r="B773" s="20"/>
      <c r="C773" s="20"/>
      <c r="D773" s="20"/>
      <c r="E773" s="20"/>
      <c r="F773" s="21"/>
      <c r="G773" s="45"/>
      <c r="H773" s="20"/>
      <c r="I773" s="20"/>
      <c r="J773" s="20"/>
      <c r="K773" s="20"/>
      <c r="L773" s="21"/>
      <c r="M773" s="33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4" t="str">
        <f>IFERROR(__xludf.DUMMYFUNCTION("IF(Account!$F773&lt;&gt;"""", VALUE(REGEXREPLACE($I773, ""\,"", ""."")), """")"),"")</f>
        <v/>
      </c>
      <c r="O773" s="35" t="str">
        <f>IF(Account!$F773&lt;&gt;"", DATEVALUE(MID($A773,4,3) &amp; LEFT($A773,3) &amp; RIGHT($A773,4)) + TIMEVALUE($B773), "")</f>
        <v/>
      </c>
      <c r="P773" s="36" t="str">
        <f>IF(Account!$F773&lt;&gt;"", DATEVALUE(MID($C773,4,3) &amp; LEFT($C773,3) &amp; RIGHT($C773,4)), "")</f>
        <v/>
      </c>
      <c r="Q773" s="37" t="str">
        <f t="array" ref="Q773">IF($R773&lt;&gt;"",IFERROR(INDEX(ISIN!$B:$B,MATCH($R773,ISIN!$C:$C,0))),)</f>
        <v/>
      </c>
      <c r="R773" s="38" t="str">
        <f t="array" ref="R773">IF($E773&lt;&gt;""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7" t="str">
        <f t="shared" si="1"/>
        <v/>
      </c>
      <c r="T773" s="39" t="str">
        <f t="shared" si="2"/>
        <v/>
      </c>
      <c r="U773" s="40" t="str">
        <f t="shared" si="3"/>
        <v/>
      </c>
      <c r="V773" s="34" t="str">
        <f t="shared" si="4"/>
        <v/>
      </c>
      <c r="W773" s="41" t="str">
        <f>IFERROR(__xludf.DUMMYFUNCTION(" IF(Account!$F773&lt;&gt;"""", SPLIT(Account!$F773, "" ""), """")"),"")</f>
        <v/>
      </c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</row>
    <row r="774">
      <c r="A774" s="20"/>
      <c r="B774" s="20"/>
      <c r="C774" s="20"/>
      <c r="D774" s="20"/>
      <c r="E774" s="20"/>
      <c r="F774" s="21"/>
      <c r="G774" s="45"/>
      <c r="H774" s="20"/>
      <c r="I774" s="20"/>
      <c r="J774" s="20"/>
      <c r="K774" s="20"/>
      <c r="L774" s="21"/>
      <c r="M774" s="33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4" t="str">
        <f>IFERROR(__xludf.DUMMYFUNCTION("IF(Account!$F774&lt;&gt;"""", VALUE(REGEXREPLACE($I774, ""\,"", ""."")), """")"),"")</f>
        <v/>
      </c>
      <c r="O774" s="35" t="str">
        <f>IF(Account!$F774&lt;&gt;"", DATEVALUE(MID($A774,4,3) &amp; LEFT($A774,3) &amp; RIGHT($A774,4)) + TIMEVALUE($B774), "")</f>
        <v/>
      </c>
      <c r="P774" s="36" t="str">
        <f>IF(Account!$F774&lt;&gt;"", DATEVALUE(MID($C774,4,3) &amp; LEFT($C774,3) &amp; RIGHT($C774,4)), "")</f>
        <v/>
      </c>
      <c r="Q774" s="37" t="str">
        <f t="array" ref="Q774">IF($R774&lt;&gt;"",IFERROR(INDEX(ISIN!$B:$B,MATCH($R774,ISIN!$C:$C,0))),)</f>
        <v/>
      </c>
      <c r="R774" s="38" t="str">
        <f t="array" ref="R774">IF($E774&lt;&gt;""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7" t="str">
        <f t="shared" si="1"/>
        <v/>
      </c>
      <c r="T774" s="39" t="str">
        <f t="shared" si="2"/>
        <v/>
      </c>
      <c r="U774" s="40" t="str">
        <f t="shared" si="3"/>
        <v/>
      </c>
      <c r="V774" s="34" t="str">
        <f t="shared" si="4"/>
        <v/>
      </c>
      <c r="W774" s="41" t="str">
        <f>IFERROR(__xludf.DUMMYFUNCTION(" IF(Account!$F774&lt;&gt;"""", SPLIT(Account!$F774, "" ""), """")"),"")</f>
        <v/>
      </c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</row>
    <row r="775">
      <c r="A775" s="20"/>
      <c r="B775" s="20"/>
      <c r="C775" s="20"/>
      <c r="D775" s="20"/>
      <c r="E775" s="20"/>
      <c r="F775" s="21"/>
      <c r="G775" s="45"/>
      <c r="H775" s="20"/>
      <c r="I775" s="20"/>
      <c r="J775" s="20"/>
      <c r="K775" s="20"/>
      <c r="L775" s="21"/>
      <c r="M775" s="33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4" t="str">
        <f>IFERROR(__xludf.DUMMYFUNCTION("IF(Account!$F775&lt;&gt;"""", VALUE(REGEXREPLACE($I775, ""\,"", ""."")), """")"),"")</f>
        <v/>
      </c>
      <c r="O775" s="35" t="str">
        <f>IF(Account!$F775&lt;&gt;"", DATEVALUE(MID($A775,4,3) &amp; LEFT($A775,3) &amp; RIGHT($A775,4)) + TIMEVALUE($B775), "")</f>
        <v/>
      </c>
      <c r="P775" s="36" t="str">
        <f>IF(Account!$F775&lt;&gt;"", DATEVALUE(MID($C775,4,3) &amp; LEFT($C775,3) &amp; RIGHT($C775,4)), "")</f>
        <v/>
      </c>
      <c r="Q775" s="37" t="str">
        <f t="array" ref="Q775">IF($R775&lt;&gt;"",IFERROR(INDEX(ISIN!$B:$B,MATCH($R775,ISIN!$C:$C,0))),)</f>
        <v/>
      </c>
      <c r="R775" s="38" t="str">
        <f t="array" ref="R775">IF($E775&lt;&gt;""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7" t="str">
        <f t="shared" si="1"/>
        <v/>
      </c>
      <c r="T775" s="39" t="str">
        <f t="shared" si="2"/>
        <v/>
      </c>
      <c r="U775" s="40" t="str">
        <f t="shared" si="3"/>
        <v/>
      </c>
      <c r="V775" s="34" t="str">
        <f t="shared" si="4"/>
        <v/>
      </c>
      <c r="W775" s="41" t="str">
        <f>IFERROR(__xludf.DUMMYFUNCTION(" IF(Account!$F775&lt;&gt;"""", SPLIT(Account!$F775, "" ""), """")"),"")</f>
        <v/>
      </c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</row>
    <row r="776">
      <c r="A776" s="20"/>
      <c r="B776" s="20"/>
      <c r="C776" s="20"/>
      <c r="D776" s="20"/>
      <c r="E776" s="20"/>
      <c r="F776" s="21"/>
      <c r="G776" s="20"/>
      <c r="H776" s="20"/>
      <c r="I776" s="20"/>
      <c r="J776" s="20"/>
      <c r="K776" s="20"/>
      <c r="L776" s="21"/>
      <c r="M776" s="33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4" t="str">
        <f>IFERROR(__xludf.DUMMYFUNCTION("IF(Account!$F776&lt;&gt;"""", VALUE(REGEXREPLACE($I776, ""\,"", ""."")), """")"),"")</f>
        <v/>
      </c>
      <c r="O776" s="35" t="str">
        <f>IF(Account!$F776&lt;&gt;"", DATEVALUE(MID($A776,4,3) &amp; LEFT($A776,3) &amp; RIGHT($A776,4)) + TIMEVALUE($B776), "")</f>
        <v/>
      </c>
      <c r="P776" s="36" t="str">
        <f>IF(Account!$F776&lt;&gt;"", DATEVALUE(MID($C776,4,3) &amp; LEFT($C776,3) &amp; RIGHT($C776,4)), "")</f>
        <v/>
      </c>
      <c r="Q776" s="37" t="str">
        <f t="array" ref="Q776">IF($R776&lt;&gt;"",IFERROR(INDEX(ISIN!$B:$B,MATCH($R776,ISIN!$C:$C,0))),)</f>
        <v/>
      </c>
      <c r="R776" s="38" t="str">
        <f t="array" ref="R776">IF($E776&lt;&gt;""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7" t="str">
        <f t="shared" si="1"/>
        <v/>
      </c>
      <c r="T776" s="39" t="str">
        <f t="shared" si="2"/>
        <v/>
      </c>
      <c r="U776" s="40" t="str">
        <f t="shared" si="3"/>
        <v/>
      </c>
      <c r="V776" s="34" t="str">
        <f t="shared" si="4"/>
        <v/>
      </c>
      <c r="W776" s="41" t="str">
        <f>IFERROR(__xludf.DUMMYFUNCTION(" IF(Account!$F776&lt;&gt;"""", SPLIT(Account!$F776, "" ""), """")"),"")</f>
        <v/>
      </c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</row>
    <row r="777">
      <c r="A777" s="20"/>
      <c r="B777" s="20"/>
      <c r="C777" s="20"/>
      <c r="D777" s="20"/>
      <c r="E777" s="20"/>
      <c r="F777" s="21"/>
      <c r="G777" s="45"/>
      <c r="H777" s="20"/>
      <c r="I777" s="20"/>
      <c r="J777" s="20"/>
      <c r="K777" s="20"/>
      <c r="L777" s="21"/>
      <c r="M777" s="33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4" t="str">
        <f>IFERROR(__xludf.DUMMYFUNCTION("IF(Account!$F777&lt;&gt;"""", VALUE(REGEXREPLACE($I777, ""\,"", ""."")), """")"),"")</f>
        <v/>
      </c>
      <c r="O777" s="35" t="str">
        <f>IF(Account!$F777&lt;&gt;"", DATEVALUE(MID($A777,4,3) &amp; LEFT($A777,3) &amp; RIGHT($A777,4)) + TIMEVALUE($B777), "")</f>
        <v/>
      </c>
      <c r="P777" s="36" t="str">
        <f>IF(Account!$F777&lt;&gt;"", DATEVALUE(MID($C777,4,3) &amp; LEFT($C777,3) &amp; RIGHT($C777,4)), "")</f>
        <v/>
      </c>
      <c r="Q777" s="37" t="str">
        <f t="array" ref="Q777">IF($R777&lt;&gt;"",IFERROR(INDEX(ISIN!$B:$B,MATCH($R777,ISIN!$C:$C,0))),)</f>
        <v/>
      </c>
      <c r="R777" s="38" t="str">
        <f t="array" ref="R777">IF($E777&lt;&gt;""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7" t="str">
        <f t="shared" si="1"/>
        <v/>
      </c>
      <c r="T777" s="39" t="str">
        <f t="shared" si="2"/>
        <v/>
      </c>
      <c r="U777" s="40" t="str">
        <f t="shared" si="3"/>
        <v/>
      </c>
      <c r="V777" s="34" t="str">
        <f t="shared" si="4"/>
        <v/>
      </c>
      <c r="W777" s="41" t="str">
        <f>IFERROR(__xludf.DUMMYFUNCTION(" IF(Account!$F777&lt;&gt;"""", SPLIT(Account!$F777, "" ""), """")"),"")</f>
        <v/>
      </c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</row>
    <row r="778">
      <c r="A778" s="20"/>
      <c r="B778" s="20"/>
      <c r="C778" s="20"/>
      <c r="D778" s="20"/>
      <c r="E778" s="20"/>
      <c r="F778" s="21"/>
      <c r="G778" s="45"/>
      <c r="H778" s="20"/>
      <c r="I778" s="20"/>
      <c r="J778" s="20"/>
      <c r="K778" s="20"/>
      <c r="L778" s="21"/>
      <c r="M778" s="33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4" t="str">
        <f>IFERROR(__xludf.DUMMYFUNCTION("IF(Account!$F778&lt;&gt;"""", VALUE(REGEXREPLACE($I778, ""\,"", ""."")), """")"),"")</f>
        <v/>
      </c>
      <c r="O778" s="35" t="str">
        <f>IF(Account!$F778&lt;&gt;"", DATEVALUE(MID($A778,4,3) &amp; LEFT($A778,3) &amp; RIGHT($A778,4)) + TIMEVALUE($B778), "")</f>
        <v/>
      </c>
      <c r="P778" s="36" t="str">
        <f>IF(Account!$F778&lt;&gt;"", DATEVALUE(MID($C778,4,3) &amp; LEFT($C778,3) &amp; RIGHT($C778,4)), "")</f>
        <v/>
      </c>
      <c r="Q778" s="37" t="str">
        <f t="array" ref="Q778">IF($R778&lt;&gt;"",IFERROR(INDEX(ISIN!$B:$B,MATCH($R778,ISIN!$C:$C,0))),)</f>
        <v/>
      </c>
      <c r="R778" s="38" t="str">
        <f t="array" ref="R778">IF($E778&lt;&gt;""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7" t="str">
        <f t="shared" si="1"/>
        <v/>
      </c>
      <c r="T778" s="39" t="str">
        <f t="shared" si="2"/>
        <v/>
      </c>
      <c r="U778" s="40" t="str">
        <f t="shared" si="3"/>
        <v/>
      </c>
      <c r="V778" s="34" t="str">
        <f t="shared" si="4"/>
        <v/>
      </c>
      <c r="W778" s="41" t="str">
        <f>IFERROR(__xludf.DUMMYFUNCTION(" IF(Account!$F778&lt;&gt;"""", SPLIT(Account!$F778, "" ""), """")"),"")</f>
        <v/>
      </c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</row>
    <row r="779">
      <c r="A779" s="20"/>
      <c r="B779" s="20"/>
      <c r="C779" s="20"/>
      <c r="D779" s="20"/>
      <c r="E779" s="20"/>
      <c r="F779" s="21"/>
      <c r="G779" s="20"/>
      <c r="H779" s="20"/>
      <c r="I779" s="20"/>
      <c r="J779" s="20"/>
      <c r="K779" s="20"/>
      <c r="L779" s="21"/>
      <c r="M779" s="33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4" t="str">
        <f>IFERROR(__xludf.DUMMYFUNCTION("IF(Account!$F779&lt;&gt;"""", VALUE(REGEXREPLACE($I779, ""\,"", ""."")), """")"),"")</f>
        <v/>
      </c>
      <c r="O779" s="35" t="str">
        <f>IF(Account!$F779&lt;&gt;"", DATEVALUE(MID($A779,4,3) &amp; LEFT($A779,3) &amp; RIGHT($A779,4)) + TIMEVALUE($B779), "")</f>
        <v/>
      </c>
      <c r="P779" s="36" t="str">
        <f>IF(Account!$F779&lt;&gt;"", DATEVALUE(MID($C779,4,3) &amp; LEFT($C779,3) &amp; RIGHT($C779,4)), "")</f>
        <v/>
      </c>
      <c r="Q779" s="37" t="str">
        <f t="array" ref="Q779">IF($R779&lt;&gt;"",IFERROR(INDEX(ISIN!$B:$B,MATCH($R779,ISIN!$C:$C,0))),)</f>
        <v/>
      </c>
      <c r="R779" s="38" t="str">
        <f t="array" ref="R779">IF($E779&lt;&gt;""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7" t="str">
        <f t="shared" si="1"/>
        <v/>
      </c>
      <c r="T779" s="39" t="str">
        <f t="shared" si="2"/>
        <v/>
      </c>
      <c r="U779" s="40" t="str">
        <f t="shared" si="3"/>
        <v/>
      </c>
      <c r="V779" s="34" t="str">
        <f t="shared" si="4"/>
        <v/>
      </c>
      <c r="W779" s="41" t="str">
        <f>IFERROR(__xludf.DUMMYFUNCTION(" IF(Account!$F779&lt;&gt;"""", SPLIT(Account!$F779, "" ""), """")"),"")</f>
        <v/>
      </c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</row>
    <row r="780">
      <c r="A780" s="20"/>
      <c r="B780" s="20"/>
      <c r="C780" s="20"/>
      <c r="D780" s="20"/>
      <c r="E780" s="20"/>
      <c r="F780" s="21"/>
      <c r="G780" s="45"/>
      <c r="H780" s="20"/>
      <c r="I780" s="20"/>
      <c r="J780" s="20"/>
      <c r="K780" s="20"/>
      <c r="L780" s="21"/>
      <c r="M780" s="33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4" t="str">
        <f>IFERROR(__xludf.DUMMYFUNCTION("IF(Account!$F780&lt;&gt;"""", VALUE(REGEXREPLACE($I780, ""\,"", ""."")), """")"),"")</f>
        <v/>
      </c>
      <c r="O780" s="35" t="str">
        <f>IF(Account!$F780&lt;&gt;"", DATEVALUE(MID($A780,4,3) &amp; LEFT($A780,3) &amp; RIGHT($A780,4)) + TIMEVALUE($B780), "")</f>
        <v/>
      </c>
      <c r="P780" s="36" t="str">
        <f>IF(Account!$F780&lt;&gt;"", DATEVALUE(MID($C780,4,3) &amp; LEFT($C780,3) &amp; RIGHT($C780,4)), "")</f>
        <v/>
      </c>
      <c r="Q780" s="37" t="str">
        <f t="array" ref="Q780">IF($R780&lt;&gt;"",IFERROR(INDEX(ISIN!$B:$B,MATCH($R780,ISIN!$C:$C,0))),)</f>
        <v/>
      </c>
      <c r="R780" s="38" t="str">
        <f t="array" ref="R780">IF($E780&lt;&gt;""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7" t="str">
        <f t="shared" si="1"/>
        <v/>
      </c>
      <c r="T780" s="39" t="str">
        <f t="shared" si="2"/>
        <v/>
      </c>
      <c r="U780" s="40" t="str">
        <f t="shared" si="3"/>
        <v/>
      </c>
      <c r="V780" s="34" t="str">
        <f t="shared" si="4"/>
        <v/>
      </c>
      <c r="W780" s="41" t="str">
        <f>IFERROR(__xludf.DUMMYFUNCTION(" IF(Account!$F780&lt;&gt;"""", SPLIT(Account!$F780, "" ""), """")"),"")</f>
        <v/>
      </c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</row>
    <row r="781">
      <c r="A781" s="20"/>
      <c r="B781" s="20"/>
      <c r="C781" s="20"/>
      <c r="D781" s="20"/>
      <c r="E781" s="20"/>
      <c r="F781" s="21"/>
      <c r="G781" s="45"/>
      <c r="H781" s="20"/>
      <c r="I781" s="20"/>
      <c r="J781" s="20"/>
      <c r="K781" s="20"/>
      <c r="L781" s="21"/>
      <c r="M781" s="33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4" t="str">
        <f>IFERROR(__xludf.DUMMYFUNCTION("IF(Account!$F781&lt;&gt;"""", VALUE(REGEXREPLACE($I781, ""\,"", ""."")), """")"),"")</f>
        <v/>
      </c>
      <c r="O781" s="35" t="str">
        <f>IF(Account!$F781&lt;&gt;"", DATEVALUE(MID($A781,4,3) &amp; LEFT($A781,3) &amp; RIGHT($A781,4)) + TIMEVALUE($B781), "")</f>
        <v/>
      </c>
      <c r="P781" s="36" t="str">
        <f>IF(Account!$F781&lt;&gt;"", DATEVALUE(MID($C781,4,3) &amp; LEFT($C781,3) &amp; RIGHT($C781,4)), "")</f>
        <v/>
      </c>
      <c r="Q781" s="37" t="str">
        <f t="array" ref="Q781">IF($R781&lt;&gt;"",IFERROR(INDEX(ISIN!$B:$B,MATCH($R781,ISIN!$C:$C,0))),)</f>
        <v/>
      </c>
      <c r="R781" s="38" t="str">
        <f t="array" ref="R781">IF($E781&lt;&gt;""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7" t="str">
        <f t="shared" si="1"/>
        <v/>
      </c>
      <c r="T781" s="39" t="str">
        <f t="shared" si="2"/>
        <v/>
      </c>
      <c r="U781" s="40" t="str">
        <f t="shared" si="3"/>
        <v/>
      </c>
      <c r="V781" s="34" t="str">
        <f t="shared" si="4"/>
        <v/>
      </c>
      <c r="W781" s="41" t="str">
        <f>IFERROR(__xludf.DUMMYFUNCTION(" IF(Account!$F781&lt;&gt;"""", SPLIT(Account!$F781, "" ""), """")"),"")</f>
        <v/>
      </c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</row>
    <row r="782">
      <c r="A782" s="20"/>
      <c r="B782" s="20"/>
      <c r="C782" s="20"/>
      <c r="D782" s="20"/>
      <c r="E782" s="20"/>
      <c r="F782" s="21"/>
      <c r="G782" s="45"/>
      <c r="H782" s="20"/>
      <c r="I782" s="20"/>
      <c r="J782" s="20"/>
      <c r="K782" s="20"/>
      <c r="L782" s="21"/>
      <c r="M782" s="33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4" t="str">
        <f>IFERROR(__xludf.DUMMYFUNCTION("IF(Account!$F782&lt;&gt;"""", VALUE(REGEXREPLACE($I782, ""\,"", ""."")), """")"),"")</f>
        <v/>
      </c>
      <c r="O782" s="35" t="str">
        <f>IF(Account!$F782&lt;&gt;"", DATEVALUE(MID($A782,4,3) &amp; LEFT($A782,3) &amp; RIGHT($A782,4)) + TIMEVALUE($B782), "")</f>
        <v/>
      </c>
      <c r="P782" s="36" t="str">
        <f>IF(Account!$F782&lt;&gt;"", DATEVALUE(MID($C782,4,3) &amp; LEFT($C782,3) &amp; RIGHT($C782,4)), "")</f>
        <v/>
      </c>
      <c r="Q782" s="37" t="str">
        <f t="array" ref="Q782">IF($R782&lt;&gt;"",IFERROR(INDEX(ISIN!$B:$B,MATCH($R782,ISIN!$C:$C,0))),)</f>
        <v/>
      </c>
      <c r="R782" s="38" t="str">
        <f t="array" ref="R782">IF($E782&lt;&gt;""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7" t="str">
        <f t="shared" si="1"/>
        <v/>
      </c>
      <c r="T782" s="39" t="str">
        <f t="shared" si="2"/>
        <v/>
      </c>
      <c r="U782" s="40" t="str">
        <f t="shared" si="3"/>
        <v/>
      </c>
      <c r="V782" s="34" t="str">
        <f t="shared" si="4"/>
        <v/>
      </c>
      <c r="W782" s="41" t="str">
        <f>IFERROR(__xludf.DUMMYFUNCTION(" IF(Account!$F782&lt;&gt;"""", SPLIT(Account!$F782, "" ""), """")"),"")</f>
        <v/>
      </c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</row>
    <row r="783">
      <c r="A783" s="20"/>
      <c r="B783" s="20"/>
      <c r="C783" s="20"/>
      <c r="D783" s="20"/>
      <c r="E783" s="20"/>
      <c r="F783" s="21"/>
      <c r="G783" s="45"/>
      <c r="H783" s="20"/>
      <c r="I783" s="20"/>
      <c r="J783" s="20"/>
      <c r="K783" s="20"/>
      <c r="L783" s="21"/>
      <c r="M783" s="33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4" t="str">
        <f>IFERROR(__xludf.DUMMYFUNCTION("IF(Account!$F783&lt;&gt;"""", VALUE(REGEXREPLACE($I783, ""\,"", ""."")), """")"),"")</f>
        <v/>
      </c>
      <c r="O783" s="35" t="str">
        <f>IF(Account!$F783&lt;&gt;"", DATEVALUE(MID($A783,4,3) &amp; LEFT($A783,3) &amp; RIGHT($A783,4)) + TIMEVALUE($B783), "")</f>
        <v/>
      </c>
      <c r="P783" s="36" t="str">
        <f>IF(Account!$F783&lt;&gt;"", DATEVALUE(MID($C783,4,3) &amp; LEFT($C783,3) &amp; RIGHT($C783,4)), "")</f>
        <v/>
      </c>
      <c r="Q783" s="37" t="str">
        <f t="array" ref="Q783">IF($R783&lt;&gt;"",IFERROR(INDEX(ISIN!$B:$B,MATCH($R783,ISIN!$C:$C,0))),)</f>
        <v/>
      </c>
      <c r="R783" s="38" t="str">
        <f t="array" ref="R783">IF($E783&lt;&gt;""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7" t="str">
        <f t="shared" si="1"/>
        <v/>
      </c>
      <c r="T783" s="39" t="str">
        <f t="shared" si="2"/>
        <v/>
      </c>
      <c r="U783" s="40" t="str">
        <f t="shared" si="3"/>
        <v/>
      </c>
      <c r="V783" s="34" t="str">
        <f t="shared" si="4"/>
        <v/>
      </c>
      <c r="W783" s="41" t="str">
        <f>IFERROR(__xludf.DUMMYFUNCTION(" IF(Account!$F783&lt;&gt;"""", SPLIT(Account!$F783, "" ""), """")"),"")</f>
        <v/>
      </c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</row>
    <row r="784">
      <c r="A784" s="20"/>
      <c r="B784" s="20"/>
      <c r="C784" s="20"/>
      <c r="D784" s="20"/>
      <c r="E784" s="20"/>
      <c r="F784" s="21"/>
      <c r="G784" s="20"/>
      <c r="H784" s="20"/>
      <c r="I784" s="20"/>
      <c r="J784" s="20"/>
      <c r="K784" s="20"/>
      <c r="L784" s="21"/>
      <c r="M784" s="33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4" t="str">
        <f>IFERROR(__xludf.DUMMYFUNCTION("IF(Account!$F784&lt;&gt;"""", VALUE(REGEXREPLACE($I784, ""\,"", ""."")), """")"),"")</f>
        <v/>
      </c>
      <c r="O784" s="35" t="str">
        <f>IF(Account!$F784&lt;&gt;"", DATEVALUE(MID($A784,4,3) &amp; LEFT($A784,3) &amp; RIGHT($A784,4)) + TIMEVALUE($B784), "")</f>
        <v/>
      </c>
      <c r="P784" s="36" t="str">
        <f>IF(Account!$F784&lt;&gt;"", DATEVALUE(MID($C784,4,3) &amp; LEFT($C784,3) &amp; RIGHT($C784,4)), "")</f>
        <v/>
      </c>
      <c r="Q784" s="37" t="str">
        <f t="array" ref="Q784">IF($R784&lt;&gt;"",IFERROR(INDEX(ISIN!$B:$B,MATCH($R784,ISIN!$C:$C,0))),)</f>
        <v/>
      </c>
      <c r="R784" s="38" t="str">
        <f t="array" ref="R784">IF($E784&lt;&gt;""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7" t="str">
        <f t="shared" si="1"/>
        <v/>
      </c>
      <c r="T784" s="39" t="str">
        <f t="shared" si="2"/>
        <v/>
      </c>
      <c r="U784" s="40" t="str">
        <f t="shared" si="3"/>
        <v/>
      </c>
      <c r="V784" s="34" t="str">
        <f t="shared" si="4"/>
        <v/>
      </c>
      <c r="W784" s="41" t="str">
        <f>IFERROR(__xludf.DUMMYFUNCTION(" IF(Account!$F784&lt;&gt;"""", SPLIT(Account!$F784, "" ""), """")"),"")</f>
        <v/>
      </c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</row>
    <row r="785">
      <c r="A785" s="20"/>
      <c r="B785" s="20"/>
      <c r="C785" s="20"/>
      <c r="D785" s="20"/>
      <c r="E785" s="20"/>
      <c r="F785" s="21"/>
      <c r="G785" s="45"/>
      <c r="H785" s="20"/>
      <c r="I785" s="20"/>
      <c r="J785" s="20"/>
      <c r="K785" s="20"/>
      <c r="L785" s="21"/>
      <c r="M785" s="33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4" t="str">
        <f>IFERROR(__xludf.DUMMYFUNCTION("IF(Account!$F785&lt;&gt;"""", VALUE(REGEXREPLACE($I785, ""\,"", ""."")), """")"),"")</f>
        <v/>
      </c>
      <c r="O785" s="35" t="str">
        <f>IF(Account!$F785&lt;&gt;"", DATEVALUE(MID($A785,4,3) &amp; LEFT($A785,3) &amp; RIGHT($A785,4)) + TIMEVALUE($B785), "")</f>
        <v/>
      </c>
      <c r="P785" s="36" t="str">
        <f>IF(Account!$F785&lt;&gt;"", DATEVALUE(MID($C785,4,3) &amp; LEFT($C785,3) &amp; RIGHT($C785,4)), "")</f>
        <v/>
      </c>
      <c r="Q785" s="37" t="str">
        <f t="array" ref="Q785">IF($R785&lt;&gt;"",IFERROR(INDEX(ISIN!$B:$B,MATCH($R785,ISIN!$C:$C,0))),)</f>
        <v/>
      </c>
      <c r="R785" s="38" t="str">
        <f t="array" ref="R785">IF($E785&lt;&gt;""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7" t="str">
        <f t="shared" si="1"/>
        <v/>
      </c>
      <c r="T785" s="39" t="str">
        <f t="shared" si="2"/>
        <v/>
      </c>
      <c r="U785" s="40" t="str">
        <f t="shared" si="3"/>
        <v/>
      </c>
      <c r="V785" s="34" t="str">
        <f t="shared" si="4"/>
        <v/>
      </c>
      <c r="W785" s="41" t="str">
        <f>IFERROR(__xludf.DUMMYFUNCTION(" IF(Account!$F785&lt;&gt;"""", SPLIT(Account!$F785, "" ""), """")"),"")</f>
        <v/>
      </c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</row>
    <row r="786">
      <c r="A786" s="20"/>
      <c r="B786" s="20"/>
      <c r="C786" s="20"/>
      <c r="D786" s="20"/>
      <c r="E786" s="20"/>
      <c r="F786" s="21"/>
      <c r="G786" s="20"/>
      <c r="H786" s="20"/>
      <c r="I786" s="20"/>
      <c r="J786" s="20"/>
      <c r="K786" s="20"/>
      <c r="L786" s="21"/>
      <c r="M786" s="33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4" t="str">
        <f>IFERROR(__xludf.DUMMYFUNCTION("IF(Account!$F786&lt;&gt;"""", VALUE(REGEXREPLACE($I786, ""\,"", ""."")), """")"),"")</f>
        <v/>
      </c>
      <c r="O786" s="35" t="str">
        <f>IF(Account!$F786&lt;&gt;"", DATEVALUE(MID($A786,4,3) &amp; LEFT($A786,3) &amp; RIGHT($A786,4)) + TIMEVALUE($B786), "")</f>
        <v/>
      </c>
      <c r="P786" s="36" t="str">
        <f>IF(Account!$F786&lt;&gt;"", DATEVALUE(MID($C786,4,3) &amp; LEFT($C786,3) &amp; RIGHT($C786,4)), "")</f>
        <v/>
      </c>
      <c r="Q786" s="37" t="str">
        <f t="array" ref="Q786">IF($R786&lt;&gt;"",IFERROR(INDEX(ISIN!$B:$B,MATCH($R786,ISIN!$C:$C,0))),)</f>
        <v/>
      </c>
      <c r="R786" s="38" t="str">
        <f t="array" ref="R786">IF($E786&lt;&gt;""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7" t="str">
        <f t="shared" si="1"/>
        <v/>
      </c>
      <c r="T786" s="39" t="str">
        <f t="shared" si="2"/>
        <v/>
      </c>
      <c r="U786" s="40" t="str">
        <f t="shared" si="3"/>
        <v/>
      </c>
      <c r="V786" s="34" t="str">
        <f t="shared" si="4"/>
        <v/>
      </c>
      <c r="W786" s="41" t="str">
        <f>IFERROR(__xludf.DUMMYFUNCTION(" IF(Account!$F786&lt;&gt;"""", SPLIT(Account!$F786, "" ""), """")"),"")</f>
        <v/>
      </c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</row>
    <row r="787">
      <c r="A787" s="20"/>
      <c r="B787" s="20"/>
      <c r="C787" s="20"/>
      <c r="D787" s="20"/>
      <c r="E787" s="20"/>
      <c r="F787" s="21"/>
      <c r="G787" s="45"/>
      <c r="H787" s="20"/>
      <c r="I787" s="20"/>
      <c r="J787" s="20"/>
      <c r="K787" s="20"/>
      <c r="L787" s="21"/>
      <c r="M787" s="33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4" t="str">
        <f>IFERROR(__xludf.DUMMYFUNCTION("IF(Account!$F787&lt;&gt;"""", VALUE(REGEXREPLACE($I787, ""\,"", ""."")), """")"),"")</f>
        <v/>
      </c>
      <c r="O787" s="35" t="str">
        <f>IF(Account!$F787&lt;&gt;"", DATEVALUE(MID($A787,4,3) &amp; LEFT($A787,3) &amp; RIGHT($A787,4)) + TIMEVALUE($B787), "")</f>
        <v/>
      </c>
      <c r="P787" s="36" t="str">
        <f>IF(Account!$F787&lt;&gt;"", DATEVALUE(MID($C787,4,3) &amp; LEFT($C787,3) &amp; RIGHT($C787,4)), "")</f>
        <v/>
      </c>
      <c r="Q787" s="37" t="str">
        <f t="array" ref="Q787">IF($R787&lt;&gt;"",IFERROR(INDEX(ISIN!$B:$B,MATCH($R787,ISIN!$C:$C,0))),)</f>
        <v/>
      </c>
      <c r="R787" s="38" t="str">
        <f t="array" ref="R787">IF($E787&lt;&gt;""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7" t="str">
        <f t="shared" si="1"/>
        <v/>
      </c>
      <c r="T787" s="39" t="str">
        <f t="shared" si="2"/>
        <v/>
      </c>
      <c r="U787" s="40" t="str">
        <f t="shared" si="3"/>
        <v/>
      </c>
      <c r="V787" s="34" t="str">
        <f t="shared" si="4"/>
        <v/>
      </c>
      <c r="W787" s="41" t="str">
        <f>IFERROR(__xludf.DUMMYFUNCTION(" IF(Account!$F787&lt;&gt;"""", SPLIT(Account!$F787, "" ""), """")"),"")</f>
        <v/>
      </c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</row>
    <row r="788">
      <c r="A788" s="20"/>
      <c r="B788" s="20"/>
      <c r="C788" s="20"/>
      <c r="D788" s="20"/>
      <c r="E788" s="20"/>
      <c r="F788" s="21"/>
      <c r="G788" s="20"/>
      <c r="H788" s="20"/>
      <c r="I788" s="20"/>
      <c r="J788" s="20"/>
      <c r="K788" s="20"/>
      <c r="L788" s="21"/>
      <c r="M788" s="33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4" t="str">
        <f>IFERROR(__xludf.DUMMYFUNCTION("IF(Account!$F788&lt;&gt;"""", VALUE(REGEXREPLACE($I788, ""\,"", ""."")), """")"),"")</f>
        <v/>
      </c>
      <c r="O788" s="35" t="str">
        <f>IF(Account!$F788&lt;&gt;"", DATEVALUE(MID($A788,4,3) &amp; LEFT($A788,3) &amp; RIGHT($A788,4)) + TIMEVALUE($B788), "")</f>
        <v/>
      </c>
      <c r="P788" s="36" t="str">
        <f>IF(Account!$F788&lt;&gt;"", DATEVALUE(MID($C788,4,3) &amp; LEFT($C788,3) &amp; RIGHT($C788,4)), "")</f>
        <v/>
      </c>
      <c r="Q788" s="37" t="str">
        <f t="array" ref="Q788">IF($R788&lt;&gt;"",IFERROR(INDEX(ISIN!$B:$B,MATCH($R788,ISIN!$C:$C,0))),)</f>
        <v/>
      </c>
      <c r="R788" s="38" t="str">
        <f t="array" ref="R788">IF($E788&lt;&gt;""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7" t="str">
        <f t="shared" si="1"/>
        <v/>
      </c>
      <c r="T788" s="39" t="str">
        <f t="shared" si="2"/>
        <v/>
      </c>
      <c r="U788" s="40" t="str">
        <f t="shared" si="3"/>
        <v/>
      </c>
      <c r="V788" s="34" t="str">
        <f t="shared" si="4"/>
        <v/>
      </c>
      <c r="W788" s="41" t="str">
        <f>IFERROR(__xludf.DUMMYFUNCTION(" IF(Account!$F788&lt;&gt;"""", SPLIT(Account!$F788, "" ""), """")"),"")</f>
        <v/>
      </c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</row>
    <row r="789">
      <c r="A789" s="20"/>
      <c r="B789" s="20"/>
      <c r="C789" s="20"/>
      <c r="D789" s="20"/>
      <c r="E789" s="20"/>
      <c r="F789" s="21"/>
      <c r="G789" s="45"/>
      <c r="H789" s="20"/>
      <c r="I789" s="20"/>
      <c r="J789" s="20"/>
      <c r="K789" s="20"/>
      <c r="L789" s="21"/>
      <c r="M789" s="33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4" t="str">
        <f>IFERROR(__xludf.DUMMYFUNCTION("IF(Account!$F789&lt;&gt;"""", VALUE(REGEXREPLACE($I789, ""\,"", ""."")), """")"),"")</f>
        <v/>
      </c>
      <c r="O789" s="35" t="str">
        <f>IF(Account!$F789&lt;&gt;"", DATEVALUE(MID($A789,4,3) &amp; LEFT($A789,3) &amp; RIGHT($A789,4)) + TIMEVALUE($B789), "")</f>
        <v/>
      </c>
      <c r="P789" s="36" t="str">
        <f>IF(Account!$F789&lt;&gt;"", DATEVALUE(MID($C789,4,3) &amp; LEFT($C789,3) &amp; RIGHT($C789,4)), "")</f>
        <v/>
      </c>
      <c r="Q789" s="37" t="str">
        <f t="array" ref="Q789">IF($R789&lt;&gt;"",IFERROR(INDEX(ISIN!$B:$B,MATCH($R789,ISIN!$C:$C,0))),)</f>
        <v/>
      </c>
      <c r="R789" s="38" t="str">
        <f t="array" ref="R789">IF($E789&lt;&gt;""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7" t="str">
        <f t="shared" si="1"/>
        <v/>
      </c>
      <c r="T789" s="39" t="str">
        <f t="shared" si="2"/>
        <v/>
      </c>
      <c r="U789" s="40" t="str">
        <f t="shared" si="3"/>
        <v/>
      </c>
      <c r="V789" s="34" t="str">
        <f t="shared" si="4"/>
        <v/>
      </c>
      <c r="W789" s="41" t="str">
        <f>IFERROR(__xludf.DUMMYFUNCTION(" IF(Account!$F789&lt;&gt;"""", SPLIT(Account!$F789, "" ""), """")"),"")</f>
        <v/>
      </c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</row>
    <row r="790">
      <c r="A790" s="20"/>
      <c r="B790" s="20"/>
      <c r="C790" s="20"/>
      <c r="D790" s="20"/>
      <c r="E790" s="20"/>
      <c r="F790" s="21"/>
      <c r="G790" s="20"/>
      <c r="H790" s="20"/>
      <c r="I790" s="20"/>
      <c r="J790" s="20"/>
      <c r="K790" s="20"/>
      <c r="L790" s="21"/>
      <c r="M790" s="33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4" t="str">
        <f>IFERROR(__xludf.DUMMYFUNCTION("IF(Account!$F790&lt;&gt;"""", VALUE(REGEXREPLACE($I790, ""\,"", ""."")), """")"),"")</f>
        <v/>
      </c>
      <c r="O790" s="35" t="str">
        <f>IF(Account!$F790&lt;&gt;"", DATEVALUE(MID($A790,4,3) &amp; LEFT($A790,3) &amp; RIGHT($A790,4)) + TIMEVALUE($B790), "")</f>
        <v/>
      </c>
      <c r="P790" s="36" t="str">
        <f>IF(Account!$F790&lt;&gt;"", DATEVALUE(MID($C790,4,3) &amp; LEFT($C790,3) &amp; RIGHT($C790,4)), "")</f>
        <v/>
      </c>
      <c r="Q790" s="37" t="str">
        <f t="array" ref="Q790">IF($R790&lt;&gt;"",IFERROR(INDEX(ISIN!$B:$B,MATCH($R790,ISIN!$C:$C,0))),)</f>
        <v/>
      </c>
      <c r="R790" s="38" t="str">
        <f t="array" ref="R790">IF($E790&lt;&gt;""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7" t="str">
        <f t="shared" si="1"/>
        <v/>
      </c>
      <c r="T790" s="39" t="str">
        <f t="shared" si="2"/>
        <v/>
      </c>
      <c r="U790" s="40" t="str">
        <f t="shared" si="3"/>
        <v/>
      </c>
      <c r="V790" s="34" t="str">
        <f t="shared" si="4"/>
        <v/>
      </c>
      <c r="W790" s="41" t="str">
        <f>IFERROR(__xludf.DUMMYFUNCTION(" IF(Account!$F790&lt;&gt;"""", SPLIT(Account!$F790, "" ""), """")"),"")</f>
        <v/>
      </c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</row>
    <row r="791">
      <c r="A791" s="20"/>
      <c r="B791" s="20"/>
      <c r="C791" s="20"/>
      <c r="D791" s="20"/>
      <c r="E791" s="20"/>
      <c r="F791" s="21"/>
      <c r="G791" s="45"/>
      <c r="H791" s="20"/>
      <c r="I791" s="20"/>
      <c r="J791" s="20"/>
      <c r="K791" s="20"/>
      <c r="L791" s="21"/>
      <c r="M791" s="33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4" t="str">
        <f>IFERROR(__xludf.DUMMYFUNCTION("IF(Account!$F791&lt;&gt;"""", VALUE(REGEXREPLACE($I791, ""\,"", ""."")), """")"),"")</f>
        <v/>
      </c>
      <c r="O791" s="35" t="str">
        <f>IF(Account!$F791&lt;&gt;"", DATEVALUE(MID($A791,4,3) &amp; LEFT($A791,3) &amp; RIGHT($A791,4)) + TIMEVALUE($B791), "")</f>
        <v/>
      </c>
      <c r="P791" s="36" t="str">
        <f>IF(Account!$F791&lt;&gt;"", DATEVALUE(MID($C791,4,3) &amp; LEFT($C791,3) &amp; RIGHT($C791,4)), "")</f>
        <v/>
      </c>
      <c r="Q791" s="37" t="str">
        <f t="array" ref="Q791">IF($R791&lt;&gt;"",IFERROR(INDEX(ISIN!$B:$B,MATCH($R791,ISIN!$C:$C,0))),)</f>
        <v/>
      </c>
      <c r="R791" s="38" t="str">
        <f t="array" ref="R791">IF($E791&lt;&gt;""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7" t="str">
        <f t="shared" si="1"/>
        <v/>
      </c>
      <c r="T791" s="39" t="str">
        <f t="shared" si="2"/>
        <v/>
      </c>
      <c r="U791" s="40" t="str">
        <f t="shared" si="3"/>
        <v/>
      </c>
      <c r="V791" s="34" t="str">
        <f t="shared" si="4"/>
        <v/>
      </c>
      <c r="W791" s="41" t="str">
        <f>IFERROR(__xludf.DUMMYFUNCTION(" IF(Account!$F791&lt;&gt;"""", SPLIT(Account!$F791, "" ""), """")"),"")</f>
        <v/>
      </c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</row>
    <row r="792">
      <c r="A792" s="20"/>
      <c r="B792" s="20"/>
      <c r="C792" s="20"/>
      <c r="D792" s="20"/>
      <c r="E792" s="20"/>
      <c r="F792" s="21"/>
      <c r="G792" s="45"/>
      <c r="H792" s="20"/>
      <c r="I792" s="20"/>
      <c r="J792" s="20"/>
      <c r="K792" s="20"/>
      <c r="L792" s="21"/>
      <c r="M792" s="33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4" t="str">
        <f>IFERROR(__xludf.DUMMYFUNCTION("IF(Account!$F792&lt;&gt;"""", VALUE(REGEXREPLACE($I792, ""\,"", ""."")), """")"),"")</f>
        <v/>
      </c>
      <c r="O792" s="35" t="str">
        <f>IF(Account!$F792&lt;&gt;"", DATEVALUE(MID($A792,4,3) &amp; LEFT($A792,3) &amp; RIGHT($A792,4)) + TIMEVALUE($B792), "")</f>
        <v/>
      </c>
      <c r="P792" s="36" t="str">
        <f>IF(Account!$F792&lt;&gt;"", DATEVALUE(MID($C792,4,3) &amp; LEFT($C792,3) &amp; RIGHT($C792,4)), "")</f>
        <v/>
      </c>
      <c r="Q792" s="37" t="str">
        <f t="array" ref="Q792">IF($R792&lt;&gt;"",IFERROR(INDEX(ISIN!$B:$B,MATCH($R792,ISIN!$C:$C,0))),)</f>
        <v/>
      </c>
      <c r="R792" s="38" t="str">
        <f t="array" ref="R792">IF($E792&lt;&gt;""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7" t="str">
        <f t="shared" si="1"/>
        <v/>
      </c>
      <c r="T792" s="39" t="str">
        <f t="shared" si="2"/>
        <v/>
      </c>
      <c r="U792" s="40" t="str">
        <f t="shared" si="3"/>
        <v/>
      </c>
      <c r="V792" s="34" t="str">
        <f t="shared" si="4"/>
        <v/>
      </c>
      <c r="W792" s="41" t="str">
        <f>IFERROR(__xludf.DUMMYFUNCTION(" IF(Account!$F792&lt;&gt;"""", SPLIT(Account!$F792, "" ""), """")"),"")</f>
        <v/>
      </c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</row>
    <row r="793">
      <c r="A793" s="20"/>
      <c r="B793" s="20"/>
      <c r="C793" s="20"/>
      <c r="D793" s="20"/>
      <c r="E793" s="20"/>
      <c r="F793" s="21"/>
      <c r="G793" s="45"/>
      <c r="H793" s="20"/>
      <c r="I793" s="20"/>
      <c r="J793" s="20"/>
      <c r="K793" s="20"/>
      <c r="L793" s="21"/>
      <c r="M793" s="33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4" t="str">
        <f>IFERROR(__xludf.DUMMYFUNCTION("IF(Account!$F793&lt;&gt;"""", VALUE(REGEXREPLACE($I793, ""\,"", ""."")), """")"),"")</f>
        <v/>
      </c>
      <c r="O793" s="35" t="str">
        <f>IF(Account!$F793&lt;&gt;"", DATEVALUE(MID($A793,4,3) &amp; LEFT($A793,3) &amp; RIGHT($A793,4)) + TIMEVALUE($B793), "")</f>
        <v/>
      </c>
      <c r="P793" s="36" t="str">
        <f>IF(Account!$F793&lt;&gt;"", DATEVALUE(MID($C793,4,3) &amp; LEFT($C793,3) &amp; RIGHT($C793,4)), "")</f>
        <v/>
      </c>
      <c r="Q793" s="37" t="str">
        <f t="array" ref="Q793">IF($R793&lt;&gt;"",IFERROR(INDEX(ISIN!$B:$B,MATCH($R793,ISIN!$C:$C,0))),)</f>
        <v/>
      </c>
      <c r="R793" s="38" t="str">
        <f t="array" ref="R793">IF($E793&lt;&gt;""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7" t="str">
        <f t="shared" si="1"/>
        <v/>
      </c>
      <c r="T793" s="39" t="str">
        <f t="shared" si="2"/>
        <v/>
      </c>
      <c r="U793" s="40" t="str">
        <f t="shared" si="3"/>
        <v/>
      </c>
      <c r="V793" s="34" t="str">
        <f t="shared" si="4"/>
        <v/>
      </c>
      <c r="W793" s="41" t="str">
        <f>IFERROR(__xludf.DUMMYFUNCTION(" IF(Account!$F793&lt;&gt;"""", SPLIT(Account!$F793, "" ""), """")"),"")</f>
        <v/>
      </c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</row>
    <row r="794">
      <c r="A794" s="20"/>
      <c r="B794" s="20"/>
      <c r="C794" s="20"/>
      <c r="D794" s="20"/>
      <c r="E794" s="20"/>
      <c r="F794" s="21"/>
      <c r="G794" s="45"/>
      <c r="H794" s="20"/>
      <c r="I794" s="20"/>
      <c r="J794" s="20"/>
      <c r="K794" s="20"/>
      <c r="L794" s="21"/>
      <c r="M794" s="33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4" t="str">
        <f>IFERROR(__xludf.DUMMYFUNCTION("IF(Account!$F794&lt;&gt;"""", VALUE(REGEXREPLACE($I794, ""\,"", ""."")), """")"),"")</f>
        <v/>
      </c>
      <c r="O794" s="35" t="str">
        <f>IF(Account!$F794&lt;&gt;"", DATEVALUE(MID($A794,4,3) &amp; LEFT($A794,3) &amp; RIGHT($A794,4)) + TIMEVALUE($B794), "")</f>
        <v/>
      </c>
      <c r="P794" s="36" t="str">
        <f>IF(Account!$F794&lt;&gt;"", DATEVALUE(MID($C794,4,3) &amp; LEFT($C794,3) &amp; RIGHT($C794,4)), "")</f>
        <v/>
      </c>
      <c r="Q794" s="37" t="str">
        <f t="array" ref="Q794">IF($R794&lt;&gt;"",IFERROR(INDEX(ISIN!$B:$B,MATCH($R794,ISIN!$C:$C,0))),)</f>
        <v/>
      </c>
      <c r="R794" s="38" t="str">
        <f t="array" ref="R794">IF($E794&lt;&gt;""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7" t="str">
        <f t="shared" si="1"/>
        <v/>
      </c>
      <c r="T794" s="39" t="str">
        <f t="shared" si="2"/>
        <v/>
      </c>
      <c r="U794" s="40" t="str">
        <f t="shared" si="3"/>
        <v/>
      </c>
      <c r="V794" s="34" t="str">
        <f t="shared" si="4"/>
        <v/>
      </c>
      <c r="W794" s="41" t="str">
        <f>IFERROR(__xludf.DUMMYFUNCTION(" IF(Account!$F794&lt;&gt;"""", SPLIT(Account!$F794, "" ""), """")"),"")</f>
        <v/>
      </c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</row>
    <row r="795">
      <c r="A795" s="20"/>
      <c r="B795" s="20"/>
      <c r="C795" s="20"/>
      <c r="D795" s="20"/>
      <c r="E795" s="20"/>
      <c r="F795" s="21"/>
      <c r="G795" s="45"/>
      <c r="H795" s="20"/>
      <c r="I795" s="20"/>
      <c r="J795" s="20"/>
      <c r="K795" s="20"/>
      <c r="L795" s="21"/>
      <c r="M795" s="33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4" t="str">
        <f>IFERROR(__xludf.DUMMYFUNCTION("IF(Account!$F795&lt;&gt;"""", VALUE(REGEXREPLACE($I795, ""\,"", ""."")), """")"),"")</f>
        <v/>
      </c>
      <c r="O795" s="35" t="str">
        <f>IF(Account!$F795&lt;&gt;"", DATEVALUE(MID($A795,4,3) &amp; LEFT($A795,3) &amp; RIGHT($A795,4)) + TIMEVALUE($B795), "")</f>
        <v/>
      </c>
      <c r="P795" s="36" t="str">
        <f>IF(Account!$F795&lt;&gt;"", DATEVALUE(MID($C795,4,3) &amp; LEFT($C795,3) &amp; RIGHT($C795,4)), "")</f>
        <v/>
      </c>
      <c r="Q795" s="37" t="str">
        <f t="array" ref="Q795">IF($R795&lt;&gt;"",IFERROR(INDEX(ISIN!$B:$B,MATCH($R795,ISIN!$C:$C,0))),)</f>
        <v/>
      </c>
      <c r="R795" s="38" t="str">
        <f t="array" ref="R795">IF($E795&lt;&gt;""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7" t="str">
        <f t="shared" si="1"/>
        <v/>
      </c>
      <c r="T795" s="39" t="str">
        <f t="shared" si="2"/>
        <v/>
      </c>
      <c r="U795" s="40" t="str">
        <f t="shared" si="3"/>
        <v/>
      </c>
      <c r="V795" s="34" t="str">
        <f t="shared" si="4"/>
        <v/>
      </c>
      <c r="W795" s="41" t="str">
        <f>IFERROR(__xludf.DUMMYFUNCTION(" IF(Account!$F795&lt;&gt;"""", SPLIT(Account!$F795, "" ""), """")"),"")</f>
        <v/>
      </c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</row>
    <row r="796">
      <c r="A796" s="20"/>
      <c r="B796" s="20"/>
      <c r="C796" s="20"/>
      <c r="D796" s="20"/>
      <c r="E796" s="20"/>
      <c r="F796" s="21"/>
      <c r="G796" s="20"/>
      <c r="H796" s="20"/>
      <c r="I796" s="20"/>
      <c r="J796" s="20"/>
      <c r="K796" s="20"/>
      <c r="L796" s="21"/>
      <c r="M796" s="33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4" t="str">
        <f>IFERROR(__xludf.DUMMYFUNCTION("IF(Account!$F796&lt;&gt;"""", VALUE(REGEXREPLACE($I796, ""\,"", ""."")), """")"),"")</f>
        <v/>
      </c>
      <c r="O796" s="35" t="str">
        <f>IF(Account!$F796&lt;&gt;"", DATEVALUE(MID($A796,4,3) &amp; LEFT($A796,3) &amp; RIGHT($A796,4)) + TIMEVALUE($B796), "")</f>
        <v/>
      </c>
      <c r="P796" s="36" t="str">
        <f>IF(Account!$F796&lt;&gt;"", DATEVALUE(MID($C796,4,3) &amp; LEFT($C796,3) &amp; RIGHT($C796,4)), "")</f>
        <v/>
      </c>
      <c r="Q796" s="37" t="str">
        <f t="array" ref="Q796">IF($R796&lt;&gt;"",IFERROR(INDEX(ISIN!$B:$B,MATCH($R796,ISIN!$C:$C,0))),)</f>
        <v/>
      </c>
      <c r="R796" s="38" t="str">
        <f t="array" ref="R796">IF($E796&lt;&gt;""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7" t="str">
        <f t="shared" si="1"/>
        <v/>
      </c>
      <c r="T796" s="39" t="str">
        <f t="shared" si="2"/>
        <v/>
      </c>
      <c r="U796" s="40" t="str">
        <f t="shared" si="3"/>
        <v/>
      </c>
      <c r="V796" s="34" t="str">
        <f t="shared" si="4"/>
        <v/>
      </c>
      <c r="W796" s="41" t="str">
        <f>IFERROR(__xludf.DUMMYFUNCTION(" IF(Account!$F796&lt;&gt;"""", SPLIT(Account!$F796, "" ""), """")"),"")</f>
        <v/>
      </c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</row>
    <row r="797">
      <c r="A797" s="20"/>
      <c r="B797" s="20"/>
      <c r="C797" s="20"/>
      <c r="D797" s="20"/>
      <c r="E797" s="20"/>
      <c r="F797" s="21"/>
      <c r="G797" s="45"/>
      <c r="H797" s="20"/>
      <c r="I797" s="20"/>
      <c r="J797" s="20"/>
      <c r="K797" s="20"/>
      <c r="L797" s="21"/>
      <c r="M797" s="33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4" t="str">
        <f>IFERROR(__xludf.DUMMYFUNCTION("IF(Account!$F797&lt;&gt;"""", VALUE(REGEXREPLACE($I797, ""\,"", ""."")), """")"),"")</f>
        <v/>
      </c>
      <c r="O797" s="35" t="str">
        <f>IF(Account!$F797&lt;&gt;"", DATEVALUE(MID($A797,4,3) &amp; LEFT($A797,3) &amp; RIGHT($A797,4)) + TIMEVALUE($B797), "")</f>
        <v/>
      </c>
      <c r="P797" s="36" t="str">
        <f>IF(Account!$F797&lt;&gt;"", DATEVALUE(MID($C797,4,3) &amp; LEFT($C797,3) &amp; RIGHT($C797,4)), "")</f>
        <v/>
      </c>
      <c r="Q797" s="37" t="str">
        <f t="array" ref="Q797">IF($R797&lt;&gt;"",IFERROR(INDEX(ISIN!$B:$B,MATCH($R797,ISIN!$C:$C,0))),)</f>
        <v/>
      </c>
      <c r="R797" s="38" t="str">
        <f t="array" ref="R797">IF($E797&lt;&gt;""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7" t="str">
        <f t="shared" si="1"/>
        <v/>
      </c>
      <c r="T797" s="39" t="str">
        <f t="shared" si="2"/>
        <v/>
      </c>
      <c r="U797" s="40" t="str">
        <f t="shared" si="3"/>
        <v/>
      </c>
      <c r="V797" s="34" t="str">
        <f t="shared" si="4"/>
        <v/>
      </c>
      <c r="W797" s="41" t="str">
        <f>IFERROR(__xludf.DUMMYFUNCTION(" IF(Account!$F797&lt;&gt;"""", SPLIT(Account!$F797, "" ""), """")"),"")</f>
        <v/>
      </c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</row>
    <row r="798">
      <c r="A798" s="20"/>
      <c r="B798" s="20"/>
      <c r="C798" s="20"/>
      <c r="D798" s="20"/>
      <c r="E798" s="20"/>
      <c r="F798" s="21"/>
      <c r="G798" s="20"/>
      <c r="H798" s="20"/>
      <c r="I798" s="20"/>
      <c r="J798" s="20"/>
      <c r="K798" s="20"/>
      <c r="L798" s="21"/>
      <c r="M798" s="33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4" t="str">
        <f>IFERROR(__xludf.DUMMYFUNCTION("IF(Account!$F798&lt;&gt;"""", VALUE(REGEXREPLACE($I798, ""\,"", ""."")), """")"),"")</f>
        <v/>
      </c>
      <c r="O798" s="35" t="str">
        <f>IF(Account!$F798&lt;&gt;"", DATEVALUE(MID($A798,4,3) &amp; LEFT($A798,3) &amp; RIGHT($A798,4)) + TIMEVALUE($B798), "")</f>
        <v/>
      </c>
      <c r="P798" s="36" t="str">
        <f>IF(Account!$F798&lt;&gt;"", DATEVALUE(MID($C798,4,3) &amp; LEFT($C798,3) &amp; RIGHT($C798,4)), "")</f>
        <v/>
      </c>
      <c r="Q798" s="37" t="str">
        <f t="array" ref="Q798">IF($R798&lt;&gt;"",IFERROR(INDEX(ISIN!$B:$B,MATCH($R798,ISIN!$C:$C,0))),)</f>
        <v/>
      </c>
      <c r="R798" s="38" t="str">
        <f t="array" ref="R798">IF($E798&lt;&gt;""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7" t="str">
        <f t="shared" si="1"/>
        <v/>
      </c>
      <c r="T798" s="39" t="str">
        <f t="shared" si="2"/>
        <v/>
      </c>
      <c r="U798" s="40" t="str">
        <f t="shared" si="3"/>
        <v/>
      </c>
      <c r="V798" s="34" t="str">
        <f t="shared" si="4"/>
        <v/>
      </c>
      <c r="W798" s="41" t="str">
        <f>IFERROR(__xludf.DUMMYFUNCTION(" IF(Account!$F798&lt;&gt;"""", SPLIT(Account!$F798, "" ""), """")"),"")</f>
        <v/>
      </c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</row>
    <row r="799">
      <c r="A799" s="20"/>
      <c r="B799" s="20"/>
      <c r="C799" s="20"/>
      <c r="D799" s="20"/>
      <c r="E799" s="20"/>
      <c r="F799" s="21"/>
      <c r="G799" s="45"/>
      <c r="H799" s="20"/>
      <c r="I799" s="20"/>
      <c r="J799" s="20"/>
      <c r="K799" s="20"/>
      <c r="L799" s="21"/>
      <c r="M799" s="33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4" t="str">
        <f>IFERROR(__xludf.DUMMYFUNCTION("IF(Account!$F799&lt;&gt;"""", VALUE(REGEXREPLACE($I799, ""\,"", ""."")), """")"),"")</f>
        <v/>
      </c>
      <c r="O799" s="35" t="str">
        <f>IF(Account!$F799&lt;&gt;"", DATEVALUE(MID($A799,4,3) &amp; LEFT($A799,3) &amp; RIGHT($A799,4)) + TIMEVALUE($B799), "")</f>
        <v/>
      </c>
      <c r="P799" s="36" t="str">
        <f>IF(Account!$F799&lt;&gt;"", DATEVALUE(MID($C799,4,3) &amp; LEFT($C799,3) &amp; RIGHT($C799,4)), "")</f>
        <v/>
      </c>
      <c r="Q799" s="37" t="str">
        <f t="array" ref="Q799">IF($R799&lt;&gt;"",IFERROR(INDEX(ISIN!$B:$B,MATCH($R799,ISIN!$C:$C,0))),)</f>
        <v/>
      </c>
      <c r="R799" s="38" t="str">
        <f t="array" ref="R799">IF($E799&lt;&gt;""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7" t="str">
        <f t="shared" si="1"/>
        <v/>
      </c>
      <c r="T799" s="39" t="str">
        <f t="shared" si="2"/>
        <v/>
      </c>
      <c r="U799" s="40" t="str">
        <f t="shared" si="3"/>
        <v/>
      </c>
      <c r="V799" s="34" t="str">
        <f t="shared" si="4"/>
        <v/>
      </c>
      <c r="W799" s="41" t="str">
        <f>IFERROR(__xludf.DUMMYFUNCTION(" IF(Account!$F799&lt;&gt;"""", SPLIT(Account!$F799, "" ""), """")"),"")</f>
        <v/>
      </c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</row>
    <row r="800">
      <c r="A800" s="20"/>
      <c r="B800" s="20"/>
      <c r="C800" s="20"/>
      <c r="D800" s="20"/>
      <c r="E800" s="20"/>
      <c r="F800" s="21"/>
      <c r="G800" s="45"/>
      <c r="H800" s="20"/>
      <c r="I800" s="20"/>
      <c r="J800" s="20"/>
      <c r="K800" s="20"/>
      <c r="L800" s="21"/>
      <c r="M800" s="33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4" t="str">
        <f>IFERROR(__xludf.DUMMYFUNCTION("IF(Account!$F800&lt;&gt;"""", VALUE(REGEXREPLACE($I800, ""\,"", ""."")), """")"),"")</f>
        <v/>
      </c>
      <c r="O800" s="35" t="str">
        <f>IF(Account!$F800&lt;&gt;"", DATEVALUE(MID($A800,4,3) &amp; LEFT($A800,3) &amp; RIGHT($A800,4)) + TIMEVALUE($B800), "")</f>
        <v/>
      </c>
      <c r="P800" s="36" t="str">
        <f>IF(Account!$F800&lt;&gt;"", DATEVALUE(MID($C800,4,3) &amp; LEFT($C800,3) &amp; RIGHT($C800,4)), "")</f>
        <v/>
      </c>
      <c r="Q800" s="37" t="str">
        <f t="array" ref="Q800">IF($R800&lt;&gt;"",IFERROR(INDEX(ISIN!$B:$B,MATCH($R800,ISIN!$C:$C,0))),)</f>
        <v/>
      </c>
      <c r="R800" s="38" t="str">
        <f t="array" ref="R800">IF($E800&lt;&gt;""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7" t="str">
        <f t="shared" si="1"/>
        <v/>
      </c>
      <c r="T800" s="39" t="str">
        <f t="shared" si="2"/>
        <v/>
      </c>
      <c r="U800" s="40" t="str">
        <f t="shared" si="3"/>
        <v/>
      </c>
      <c r="V800" s="34" t="str">
        <f t="shared" si="4"/>
        <v/>
      </c>
      <c r="W800" s="41" t="str">
        <f>IFERROR(__xludf.DUMMYFUNCTION(" IF(Account!$F800&lt;&gt;"""", SPLIT(Account!$F800, "" ""), """")"),"")</f>
        <v/>
      </c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</row>
    <row r="801">
      <c r="A801" s="20"/>
      <c r="B801" s="20"/>
      <c r="C801" s="20"/>
      <c r="D801" s="20"/>
      <c r="E801" s="20"/>
      <c r="F801" s="21"/>
      <c r="G801" s="45"/>
      <c r="H801" s="20"/>
      <c r="I801" s="20"/>
      <c r="J801" s="20"/>
      <c r="K801" s="20"/>
      <c r="L801" s="21"/>
      <c r="M801" s="33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4" t="str">
        <f>IFERROR(__xludf.DUMMYFUNCTION("IF(Account!$F801&lt;&gt;"""", VALUE(REGEXREPLACE($I801, ""\,"", ""."")), """")"),"")</f>
        <v/>
      </c>
      <c r="O801" s="35" t="str">
        <f>IF(Account!$F801&lt;&gt;"", DATEVALUE(MID($A801,4,3) &amp; LEFT($A801,3) &amp; RIGHT($A801,4)) + TIMEVALUE($B801), "")</f>
        <v/>
      </c>
      <c r="P801" s="36" t="str">
        <f>IF(Account!$F801&lt;&gt;"", DATEVALUE(MID($C801,4,3) &amp; LEFT($C801,3) &amp; RIGHT($C801,4)), "")</f>
        <v/>
      </c>
      <c r="Q801" s="37" t="str">
        <f t="array" ref="Q801">IF($R801&lt;&gt;"",IFERROR(INDEX(ISIN!$B:$B,MATCH($R801,ISIN!$C:$C,0))),)</f>
        <v/>
      </c>
      <c r="R801" s="38" t="str">
        <f t="array" ref="R801">IF($E801&lt;&gt;""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7" t="str">
        <f t="shared" si="1"/>
        <v/>
      </c>
      <c r="T801" s="39" t="str">
        <f t="shared" si="2"/>
        <v/>
      </c>
      <c r="U801" s="40" t="str">
        <f t="shared" si="3"/>
        <v/>
      </c>
      <c r="V801" s="34" t="str">
        <f t="shared" si="4"/>
        <v/>
      </c>
      <c r="W801" s="41" t="str">
        <f>IFERROR(__xludf.DUMMYFUNCTION(" IF(Account!$F801&lt;&gt;"""", SPLIT(Account!$F801, "" ""), """")"),"")</f>
        <v/>
      </c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</row>
    <row r="802">
      <c r="A802" s="20"/>
      <c r="B802" s="20"/>
      <c r="C802" s="20"/>
      <c r="D802" s="20"/>
      <c r="E802" s="20"/>
      <c r="F802" s="21"/>
      <c r="G802" s="45"/>
      <c r="H802" s="45"/>
      <c r="I802" s="45"/>
      <c r="J802" s="20"/>
      <c r="K802" s="20"/>
      <c r="L802" s="46"/>
      <c r="M802" s="33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4" t="str">
        <f>IFERROR(__xludf.DUMMYFUNCTION("IF(Account!$F802&lt;&gt;"""", VALUE(REGEXREPLACE($I802, ""\,"", ""."")), """")"),"")</f>
        <v/>
      </c>
      <c r="O802" s="35" t="str">
        <f>IF(Account!$F802&lt;&gt;"", DATEVALUE(MID($A802,4,3) &amp; LEFT($A802,3) &amp; RIGHT($A802,4)) + TIMEVALUE($B802), "")</f>
        <v/>
      </c>
      <c r="P802" s="36" t="str">
        <f>IF(Account!$F802&lt;&gt;"", DATEVALUE(MID($C802,4,3) &amp; LEFT($C802,3) &amp; RIGHT($C802,4)), "")</f>
        <v/>
      </c>
      <c r="Q802" s="37" t="str">
        <f t="array" ref="Q802">IF($R802&lt;&gt;"",IFERROR(INDEX(ISIN!$B:$B,MATCH($R802,ISIN!$C:$C,0))),)</f>
        <v/>
      </c>
      <c r="R802" s="38" t="str">
        <f t="array" ref="R802">IF($E802&lt;&gt;""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7" t="str">
        <f t="shared" si="1"/>
        <v/>
      </c>
      <c r="T802" s="39" t="str">
        <f t="shared" si="2"/>
        <v/>
      </c>
      <c r="U802" s="40" t="str">
        <f t="shared" si="3"/>
        <v/>
      </c>
      <c r="V802" s="34" t="str">
        <f t="shared" si="4"/>
        <v/>
      </c>
      <c r="W802" s="41" t="str">
        <f>IFERROR(__xludf.DUMMYFUNCTION(" IF(Account!$F802&lt;&gt;"""", SPLIT(Account!$F802, "" ""), """")"),"")</f>
        <v/>
      </c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</row>
    <row r="803">
      <c r="A803" s="20"/>
      <c r="B803" s="20"/>
      <c r="C803" s="20"/>
      <c r="D803" s="20"/>
      <c r="E803" s="20"/>
      <c r="F803" s="21"/>
      <c r="G803" s="45"/>
      <c r="H803" s="20"/>
      <c r="I803" s="20"/>
      <c r="J803" s="20"/>
      <c r="K803" s="20"/>
      <c r="L803" s="21"/>
      <c r="M803" s="33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4" t="str">
        <f>IFERROR(__xludf.DUMMYFUNCTION("IF(Account!$F803&lt;&gt;"""", VALUE(REGEXREPLACE($I803, ""\,"", ""."")), """")"),"")</f>
        <v/>
      </c>
      <c r="O803" s="35" t="str">
        <f>IF(Account!$F803&lt;&gt;"", DATEVALUE(MID($A803,4,3) &amp; LEFT($A803,3) &amp; RIGHT($A803,4)) + TIMEVALUE($B803), "")</f>
        <v/>
      </c>
      <c r="P803" s="36" t="str">
        <f>IF(Account!$F803&lt;&gt;"", DATEVALUE(MID($C803,4,3) &amp; LEFT($C803,3) &amp; RIGHT($C803,4)), "")</f>
        <v/>
      </c>
      <c r="Q803" s="37" t="str">
        <f t="array" ref="Q803">IF($R803&lt;&gt;"",IFERROR(INDEX(ISIN!$B:$B,MATCH($R803,ISIN!$C:$C,0))),)</f>
        <v/>
      </c>
      <c r="R803" s="38" t="str">
        <f t="array" ref="R803">IF($E803&lt;&gt;""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7" t="str">
        <f t="shared" si="1"/>
        <v/>
      </c>
      <c r="T803" s="39" t="str">
        <f t="shared" si="2"/>
        <v/>
      </c>
      <c r="U803" s="40" t="str">
        <f t="shared" si="3"/>
        <v/>
      </c>
      <c r="V803" s="34" t="str">
        <f t="shared" si="4"/>
        <v/>
      </c>
      <c r="W803" s="41" t="str">
        <f>IFERROR(__xludf.DUMMYFUNCTION(" IF(Account!$F803&lt;&gt;"""", SPLIT(Account!$F803, "" ""), """")"),"")</f>
        <v/>
      </c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</row>
    <row r="804">
      <c r="A804" s="20"/>
      <c r="B804" s="20"/>
      <c r="C804" s="20"/>
      <c r="D804" s="20"/>
      <c r="E804" s="20"/>
      <c r="F804" s="21"/>
      <c r="G804" s="45"/>
      <c r="H804" s="20"/>
      <c r="I804" s="20"/>
      <c r="J804" s="20"/>
      <c r="K804" s="20"/>
      <c r="L804" s="21"/>
      <c r="M804" s="33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4" t="str">
        <f>IFERROR(__xludf.DUMMYFUNCTION("IF(Account!$F804&lt;&gt;"""", VALUE(REGEXREPLACE($I804, ""\,"", ""."")), """")"),"")</f>
        <v/>
      </c>
      <c r="O804" s="35" t="str">
        <f>IF(Account!$F804&lt;&gt;"", DATEVALUE(MID($A804,4,3) &amp; LEFT($A804,3) &amp; RIGHT($A804,4)) + TIMEVALUE($B804), "")</f>
        <v/>
      </c>
      <c r="P804" s="36" t="str">
        <f>IF(Account!$F804&lt;&gt;"", DATEVALUE(MID($C804,4,3) &amp; LEFT($C804,3) &amp; RIGHT($C804,4)), "")</f>
        <v/>
      </c>
      <c r="Q804" s="37" t="str">
        <f t="array" ref="Q804">IF($R804&lt;&gt;"",IFERROR(INDEX(ISIN!$B:$B,MATCH($R804,ISIN!$C:$C,0))),)</f>
        <v/>
      </c>
      <c r="R804" s="38" t="str">
        <f t="array" ref="R804">IF($E804&lt;&gt;""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7" t="str">
        <f t="shared" si="1"/>
        <v/>
      </c>
      <c r="T804" s="39" t="str">
        <f t="shared" si="2"/>
        <v/>
      </c>
      <c r="U804" s="40" t="str">
        <f t="shared" si="3"/>
        <v/>
      </c>
      <c r="V804" s="34" t="str">
        <f t="shared" si="4"/>
        <v/>
      </c>
      <c r="W804" s="41" t="str">
        <f>IFERROR(__xludf.DUMMYFUNCTION(" IF(Account!$F804&lt;&gt;"""", SPLIT(Account!$F804, "" ""), """")"),"")</f>
        <v/>
      </c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</row>
    <row r="805">
      <c r="A805" s="20"/>
      <c r="B805" s="20"/>
      <c r="C805" s="20"/>
      <c r="D805" s="20"/>
      <c r="E805" s="20"/>
      <c r="F805" s="21"/>
      <c r="G805" s="45"/>
      <c r="H805" s="20"/>
      <c r="I805" s="20"/>
      <c r="J805" s="20"/>
      <c r="K805" s="20"/>
      <c r="L805" s="21"/>
      <c r="M805" s="33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4" t="str">
        <f>IFERROR(__xludf.DUMMYFUNCTION("IF(Account!$F805&lt;&gt;"""", VALUE(REGEXREPLACE($I805, ""\,"", ""."")), """")"),"")</f>
        <v/>
      </c>
      <c r="O805" s="35" t="str">
        <f>IF(Account!$F805&lt;&gt;"", DATEVALUE(MID($A805,4,3) &amp; LEFT($A805,3) &amp; RIGHT($A805,4)) + TIMEVALUE($B805), "")</f>
        <v/>
      </c>
      <c r="P805" s="36" t="str">
        <f>IF(Account!$F805&lt;&gt;"", DATEVALUE(MID($C805,4,3) &amp; LEFT($C805,3) &amp; RIGHT($C805,4)), "")</f>
        <v/>
      </c>
      <c r="Q805" s="37" t="str">
        <f t="array" ref="Q805">IF($R805&lt;&gt;"",IFERROR(INDEX(ISIN!$B:$B,MATCH($R805,ISIN!$C:$C,0))),)</f>
        <v/>
      </c>
      <c r="R805" s="38" t="str">
        <f t="array" ref="R805">IF($E805&lt;&gt;""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7" t="str">
        <f t="shared" si="1"/>
        <v/>
      </c>
      <c r="T805" s="39" t="str">
        <f t="shared" si="2"/>
        <v/>
      </c>
      <c r="U805" s="40" t="str">
        <f t="shared" si="3"/>
        <v/>
      </c>
      <c r="V805" s="34" t="str">
        <f t="shared" si="4"/>
        <v/>
      </c>
      <c r="W805" s="41" t="str">
        <f>IFERROR(__xludf.DUMMYFUNCTION(" IF(Account!$F805&lt;&gt;"""", SPLIT(Account!$F805, "" ""), """")"),"")</f>
        <v/>
      </c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</row>
    <row r="806">
      <c r="A806" s="45"/>
      <c r="B806" s="45"/>
      <c r="C806" s="45"/>
      <c r="D806" s="45"/>
      <c r="E806" s="45"/>
      <c r="F806" s="21"/>
      <c r="G806" s="45"/>
      <c r="H806" s="45"/>
      <c r="I806" s="45"/>
      <c r="J806" s="45"/>
      <c r="K806" s="45"/>
      <c r="L806" s="21"/>
      <c r="M806" s="33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4" t="str">
        <f>IFERROR(__xludf.DUMMYFUNCTION("IF(Account!$F806&lt;&gt;"""", VALUE(REGEXREPLACE($I806, ""\,"", ""."")), """")"),"")</f>
        <v/>
      </c>
      <c r="O806" s="35" t="str">
        <f>IF(Account!$F806&lt;&gt;"", DATEVALUE(MID($A806,4,3) &amp; LEFT($A806,3) &amp; RIGHT($A806,4)) + TIMEVALUE($B806), "")</f>
        <v/>
      </c>
      <c r="P806" s="36" t="str">
        <f>IF(Account!$F806&lt;&gt;"", DATEVALUE(MID($C806,4,3) &amp; LEFT($C806,3) &amp; RIGHT($C806,4)), "")</f>
        <v/>
      </c>
      <c r="Q806" s="37" t="str">
        <f t="array" ref="Q806">IF($R806&lt;&gt;"",IFERROR(INDEX(ISIN!$B:$B,MATCH($R806,ISIN!$C:$C,0))),)</f>
        <v/>
      </c>
      <c r="R806" s="38" t="str">
        <f t="array" ref="R806">IF($E806&lt;&gt;""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7" t="str">
        <f t="shared" si="1"/>
        <v/>
      </c>
      <c r="T806" s="39" t="str">
        <f t="shared" si="2"/>
        <v/>
      </c>
      <c r="U806" s="40" t="str">
        <f t="shared" si="3"/>
        <v/>
      </c>
      <c r="V806" s="34" t="str">
        <f t="shared" si="4"/>
        <v/>
      </c>
      <c r="W806" s="41" t="str">
        <f>IFERROR(__xludf.DUMMYFUNCTION(" IF(Account!$F806&lt;&gt;"""", SPLIT(Account!$F806, "" ""), """")"),"")</f>
        <v/>
      </c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</row>
    <row r="807">
      <c r="A807" s="20"/>
      <c r="B807" s="20"/>
      <c r="C807" s="20"/>
      <c r="D807" s="20"/>
      <c r="E807" s="20"/>
      <c r="F807" s="21"/>
      <c r="G807" s="45"/>
      <c r="H807" s="20"/>
      <c r="I807" s="20"/>
      <c r="J807" s="20"/>
      <c r="K807" s="20"/>
      <c r="L807" s="21"/>
      <c r="M807" s="33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4" t="str">
        <f>IFERROR(__xludf.DUMMYFUNCTION("IF(Account!$F807&lt;&gt;"""", VALUE(REGEXREPLACE($I807, ""\,"", ""."")), """")"),"")</f>
        <v/>
      </c>
      <c r="O807" s="35" t="str">
        <f>IF(Account!$F807&lt;&gt;"", DATEVALUE(MID($A807,4,3) &amp; LEFT($A807,3) &amp; RIGHT($A807,4)) + TIMEVALUE($B807), "")</f>
        <v/>
      </c>
      <c r="P807" s="36" t="str">
        <f>IF(Account!$F807&lt;&gt;"", DATEVALUE(MID($C807,4,3) &amp; LEFT($C807,3) &amp; RIGHT($C807,4)), "")</f>
        <v/>
      </c>
      <c r="Q807" s="37" t="str">
        <f t="array" ref="Q807">IF($R807&lt;&gt;"",IFERROR(INDEX(ISIN!$B:$B,MATCH($R807,ISIN!$C:$C,0))),)</f>
        <v/>
      </c>
      <c r="R807" s="38" t="str">
        <f t="array" ref="R807">IF($E807&lt;&gt;""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7" t="str">
        <f t="shared" si="1"/>
        <v/>
      </c>
      <c r="T807" s="39" t="str">
        <f t="shared" si="2"/>
        <v/>
      </c>
      <c r="U807" s="40" t="str">
        <f t="shared" si="3"/>
        <v/>
      </c>
      <c r="V807" s="34" t="str">
        <f t="shared" si="4"/>
        <v/>
      </c>
      <c r="W807" s="41" t="str">
        <f>IFERROR(__xludf.DUMMYFUNCTION(" IF(Account!$F807&lt;&gt;"""", SPLIT(Account!$F807, "" ""), """")"),"")</f>
        <v/>
      </c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</row>
    <row r="808">
      <c r="A808" s="20"/>
      <c r="B808" s="20"/>
      <c r="C808" s="20"/>
      <c r="D808" s="20"/>
      <c r="E808" s="20"/>
      <c r="F808" s="21"/>
      <c r="G808" s="45"/>
      <c r="H808" s="20"/>
      <c r="I808" s="20"/>
      <c r="J808" s="20"/>
      <c r="K808" s="20"/>
      <c r="L808" s="21"/>
      <c r="M808" s="33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4" t="str">
        <f>IFERROR(__xludf.DUMMYFUNCTION("IF(Account!$F808&lt;&gt;"""", VALUE(REGEXREPLACE($I808, ""\,"", ""."")), """")"),"")</f>
        <v/>
      </c>
      <c r="O808" s="35" t="str">
        <f>IF(Account!$F808&lt;&gt;"", DATEVALUE(MID($A808,4,3) &amp; LEFT($A808,3) &amp; RIGHT($A808,4)) + TIMEVALUE($B808), "")</f>
        <v/>
      </c>
      <c r="P808" s="36" t="str">
        <f>IF(Account!$F808&lt;&gt;"", DATEVALUE(MID($C808,4,3) &amp; LEFT($C808,3) &amp; RIGHT($C808,4)), "")</f>
        <v/>
      </c>
      <c r="Q808" s="37" t="str">
        <f t="array" ref="Q808">IF($R808&lt;&gt;"",IFERROR(INDEX(ISIN!$B:$B,MATCH($R808,ISIN!$C:$C,0))),)</f>
        <v/>
      </c>
      <c r="R808" s="38" t="str">
        <f t="array" ref="R808">IF($E808&lt;&gt;""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7" t="str">
        <f t="shared" si="1"/>
        <v/>
      </c>
      <c r="T808" s="39" t="str">
        <f t="shared" si="2"/>
        <v/>
      </c>
      <c r="U808" s="40" t="str">
        <f t="shared" si="3"/>
        <v/>
      </c>
      <c r="V808" s="34" t="str">
        <f t="shared" si="4"/>
        <v/>
      </c>
      <c r="W808" s="41" t="str">
        <f>IFERROR(__xludf.DUMMYFUNCTION(" IF(Account!$F808&lt;&gt;"""", SPLIT(Account!$F808, "" ""), """")"),"")</f>
        <v/>
      </c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</row>
    <row r="809">
      <c r="A809" s="20"/>
      <c r="B809" s="20"/>
      <c r="C809" s="20"/>
      <c r="D809" s="20"/>
      <c r="E809" s="20"/>
      <c r="F809" s="21"/>
      <c r="G809" s="45"/>
      <c r="H809" s="20"/>
      <c r="I809" s="20"/>
      <c r="J809" s="20"/>
      <c r="K809" s="20"/>
      <c r="L809" s="21"/>
      <c r="M809" s="33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4" t="str">
        <f>IFERROR(__xludf.DUMMYFUNCTION("IF(Account!$F809&lt;&gt;"""", VALUE(REGEXREPLACE($I809, ""\,"", ""."")), """")"),"")</f>
        <v/>
      </c>
      <c r="O809" s="35" t="str">
        <f>IF(Account!$F809&lt;&gt;"", DATEVALUE(MID($A809,4,3) &amp; LEFT($A809,3) &amp; RIGHT($A809,4)) + TIMEVALUE($B809), "")</f>
        <v/>
      </c>
      <c r="P809" s="36" t="str">
        <f>IF(Account!$F809&lt;&gt;"", DATEVALUE(MID($C809,4,3) &amp; LEFT($C809,3) &amp; RIGHT($C809,4)), "")</f>
        <v/>
      </c>
      <c r="Q809" s="37" t="str">
        <f t="array" ref="Q809">IF($R809&lt;&gt;"",IFERROR(INDEX(ISIN!$B:$B,MATCH($R809,ISIN!$C:$C,0))),)</f>
        <v/>
      </c>
      <c r="R809" s="38" t="str">
        <f t="array" ref="R809">IF($E809&lt;&gt;""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7" t="str">
        <f t="shared" si="1"/>
        <v/>
      </c>
      <c r="T809" s="39" t="str">
        <f t="shared" si="2"/>
        <v/>
      </c>
      <c r="U809" s="40" t="str">
        <f t="shared" si="3"/>
        <v/>
      </c>
      <c r="V809" s="34" t="str">
        <f t="shared" si="4"/>
        <v/>
      </c>
      <c r="W809" s="41" t="str">
        <f>IFERROR(__xludf.DUMMYFUNCTION(" IF(Account!$F809&lt;&gt;"""", SPLIT(Account!$F809, "" ""), """")"),"")</f>
        <v/>
      </c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</row>
    <row r="810">
      <c r="A810" s="20"/>
      <c r="B810" s="20"/>
      <c r="C810" s="20"/>
      <c r="D810" s="45"/>
      <c r="E810" s="45"/>
      <c r="F810" s="21"/>
      <c r="G810" s="45"/>
      <c r="H810" s="20"/>
      <c r="I810" s="20"/>
      <c r="J810" s="20"/>
      <c r="K810" s="20"/>
      <c r="L810" s="46"/>
      <c r="M810" s="33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4" t="str">
        <f>IFERROR(__xludf.DUMMYFUNCTION("IF(Account!$F810&lt;&gt;"""", VALUE(REGEXREPLACE($I810, ""\,"", ""."")), """")"),"")</f>
        <v/>
      </c>
      <c r="O810" s="35" t="str">
        <f>IF(Account!$F810&lt;&gt;"", DATEVALUE(MID($A810,4,3) &amp; LEFT($A810,3) &amp; RIGHT($A810,4)) + TIMEVALUE($B810), "")</f>
        <v/>
      </c>
      <c r="P810" s="36" t="str">
        <f>IF(Account!$F810&lt;&gt;"", DATEVALUE(MID($C810,4,3) &amp; LEFT($C810,3) &amp; RIGHT($C810,4)), "")</f>
        <v/>
      </c>
      <c r="Q810" s="37" t="str">
        <f t="array" ref="Q810">IF($R810&lt;&gt;"",IFERROR(INDEX(ISIN!$B:$B,MATCH($R810,ISIN!$C:$C,0))),)</f>
        <v/>
      </c>
      <c r="R810" s="38" t="str">
        <f t="array" ref="R810">IF($E810&lt;&gt;""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7" t="str">
        <f t="shared" si="1"/>
        <v/>
      </c>
      <c r="T810" s="39" t="str">
        <f t="shared" si="2"/>
        <v/>
      </c>
      <c r="U810" s="40" t="str">
        <f t="shared" si="3"/>
        <v/>
      </c>
      <c r="V810" s="34" t="str">
        <f t="shared" si="4"/>
        <v/>
      </c>
      <c r="W810" s="41" t="str">
        <f>IFERROR(__xludf.DUMMYFUNCTION(" IF(Account!$F810&lt;&gt;"""", SPLIT(Account!$F810, "" ""), """")"),"")</f>
        <v/>
      </c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</row>
    <row r="811">
      <c r="A811" s="20"/>
      <c r="B811" s="20"/>
      <c r="C811" s="20"/>
      <c r="D811" s="45"/>
      <c r="E811" s="45"/>
      <c r="F811" s="21"/>
      <c r="G811" s="20"/>
      <c r="H811" s="20"/>
      <c r="I811" s="20"/>
      <c r="J811" s="20"/>
      <c r="K811" s="20"/>
      <c r="L811" s="46"/>
      <c r="M811" s="33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4" t="str">
        <f>IFERROR(__xludf.DUMMYFUNCTION("IF(Account!$F811&lt;&gt;"""", VALUE(REGEXREPLACE($I811, ""\,"", ""."")), """")"),"")</f>
        <v/>
      </c>
      <c r="O811" s="35" t="str">
        <f>IF(Account!$F811&lt;&gt;"", DATEVALUE(MID($A811,4,3) &amp; LEFT($A811,3) &amp; RIGHT($A811,4)) + TIMEVALUE($B811), "")</f>
        <v/>
      </c>
      <c r="P811" s="36" t="str">
        <f>IF(Account!$F811&lt;&gt;"", DATEVALUE(MID($C811,4,3) &amp; LEFT($C811,3) &amp; RIGHT($C811,4)), "")</f>
        <v/>
      </c>
      <c r="Q811" s="37" t="str">
        <f t="array" ref="Q811">IF($R811&lt;&gt;"",IFERROR(INDEX(ISIN!$B:$B,MATCH($R811,ISIN!$C:$C,0))),)</f>
        <v/>
      </c>
      <c r="R811" s="38" t="str">
        <f t="array" ref="R811">IF($E811&lt;&gt;""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7" t="str">
        <f t="shared" si="1"/>
        <v/>
      </c>
      <c r="T811" s="39" t="str">
        <f t="shared" si="2"/>
        <v/>
      </c>
      <c r="U811" s="40" t="str">
        <f t="shared" si="3"/>
        <v/>
      </c>
      <c r="V811" s="34" t="str">
        <f t="shared" si="4"/>
        <v/>
      </c>
      <c r="W811" s="41" t="str">
        <f>IFERROR(__xludf.DUMMYFUNCTION(" IF(Account!$F811&lt;&gt;"""", SPLIT(Account!$F811, "" ""), """")"),"")</f>
        <v/>
      </c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</row>
    <row r="812">
      <c r="A812" s="20"/>
      <c r="B812" s="20"/>
      <c r="C812" s="20"/>
      <c r="D812" s="20"/>
      <c r="E812" s="20"/>
      <c r="F812" s="21"/>
      <c r="G812" s="45"/>
      <c r="H812" s="45"/>
      <c r="I812" s="45"/>
      <c r="J812" s="20"/>
      <c r="K812" s="20"/>
      <c r="L812" s="46"/>
      <c r="M812" s="33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4" t="str">
        <f>IFERROR(__xludf.DUMMYFUNCTION("IF(Account!$F812&lt;&gt;"""", VALUE(REGEXREPLACE($I812, ""\,"", ""."")), """")"),"")</f>
        <v/>
      </c>
      <c r="O812" s="35" t="str">
        <f>IF(Account!$F812&lt;&gt;"", DATEVALUE(MID($A812,4,3) &amp; LEFT($A812,3) &amp; RIGHT($A812,4)) + TIMEVALUE($B812), "")</f>
        <v/>
      </c>
      <c r="P812" s="36" t="str">
        <f>IF(Account!$F812&lt;&gt;"", DATEVALUE(MID($C812,4,3) &amp; LEFT($C812,3) &amp; RIGHT($C812,4)), "")</f>
        <v/>
      </c>
      <c r="Q812" s="37" t="str">
        <f t="array" ref="Q812">IF($R812&lt;&gt;"",IFERROR(INDEX(ISIN!$B:$B,MATCH($R812,ISIN!$C:$C,0))),)</f>
        <v/>
      </c>
      <c r="R812" s="38" t="str">
        <f t="array" ref="R812">IF($E812&lt;&gt;""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7" t="str">
        <f t="shared" si="1"/>
        <v/>
      </c>
      <c r="T812" s="39" t="str">
        <f t="shared" si="2"/>
        <v/>
      </c>
      <c r="U812" s="40" t="str">
        <f t="shared" si="3"/>
        <v/>
      </c>
      <c r="V812" s="34" t="str">
        <f t="shared" si="4"/>
        <v/>
      </c>
      <c r="W812" s="41" t="str">
        <f>IFERROR(__xludf.DUMMYFUNCTION(" IF(Account!$F812&lt;&gt;"""", SPLIT(Account!$F812, "" ""), """")"),"")</f>
        <v/>
      </c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</row>
    <row r="813">
      <c r="A813" s="20"/>
      <c r="B813" s="20"/>
      <c r="C813" s="20"/>
      <c r="D813" s="20"/>
      <c r="E813" s="20"/>
      <c r="F813" s="21"/>
      <c r="G813" s="45"/>
      <c r="H813" s="20"/>
      <c r="I813" s="20"/>
      <c r="J813" s="20"/>
      <c r="K813" s="20"/>
      <c r="L813" s="46"/>
      <c r="M813" s="33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4" t="str">
        <f>IFERROR(__xludf.DUMMYFUNCTION("IF(Account!$F813&lt;&gt;"""", VALUE(REGEXREPLACE($I813, ""\,"", ""."")), """")"),"")</f>
        <v/>
      </c>
      <c r="O813" s="35" t="str">
        <f>IF(Account!$F813&lt;&gt;"", DATEVALUE(MID($A813,4,3) &amp; LEFT($A813,3) &amp; RIGHT($A813,4)) + TIMEVALUE($B813), "")</f>
        <v/>
      </c>
      <c r="P813" s="36" t="str">
        <f>IF(Account!$F813&lt;&gt;"", DATEVALUE(MID($C813,4,3) &amp; LEFT($C813,3) &amp; RIGHT($C813,4)), "")</f>
        <v/>
      </c>
      <c r="Q813" s="37" t="str">
        <f t="array" ref="Q813">IF($R813&lt;&gt;"",IFERROR(INDEX(ISIN!$B:$B,MATCH($R813,ISIN!$C:$C,0))),)</f>
        <v/>
      </c>
      <c r="R813" s="38" t="str">
        <f t="array" ref="R813">IF($E813&lt;&gt;""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7" t="str">
        <f t="shared" si="1"/>
        <v/>
      </c>
      <c r="T813" s="39" t="str">
        <f t="shared" si="2"/>
        <v/>
      </c>
      <c r="U813" s="40" t="str">
        <f t="shared" si="3"/>
        <v/>
      </c>
      <c r="V813" s="34" t="str">
        <f t="shared" si="4"/>
        <v/>
      </c>
      <c r="W813" s="41" t="str">
        <f>IFERROR(__xludf.DUMMYFUNCTION(" IF(Account!$F813&lt;&gt;"""", SPLIT(Account!$F813, "" ""), """")"),"")</f>
        <v/>
      </c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</row>
    <row r="814">
      <c r="A814" s="20"/>
      <c r="B814" s="20"/>
      <c r="C814" s="20"/>
      <c r="D814" s="20"/>
      <c r="E814" s="20"/>
      <c r="F814" s="21"/>
      <c r="G814" s="45"/>
      <c r="H814" s="20"/>
      <c r="I814" s="20"/>
      <c r="J814" s="20"/>
      <c r="K814" s="20"/>
      <c r="L814" s="46"/>
      <c r="M814" s="33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4" t="str">
        <f>IFERROR(__xludf.DUMMYFUNCTION("IF(Account!$F814&lt;&gt;"""", VALUE(REGEXREPLACE($I814, ""\,"", ""."")), """")"),"")</f>
        <v/>
      </c>
      <c r="O814" s="35" t="str">
        <f>IF(Account!$F814&lt;&gt;"", DATEVALUE(MID($A814,4,3) &amp; LEFT($A814,3) &amp; RIGHT($A814,4)) + TIMEVALUE($B814), "")</f>
        <v/>
      </c>
      <c r="P814" s="36" t="str">
        <f>IF(Account!$F814&lt;&gt;"", DATEVALUE(MID($C814,4,3) &amp; LEFT($C814,3) &amp; RIGHT($C814,4)), "")</f>
        <v/>
      </c>
      <c r="Q814" s="37" t="str">
        <f t="array" ref="Q814">IF($R814&lt;&gt;"",IFERROR(INDEX(ISIN!$B:$B,MATCH($R814,ISIN!$C:$C,0))),)</f>
        <v/>
      </c>
      <c r="R814" s="38" t="str">
        <f t="array" ref="R814">IF($E814&lt;&gt;""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7" t="str">
        <f t="shared" si="1"/>
        <v/>
      </c>
      <c r="T814" s="39" t="str">
        <f t="shared" si="2"/>
        <v/>
      </c>
      <c r="U814" s="40" t="str">
        <f t="shared" si="3"/>
        <v/>
      </c>
      <c r="V814" s="34" t="str">
        <f t="shared" si="4"/>
        <v/>
      </c>
      <c r="W814" s="41" t="str">
        <f>IFERROR(__xludf.DUMMYFUNCTION(" IF(Account!$F814&lt;&gt;"""", SPLIT(Account!$F814, "" ""), """")"),"")</f>
        <v/>
      </c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</row>
    <row r="815">
      <c r="A815" s="20"/>
      <c r="B815" s="20"/>
      <c r="C815" s="20"/>
      <c r="D815" s="45"/>
      <c r="E815" s="45"/>
      <c r="F815" s="21"/>
      <c r="G815" s="45"/>
      <c r="H815" s="20"/>
      <c r="I815" s="20"/>
      <c r="J815" s="20"/>
      <c r="K815" s="20"/>
      <c r="L815" s="46"/>
      <c r="M815" s="33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4" t="str">
        <f>IFERROR(__xludf.DUMMYFUNCTION("IF(Account!$F815&lt;&gt;"""", VALUE(REGEXREPLACE($I815, ""\,"", ""."")), """")"),"")</f>
        <v/>
      </c>
      <c r="O815" s="35" t="str">
        <f>IF(Account!$F815&lt;&gt;"", DATEVALUE(MID($A815,4,3) &amp; LEFT($A815,3) &amp; RIGHT($A815,4)) + TIMEVALUE($B815), "")</f>
        <v/>
      </c>
      <c r="P815" s="36" t="str">
        <f>IF(Account!$F815&lt;&gt;"", DATEVALUE(MID($C815,4,3) &amp; LEFT($C815,3) &amp; RIGHT($C815,4)), "")</f>
        <v/>
      </c>
      <c r="Q815" s="37" t="str">
        <f t="array" ref="Q815">IF($R815&lt;&gt;"",IFERROR(INDEX(ISIN!$B:$B,MATCH($R815,ISIN!$C:$C,0))),)</f>
        <v/>
      </c>
      <c r="R815" s="38" t="str">
        <f t="array" ref="R815">IF($E815&lt;&gt;""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7" t="str">
        <f t="shared" si="1"/>
        <v/>
      </c>
      <c r="T815" s="39" t="str">
        <f t="shared" si="2"/>
        <v/>
      </c>
      <c r="U815" s="40" t="str">
        <f t="shared" si="3"/>
        <v/>
      </c>
      <c r="V815" s="34" t="str">
        <f t="shared" si="4"/>
        <v/>
      </c>
      <c r="W815" s="41" t="str">
        <f>IFERROR(__xludf.DUMMYFUNCTION(" IF(Account!$F815&lt;&gt;"""", SPLIT(Account!$F815, "" ""), """")"),"")</f>
        <v/>
      </c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</row>
    <row r="816">
      <c r="A816" s="20"/>
      <c r="B816" s="20"/>
      <c r="C816" s="20"/>
      <c r="D816" s="45"/>
      <c r="E816" s="45"/>
      <c r="F816" s="21"/>
      <c r="G816" s="45"/>
      <c r="H816" s="20"/>
      <c r="I816" s="20"/>
      <c r="J816" s="20"/>
      <c r="K816" s="20"/>
      <c r="L816" s="46"/>
      <c r="M816" s="33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4" t="str">
        <f>IFERROR(__xludf.DUMMYFUNCTION("IF(Account!$F816&lt;&gt;"""", VALUE(REGEXREPLACE($I816, ""\,"", ""."")), """")"),"")</f>
        <v/>
      </c>
      <c r="O816" s="35" t="str">
        <f>IF(Account!$F816&lt;&gt;"", DATEVALUE(MID($A816,4,3) &amp; LEFT($A816,3) &amp; RIGHT($A816,4)) + TIMEVALUE($B816), "")</f>
        <v/>
      </c>
      <c r="P816" s="36" t="str">
        <f>IF(Account!$F816&lt;&gt;"", DATEVALUE(MID($C816,4,3) &amp; LEFT($C816,3) &amp; RIGHT($C816,4)), "")</f>
        <v/>
      </c>
      <c r="Q816" s="37" t="str">
        <f t="array" ref="Q816">IF($R816&lt;&gt;"",IFERROR(INDEX(ISIN!$B:$B,MATCH($R816,ISIN!$C:$C,0))),)</f>
        <v/>
      </c>
      <c r="R816" s="38" t="str">
        <f t="array" ref="R816">IF($E816&lt;&gt;""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7" t="str">
        <f t="shared" si="1"/>
        <v/>
      </c>
      <c r="T816" s="39" t="str">
        <f t="shared" si="2"/>
        <v/>
      </c>
      <c r="U816" s="40" t="str">
        <f t="shared" si="3"/>
        <v/>
      </c>
      <c r="V816" s="34" t="str">
        <f t="shared" si="4"/>
        <v/>
      </c>
      <c r="W816" s="41" t="str">
        <f>IFERROR(__xludf.DUMMYFUNCTION(" IF(Account!$F816&lt;&gt;"""", SPLIT(Account!$F816, "" ""), """")"),"")</f>
        <v/>
      </c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</row>
    <row r="817">
      <c r="A817" s="20"/>
      <c r="B817" s="20"/>
      <c r="C817" s="20"/>
      <c r="D817" s="20"/>
      <c r="E817" s="20"/>
      <c r="F817" s="21"/>
      <c r="G817" s="20"/>
      <c r="H817" s="20"/>
      <c r="I817" s="20"/>
      <c r="J817" s="20"/>
      <c r="K817" s="20"/>
      <c r="L817" s="21"/>
      <c r="M817" s="33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4" t="str">
        <f>IFERROR(__xludf.DUMMYFUNCTION("IF(Account!$F817&lt;&gt;"""", VALUE(REGEXREPLACE($I817, ""\,"", ""."")), """")"),"")</f>
        <v/>
      </c>
      <c r="O817" s="35" t="str">
        <f>IF(Account!$F817&lt;&gt;"", DATEVALUE(MID($A817,4,3) &amp; LEFT($A817,3) &amp; RIGHT($A817,4)) + TIMEVALUE($B817), "")</f>
        <v/>
      </c>
      <c r="P817" s="36" t="str">
        <f>IF(Account!$F817&lt;&gt;"", DATEVALUE(MID($C817,4,3) &amp; LEFT($C817,3) &amp; RIGHT($C817,4)), "")</f>
        <v/>
      </c>
      <c r="Q817" s="37" t="str">
        <f t="array" ref="Q817">IF($R817&lt;&gt;"",IFERROR(INDEX(ISIN!$B:$B,MATCH($R817,ISIN!$C:$C,0))),)</f>
        <v/>
      </c>
      <c r="R817" s="38" t="str">
        <f t="array" ref="R817">IF($E817&lt;&gt;""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7" t="str">
        <f t="shared" si="1"/>
        <v/>
      </c>
      <c r="T817" s="39" t="str">
        <f t="shared" si="2"/>
        <v/>
      </c>
      <c r="U817" s="40" t="str">
        <f t="shared" si="3"/>
        <v/>
      </c>
      <c r="V817" s="34" t="str">
        <f t="shared" si="4"/>
        <v/>
      </c>
      <c r="W817" s="41" t="str">
        <f>IFERROR(__xludf.DUMMYFUNCTION(" IF(Account!$F817&lt;&gt;"""", SPLIT(Account!$F817, "" ""), """")"),"")</f>
        <v/>
      </c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</row>
    <row r="818">
      <c r="A818" s="20"/>
      <c r="B818" s="20"/>
      <c r="C818" s="20"/>
      <c r="D818" s="20"/>
      <c r="E818" s="20"/>
      <c r="F818" s="21"/>
      <c r="G818" s="45"/>
      <c r="H818" s="20"/>
      <c r="I818" s="20"/>
      <c r="J818" s="20"/>
      <c r="K818" s="20"/>
      <c r="L818" s="21"/>
      <c r="M818" s="33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4" t="str">
        <f>IFERROR(__xludf.DUMMYFUNCTION("IF(Account!$F818&lt;&gt;"""", VALUE(REGEXREPLACE($I818, ""\,"", ""."")), """")"),"")</f>
        <v/>
      </c>
      <c r="O818" s="35" t="str">
        <f>IF(Account!$F818&lt;&gt;"", DATEVALUE(MID($A818,4,3) &amp; LEFT($A818,3) &amp; RIGHT($A818,4)) + TIMEVALUE($B818), "")</f>
        <v/>
      </c>
      <c r="P818" s="36" t="str">
        <f>IF(Account!$F818&lt;&gt;"", DATEVALUE(MID($C818,4,3) &amp; LEFT($C818,3) &amp; RIGHT($C818,4)), "")</f>
        <v/>
      </c>
      <c r="Q818" s="37" t="str">
        <f t="array" ref="Q818">IF($R818&lt;&gt;"",IFERROR(INDEX(ISIN!$B:$B,MATCH($R818,ISIN!$C:$C,0))),)</f>
        <v/>
      </c>
      <c r="R818" s="38" t="str">
        <f t="array" ref="R818">IF($E818&lt;&gt;""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7" t="str">
        <f t="shared" si="1"/>
        <v/>
      </c>
      <c r="T818" s="39" t="str">
        <f t="shared" si="2"/>
        <v/>
      </c>
      <c r="U818" s="40" t="str">
        <f t="shared" si="3"/>
        <v/>
      </c>
      <c r="V818" s="34" t="str">
        <f t="shared" si="4"/>
        <v/>
      </c>
      <c r="W818" s="41" t="str">
        <f>IFERROR(__xludf.DUMMYFUNCTION(" IF(Account!$F818&lt;&gt;"""", SPLIT(Account!$F818, "" ""), """")"),"")</f>
        <v/>
      </c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</row>
    <row r="819">
      <c r="A819" s="20"/>
      <c r="B819" s="20"/>
      <c r="C819" s="20"/>
      <c r="D819" s="20"/>
      <c r="E819" s="20"/>
      <c r="F819" s="21"/>
      <c r="G819" s="45"/>
      <c r="H819" s="20"/>
      <c r="I819" s="20"/>
      <c r="J819" s="20"/>
      <c r="K819" s="20"/>
      <c r="L819" s="21"/>
      <c r="M819" s="33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4" t="str">
        <f>IFERROR(__xludf.DUMMYFUNCTION("IF(Account!$F819&lt;&gt;"""", VALUE(REGEXREPLACE($I819, ""\,"", ""."")), """")"),"")</f>
        <v/>
      </c>
      <c r="O819" s="35" t="str">
        <f>IF(Account!$F819&lt;&gt;"", DATEVALUE(MID($A819,4,3) &amp; LEFT($A819,3) &amp; RIGHT($A819,4)) + TIMEVALUE($B819), "")</f>
        <v/>
      </c>
      <c r="P819" s="36" t="str">
        <f>IF(Account!$F819&lt;&gt;"", DATEVALUE(MID($C819,4,3) &amp; LEFT($C819,3) &amp; RIGHT($C819,4)), "")</f>
        <v/>
      </c>
      <c r="Q819" s="37" t="str">
        <f t="array" ref="Q819">IF($R819&lt;&gt;"",IFERROR(INDEX(ISIN!$B:$B,MATCH($R819,ISIN!$C:$C,0))),)</f>
        <v/>
      </c>
      <c r="R819" s="38" t="str">
        <f t="array" ref="R819">IF($E819&lt;&gt;""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7" t="str">
        <f t="shared" si="1"/>
        <v/>
      </c>
      <c r="T819" s="39" t="str">
        <f t="shared" si="2"/>
        <v/>
      </c>
      <c r="U819" s="40" t="str">
        <f t="shared" si="3"/>
        <v/>
      </c>
      <c r="V819" s="34" t="str">
        <f t="shared" si="4"/>
        <v/>
      </c>
      <c r="W819" s="41" t="str">
        <f>IFERROR(__xludf.DUMMYFUNCTION(" IF(Account!$F819&lt;&gt;"""", SPLIT(Account!$F819, "" ""), """")"),"")</f>
        <v/>
      </c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</row>
    <row r="820">
      <c r="A820" s="20"/>
      <c r="B820" s="20"/>
      <c r="C820" s="20"/>
      <c r="D820" s="45"/>
      <c r="E820" s="45"/>
      <c r="F820" s="21"/>
      <c r="G820" s="45"/>
      <c r="H820" s="20"/>
      <c r="I820" s="20"/>
      <c r="J820" s="20"/>
      <c r="K820" s="20"/>
      <c r="L820" s="46"/>
      <c r="M820" s="33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4" t="str">
        <f>IFERROR(__xludf.DUMMYFUNCTION("IF(Account!$F820&lt;&gt;"""", VALUE(REGEXREPLACE($I820, ""\,"", ""."")), """")"),"")</f>
        <v/>
      </c>
      <c r="O820" s="35" t="str">
        <f>IF(Account!$F820&lt;&gt;"", DATEVALUE(MID($A820,4,3) &amp; LEFT($A820,3) &amp; RIGHT($A820,4)) + TIMEVALUE($B820), "")</f>
        <v/>
      </c>
      <c r="P820" s="36" t="str">
        <f>IF(Account!$F820&lt;&gt;"", DATEVALUE(MID($C820,4,3) &amp; LEFT($C820,3) &amp; RIGHT($C820,4)), "")</f>
        <v/>
      </c>
      <c r="Q820" s="37" t="str">
        <f t="array" ref="Q820">IF($R820&lt;&gt;"",IFERROR(INDEX(ISIN!$B:$B,MATCH($R820,ISIN!$C:$C,0))),)</f>
        <v/>
      </c>
      <c r="R820" s="38" t="str">
        <f t="array" ref="R820">IF($E820&lt;&gt;""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7" t="str">
        <f t="shared" si="1"/>
        <v/>
      </c>
      <c r="T820" s="39" t="str">
        <f t="shared" si="2"/>
        <v/>
      </c>
      <c r="U820" s="40" t="str">
        <f t="shared" si="3"/>
        <v/>
      </c>
      <c r="V820" s="34" t="str">
        <f t="shared" si="4"/>
        <v/>
      </c>
      <c r="W820" s="41" t="str">
        <f>IFERROR(__xludf.DUMMYFUNCTION(" IF(Account!$F820&lt;&gt;"""", SPLIT(Account!$F820, "" ""), """")"),"")</f>
        <v/>
      </c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</row>
    <row r="821">
      <c r="A821" s="20"/>
      <c r="B821" s="20"/>
      <c r="C821" s="20"/>
      <c r="D821" s="20"/>
      <c r="E821" s="20"/>
      <c r="F821" s="21"/>
      <c r="G821" s="45"/>
      <c r="H821" s="45"/>
      <c r="I821" s="45"/>
      <c r="J821" s="20"/>
      <c r="K821" s="20"/>
      <c r="L821" s="46"/>
      <c r="M821" s="33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4" t="str">
        <f>IFERROR(__xludf.DUMMYFUNCTION("IF(Account!$F821&lt;&gt;"""", VALUE(REGEXREPLACE($I821, ""\,"", ""."")), """")"),"")</f>
        <v/>
      </c>
      <c r="O821" s="35" t="str">
        <f>IF(Account!$F821&lt;&gt;"", DATEVALUE(MID($A821,4,3) &amp; LEFT($A821,3) &amp; RIGHT($A821,4)) + TIMEVALUE($B821), "")</f>
        <v/>
      </c>
      <c r="P821" s="36" t="str">
        <f>IF(Account!$F821&lt;&gt;"", DATEVALUE(MID($C821,4,3) &amp; LEFT($C821,3) &amp; RIGHT($C821,4)), "")</f>
        <v/>
      </c>
      <c r="Q821" s="37" t="str">
        <f t="array" ref="Q821">IF($R821&lt;&gt;"",IFERROR(INDEX(ISIN!$B:$B,MATCH($R821,ISIN!$C:$C,0))),)</f>
        <v/>
      </c>
      <c r="R821" s="38" t="str">
        <f t="array" ref="R821">IF($E821&lt;&gt;""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7" t="str">
        <f t="shared" si="1"/>
        <v/>
      </c>
      <c r="T821" s="39" t="str">
        <f t="shared" si="2"/>
        <v/>
      </c>
      <c r="U821" s="40" t="str">
        <f t="shared" si="3"/>
        <v/>
      </c>
      <c r="V821" s="34" t="str">
        <f t="shared" si="4"/>
        <v/>
      </c>
      <c r="W821" s="41" t="str">
        <f>IFERROR(__xludf.DUMMYFUNCTION(" IF(Account!$F821&lt;&gt;"""", SPLIT(Account!$F821, "" ""), """")"),"")</f>
        <v/>
      </c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</row>
    <row r="822">
      <c r="A822" s="20"/>
      <c r="B822" s="20"/>
      <c r="C822" s="20"/>
      <c r="D822" s="45"/>
      <c r="E822" s="45"/>
      <c r="F822" s="21"/>
      <c r="G822" s="45"/>
      <c r="H822" s="20"/>
      <c r="I822" s="20"/>
      <c r="J822" s="20"/>
      <c r="K822" s="20"/>
      <c r="L822" s="46"/>
      <c r="M822" s="33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4" t="str">
        <f>IFERROR(__xludf.DUMMYFUNCTION("IF(Account!$F822&lt;&gt;"""", VALUE(REGEXREPLACE($I822, ""\,"", ""."")), """")"),"")</f>
        <v/>
      </c>
      <c r="O822" s="35" t="str">
        <f>IF(Account!$F822&lt;&gt;"", DATEVALUE(MID($A822,4,3) &amp; LEFT($A822,3) &amp; RIGHT($A822,4)) + TIMEVALUE($B822), "")</f>
        <v/>
      </c>
      <c r="P822" s="36" t="str">
        <f>IF(Account!$F822&lt;&gt;"", DATEVALUE(MID($C822,4,3) &amp; LEFT($C822,3) &amp; RIGHT($C822,4)), "")</f>
        <v/>
      </c>
      <c r="Q822" s="37" t="str">
        <f t="array" ref="Q822">IF($R822&lt;&gt;"",IFERROR(INDEX(ISIN!$B:$B,MATCH($R822,ISIN!$C:$C,0))),)</f>
        <v/>
      </c>
      <c r="R822" s="38" t="str">
        <f t="array" ref="R822">IF($E822&lt;&gt;""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7" t="str">
        <f t="shared" si="1"/>
        <v/>
      </c>
      <c r="T822" s="39" t="str">
        <f t="shared" si="2"/>
        <v/>
      </c>
      <c r="U822" s="40" t="str">
        <f t="shared" si="3"/>
        <v/>
      </c>
      <c r="V822" s="34" t="str">
        <f t="shared" si="4"/>
        <v/>
      </c>
      <c r="W822" s="41" t="str">
        <f>IFERROR(__xludf.DUMMYFUNCTION(" IF(Account!$F822&lt;&gt;"""", SPLIT(Account!$F822, "" ""), """")"),"")</f>
        <v/>
      </c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</row>
    <row r="823">
      <c r="A823" s="20"/>
      <c r="B823" s="20"/>
      <c r="C823" s="20"/>
      <c r="D823" s="45"/>
      <c r="E823" s="45"/>
      <c r="F823" s="21"/>
      <c r="G823" s="20"/>
      <c r="H823" s="20"/>
      <c r="I823" s="20"/>
      <c r="J823" s="20"/>
      <c r="K823" s="20"/>
      <c r="L823" s="46"/>
      <c r="M823" s="33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4" t="str">
        <f>IFERROR(__xludf.DUMMYFUNCTION("IF(Account!$F823&lt;&gt;"""", VALUE(REGEXREPLACE($I823, ""\,"", ""."")), """")"),"")</f>
        <v/>
      </c>
      <c r="O823" s="35" t="str">
        <f>IF(Account!$F823&lt;&gt;"", DATEVALUE(MID($A823,4,3) &amp; LEFT($A823,3) &amp; RIGHT($A823,4)) + TIMEVALUE($B823), "")</f>
        <v/>
      </c>
      <c r="P823" s="36" t="str">
        <f>IF(Account!$F823&lt;&gt;"", DATEVALUE(MID($C823,4,3) &amp; LEFT($C823,3) &amp; RIGHT($C823,4)), "")</f>
        <v/>
      </c>
      <c r="Q823" s="37" t="str">
        <f t="array" ref="Q823">IF($R823&lt;&gt;"",IFERROR(INDEX(ISIN!$B:$B,MATCH($R823,ISIN!$C:$C,0))),)</f>
        <v/>
      </c>
      <c r="R823" s="38" t="str">
        <f t="array" ref="R823">IF($E823&lt;&gt;""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7" t="str">
        <f t="shared" si="1"/>
        <v/>
      </c>
      <c r="T823" s="39" t="str">
        <f t="shared" si="2"/>
        <v/>
      </c>
      <c r="U823" s="40" t="str">
        <f t="shared" si="3"/>
        <v/>
      </c>
      <c r="V823" s="34" t="str">
        <f t="shared" si="4"/>
        <v/>
      </c>
      <c r="W823" s="41" t="str">
        <f>IFERROR(__xludf.DUMMYFUNCTION(" IF(Account!$F823&lt;&gt;"""", SPLIT(Account!$F823, "" ""), """")"),"")</f>
        <v/>
      </c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</row>
    <row r="824">
      <c r="A824" s="20"/>
      <c r="B824" s="20"/>
      <c r="C824" s="20"/>
      <c r="D824" s="20"/>
      <c r="E824" s="20"/>
      <c r="F824" s="21"/>
      <c r="G824" s="20"/>
      <c r="H824" s="20"/>
      <c r="I824" s="20"/>
      <c r="J824" s="20"/>
      <c r="K824" s="20"/>
      <c r="L824" s="21"/>
      <c r="M824" s="33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4" t="str">
        <f>IFERROR(__xludf.DUMMYFUNCTION("IF(Account!$F824&lt;&gt;"""", VALUE(REGEXREPLACE($I824, ""\,"", ""."")), """")"),"")</f>
        <v/>
      </c>
      <c r="O824" s="35" t="str">
        <f>IF(Account!$F824&lt;&gt;"", DATEVALUE(MID($A824,4,3) &amp; LEFT($A824,3) &amp; RIGHT($A824,4)) + TIMEVALUE($B824), "")</f>
        <v/>
      </c>
      <c r="P824" s="36" t="str">
        <f>IF(Account!$F824&lt;&gt;"", DATEVALUE(MID($C824,4,3) &amp; LEFT($C824,3) &amp; RIGHT($C824,4)), "")</f>
        <v/>
      </c>
      <c r="Q824" s="37" t="str">
        <f t="array" ref="Q824">IF($R824&lt;&gt;"",IFERROR(INDEX(ISIN!$B:$B,MATCH($R824,ISIN!$C:$C,0))),)</f>
        <v/>
      </c>
      <c r="R824" s="38" t="str">
        <f t="array" ref="R824">IF($E824&lt;&gt;""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7" t="str">
        <f t="shared" si="1"/>
        <v/>
      </c>
      <c r="T824" s="39" t="str">
        <f t="shared" si="2"/>
        <v/>
      </c>
      <c r="U824" s="40" t="str">
        <f t="shared" si="3"/>
        <v/>
      </c>
      <c r="V824" s="34" t="str">
        <f t="shared" si="4"/>
        <v/>
      </c>
      <c r="W824" s="41" t="str">
        <f>IFERROR(__xludf.DUMMYFUNCTION(" IF(Account!$F824&lt;&gt;"""", SPLIT(Account!$F824, "" ""), """")"),"")</f>
        <v/>
      </c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</row>
    <row r="825">
      <c r="A825" s="20"/>
      <c r="B825" s="20"/>
      <c r="C825" s="20"/>
      <c r="D825" s="20"/>
      <c r="E825" s="20"/>
      <c r="F825" s="21"/>
      <c r="G825" s="45"/>
      <c r="H825" s="20"/>
      <c r="I825" s="20"/>
      <c r="J825" s="20"/>
      <c r="K825" s="20"/>
      <c r="L825" s="21"/>
      <c r="M825" s="33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4" t="str">
        <f>IFERROR(__xludf.DUMMYFUNCTION("IF(Account!$F825&lt;&gt;"""", VALUE(REGEXREPLACE($I825, ""\,"", ""."")), """")"),"")</f>
        <v/>
      </c>
      <c r="O825" s="35" t="str">
        <f>IF(Account!$F825&lt;&gt;"", DATEVALUE(MID($A825,4,3) &amp; LEFT($A825,3) &amp; RIGHT($A825,4)) + TIMEVALUE($B825), "")</f>
        <v/>
      </c>
      <c r="P825" s="36" t="str">
        <f>IF(Account!$F825&lt;&gt;"", DATEVALUE(MID($C825,4,3) &amp; LEFT($C825,3) &amp; RIGHT($C825,4)), "")</f>
        <v/>
      </c>
      <c r="Q825" s="37" t="str">
        <f t="array" ref="Q825">IF($R825&lt;&gt;"",IFERROR(INDEX(ISIN!$B:$B,MATCH($R825,ISIN!$C:$C,0))),)</f>
        <v/>
      </c>
      <c r="R825" s="38" t="str">
        <f t="array" ref="R825">IF($E825&lt;&gt;""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7" t="str">
        <f t="shared" si="1"/>
        <v/>
      </c>
      <c r="T825" s="39" t="str">
        <f t="shared" si="2"/>
        <v/>
      </c>
      <c r="U825" s="40" t="str">
        <f t="shared" si="3"/>
        <v/>
      </c>
      <c r="V825" s="34" t="str">
        <f t="shared" si="4"/>
        <v/>
      </c>
      <c r="W825" s="41" t="str">
        <f>IFERROR(__xludf.DUMMYFUNCTION(" IF(Account!$F825&lt;&gt;"""", SPLIT(Account!$F825, "" ""), """")"),"")</f>
        <v/>
      </c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</row>
    <row r="826">
      <c r="A826" s="20"/>
      <c r="B826" s="20"/>
      <c r="C826" s="20"/>
      <c r="D826" s="20"/>
      <c r="E826" s="20"/>
      <c r="F826" s="21"/>
      <c r="G826" s="45"/>
      <c r="H826" s="20"/>
      <c r="I826" s="20"/>
      <c r="J826" s="20"/>
      <c r="K826" s="20"/>
      <c r="L826" s="21"/>
      <c r="M826" s="33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4" t="str">
        <f>IFERROR(__xludf.DUMMYFUNCTION("IF(Account!$F826&lt;&gt;"""", VALUE(REGEXREPLACE($I826, ""\,"", ""."")), """")"),"")</f>
        <v/>
      </c>
      <c r="O826" s="35" t="str">
        <f>IF(Account!$F826&lt;&gt;"", DATEVALUE(MID($A826,4,3) &amp; LEFT($A826,3) &amp; RIGHT($A826,4)) + TIMEVALUE($B826), "")</f>
        <v/>
      </c>
      <c r="P826" s="36" t="str">
        <f>IF(Account!$F826&lt;&gt;"", DATEVALUE(MID($C826,4,3) &amp; LEFT($C826,3) &amp; RIGHT($C826,4)), "")</f>
        <v/>
      </c>
      <c r="Q826" s="37" t="str">
        <f t="array" ref="Q826">IF($R826&lt;&gt;"",IFERROR(INDEX(ISIN!$B:$B,MATCH($R826,ISIN!$C:$C,0))),)</f>
        <v/>
      </c>
      <c r="R826" s="38" t="str">
        <f t="array" ref="R826">IF($E826&lt;&gt;""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7" t="str">
        <f t="shared" si="1"/>
        <v/>
      </c>
      <c r="T826" s="39" t="str">
        <f t="shared" si="2"/>
        <v/>
      </c>
      <c r="U826" s="40" t="str">
        <f t="shared" si="3"/>
        <v/>
      </c>
      <c r="V826" s="34" t="str">
        <f t="shared" si="4"/>
        <v/>
      </c>
      <c r="W826" s="41" t="str">
        <f>IFERROR(__xludf.DUMMYFUNCTION(" IF(Account!$F826&lt;&gt;"""", SPLIT(Account!$F826, "" ""), """")"),"")</f>
        <v/>
      </c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</row>
    <row r="827">
      <c r="A827" s="20"/>
      <c r="B827" s="20"/>
      <c r="C827" s="20"/>
      <c r="D827" s="20"/>
      <c r="E827" s="20"/>
      <c r="F827" s="21"/>
      <c r="G827" s="45"/>
      <c r="H827" s="20"/>
      <c r="I827" s="20"/>
      <c r="J827" s="20"/>
      <c r="K827" s="20"/>
      <c r="L827" s="21"/>
      <c r="M827" s="33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4" t="str">
        <f>IFERROR(__xludf.DUMMYFUNCTION("IF(Account!$F827&lt;&gt;"""", VALUE(REGEXREPLACE($I827, ""\,"", ""."")), """")"),"")</f>
        <v/>
      </c>
      <c r="O827" s="35" t="str">
        <f>IF(Account!$F827&lt;&gt;"", DATEVALUE(MID($A827,4,3) &amp; LEFT($A827,3) &amp; RIGHT($A827,4)) + TIMEVALUE($B827), "")</f>
        <v/>
      </c>
      <c r="P827" s="36" t="str">
        <f>IF(Account!$F827&lt;&gt;"", DATEVALUE(MID($C827,4,3) &amp; LEFT($C827,3) &amp; RIGHT($C827,4)), "")</f>
        <v/>
      </c>
      <c r="Q827" s="37" t="str">
        <f t="array" ref="Q827">IF($R827&lt;&gt;"",IFERROR(INDEX(ISIN!$B:$B,MATCH($R827,ISIN!$C:$C,0))),)</f>
        <v/>
      </c>
      <c r="R827" s="38" t="str">
        <f t="array" ref="R827">IF($E827&lt;&gt;""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7" t="str">
        <f t="shared" si="1"/>
        <v/>
      </c>
      <c r="T827" s="39" t="str">
        <f t="shared" si="2"/>
        <v/>
      </c>
      <c r="U827" s="40" t="str">
        <f t="shared" si="3"/>
        <v/>
      </c>
      <c r="V827" s="34" t="str">
        <f t="shared" si="4"/>
        <v/>
      </c>
      <c r="W827" s="41" t="str">
        <f>IFERROR(__xludf.DUMMYFUNCTION(" IF(Account!$F827&lt;&gt;"""", SPLIT(Account!$F827, "" ""), """")"),"")</f>
        <v/>
      </c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</row>
    <row r="828">
      <c r="A828" s="20"/>
      <c r="B828" s="20"/>
      <c r="C828" s="20"/>
      <c r="D828" s="20"/>
      <c r="E828" s="20"/>
      <c r="F828" s="21"/>
      <c r="G828" s="45"/>
      <c r="H828" s="20"/>
      <c r="I828" s="20"/>
      <c r="J828" s="20"/>
      <c r="K828" s="20"/>
      <c r="L828" s="21"/>
      <c r="M828" s="33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4" t="str">
        <f>IFERROR(__xludf.DUMMYFUNCTION("IF(Account!$F828&lt;&gt;"""", VALUE(REGEXREPLACE($I828, ""\,"", ""."")), """")"),"")</f>
        <v/>
      </c>
      <c r="O828" s="35" t="str">
        <f>IF(Account!$F828&lt;&gt;"", DATEVALUE(MID($A828,4,3) &amp; LEFT($A828,3) &amp; RIGHT($A828,4)) + TIMEVALUE($B828), "")</f>
        <v/>
      </c>
      <c r="P828" s="36" t="str">
        <f>IF(Account!$F828&lt;&gt;"", DATEVALUE(MID($C828,4,3) &amp; LEFT($C828,3) &amp; RIGHT($C828,4)), "")</f>
        <v/>
      </c>
      <c r="Q828" s="37" t="str">
        <f t="array" ref="Q828">IF($R828&lt;&gt;"",IFERROR(INDEX(ISIN!$B:$B,MATCH($R828,ISIN!$C:$C,0))),)</f>
        <v/>
      </c>
      <c r="R828" s="38" t="str">
        <f t="array" ref="R828">IF($E828&lt;&gt;""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7" t="str">
        <f t="shared" si="1"/>
        <v/>
      </c>
      <c r="T828" s="39" t="str">
        <f t="shared" si="2"/>
        <v/>
      </c>
      <c r="U828" s="40" t="str">
        <f t="shared" si="3"/>
        <v/>
      </c>
      <c r="V828" s="34" t="str">
        <f t="shared" si="4"/>
        <v/>
      </c>
      <c r="W828" s="41" t="str">
        <f>IFERROR(__xludf.DUMMYFUNCTION(" IF(Account!$F828&lt;&gt;"""", SPLIT(Account!$F828, "" ""), """")"),"")</f>
        <v/>
      </c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</row>
    <row r="829">
      <c r="A829" s="20"/>
      <c r="B829" s="20"/>
      <c r="C829" s="20"/>
      <c r="D829" s="20"/>
      <c r="E829" s="20"/>
      <c r="F829" s="21"/>
      <c r="G829" s="20"/>
      <c r="H829" s="20"/>
      <c r="I829" s="20"/>
      <c r="J829" s="20"/>
      <c r="K829" s="20"/>
      <c r="L829" s="21"/>
      <c r="M829" s="33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4" t="str">
        <f>IFERROR(__xludf.DUMMYFUNCTION("IF(Account!$F829&lt;&gt;"""", VALUE(REGEXREPLACE($I829, ""\,"", ""."")), """")"),"")</f>
        <v/>
      </c>
      <c r="O829" s="35" t="str">
        <f>IF(Account!$F829&lt;&gt;"", DATEVALUE(MID($A829,4,3) &amp; LEFT($A829,3) &amp; RIGHT($A829,4)) + TIMEVALUE($B829), "")</f>
        <v/>
      </c>
      <c r="P829" s="36" t="str">
        <f>IF(Account!$F829&lt;&gt;"", DATEVALUE(MID($C829,4,3) &amp; LEFT($C829,3) &amp; RIGHT($C829,4)), "")</f>
        <v/>
      </c>
      <c r="Q829" s="37" t="str">
        <f t="array" ref="Q829">IF($R829&lt;&gt;"",IFERROR(INDEX(ISIN!$B:$B,MATCH($R829,ISIN!$C:$C,0))),)</f>
        <v/>
      </c>
      <c r="R829" s="38" t="str">
        <f t="array" ref="R829">IF($E829&lt;&gt;""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7" t="str">
        <f t="shared" si="1"/>
        <v/>
      </c>
      <c r="T829" s="39" t="str">
        <f t="shared" si="2"/>
        <v/>
      </c>
      <c r="U829" s="40" t="str">
        <f t="shared" si="3"/>
        <v/>
      </c>
      <c r="V829" s="34" t="str">
        <f t="shared" si="4"/>
        <v/>
      </c>
      <c r="W829" s="41" t="str">
        <f>IFERROR(__xludf.DUMMYFUNCTION(" IF(Account!$F829&lt;&gt;"""", SPLIT(Account!$F829, "" ""), """")"),"")</f>
        <v/>
      </c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</row>
    <row r="830">
      <c r="A830" s="20"/>
      <c r="B830" s="20"/>
      <c r="C830" s="20"/>
      <c r="D830" s="20"/>
      <c r="E830" s="20"/>
      <c r="F830" s="21"/>
      <c r="G830" s="45"/>
      <c r="H830" s="20"/>
      <c r="I830" s="20"/>
      <c r="J830" s="20"/>
      <c r="K830" s="20"/>
      <c r="L830" s="21"/>
      <c r="M830" s="33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4" t="str">
        <f>IFERROR(__xludf.DUMMYFUNCTION("IF(Account!$F830&lt;&gt;"""", VALUE(REGEXREPLACE($I830, ""\,"", ""."")), """")"),"")</f>
        <v/>
      </c>
      <c r="O830" s="35" t="str">
        <f>IF(Account!$F830&lt;&gt;"", DATEVALUE(MID($A830,4,3) &amp; LEFT($A830,3) &amp; RIGHT($A830,4)) + TIMEVALUE($B830), "")</f>
        <v/>
      </c>
      <c r="P830" s="36" t="str">
        <f>IF(Account!$F830&lt;&gt;"", DATEVALUE(MID($C830,4,3) &amp; LEFT($C830,3) &amp; RIGHT($C830,4)), "")</f>
        <v/>
      </c>
      <c r="Q830" s="37" t="str">
        <f t="array" ref="Q830">IF($R830&lt;&gt;"",IFERROR(INDEX(ISIN!$B:$B,MATCH($R830,ISIN!$C:$C,0))),)</f>
        <v/>
      </c>
      <c r="R830" s="38" t="str">
        <f t="array" ref="R830">IF($E830&lt;&gt;""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7" t="str">
        <f t="shared" si="1"/>
        <v/>
      </c>
      <c r="T830" s="39" t="str">
        <f t="shared" si="2"/>
        <v/>
      </c>
      <c r="U830" s="40" t="str">
        <f t="shared" si="3"/>
        <v/>
      </c>
      <c r="V830" s="34" t="str">
        <f t="shared" si="4"/>
        <v/>
      </c>
      <c r="W830" s="41" t="str">
        <f>IFERROR(__xludf.DUMMYFUNCTION(" IF(Account!$F830&lt;&gt;"""", SPLIT(Account!$F830, "" ""), """")"),"")</f>
        <v/>
      </c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</row>
    <row r="831">
      <c r="A831" s="20"/>
      <c r="B831" s="20"/>
      <c r="C831" s="20"/>
      <c r="D831" s="20"/>
      <c r="E831" s="20"/>
      <c r="F831" s="21"/>
      <c r="G831" s="45"/>
      <c r="H831" s="20"/>
      <c r="I831" s="20"/>
      <c r="J831" s="20"/>
      <c r="K831" s="20"/>
      <c r="L831" s="21"/>
      <c r="M831" s="33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4" t="str">
        <f>IFERROR(__xludf.DUMMYFUNCTION("IF(Account!$F831&lt;&gt;"""", VALUE(REGEXREPLACE($I831, ""\,"", ""."")), """")"),"")</f>
        <v/>
      </c>
      <c r="O831" s="35" t="str">
        <f>IF(Account!$F831&lt;&gt;"", DATEVALUE(MID($A831,4,3) &amp; LEFT($A831,3) &amp; RIGHT($A831,4)) + TIMEVALUE($B831), "")</f>
        <v/>
      </c>
      <c r="P831" s="36" t="str">
        <f>IF(Account!$F831&lt;&gt;"", DATEVALUE(MID($C831,4,3) &amp; LEFT($C831,3) &amp; RIGHT($C831,4)), "")</f>
        <v/>
      </c>
      <c r="Q831" s="37" t="str">
        <f t="array" ref="Q831">IF($R831&lt;&gt;"",IFERROR(INDEX(ISIN!$B:$B,MATCH($R831,ISIN!$C:$C,0))),)</f>
        <v/>
      </c>
      <c r="R831" s="38" t="str">
        <f t="array" ref="R831">IF($E831&lt;&gt;""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7" t="str">
        <f t="shared" si="1"/>
        <v/>
      </c>
      <c r="T831" s="39" t="str">
        <f t="shared" si="2"/>
        <v/>
      </c>
      <c r="U831" s="40" t="str">
        <f t="shared" si="3"/>
        <v/>
      </c>
      <c r="V831" s="34" t="str">
        <f t="shared" si="4"/>
        <v/>
      </c>
      <c r="W831" s="41" t="str">
        <f>IFERROR(__xludf.DUMMYFUNCTION(" IF(Account!$F831&lt;&gt;"""", SPLIT(Account!$F831, "" ""), """")"),"")</f>
        <v/>
      </c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</row>
    <row r="832">
      <c r="A832" s="20"/>
      <c r="B832" s="20"/>
      <c r="C832" s="20"/>
      <c r="D832" s="20"/>
      <c r="E832" s="20"/>
      <c r="F832" s="21"/>
      <c r="G832" s="20"/>
      <c r="H832" s="20"/>
      <c r="I832" s="20"/>
      <c r="J832" s="20"/>
      <c r="K832" s="20"/>
      <c r="L832" s="21"/>
      <c r="M832" s="33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4" t="str">
        <f>IFERROR(__xludf.DUMMYFUNCTION("IF(Account!$F832&lt;&gt;"""", VALUE(REGEXREPLACE($I832, ""\,"", ""."")), """")"),"")</f>
        <v/>
      </c>
      <c r="O832" s="35" t="str">
        <f>IF(Account!$F832&lt;&gt;"", DATEVALUE(MID($A832,4,3) &amp; LEFT($A832,3) &amp; RIGHT($A832,4)) + TIMEVALUE($B832), "")</f>
        <v/>
      </c>
      <c r="P832" s="36" t="str">
        <f>IF(Account!$F832&lt;&gt;"", DATEVALUE(MID($C832,4,3) &amp; LEFT($C832,3) &amp; RIGHT($C832,4)), "")</f>
        <v/>
      </c>
      <c r="Q832" s="37" t="str">
        <f t="array" ref="Q832">IF($R832&lt;&gt;"",IFERROR(INDEX(ISIN!$B:$B,MATCH($R832,ISIN!$C:$C,0))),)</f>
        <v/>
      </c>
      <c r="R832" s="38" t="str">
        <f t="array" ref="R832">IF($E832&lt;&gt;""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7" t="str">
        <f t="shared" si="1"/>
        <v/>
      </c>
      <c r="T832" s="39" t="str">
        <f t="shared" si="2"/>
        <v/>
      </c>
      <c r="U832" s="40" t="str">
        <f t="shared" si="3"/>
        <v/>
      </c>
      <c r="V832" s="34" t="str">
        <f t="shared" si="4"/>
        <v/>
      </c>
      <c r="W832" s="41" t="str">
        <f>IFERROR(__xludf.DUMMYFUNCTION(" IF(Account!$F832&lt;&gt;"""", SPLIT(Account!$F832, "" ""), """")"),"")</f>
        <v/>
      </c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</row>
    <row r="833">
      <c r="A833" s="20"/>
      <c r="B833" s="20"/>
      <c r="C833" s="20"/>
      <c r="D833" s="20"/>
      <c r="E833" s="20"/>
      <c r="F833" s="21"/>
      <c r="G833" s="45"/>
      <c r="H833" s="20"/>
      <c r="I833" s="20"/>
      <c r="J833" s="20"/>
      <c r="K833" s="20"/>
      <c r="L833" s="21"/>
      <c r="M833" s="33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4" t="str">
        <f>IFERROR(__xludf.DUMMYFUNCTION("IF(Account!$F833&lt;&gt;"""", VALUE(REGEXREPLACE($I833, ""\,"", ""."")), """")"),"")</f>
        <v/>
      </c>
      <c r="O833" s="35" t="str">
        <f>IF(Account!$F833&lt;&gt;"", DATEVALUE(MID($A833,4,3) &amp; LEFT($A833,3) &amp; RIGHT($A833,4)) + TIMEVALUE($B833), "")</f>
        <v/>
      </c>
      <c r="P833" s="36" t="str">
        <f>IF(Account!$F833&lt;&gt;"", DATEVALUE(MID($C833,4,3) &amp; LEFT($C833,3) &amp; RIGHT($C833,4)), "")</f>
        <v/>
      </c>
      <c r="Q833" s="37" t="str">
        <f t="array" ref="Q833">IF($R833&lt;&gt;"",IFERROR(INDEX(ISIN!$B:$B,MATCH($R833,ISIN!$C:$C,0))),)</f>
        <v/>
      </c>
      <c r="R833" s="38" t="str">
        <f t="array" ref="R833">IF($E833&lt;&gt;""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7" t="str">
        <f t="shared" si="1"/>
        <v/>
      </c>
      <c r="T833" s="39" t="str">
        <f t="shared" si="2"/>
        <v/>
      </c>
      <c r="U833" s="40" t="str">
        <f t="shared" si="3"/>
        <v/>
      </c>
      <c r="V833" s="34" t="str">
        <f t="shared" si="4"/>
        <v/>
      </c>
      <c r="W833" s="41" t="str">
        <f>IFERROR(__xludf.DUMMYFUNCTION(" IF(Account!$F833&lt;&gt;"""", SPLIT(Account!$F833, "" ""), """")"),"")</f>
        <v/>
      </c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</row>
    <row r="834">
      <c r="A834" s="20"/>
      <c r="B834" s="20"/>
      <c r="C834" s="20"/>
      <c r="D834" s="20"/>
      <c r="E834" s="20"/>
      <c r="F834" s="21"/>
      <c r="G834" s="45"/>
      <c r="H834" s="20"/>
      <c r="I834" s="20"/>
      <c r="J834" s="20"/>
      <c r="K834" s="20"/>
      <c r="L834" s="21"/>
      <c r="M834" s="33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4" t="str">
        <f>IFERROR(__xludf.DUMMYFUNCTION("IF(Account!$F834&lt;&gt;"""", VALUE(REGEXREPLACE($I834, ""\,"", ""."")), """")"),"")</f>
        <v/>
      </c>
      <c r="O834" s="35" t="str">
        <f>IF(Account!$F834&lt;&gt;"", DATEVALUE(MID($A834,4,3) &amp; LEFT($A834,3) &amp; RIGHT($A834,4)) + TIMEVALUE($B834), "")</f>
        <v/>
      </c>
      <c r="P834" s="36" t="str">
        <f>IF(Account!$F834&lt;&gt;"", DATEVALUE(MID($C834,4,3) &amp; LEFT($C834,3) &amp; RIGHT($C834,4)), "")</f>
        <v/>
      </c>
      <c r="Q834" s="37" t="str">
        <f t="array" ref="Q834">IF($R834&lt;&gt;"",IFERROR(INDEX(ISIN!$B:$B,MATCH($R834,ISIN!$C:$C,0))),)</f>
        <v/>
      </c>
      <c r="R834" s="38" t="str">
        <f t="array" ref="R834">IF($E834&lt;&gt;""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7" t="str">
        <f t="shared" si="1"/>
        <v/>
      </c>
      <c r="T834" s="39" t="str">
        <f t="shared" si="2"/>
        <v/>
      </c>
      <c r="U834" s="40" t="str">
        <f t="shared" si="3"/>
        <v/>
      </c>
      <c r="V834" s="34" t="str">
        <f t="shared" si="4"/>
        <v/>
      </c>
      <c r="W834" s="41" t="str">
        <f>IFERROR(__xludf.DUMMYFUNCTION(" IF(Account!$F834&lt;&gt;"""", SPLIT(Account!$F834, "" ""), """")"),"")</f>
        <v/>
      </c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</row>
    <row r="835">
      <c r="A835" s="20"/>
      <c r="B835" s="20"/>
      <c r="C835" s="20"/>
      <c r="D835" s="20"/>
      <c r="E835" s="20"/>
      <c r="F835" s="21"/>
      <c r="G835" s="45"/>
      <c r="H835" s="20"/>
      <c r="I835" s="20"/>
      <c r="J835" s="20"/>
      <c r="K835" s="20"/>
      <c r="L835" s="21"/>
      <c r="M835" s="33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4" t="str">
        <f>IFERROR(__xludf.DUMMYFUNCTION("IF(Account!$F835&lt;&gt;"""", VALUE(REGEXREPLACE($I835, ""\,"", ""."")), """")"),"")</f>
        <v/>
      </c>
      <c r="O835" s="35" t="str">
        <f>IF(Account!$F835&lt;&gt;"", DATEVALUE(MID($A835,4,3) &amp; LEFT($A835,3) &amp; RIGHT($A835,4)) + TIMEVALUE($B835), "")</f>
        <v/>
      </c>
      <c r="P835" s="36" t="str">
        <f>IF(Account!$F835&lt;&gt;"", DATEVALUE(MID($C835,4,3) &amp; LEFT($C835,3) &amp; RIGHT($C835,4)), "")</f>
        <v/>
      </c>
      <c r="Q835" s="37" t="str">
        <f t="array" ref="Q835">IF($R835&lt;&gt;"",IFERROR(INDEX(ISIN!$B:$B,MATCH($R835,ISIN!$C:$C,0))),)</f>
        <v/>
      </c>
      <c r="R835" s="38" t="str">
        <f t="array" ref="R835">IF($E835&lt;&gt;""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7" t="str">
        <f t="shared" si="1"/>
        <v/>
      </c>
      <c r="T835" s="39" t="str">
        <f t="shared" si="2"/>
        <v/>
      </c>
      <c r="U835" s="40" t="str">
        <f t="shared" si="3"/>
        <v/>
      </c>
      <c r="V835" s="34" t="str">
        <f t="shared" si="4"/>
        <v/>
      </c>
      <c r="W835" s="41" t="str">
        <f>IFERROR(__xludf.DUMMYFUNCTION(" IF(Account!$F835&lt;&gt;"""", SPLIT(Account!$F835, "" ""), """")"),"")</f>
        <v/>
      </c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</row>
    <row r="836">
      <c r="A836" s="20"/>
      <c r="B836" s="20"/>
      <c r="C836" s="20"/>
      <c r="D836" s="20"/>
      <c r="E836" s="20"/>
      <c r="F836" s="21"/>
      <c r="G836" s="45"/>
      <c r="H836" s="20"/>
      <c r="I836" s="20"/>
      <c r="J836" s="20"/>
      <c r="K836" s="20"/>
      <c r="L836" s="21"/>
      <c r="M836" s="33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4" t="str">
        <f>IFERROR(__xludf.DUMMYFUNCTION("IF(Account!$F836&lt;&gt;"""", VALUE(REGEXREPLACE($I836, ""\,"", ""."")), """")"),"")</f>
        <v/>
      </c>
      <c r="O836" s="35" t="str">
        <f>IF(Account!$F836&lt;&gt;"", DATEVALUE(MID($A836,4,3) &amp; LEFT($A836,3) &amp; RIGHT($A836,4)) + TIMEVALUE($B836), "")</f>
        <v/>
      </c>
      <c r="P836" s="36" t="str">
        <f>IF(Account!$F836&lt;&gt;"", DATEVALUE(MID($C836,4,3) &amp; LEFT($C836,3) &amp; RIGHT($C836,4)), "")</f>
        <v/>
      </c>
      <c r="Q836" s="37" t="str">
        <f t="array" ref="Q836">IF($R836&lt;&gt;"",IFERROR(INDEX(ISIN!$B:$B,MATCH($R836,ISIN!$C:$C,0))),)</f>
        <v/>
      </c>
      <c r="R836" s="38" t="str">
        <f t="array" ref="R836">IF($E836&lt;&gt;""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7" t="str">
        <f t="shared" si="1"/>
        <v/>
      </c>
      <c r="T836" s="39" t="str">
        <f t="shared" si="2"/>
        <v/>
      </c>
      <c r="U836" s="40" t="str">
        <f t="shared" si="3"/>
        <v/>
      </c>
      <c r="V836" s="34" t="str">
        <f t="shared" si="4"/>
        <v/>
      </c>
      <c r="W836" s="41" t="str">
        <f>IFERROR(__xludf.DUMMYFUNCTION(" IF(Account!$F836&lt;&gt;"""", SPLIT(Account!$F836, "" ""), """")"),"")</f>
        <v/>
      </c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</row>
    <row r="837">
      <c r="A837" s="20"/>
      <c r="B837" s="20"/>
      <c r="C837" s="20"/>
      <c r="D837" s="20"/>
      <c r="E837" s="20"/>
      <c r="F837" s="21"/>
      <c r="G837" s="45"/>
      <c r="H837" s="45"/>
      <c r="I837" s="45"/>
      <c r="J837" s="20"/>
      <c r="K837" s="20"/>
      <c r="L837" s="46"/>
      <c r="M837" s="33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4" t="str">
        <f>IFERROR(__xludf.DUMMYFUNCTION("IF(Account!$F837&lt;&gt;"""", VALUE(REGEXREPLACE($I837, ""\,"", ""."")), """")"),"")</f>
        <v/>
      </c>
      <c r="O837" s="35" t="str">
        <f>IF(Account!$F837&lt;&gt;"", DATEVALUE(MID($A837,4,3) &amp; LEFT($A837,3) &amp; RIGHT($A837,4)) + TIMEVALUE($B837), "")</f>
        <v/>
      </c>
      <c r="P837" s="36" t="str">
        <f>IF(Account!$F837&lt;&gt;"", DATEVALUE(MID($C837,4,3) &amp; LEFT($C837,3) &amp; RIGHT($C837,4)), "")</f>
        <v/>
      </c>
      <c r="Q837" s="37" t="str">
        <f t="array" ref="Q837">IF($R837&lt;&gt;"",IFERROR(INDEX(ISIN!$B:$B,MATCH($R837,ISIN!$C:$C,0))),)</f>
        <v/>
      </c>
      <c r="R837" s="38" t="str">
        <f t="array" ref="R837">IF($E837&lt;&gt;""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7" t="str">
        <f t="shared" si="1"/>
        <v/>
      </c>
      <c r="T837" s="39" t="str">
        <f t="shared" si="2"/>
        <v/>
      </c>
      <c r="U837" s="40" t="str">
        <f t="shared" si="3"/>
        <v/>
      </c>
      <c r="V837" s="34" t="str">
        <f t="shared" si="4"/>
        <v/>
      </c>
      <c r="W837" s="41" t="str">
        <f>IFERROR(__xludf.DUMMYFUNCTION(" IF(Account!$F837&lt;&gt;"""", SPLIT(Account!$F837, "" ""), """")"),"")</f>
        <v/>
      </c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</row>
    <row r="838">
      <c r="A838" s="20"/>
      <c r="B838" s="20"/>
      <c r="C838" s="20"/>
      <c r="D838" s="20"/>
      <c r="E838" s="20"/>
      <c r="F838" s="21"/>
      <c r="G838" s="45"/>
      <c r="H838" s="20"/>
      <c r="I838" s="20"/>
      <c r="J838" s="20"/>
      <c r="K838" s="20"/>
      <c r="L838" s="46"/>
      <c r="M838" s="33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4" t="str">
        <f>IFERROR(__xludf.DUMMYFUNCTION("IF(Account!$F838&lt;&gt;"""", VALUE(REGEXREPLACE($I838, ""\,"", ""."")), """")"),"")</f>
        <v/>
      </c>
      <c r="O838" s="35" t="str">
        <f>IF(Account!$F838&lt;&gt;"", DATEVALUE(MID($A838,4,3) &amp; LEFT($A838,3) &amp; RIGHT($A838,4)) + TIMEVALUE($B838), "")</f>
        <v/>
      </c>
      <c r="P838" s="36" t="str">
        <f>IF(Account!$F838&lt;&gt;"", DATEVALUE(MID($C838,4,3) &amp; LEFT($C838,3) &amp; RIGHT($C838,4)), "")</f>
        <v/>
      </c>
      <c r="Q838" s="37" t="str">
        <f t="array" ref="Q838">IF($R838&lt;&gt;"",IFERROR(INDEX(ISIN!$B:$B,MATCH($R838,ISIN!$C:$C,0))),)</f>
        <v/>
      </c>
      <c r="R838" s="38" t="str">
        <f t="array" ref="R838">IF($E838&lt;&gt;""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7" t="str">
        <f t="shared" si="1"/>
        <v/>
      </c>
      <c r="T838" s="39" t="str">
        <f t="shared" si="2"/>
        <v/>
      </c>
      <c r="U838" s="40" t="str">
        <f t="shared" si="3"/>
        <v/>
      </c>
      <c r="V838" s="34" t="str">
        <f t="shared" si="4"/>
        <v/>
      </c>
      <c r="W838" s="41" t="str">
        <f>IFERROR(__xludf.DUMMYFUNCTION(" IF(Account!$F838&lt;&gt;"""", SPLIT(Account!$F838, "" ""), """")"),"")</f>
        <v/>
      </c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</row>
    <row r="839">
      <c r="A839" s="20"/>
      <c r="B839" s="20"/>
      <c r="C839" s="20"/>
      <c r="D839" s="20"/>
      <c r="E839" s="20"/>
      <c r="F839" s="21"/>
      <c r="G839" s="45"/>
      <c r="H839" s="20"/>
      <c r="I839" s="20"/>
      <c r="J839" s="20"/>
      <c r="K839" s="20"/>
      <c r="L839" s="46"/>
      <c r="M839" s="33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4" t="str">
        <f>IFERROR(__xludf.DUMMYFUNCTION("IF(Account!$F839&lt;&gt;"""", VALUE(REGEXREPLACE($I839, ""\,"", ""."")), """")"),"")</f>
        <v/>
      </c>
      <c r="O839" s="35" t="str">
        <f>IF(Account!$F839&lt;&gt;"", DATEVALUE(MID($A839,4,3) &amp; LEFT($A839,3) &amp; RIGHT($A839,4)) + TIMEVALUE($B839), "")</f>
        <v/>
      </c>
      <c r="P839" s="36" t="str">
        <f>IF(Account!$F839&lt;&gt;"", DATEVALUE(MID($C839,4,3) &amp; LEFT($C839,3) &amp; RIGHT($C839,4)), "")</f>
        <v/>
      </c>
      <c r="Q839" s="37" t="str">
        <f t="array" ref="Q839">IF($R839&lt;&gt;"",IFERROR(INDEX(ISIN!$B:$B,MATCH($R839,ISIN!$C:$C,0))),)</f>
        <v/>
      </c>
      <c r="R839" s="38" t="str">
        <f t="array" ref="R839">IF($E839&lt;&gt;""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7" t="str">
        <f t="shared" si="1"/>
        <v/>
      </c>
      <c r="T839" s="39" t="str">
        <f t="shared" si="2"/>
        <v/>
      </c>
      <c r="U839" s="40" t="str">
        <f t="shared" si="3"/>
        <v/>
      </c>
      <c r="V839" s="34" t="str">
        <f t="shared" si="4"/>
        <v/>
      </c>
      <c r="W839" s="41" t="str">
        <f>IFERROR(__xludf.DUMMYFUNCTION(" IF(Account!$F839&lt;&gt;"""", SPLIT(Account!$F839, "" ""), """")"),"")</f>
        <v/>
      </c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</row>
    <row r="840">
      <c r="A840" s="20"/>
      <c r="B840" s="20"/>
      <c r="C840" s="20"/>
      <c r="D840" s="45"/>
      <c r="E840" s="45"/>
      <c r="F840" s="21"/>
      <c r="G840" s="45"/>
      <c r="H840" s="20"/>
      <c r="I840" s="20"/>
      <c r="J840" s="20"/>
      <c r="K840" s="20"/>
      <c r="L840" s="46"/>
      <c r="M840" s="33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4" t="str">
        <f>IFERROR(__xludf.DUMMYFUNCTION("IF(Account!$F840&lt;&gt;"""", VALUE(REGEXREPLACE($I840, ""\,"", ""."")), """")"),"")</f>
        <v/>
      </c>
      <c r="O840" s="35" t="str">
        <f>IF(Account!$F840&lt;&gt;"", DATEVALUE(MID($A840,4,3) &amp; LEFT($A840,3) &amp; RIGHT($A840,4)) + TIMEVALUE($B840), "")</f>
        <v/>
      </c>
      <c r="P840" s="36" t="str">
        <f>IF(Account!$F840&lt;&gt;"", DATEVALUE(MID($C840,4,3) &amp; LEFT($C840,3) &amp; RIGHT($C840,4)), "")</f>
        <v/>
      </c>
      <c r="Q840" s="37" t="str">
        <f t="array" ref="Q840">IF($R840&lt;&gt;"",IFERROR(INDEX(ISIN!$B:$B,MATCH($R840,ISIN!$C:$C,0))),)</f>
        <v/>
      </c>
      <c r="R840" s="38" t="str">
        <f t="array" ref="R840">IF($E840&lt;&gt;""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7" t="str">
        <f t="shared" si="1"/>
        <v/>
      </c>
      <c r="T840" s="39" t="str">
        <f t="shared" si="2"/>
        <v/>
      </c>
      <c r="U840" s="40" t="str">
        <f t="shared" si="3"/>
        <v/>
      </c>
      <c r="V840" s="34" t="str">
        <f t="shared" si="4"/>
        <v/>
      </c>
      <c r="W840" s="41" t="str">
        <f>IFERROR(__xludf.DUMMYFUNCTION(" IF(Account!$F840&lt;&gt;"""", SPLIT(Account!$F840, "" ""), """")"),"")</f>
        <v/>
      </c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</row>
    <row r="841">
      <c r="A841" s="20"/>
      <c r="B841" s="20"/>
      <c r="C841" s="20"/>
      <c r="D841" s="20"/>
      <c r="E841" s="20"/>
      <c r="F841" s="21"/>
      <c r="G841" s="45"/>
      <c r="H841" s="45"/>
      <c r="I841" s="45"/>
      <c r="J841" s="20"/>
      <c r="K841" s="20"/>
      <c r="L841" s="46"/>
      <c r="M841" s="33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4" t="str">
        <f>IFERROR(__xludf.DUMMYFUNCTION("IF(Account!$F841&lt;&gt;"""", VALUE(REGEXREPLACE($I841, ""\,"", ""."")), """")"),"")</f>
        <v/>
      </c>
      <c r="O841" s="35" t="str">
        <f>IF(Account!$F841&lt;&gt;"", DATEVALUE(MID($A841,4,3) &amp; LEFT($A841,3) &amp; RIGHT($A841,4)) + TIMEVALUE($B841), "")</f>
        <v/>
      </c>
      <c r="P841" s="36" t="str">
        <f>IF(Account!$F841&lt;&gt;"", DATEVALUE(MID($C841,4,3) &amp; LEFT($C841,3) &amp; RIGHT($C841,4)), "")</f>
        <v/>
      </c>
      <c r="Q841" s="37" t="str">
        <f t="array" ref="Q841">IF($R841&lt;&gt;"",IFERROR(INDEX(ISIN!$B:$B,MATCH($R841,ISIN!$C:$C,0))),)</f>
        <v/>
      </c>
      <c r="R841" s="38" t="str">
        <f t="array" ref="R841">IF($E841&lt;&gt;""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7" t="str">
        <f t="shared" si="1"/>
        <v/>
      </c>
      <c r="T841" s="39" t="str">
        <f t="shared" si="2"/>
        <v/>
      </c>
      <c r="U841" s="40" t="str">
        <f t="shared" si="3"/>
        <v/>
      </c>
      <c r="V841" s="34" t="str">
        <f t="shared" si="4"/>
        <v/>
      </c>
      <c r="W841" s="41" t="str">
        <f>IFERROR(__xludf.DUMMYFUNCTION(" IF(Account!$F841&lt;&gt;"""", SPLIT(Account!$F841, "" ""), """")"),"")</f>
        <v/>
      </c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</row>
    <row r="842">
      <c r="A842" s="20"/>
      <c r="B842" s="20"/>
      <c r="C842" s="20"/>
      <c r="D842" s="45"/>
      <c r="E842" s="45"/>
      <c r="F842" s="21"/>
      <c r="G842" s="45"/>
      <c r="H842" s="20"/>
      <c r="I842" s="20"/>
      <c r="J842" s="20"/>
      <c r="K842" s="20"/>
      <c r="L842" s="46"/>
      <c r="M842" s="33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4" t="str">
        <f>IFERROR(__xludf.DUMMYFUNCTION("IF(Account!$F842&lt;&gt;"""", VALUE(REGEXREPLACE($I842, ""\,"", ""."")), """")"),"")</f>
        <v/>
      </c>
      <c r="O842" s="35" t="str">
        <f>IF(Account!$F842&lt;&gt;"", DATEVALUE(MID($A842,4,3) &amp; LEFT($A842,3) &amp; RIGHT($A842,4)) + TIMEVALUE($B842), "")</f>
        <v/>
      </c>
      <c r="P842" s="36" t="str">
        <f>IF(Account!$F842&lt;&gt;"", DATEVALUE(MID($C842,4,3) &amp; LEFT($C842,3) &amp; RIGHT($C842,4)), "")</f>
        <v/>
      </c>
      <c r="Q842" s="37" t="str">
        <f t="array" ref="Q842">IF($R842&lt;&gt;"",IFERROR(INDEX(ISIN!$B:$B,MATCH($R842,ISIN!$C:$C,0))),)</f>
        <v/>
      </c>
      <c r="R842" s="38" t="str">
        <f t="array" ref="R842">IF($E842&lt;&gt;""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7" t="str">
        <f t="shared" si="1"/>
        <v/>
      </c>
      <c r="T842" s="39" t="str">
        <f t="shared" si="2"/>
        <v/>
      </c>
      <c r="U842" s="40" t="str">
        <f t="shared" si="3"/>
        <v/>
      </c>
      <c r="V842" s="34" t="str">
        <f t="shared" si="4"/>
        <v/>
      </c>
      <c r="W842" s="41" t="str">
        <f>IFERROR(__xludf.DUMMYFUNCTION(" IF(Account!$F842&lt;&gt;"""", SPLIT(Account!$F842, "" ""), """")"),"")</f>
        <v/>
      </c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</row>
    <row r="843">
      <c r="A843" s="20"/>
      <c r="B843" s="20"/>
      <c r="C843" s="20"/>
      <c r="D843" s="45"/>
      <c r="E843" s="45"/>
      <c r="F843" s="21"/>
      <c r="G843" s="20"/>
      <c r="H843" s="20"/>
      <c r="I843" s="20"/>
      <c r="J843" s="20"/>
      <c r="K843" s="20"/>
      <c r="L843" s="46"/>
      <c r="M843" s="33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4" t="str">
        <f>IFERROR(__xludf.DUMMYFUNCTION("IF(Account!$F843&lt;&gt;"""", VALUE(REGEXREPLACE($I843, ""\,"", ""."")), """")"),"")</f>
        <v/>
      </c>
      <c r="O843" s="35" t="str">
        <f>IF(Account!$F843&lt;&gt;"", DATEVALUE(MID($A843,4,3) &amp; LEFT($A843,3) &amp; RIGHT($A843,4)) + TIMEVALUE($B843), "")</f>
        <v/>
      </c>
      <c r="P843" s="36" t="str">
        <f>IF(Account!$F843&lt;&gt;"", DATEVALUE(MID($C843,4,3) &amp; LEFT($C843,3) &amp; RIGHT($C843,4)), "")</f>
        <v/>
      </c>
      <c r="Q843" s="37" t="str">
        <f t="array" ref="Q843">IF($R843&lt;&gt;"",IFERROR(INDEX(ISIN!$B:$B,MATCH($R843,ISIN!$C:$C,0))),)</f>
        <v/>
      </c>
      <c r="R843" s="38" t="str">
        <f t="array" ref="R843">IF($E843&lt;&gt;""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7" t="str">
        <f t="shared" si="1"/>
        <v/>
      </c>
      <c r="T843" s="39" t="str">
        <f t="shared" si="2"/>
        <v/>
      </c>
      <c r="U843" s="40" t="str">
        <f t="shared" si="3"/>
        <v/>
      </c>
      <c r="V843" s="34" t="str">
        <f t="shared" si="4"/>
        <v/>
      </c>
      <c r="W843" s="41" t="str">
        <f>IFERROR(__xludf.DUMMYFUNCTION(" IF(Account!$F843&lt;&gt;"""", SPLIT(Account!$F843, "" ""), """")"),"")</f>
        <v/>
      </c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</row>
    <row r="844">
      <c r="A844" s="20"/>
      <c r="B844" s="20"/>
      <c r="C844" s="20"/>
      <c r="D844" s="20"/>
      <c r="E844" s="20"/>
      <c r="F844" s="21"/>
      <c r="G844" s="45"/>
      <c r="H844" s="20"/>
      <c r="I844" s="20"/>
      <c r="J844" s="20"/>
      <c r="K844" s="20"/>
      <c r="L844" s="46"/>
      <c r="M844" s="33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4" t="str">
        <f>IFERROR(__xludf.DUMMYFUNCTION("IF(Account!$F844&lt;&gt;"""", VALUE(REGEXREPLACE($I844, ""\,"", ""."")), """")"),"")</f>
        <v/>
      </c>
      <c r="O844" s="35" t="str">
        <f>IF(Account!$F844&lt;&gt;"", DATEVALUE(MID($A844,4,3) &amp; LEFT($A844,3) &amp; RIGHT($A844,4)) + TIMEVALUE($B844), "")</f>
        <v/>
      </c>
      <c r="P844" s="36" t="str">
        <f>IF(Account!$F844&lt;&gt;"", DATEVALUE(MID($C844,4,3) &amp; LEFT($C844,3) &amp; RIGHT($C844,4)), "")</f>
        <v/>
      </c>
      <c r="Q844" s="37" t="str">
        <f t="array" ref="Q844">IF($R844&lt;&gt;"",IFERROR(INDEX(ISIN!$B:$B,MATCH($R844,ISIN!$C:$C,0))),)</f>
        <v/>
      </c>
      <c r="R844" s="38" t="str">
        <f t="array" ref="R844">IF($E844&lt;&gt;""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7" t="str">
        <f t="shared" si="1"/>
        <v/>
      </c>
      <c r="T844" s="39" t="str">
        <f t="shared" si="2"/>
        <v/>
      </c>
      <c r="U844" s="40" t="str">
        <f t="shared" si="3"/>
        <v/>
      </c>
      <c r="V844" s="34" t="str">
        <f t="shared" si="4"/>
        <v/>
      </c>
      <c r="W844" s="41" t="str">
        <f>IFERROR(__xludf.DUMMYFUNCTION(" IF(Account!$F844&lt;&gt;"""", SPLIT(Account!$F844, "" ""), """")"),"")</f>
        <v/>
      </c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</row>
    <row r="845">
      <c r="A845" s="20"/>
      <c r="B845" s="20"/>
      <c r="C845" s="20"/>
      <c r="D845" s="20"/>
      <c r="E845" s="20"/>
      <c r="F845" s="21"/>
      <c r="G845" s="45"/>
      <c r="H845" s="20"/>
      <c r="I845" s="20"/>
      <c r="J845" s="20"/>
      <c r="K845" s="20"/>
      <c r="L845" s="46"/>
      <c r="M845" s="33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4" t="str">
        <f>IFERROR(__xludf.DUMMYFUNCTION("IF(Account!$F845&lt;&gt;"""", VALUE(REGEXREPLACE($I845, ""\,"", ""."")), """")"),"")</f>
        <v/>
      </c>
      <c r="O845" s="35" t="str">
        <f>IF(Account!$F845&lt;&gt;"", DATEVALUE(MID($A845,4,3) &amp; LEFT($A845,3) &amp; RIGHT($A845,4)) + TIMEVALUE($B845), "")</f>
        <v/>
      </c>
      <c r="P845" s="36" t="str">
        <f>IF(Account!$F845&lt;&gt;"", DATEVALUE(MID($C845,4,3) &amp; LEFT($C845,3) &amp; RIGHT($C845,4)), "")</f>
        <v/>
      </c>
      <c r="Q845" s="37" t="str">
        <f t="array" ref="Q845">IF($R845&lt;&gt;"",IFERROR(INDEX(ISIN!$B:$B,MATCH($R845,ISIN!$C:$C,0))),)</f>
        <v/>
      </c>
      <c r="R845" s="38" t="str">
        <f t="array" ref="R845">IF($E845&lt;&gt;""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7" t="str">
        <f t="shared" si="1"/>
        <v/>
      </c>
      <c r="T845" s="39" t="str">
        <f t="shared" si="2"/>
        <v/>
      </c>
      <c r="U845" s="40" t="str">
        <f t="shared" si="3"/>
        <v/>
      </c>
      <c r="V845" s="34" t="str">
        <f t="shared" si="4"/>
        <v/>
      </c>
      <c r="W845" s="41" t="str">
        <f>IFERROR(__xludf.DUMMYFUNCTION(" IF(Account!$F845&lt;&gt;"""", SPLIT(Account!$F845, "" ""), """")"),"")</f>
        <v/>
      </c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</row>
    <row r="846">
      <c r="A846" s="20"/>
      <c r="B846" s="20"/>
      <c r="C846" s="20"/>
      <c r="D846" s="45"/>
      <c r="E846" s="45"/>
      <c r="F846" s="21"/>
      <c r="G846" s="45"/>
      <c r="H846" s="20"/>
      <c r="I846" s="20"/>
      <c r="J846" s="20"/>
      <c r="K846" s="20"/>
      <c r="L846" s="46"/>
      <c r="M846" s="33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4" t="str">
        <f>IFERROR(__xludf.DUMMYFUNCTION("IF(Account!$F846&lt;&gt;"""", VALUE(REGEXREPLACE($I846, ""\,"", ""."")), """")"),"")</f>
        <v/>
      </c>
      <c r="O846" s="35" t="str">
        <f>IF(Account!$F846&lt;&gt;"", DATEVALUE(MID($A846,4,3) &amp; LEFT($A846,3) &amp; RIGHT($A846,4)) + TIMEVALUE($B846), "")</f>
        <v/>
      </c>
      <c r="P846" s="36" t="str">
        <f>IF(Account!$F846&lt;&gt;"", DATEVALUE(MID($C846,4,3) &amp; LEFT($C846,3) &amp; RIGHT($C846,4)), "")</f>
        <v/>
      </c>
      <c r="Q846" s="37" t="str">
        <f t="array" ref="Q846">IF($R846&lt;&gt;"",IFERROR(INDEX(ISIN!$B:$B,MATCH($R846,ISIN!$C:$C,0))),)</f>
        <v/>
      </c>
      <c r="R846" s="38" t="str">
        <f t="array" ref="R846">IF($E846&lt;&gt;""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7" t="str">
        <f t="shared" si="1"/>
        <v/>
      </c>
      <c r="T846" s="39" t="str">
        <f t="shared" si="2"/>
        <v/>
      </c>
      <c r="U846" s="40" t="str">
        <f t="shared" si="3"/>
        <v/>
      </c>
      <c r="V846" s="34" t="str">
        <f t="shared" si="4"/>
        <v/>
      </c>
      <c r="W846" s="41" t="str">
        <f>IFERROR(__xludf.DUMMYFUNCTION(" IF(Account!$F846&lt;&gt;"""", SPLIT(Account!$F846, "" ""), """")"),"")</f>
        <v/>
      </c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</row>
    <row r="847">
      <c r="A847" s="20"/>
      <c r="B847" s="20"/>
      <c r="C847" s="20"/>
      <c r="D847" s="45"/>
      <c r="E847" s="45"/>
      <c r="F847" s="21"/>
      <c r="G847" s="20"/>
      <c r="H847" s="20"/>
      <c r="I847" s="20"/>
      <c r="J847" s="20"/>
      <c r="K847" s="20"/>
      <c r="L847" s="46"/>
      <c r="M847" s="33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4" t="str">
        <f>IFERROR(__xludf.DUMMYFUNCTION("IF(Account!$F847&lt;&gt;"""", VALUE(REGEXREPLACE($I847, ""\,"", ""."")), """")"),"")</f>
        <v/>
      </c>
      <c r="O847" s="35" t="str">
        <f>IF(Account!$F847&lt;&gt;"", DATEVALUE(MID($A847,4,3) &amp; LEFT($A847,3) &amp; RIGHT($A847,4)) + TIMEVALUE($B847), "")</f>
        <v/>
      </c>
      <c r="P847" s="36" t="str">
        <f>IF(Account!$F847&lt;&gt;"", DATEVALUE(MID($C847,4,3) &amp; LEFT($C847,3) &amp; RIGHT($C847,4)), "")</f>
        <v/>
      </c>
      <c r="Q847" s="37" t="str">
        <f t="array" ref="Q847">IF($R847&lt;&gt;"",IFERROR(INDEX(ISIN!$B:$B,MATCH($R847,ISIN!$C:$C,0))),)</f>
        <v/>
      </c>
      <c r="R847" s="38" t="str">
        <f t="array" ref="R847">IF($E847&lt;&gt;""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7" t="str">
        <f t="shared" si="1"/>
        <v/>
      </c>
      <c r="T847" s="39" t="str">
        <f t="shared" si="2"/>
        <v/>
      </c>
      <c r="U847" s="40" t="str">
        <f t="shared" si="3"/>
        <v/>
      </c>
      <c r="V847" s="34" t="str">
        <f t="shared" si="4"/>
        <v/>
      </c>
      <c r="W847" s="41" t="str">
        <f>IFERROR(__xludf.DUMMYFUNCTION(" IF(Account!$F847&lt;&gt;"""", SPLIT(Account!$F847, "" ""), """")"),"")</f>
        <v/>
      </c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</row>
    <row r="848">
      <c r="A848" s="20"/>
      <c r="B848" s="20"/>
      <c r="C848" s="20"/>
      <c r="D848" s="20"/>
      <c r="E848" s="20"/>
      <c r="F848" s="21"/>
      <c r="G848" s="45"/>
      <c r="H848" s="45"/>
      <c r="I848" s="45"/>
      <c r="J848" s="20"/>
      <c r="K848" s="20"/>
      <c r="L848" s="46"/>
      <c r="M848" s="33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4" t="str">
        <f>IFERROR(__xludf.DUMMYFUNCTION("IF(Account!$F848&lt;&gt;"""", VALUE(REGEXREPLACE($I848, ""\,"", ""."")), """")"),"")</f>
        <v/>
      </c>
      <c r="O848" s="35" t="str">
        <f>IF(Account!$F848&lt;&gt;"", DATEVALUE(MID($A848,4,3) &amp; LEFT($A848,3) &amp; RIGHT($A848,4)) + TIMEVALUE($B848), "")</f>
        <v/>
      </c>
      <c r="P848" s="36" t="str">
        <f>IF(Account!$F848&lt;&gt;"", DATEVALUE(MID($C848,4,3) &amp; LEFT($C848,3) &amp; RIGHT($C848,4)), "")</f>
        <v/>
      </c>
      <c r="Q848" s="37" t="str">
        <f t="array" ref="Q848">IF($R848&lt;&gt;"",IFERROR(INDEX(ISIN!$B:$B,MATCH($R848,ISIN!$C:$C,0))),)</f>
        <v/>
      </c>
      <c r="R848" s="38" t="str">
        <f t="array" ref="R848">IF($E848&lt;&gt;""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7" t="str">
        <f t="shared" si="1"/>
        <v/>
      </c>
      <c r="T848" s="39" t="str">
        <f t="shared" si="2"/>
        <v/>
      </c>
      <c r="U848" s="40" t="str">
        <f t="shared" si="3"/>
        <v/>
      </c>
      <c r="V848" s="34" t="str">
        <f t="shared" si="4"/>
        <v/>
      </c>
      <c r="W848" s="41" t="str">
        <f>IFERROR(__xludf.DUMMYFUNCTION(" IF(Account!$F848&lt;&gt;"""", SPLIT(Account!$F848, "" ""), """")"),"")</f>
        <v/>
      </c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</row>
    <row r="849">
      <c r="A849" s="20"/>
      <c r="B849" s="20"/>
      <c r="C849" s="20"/>
      <c r="D849" s="20"/>
      <c r="E849" s="20"/>
      <c r="F849" s="21"/>
      <c r="G849" s="45"/>
      <c r="H849" s="20"/>
      <c r="I849" s="20"/>
      <c r="J849" s="20"/>
      <c r="K849" s="20"/>
      <c r="L849" s="46"/>
      <c r="M849" s="33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4" t="str">
        <f>IFERROR(__xludf.DUMMYFUNCTION("IF(Account!$F849&lt;&gt;"""", VALUE(REGEXREPLACE($I849, ""\,"", ""."")), """")"),"")</f>
        <v/>
      </c>
      <c r="O849" s="35" t="str">
        <f>IF(Account!$F849&lt;&gt;"", DATEVALUE(MID($A849,4,3) &amp; LEFT($A849,3) &amp; RIGHT($A849,4)) + TIMEVALUE($B849), "")</f>
        <v/>
      </c>
      <c r="P849" s="36" t="str">
        <f>IF(Account!$F849&lt;&gt;"", DATEVALUE(MID($C849,4,3) &amp; LEFT($C849,3) &amp; RIGHT($C849,4)), "")</f>
        <v/>
      </c>
      <c r="Q849" s="37" t="str">
        <f t="array" ref="Q849">IF($R849&lt;&gt;"",IFERROR(INDEX(ISIN!$B:$B,MATCH($R849,ISIN!$C:$C,0))),)</f>
        <v/>
      </c>
      <c r="R849" s="38" t="str">
        <f t="array" ref="R849">IF($E849&lt;&gt;""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7" t="str">
        <f t="shared" si="1"/>
        <v/>
      </c>
      <c r="T849" s="39" t="str">
        <f t="shared" si="2"/>
        <v/>
      </c>
      <c r="U849" s="40" t="str">
        <f t="shared" si="3"/>
        <v/>
      </c>
      <c r="V849" s="34" t="str">
        <f t="shared" si="4"/>
        <v/>
      </c>
      <c r="W849" s="41" t="str">
        <f>IFERROR(__xludf.DUMMYFUNCTION(" IF(Account!$F849&lt;&gt;"""", SPLIT(Account!$F849, "" ""), """")"),"")</f>
        <v/>
      </c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</row>
    <row r="850">
      <c r="A850" s="20"/>
      <c r="B850" s="20"/>
      <c r="C850" s="20"/>
      <c r="D850" s="20"/>
      <c r="E850" s="20"/>
      <c r="F850" s="21"/>
      <c r="G850" s="20"/>
      <c r="H850" s="20"/>
      <c r="I850" s="20"/>
      <c r="J850" s="20"/>
      <c r="K850" s="20"/>
      <c r="L850" s="21"/>
      <c r="M850" s="33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4" t="str">
        <f>IFERROR(__xludf.DUMMYFUNCTION("IF(Account!$F850&lt;&gt;"""", VALUE(REGEXREPLACE($I850, ""\,"", ""."")), """")"),"")</f>
        <v/>
      </c>
      <c r="O850" s="35" t="str">
        <f>IF(Account!$F850&lt;&gt;"", DATEVALUE(MID($A850,4,3) &amp; LEFT($A850,3) &amp; RIGHT($A850,4)) + TIMEVALUE($B850), "")</f>
        <v/>
      </c>
      <c r="P850" s="36" t="str">
        <f>IF(Account!$F850&lt;&gt;"", DATEVALUE(MID($C850,4,3) &amp; LEFT($C850,3) &amp; RIGHT($C850,4)), "")</f>
        <v/>
      </c>
      <c r="Q850" s="37" t="str">
        <f t="array" ref="Q850">IF($R850&lt;&gt;"",IFERROR(INDEX(ISIN!$B:$B,MATCH($R850,ISIN!$C:$C,0))),)</f>
        <v/>
      </c>
      <c r="R850" s="38" t="str">
        <f t="array" ref="R850">IF($E850&lt;&gt;""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7" t="str">
        <f t="shared" si="1"/>
        <v/>
      </c>
      <c r="T850" s="39" t="str">
        <f t="shared" si="2"/>
        <v/>
      </c>
      <c r="U850" s="40" t="str">
        <f t="shared" si="3"/>
        <v/>
      </c>
      <c r="V850" s="34" t="str">
        <f t="shared" si="4"/>
        <v/>
      </c>
      <c r="W850" s="41" t="str">
        <f>IFERROR(__xludf.DUMMYFUNCTION(" IF(Account!$F850&lt;&gt;"""", SPLIT(Account!$F850, "" ""), """")"),"")</f>
        <v/>
      </c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</row>
    <row r="851">
      <c r="A851" s="20"/>
      <c r="B851" s="20"/>
      <c r="C851" s="20"/>
      <c r="D851" s="20"/>
      <c r="E851" s="20"/>
      <c r="F851" s="21"/>
      <c r="G851" s="45"/>
      <c r="H851" s="20"/>
      <c r="I851" s="20"/>
      <c r="J851" s="20"/>
      <c r="K851" s="20"/>
      <c r="L851" s="21"/>
      <c r="M851" s="33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4" t="str">
        <f>IFERROR(__xludf.DUMMYFUNCTION("IF(Account!$F851&lt;&gt;"""", VALUE(REGEXREPLACE($I851, ""\,"", ""."")), """")"),"")</f>
        <v/>
      </c>
      <c r="O851" s="35" t="str">
        <f>IF(Account!$F851&lt;&gt;"", DATEVALUE(MID($A851,4,3) &amp; LEFT($A851,3) &amp; RIGHT($A851,4)) + TIMEVALUE($B851), "")</f>
        <v/>
      </c>
      <c r="P851" s="36" t="str">
        <f>IF(Account!$F851&lt;&gt;"", DATEVALUE(MID($C851,4,3) &amp; LEFT($C851,3) &amp; RIGHT($C851,4)), "")</f>
        <v/>
      </c>
      <c r="Q851" s="37" t="str">
        <f t="array" ref="Q851">IF($R851&lt;&gt;"",IFERROR(INDEX(ISIN!$B:$B,MATCH($R851,ISIN!$C:$C,0))),)</f>
        <v/>
      </c>
      <c r="R851" s="38" t="str">
        <f t="array" ref="R851">IF($E851&lt;&gt;""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7" t="str">
        <f t="shared" si="1"/>
        <v/>
      </c>
      <c r="T851" s="39" t="str">
        <f t="shared" si="2"/>
        <v/>
      </c>
      <c r="U851" s="40" t="str">
        <f t="shared" si="3"/>
        <v/>
      </c>
      <c r="V851" s="34" t="str">
        <f t="shared" si="4"/>
        <v/>
      </c>
      <c r="W851" s="41" t="str">
        <f>IFERROR(__xludf.DUMMYFUNCTION(" IF(Account!$F851&lt;&gt;"""", SPLIT(Account!$F851, "" ""), """")"),"")</f>
        <v/>
      </c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</row>
    <row r="852">
      <c r="A852" s="20"/>
      <c r="B852" s="20"/>
      <c r="C852" s="20"/>
      <c r="D852" s="20"/>
      <c r="E852" s="20"/>
      <c r="F852" s="21"/>
      <c r="G852" s="45"/>
      <c r="H852" s="20"/>
      <c r="I852" s="20"/>
      <c r="J852" s="20"/>
      <c r="K852" s="20"/>
      <c r="L852" s="21"/>
      <c r="M852" s="33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4" t="str">
        <f>IFERROR(__xludf.DUMMYFUNCTION("IF(Account!$F852&lt;&gt;"""", VALUE(REGEXREPLACE($I852, ""\,"", ""."")), """")"),"")</f>
        <v/>
      </c>
      <c r="O852" s="35" t="str">
        <f>IF(Account!$F852&lt;&gt;"", DATEVALUE(MID($A852,4,3) &amp; LEFT($A852,3) &amp; RIGHT($A852,4)) + TIMEVALUE($B852), "")</f>
        <v/>
      </c>
      <c r="P852" s="36" t="str">
        <f>IF(Account!$F852&lt;&gt;"", DATEVALUE(MID($C852,4,3) &amp; LEFT($C852,3) &amp; RIGHT($C852,4)), "")</f>
        <v/>
      </c>
      <c r="Q852" s="37" t="str">
        <f t="array" ref="Q852">IF($R852&lt;&gt;"",IFERROR(INDEX(ISIN!$B:$B,MATCH($R852,ISIN!$C:$C,0))),)</f>
        <v/>
      </c>
      <c r="R852" s="38" t="str">
        <f t="array" ref="R852">IF($E852&lt;&gt;""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7" t="str">
        <f t="shared" si="1"/>
        <v/>
      </c>
      <c r="T852" s="39" t="str">
        <f t="shared" si="2"/>
        <v/>
      </c>
      <c r="U852" s="40" t="str">
        <f t="shared" si="3"/>
        <v/>
      </c>
      <c r="V852" s="34" t="str">
        <f t="shared" si="4"/>
        <v/>
      </c>
      <c r="W852" s="41" t="str">
        <f>IFERROR(__xludf.DUMMYFUNCTION(" IF(Account!$F852&lt;&gt;"""", SPLIT(Account!$F852, "" ""), """")"),"")</f>
        <v/>
      </c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</row>
    <row r="853">
      <c r="A853" s="20"/>
      <c r="B853" s="20"/>
      <c r="C853" s="20"/>
      <c r="D853" s="20"/>
      <c r="E853" s="20"/>
      <c r="F853" s="21"/>
      <c r="G853" s="45"/>
      <c r="H853" s="20"/>
      <c r="I853" s="20"/>
      <c r="J853" s="20"/>
      <c r="K853" s="20"/>
      <c r="L853" s="21"/>
      <c r="M853" s="33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4" t="str">
        <f>IFERROR(__xludf.DUMMYFUNCTION("IF(Account!$F853&lt;&gt;"""", VALUE(REGEXREPLACE($I853, ""\,"", ""."")), """")"),"")</f>
        <v/>
      </c>
      <c r="O853" s="35" t="str">
        <f>IF(Account!$F853&lt;&gt;"", DATEVALUE(MID($A853,4,3) &amp; LEFT($A853,3) &amp; RIGHT($A853,4)) + TIMEVALUE($B853), "")</f>
        <v/>
      </c>
      <c r="P853" s="36" t="str">
        <f>IF(Account!$F853&lt;&gt;"", DATEVALUE(MID($C853,4,3) &amp; LEFT($C853,3) &amp; RIGHT($C853,4)), "")</f>
        <v/>
      </c>
      <c r="Q853" s="37" t="str">
        <f t="array" ref="Q853">IF($R853&lt;&gt;"",IFERROR(INDEX(ISIN!$B:$B,MATCH($R853,ISIN!$C:$C,0))),)</f>
        <v/>
      </c>
      <c r="R853" s="38" t="str">
        <f t="array" ref="R853">IF($E853&lt;&gt;""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7" t="str">
        <f t="shared" si="1"/>
        <v/>
      </c>
      <c r="T853" s="39" t="str">
        <f t="shared" si="2"/>
        <v/>
      </c>
      <c r="U853" s="40" t="str">
        <f t="shared" si="3"/>
        <v/>
      </c>
      <c r="V853" s="34" t="str">
        <f t="shared" si="4"/>
        <v/>
      </c>
      <c r="W853" s="41" t="str">
        <f>IFERROR(__xludf.DUMMYFUNCTION(" IF(Account!$F853&lt;&gt;"""", SPLIT(Account!$F853, "" ""), """")"),"")</f>
        <v/>
      </c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</row>
    <row r="854">
      <c r="A854" s="20"/>
      <c r="B854" s="20"/>
      <c r="C854" s="20"/>
      <c r="D854" s="20"/>
      <c r="E854" s="20"/>
      <c r="F854" s="21"/>
      <c r="G854" s="45"/>
      <c r="H854" s="20"/>
      <c r="I854" s="20"/>
      <c r="J854" s="20"/>
      <c r="K854" s="20"/>
      <c r="L854" s="21"/>
      <c r="M854" s="33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4" t="str">
        <f>IFERROR(__xludf.DUMMYFUNCTION("IF(Account!$F854&lt;&gt;"""", VALUE(REGEXREPLACE($I854, ""\,"", ""."")), """")"),"")</f>
        <v/>
      </c>
      <c r="O854" s="35" t="str">
        <f>IF(Account!$F854&lt;&gt;"", DATEVALUE(MID($A854,4,3) &amp; LEFT($A854,3) &amp; RIGHT($A854,4)) + TIMEVALUE($B854), "")</f>
        <v/>
      </c>
      <c r="P854" s="36" t="str">
        <f>IF(Account!$F854&lt;&gt;"", DATEVALUE(MID($C854,4,3) &amp; LEFT($C854,3) &amp; RIGHT($C854,4)), "")</f>
        <v/>
      </c>
      <c r="Q854" s="37" t="str">
        <f t="array" ref="Q854">IF($R854&lt;&gt;"",IFERROR(INDEX(ISIN!$B:$B,MATCH($R854,ISIN!$C:$C,0))),)</f>
        <v/>
      </c>
      <c r="R854" s="38" t="str">
        <f t="array" ref="R854">IF($E854&lt;&gt;""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7" t="str">
        <f t="shared" si="1"/>
        <v/>
      </c>
      <c r="T854" s="39" t="str">
        <f t="shared" si="2"/>
        <v/>
      </c>
      <c r="U854" s="40" t="str">
        <f t="shared" si="3"/>
        <v/>
      </c>
      <c r="V854" s="34" t="str">
        <f t="shared" si="4"/>
        <v/>
      </c>
      <c r="W854" s="41" t="str">
        <f>IFERROR(__xludf.DUMMYFUNCTION(" IF(Account!$F854&lt;&gt;"""", SPLIT(Account!$F854, "" ""), """")"),"")</f>
        <v/>
      </c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</row>
    <row r="855">
      <c r="A855" s="20"/>
      <c r="B855" s="20"/>
      <c r="C855" s="20"/>
      <c r="D855" s="20"/>
      <c r="E855" s="20"/>
      <c r="F855" s="21"/>
      <c r="G855" s="20"/>
      <c r="H855" s="20"/>
      <c r="I855" s="20"/>
      <c r="J855" s="20"/>
      <c r="K855" s="20"/>
      <c r="L855" s="21"/>
      <c r="M855" s="33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4" t="str">
        <f>IFERROR(__xludf.DUMMYFUNCTION("IF(Account!$F855&lt;&gt;"""", VALUE(REGEXREPLACE($I855, ""\,"", ""."")), """")"),"")</f>
        <v/>
      </c>
      <c r="O855" s="35" t="str">
        <f>IF(Account!$F855&lt;&gt;"", DATEVALUE(MID($A855,4,3) &amp; LEFT($A855,3) &amp; RIGHT($A855,4)) + TIMEVALUE($B855), "")</f>
        <v/>
      </c>
      <c r="P855" s="36" t="str">
        <f>IF(Account!$F855&lt;&gt;"", DATEVALUE(MID($C855,4,3) &amp; LEFT($C855,3) &amp; RIGHT($C855,4)), "")</f>
        <v/>
      </c>
      <c r="Q855" s="37" t="str">
        <f t="array" ref="Q855">IF($R855&lt;&gt;"",IFERROR(INDEX(ISIN!$B:$B,MATCH($R855,ISIN!$C:$C,0))),)</f>
        <v/>
      </c>
      <c r="R855" s="38" t="str">
        <f t="array" ref="R855">IF($E855&lt;&gt;""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7" t="str">
        <f t="shared" si="1"/>
        <v/>
      </c>
      <c r="T855" s="39" t="str">
        <f t="shared" si="2"/>
        <v/>
      </c>
      <c r="U855" s="40" t="str">
        <f t="shared" si="3"/>
        <v/>
      </c>
      <c r="V855" s="34" t="str">
        <f t="shared" si="4"/>
        <v/>
      </c>
      <c r="W855" s="41" t="str">
        <f>IFERROR(__xludf.DUMMYFUNCTION(" IF(Account!$F855&lt;&gt;"""", SPLIT(Account!$F855, "" ""), """")"),"")</f>
        <v/>
      </c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</row>
    <row r="856">
      <c r="A856" s="20"/>
      <c r="B856" s="20"/>
      <c r="C856" s="20"/>
      <c r="D856" s="20"/>
      <c r="E856" s="20"/>
      <c r="F856" s="21"/>
      <c r="G856" s="45"/>
      <c r="H856" s="20"/>
      <c r="I856" s="20"/>
      <c r="J856" s="20"/>
      <c r="K856" s="20"/>
      <c r="L856" s="21"/>
      <c r="M856" s="33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4" t="str">
        <f>IFERROR(__xludf.DUMMYFUNCTION("IF(Account!$F856&lt;&gt;"""", VALUE(REGEXREPLACE($I856, ""\,"", ""."")), """")"),"")</f>
        <v/>
      </c>
      <c r="O856" s="35" t="str">
        <f>IF(Account!$F856&lt;&gt;"", DATEVALUE(MID($A856,4,3) &amp; LEFT($A856,3) &amp; RIGHT($A856,4)) + TIMEVALUE($B856), "")</f>
        <v/>
      </c>
      <c r="P856" s="36" t="str">
        <f>IF(Account!$F856&lt;&gt;"", DATEVALUE(MID($C856,4,3) &amp; LEFT($C856,3) &amp; RIGHT($C856,4)), "")</f>
        <v/>
      </c>
      <c r="Q856" s="37" t="str">
        <f t="array" ref="Q856">IF($R856&lt;&gt;"",IFERROR(INDEX(ISIN!$B:$B,MATCH($R856,ISIN!$C:$C,0))),)</f>
        <v/>
      </c>
      <c r="R856" s="38" t="str">
        <f t="array" ref="R856">IF($E856&lt;&gt;""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7" t="str">
        <f t="shared" si="1"/>
        <v/>
      </c>
      <c r="T856" s="39" t="str">
        <f t="shared" si="2"/>
        <v/>
      </c>
      <c r="U856" s="40" t="str">
        <f t="shared" si="3"/>
        <v/>
      </c>
      <c r="V856" s="34" t="str">
        <f t="shared" si="4"/>
        <v/>
      </c>
      <c r="W856" s="41" t="str">
        <f>IFERROR(__xludf.DUMMYFUNCTION(" IF(Account!$F856&lt;&gt;"""", SPLIT(Account!$F856, "" ""), """")"),"")</f>
        <v/>
      </c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</row>
    <row r="857">
      <c r="A857" s="20"/>
      <c r="B857" s="20"/>
      <c r="C857" s="20"/>
      <c r="D857" s="20"/>
      <c r="E857" s="20"/>
      <c r="F857" s="21"/>
      <c r="G857" s="45"/>
      <c r="H857" s="20"/>
      <c r="I857" s="20"/>
      <c r="J857" s="20"/>
      <c r="K857" s="20"/>
      <c r="L857" s="21"/>
      <c r="M857" s="33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4" t="str">
        <f>IFERROR(__xludf.DUMMYFUNCTION("IF(Account!$F857&lt;&gt;"""", VALUE(REGEXREPLACE($I857, ""\,"", ""."")), """")"),"")</f>
        <v/>
      </c>
      <c r="O857" s="35" t="str">
        <f>IF(Account!$F857&lt;&gt;"", DATEVALUE(MID($A857,4,3) &amp; LEFT($A857,3) &amp; RIGHT($A857,4)) + TIMEVALUE($B857), "")</f>
        <v/>
      </c>
      <c r="P857" s="36" t="str">
        <f>IF(Account!$F857&lt;&gt;"", DATEVALUE(MID($C857,4,3) &amp; LEFT($C857,3) &amp; RIGHT($C857,4)), "")</f>
        <v/>
      </c>
      <c r="Q857" s="37" t="str">
        <f t="array" ref="Q857">IF($R857&lt;&gt;"",IFERROR(INDEX(ISIN!$B:$B,MATCH($R857,ISIN!$C:$C,0))),)</f>
        <v/>
      </c>
      <c r="R857" s="38" t="str">
        <f t="array" ref="R857">IF($E857&lt;&gt;""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7" t="str">
        <f t="shared" si="1"/>
        <v/>
      </c>
      <c r="T857" s="39" t="str">
        <f t="shared" si="2"/>
        <v/>
      </c>
      <c r="U857" s="40" t="str">
        <f t="shared" si="3"/>
        <v/>
      </c>
      <c r="V857" s="34" t="str">
        <f t="shared" si="4"/>
        <v/>
      </c>
      <c r="W857" s="41" t="str">
        <f>IFERROR(__xludf.DUMMYFUNCTION(" IF(Account!$F857&lt;&gt;"""", SPLIT(Account!$F857, "" ""), """")"),"")</f>
        <v/>
      </c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</row>
    <row r="858">
      <c r="A858" s="20"/>
      <c r="B858" s="20"/>
      <c r="C858" s="20"/>
      <c r="D858" s="20"/>
      <c r="E858" s="20"/>
      <c r="F858" s="21"/>
      <c r="G858" s="20"/>
      <c r="H858" s="20"/>
      <c r="I858" s="20"/>
      <c r="J858" s="20"/>
      <c r="K858" s="20"/>
      <c r="L858" s="21"/>
      <c r="M858" s="33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4" t="str">
        <f>IFERROR(__xludf.DUMMYFUNCTION("IF(Account!$F858&lt;&gt;"""", VALUE(REGEXREPLACE($I858, ""\,"", ""."")), """")"),"")</f>
        <v/>
      </c>
      <c r="O858" s="35" t="str">
        <f>IF(Account!$F858&lt;&gt;"", DATEVALUE(MID($A858,4,3) &amp; LEFT($A858,3) &amp; RIGHT($A858,4)) + TIMEVALUE($B858), "")</f>
        <v/>
      </c>
      <c r="P858" s="36" t="str">
        <f>IF(Account!$F858&lt;&gt;"", DATEVALUE(MID($C858,4,3) &amp; LEFT($C858,3) &amp; RIGHT($C858,4)), "")</f>
        <v/>
      </c>
      <c r="Q858" s="37" t="str">
        <f t="array" ref="Q858">IF($R858&lt;&gt;"",IFERROR(INDEX(ISIN!$B:$B,MATCH($R858,ISIN!$C:$C,0))),)</f>
        <v/>
      </c>
      <c r="R858" s="38" t="str">
        <f t="array" ref="R858">IF($E858&lt;&gt;""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7" t="str">
        <f t="shared" si="1"/>
        <v/>
      </c>
      <c r="T858" s="39" t="str">
        <f t="shared" si="2"/>
        <v/>
      </c>
      <c r="U858" s="40" t="str">
        <f t="shared" si="3"/>
        <v/>
      </c>
      <c r="V858" s="34" t="str">
        <f t="shared" si="4"/>
        <v/>
      </c>
      <c r="W858" s="41" t="str">
        <f>IFERROR(__xludf.DUMMYFUNCTION(" IF(Account!$F858&lt;&gt;"""", SPLIT(Account!$F858, "" ""), """")"),"")</f>
        <v/>
      </c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</row>
    <row r="859">
      <c r="A859" s="20"/>
      <c r="B859" s="20"/>
      <c r="C859" s="20"/>
      <c r="D859" s="20"/>
      <c r="E859" s="20"/>
      <c r="F859" s="21"/>
      <c r="G859" s="45"/>
      <c r="H859" s="20"/>
      <c r="I859" s="20"/>
      <c r="J859" s="20"/>
      <c r="K859" s="20"/>
      <c r="L859" s="21"/>
      <c r="M859" s="33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4" t="str">
        <f>IFERROR(__xludf.DUMMYFUNCTION("IF(Account!$F859&lt;&gt;"""", VALUE(REGEXREPLACE($I859, ""\,"", ""."")), """")"),"")</f>
        <v/>
      </c>
      <c r="O859" s="35" t="str">
        <f>IF(Account!$F859&lt;&gt;"", DATEVALUE(MID($A859,4,3) &amp; LEFT($A859,3) &amp; RIGHT($A859,4)) + TIMEVALUE($B859), "")</f>
        <v/>
      </c>
      <c r="P859" s="36" t="str">
        <f>IF(Account!$F859&lt;&gt;"", DATEVALUE(MID($C859,4,3) &amp; LEFT($C859,3) &amp; RIGHT($C859,4)), "")</f>
        <v/>
      </c>
      <c r="Q859" s="37" t="str">
        <f t="array" ref="Q859">IF($R859&lt;&gt;"",IFERROR(INDEX(ISIN!$B:$B,MATCH($R859,ISIN!$C:$C,0))),)</f>
        <v/>
      </c>
      <c r="R859" s="38" t="str">
        <f t="array" ref="R859">IF($E859&lt;&gt;""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7" t="str">
        <f t="shared" si="1"/>
        <v/>
      </c>
      <c r="T859" s="39" t="str">
        <f t="shared" si="2"/>
        <v/>
      </c>
      <c r="U859" s="40" t="str">
        <f t="shared" si="3"/>
        <v/>
      </c>
      <c r="V859" s="34" t="str">
        <f t="shared" si="4"/>
        <v/>
      </c>
      <c r="W859" s="41" t="str">
        <f>IFERROR(__xludf.DUMMYFUNCTION(" IF(Account!$F859&lt;&gt;"""", SPLIT(Account!$F859, "" ""), """")"),"")</f>
        <v/>
      </c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</row>
    <row r="860">
      <c r="A860" s="20"/>
      <c r="B860" s="20"/>
      <c r="C860" s="20"/>
      <c r="D860" s="20"/>
      <c r="E860" s="20"/>
      <c r="F860" s="21"/>
      <c r="G860" s="45"/>
      <c r="H860" s="20"/>
      <c r="I860" s="20"/>
      <c r="J860" s="20"/>
      <c r="K860" s="20"/>
      <c r="L860" s="21"/>
      <c r="M860" s="33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4" t="str">
        <f>IFERROR(__xludf.DUMMYFUNCTION("IF(Account!$F860&lt;&gt;"""", VALUE(REGEXREPLACE($I860, ""\,"", ""."")), """")"),"")</f>
        <v/>
      </c>
      <c r="O860" s="35" t="str">
        <f>IF(Account!$F860&lt;&gt;"", DATEVALUE(MID($A860,4,3) &amp; LEFT($A860,3) &amp; RIGHT($A860,4)) + TIMEVALUE($B860), "")</f>
        <v/>
      </c>
      <c r="P860" s="36" t="str">
        <f>IF(Account!$F860&lt;&gt;"", DATEVALUE(MID($C860,4,3) &amp; LEFT($C860,3) &amp; RIGHT($C860,4)), "")</f>
        <v/>
      </c>
      <c r="Q860" s="37" t="str">
        <f t="array" ref="Q860">IF($R860&lt;&gt;"",IFERROR(INDEX(ISIN!$B:$B,MATCH($R860,ISIN!$C:$C,0))),)</f>
        <v/>
      </c>
      <c r="R860" s="38" t="str">
        <f t="array" ref="R860">IF($E860&lt;&gt;""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7" t="str">
        <f t="shared" si="1"/>
        <v/>
      </c>
      <c r="T860" s="39" t="str">
        <f t="shared" si="2"/>
        <v/>
      </c>
      <c r="U860" s="40" t="str">
        <f t="shared" si="3"/>
        <v/>
      </c>
      <c r="V860" s="34" t="str">
        <f t="shared" si="4"/>
        <v/>
      </c>
      <c r="W860" s="41" t="str">
        <f>IFERROR(__xludf.DUMMYFUNCTION(" IF(Account!$F860&lt;&gt;"""", SPLIT(Account!$F860, "" ""), """")"),"")</f>
        <v/>
      </c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</row>
    <row r="861">
      <c r="A861" s="20"/>
      <c r="B861" s="20"/>
      <c r="C861" s="20"/>
      <c r="D861" s="20"/>
      <c r="E861" s="20"/>
      <c r="F861" s="21"/>
      <c r="G861" s="45"/>
      <c r="H861" s="20"/>
      <c r="I861" s="20"/>
      <c r="J861" s="20"/>
      <c r="K861" s="20"/>
      <c r="L861" s="21"/>
      <c r="M861" s="33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4" t="str">
        <f>IFERROR(__xludf.DUMMYFUNCTION("IF(Account!$F861&lt;&gt;"""", VALUE(REGEXREPLACE($I861, ""\,"", ""."")), """")"),"")</f>
        <v/>
      </c>
      <c r="O861" s="35" t="str">
        <f>IF(Account!$F861&lt;&gt;"", DATEVALUE(MID($A861,4,3) &amp; LEFT($A861,3) &amp; RIGHT($A861,4)) + TIMEVALUE($B861), "")</f>
        <v/>
      </c>
      <c r="P861" s="36" t="str">
        <f>IF(Account!$F861&lt;&gt;"", DATEVALUE(MID($C861,4,3) &amp; LEFT($C861,3) &amp; RIGHT($C861,4)), "")</f>
        <v/>
      </c>
      <c r="Q861" s="37" t="str">
        <f t="array" ref="Q861">IF($R861&lt;&gt;"",IFERROR(INDEX(ISIN!$B:$B,MATCH($R861,ISIN!$C:$C,0))),)</f>
        <v/>
      </c>
      <c r="R861" s="38" t="str">
        <f t="array" ref="R861">IF($E861&lt;&gt;""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7" t="str">
        <f t="shared" si="1"/>
        <v/>
      </c>
      <c r="T861" s="39" t="str">
        <f t="shared" si="2"/>
        <v/>
      </c>
      <c r="U861" s="40" t="str">
        <f t="shared" si="3"/>
        <v/>
      </c>
      <c r="V861" s="34" t="str">
        <f t="shared" si="4"/>
        <v/>
      </c>
      <c r="W861" s="41" t="str">
        <f>IFERROR(__xludf.DUMMYFUNCTION(" IF(Account!$F861&lt;&gt;"""", SPLIT(Account!$F861, "" ""), """")"),"")</f>
        <v/>
      </c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</row>
    <row r="862">
      <c r="A862" s="20"/>
      <c r="B862" s="20"/>
      <c r="C862" s="20"/>
      <c r="D862" s="20"/>
      <c r="E862" s="20"/>
      <c r="F862" s="21"/>
      <c r="G862" s="45"/>
      <c r="H862" s="20"/>
      <c r="I862" s="20"/>
      <c r="J862" s="20"/>
      <c r="K862" s="20"/>
      <c r="L862" s="21"/>
      <c r="M862" s="33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4" t="str">
        <f>IFERROR(__xludf.DUMMYFUNCTION("IF(Account!$F862&lt;&gt;"""", VALUE(REGEXREPLACE($I862, ""\,"", ""."")), """")"),"")</f>
        <v/>
      </c>
      <c r="O862" s="35" t="str">
        <f>IF(Account!$F862&lt;&gt;"", DATEVALUE(MID($A862,4,3) &amp; LEFT($A862,3) &amp; RIGHT($A862,4)) + TIMEVALUE($B862), "")</f>
        <v/>
      </c>
      <c r="P862" s="36" t="str">
        <f>IF(Account!$F862&lt;&gt;"", DATEVALUE(MID($C862,4,3) &amp; LEFT($C862,3) &amp; RIGHT($C862,4)), "")</f>
        <v/>
      </c>
      <c r="Q862" s="37" t="str">
        <f t="array" ref="Q862">IF($R862&lt;&gt;"",IFERROR(INDEX(ISIN!$B:$B,MATCH($R862,ISIN!$C:$C,0))),)</f>
        <v/>
      </c>
      <c r="R862" s="38" t="str">
        <f t="array" ref="R862">IF($E862&lt;&gt;""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7" t="str">
        <f t="shared" si="1"/>
        <v/>
      </c>
      <c r="T862" s="39" t="str">
        <f t="shared" si="2"/>
        <v/>
      </c>
      <c r="U862" s="40" t="str">
        <f t="shared" si="3"/>
        <v/>
      </c>
      <c r="V862" s="34" t="str">
        <f t="shared" si="4"/>
        <v/>
      </c>
      <c r="W862" s="41" t="str">
        <f>IFERROR(__xludf.DUMMYFUNCTION(" IF(Account!$F862&lt;&gt;"""", SPLIT(Account!$F862, "" ""), """")"),"")</f>
        <v/>
      </c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</row>
    <row r="863">
      <c r="A863" s="20"/>
      <c r="B863" s="20"/>
      <c r="C863" s="20"/>
      <c r="D863" s="45"/>
      <c r="E863" s="45"/>
      <c r="F863" s="21"/>
      <c r="G863" s="45"/>
      <c r="H863" s="20"/>
      <c r="I863" s="20"/>
      <c r="J863" s="20"/>
      <c r="K863" s="20"/>
      <c r="L863" s="46"/>
      <c r="M863" s="33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4" t="str">
        <f>IFERROR(__xludf.DUMMYFUNCTION("IF(Account!$F863&lt;&gt;"""", VALUE(REGEXREPLACE($I863, ""\,"", ""."")), """")"),"")</f>
        <v/>
      </c>
      <c r="O863" s="35" t="str">
        <f>IF(Account!$F863&lt;&gt;"", DATEVALUE(MID($A863,4,3) &amp; LEFT($A863,3) &amp; RIGHT($A863,4)) + TIMEVALUE($B863), "")</f>
        <v/>
      </c>
      <c r="P863" s="36" t="str">
        <f>IF(Account!$F863&lt;&gt;"", DATEVALUE(MID($C863,4,3) &amp; LEFT($C863,3) &amp; RIGHT($C863,4)), "")</f>
        <v/>
      </c>
      <c r="Q863" s="37" t="str">
        <f t="array" ref="Q863">IF($R863&lt;&gt;"",IFERROR(INDEX(ISIN!$B:$B,MATCH($R863,ISIN!$C:$C,0))),)</f>
        <v/>
      </c>
      <c r="R863" s="38" t="str">
        <f t="array" ref="R863">IF($E863&lt;&gt;""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7" t="str">
        <f t="shared" si="1"/>
        <v/>
      </c>
      <c r="T863" s="39" t="str">
        <f t="shared" si="2"/>
        <v/>
      </c>
      <c r="U863" s="40" t="str">
        <f t="shared" si="3"/>
        <v/>
      </c>
      <c r="V863" s="34" t="str">
        <f t="shared" si="4"/>
        <v/>
      </c>
      <c r="W863" s="41" t="str">
        <f>IFERROR(__xludf.DUMMYFUNCTION(" IF(Account!$F863&lt;&gt;"""", SPLIT(Account!$F863, "" ""), """")"),"")</f>
        <v/>
      </c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</row>
    <row r="864">
      <c r="A864" s="20"/>
      <c r="B864" s="20"/>
      <c r="C864" s="20"/>
      <c r="D864" s="45"/>
      <c r="E864" s="45"/>
      <c r="F864" s="21"/>
      <c r="G864" s="20"/>
      <c r="H864" s="20"/>
      <c r="I864" s="20"/>
      <c r="J864" s="20"/>
      <c r="K864" s="20"/>
      <c r="L864" s="46"/>
      <c r="M864" s="33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4" t="str">
        <f>IFERROR(__xludf.DUMMYFUNCTION("IF(Account!$F864&lt;&gt;"""", VALUE(REGEXREPLACE($I864, ""\,"", ""."")), """")"),"")</f>
        <v/>
      </c>
      <c r="O864" s="35" t="str">
        <f>IF(Account!$F864&lt;&gt;"", DATEVALUE(MID($A864,4,3) &amp; LEFT($A864,3) &amp; RIGHT($A864,4)) + TIMEVALUE($B864), "")</f>
        <v/>
      </c>
      <c r="P864" s="36" t="str">
        <f>IF(Account!$F864&lt;&gt;"", DATEVALUE(MID($C864,4,3) &amp; LEFT($C864,3) &amp; RIGHT($C864,4)), "")</f>
        <v/>
      </c>
      <c r="Q864" s="37" t="str">
        <f t="array" ref="Q864">IF($R864&lt;&gt;"",IFERROR(INDEX(ISIN!$B:$B,MATCH($R864,ISIN!$C:$C,0))),)</f>
        <v/>
      </c>
      <c r="R864" s="38" t="str">
        <f t="array" ref="R864">IF($E864&lt;&gt;""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7" t="str">
        <f t="shared" si="1"/>
        <v/>
      </c>
      <c r="T864" s="39" t="str">
        <f t="shared" si="2"/>
        <v/>
      </c>
      <c r="U864" s="40" t="str">
        <f t="shared" si="3"/>
        <v/>
      </c>
      <c r="V864" s="34" t="str">
        <f t="shared" si="4"/>
        <v/>
      </c>
      <c r="W864" s="41" t="str">
        <f>IFERROR(__xludf.DUMMYFUNCTION(" IF(Account!$F864&lt;&gt;"""", SPLIT(Account!$F864, "" ""), """")"),"")</f>
        <v/>
      </c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</row>
    <row r="865">
      <c r="A865" s="20"/>
      <c r="B865" s="20"/>
      <c r="C865" s="20"/>
      <c r="D865" s="20"/>
      <c r="E865" s="20"/>
      <c r="F865" s="21"/>
      <c r="G865" s="45"/>
      <c r="H865" s="45"/>
      <c r="I865" s="45"/>
      <c r="J865" s="20"/>
      <c r="K865" s="20"/>
      <c r="L865" s="46"/>
      <c r="M865" s="33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4" t="str">
        <f>IFERROR(__xludf.DUMMYFUNCTION("IF(Account!$F865&lt;&gt;"""", VALUE(REGEXREPLACE($I865, ""\,"", ""."")), """")"),"")</f>
        <v/>
      </c>
      <c r="O865" s="35" t="str">
        <f>IF(Account!$F865&lt;&gt;"", DATEVALUE(MID($A865,4,3) &amp; LEFT($A865,3) &amp; RIGHT($A865,4)) + TIMEVALUE($B865), "")</f>
        <v/>
      </c>
      <c r="P865" s="36" t="str">
        <f>IF(Account!$F865&lt;&gt;"", DATEVALUE(MID($C865,4,3) &amp; LEFT($C865,3) &amp; RIGHT($C865,4)), "")</f>
        <v/>
      </c>
      <c r="Q865" s="37" t="str">
        <f t="array" ref="Q865">IF($R865&lt;&gt;"",IFERROR(INDEX(ISIN!$B:$B,MATCH($R865,ISIN!$C:$C,0))),)</f>
        <v/>
      </c>
      <c r="R865" s="38" t="str">
        <f t="array" ref="R865">IF($E865&lt;&gt;""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7" t="str">
        <f t="shared" si="1"/>
        <v/>
      </c>
      <c r="T865" s="39" t="str">
        <f t="shared" si="2"/>
        <v/>
      </c>
      <c r="U865" s="40" t="str">
        <f t="shared" si="3"/>
        <v/>
      </c>
      <c r="V865" s="34" t="str">
        <f t="shared" si="4"/>
        <v/>
      </c>
      <c r="W865" s="41" t="str">
        <f>IFERROR(__xludf.DUMMYFUNCTION(" IF(Account!$F865&lt;&gt;"""", SPLIT(Account!$F865, "" ""), """")"),"")</f>
        <v/>
      </c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</row>
    <row r="866">
      <c r="A866" s="20"/>
      <c r="B866" s="20"/>
      <c r="C866" s="20"/>
      <c r="D866" s="45"/>
      <c r="E866" s="45"/>
      <c r="F866" s="21"/>
      <c r="G866" s="45"/>
      <c r="H866" s="20"/>
      <c r="I866" s="20"/>
      <c r="J866" s="20"/>
      <c r="K866" s="20"/>
      <c r="L866" s="46"/>
      <c r="M866" s="33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4" t="str">
        <f>IFERROR(__xludf.DUMMYFUNCTION("IF(Account!$F866&lt;&gt;"""", VALUE(REGEXREPLACE($I866, ""\,"", ""."")), """")"),"")</f>
        <v/>
      </c>
      <c r="O866" s="35" t="str">
        <f>IF(Account!$F866&lt;&gt;"", DATEVALUE(MID($A866,4,3) &amp; LEFT($A866,3) &amp; RIGHT($A866,4)) + TIMEVALUE($B866), "")</f>
        <v/>
      </c>
      <c r="P866" s="36" t="str">
        <f>IF(Account!$F866&lt;&gt;"", DATEVALUE(MID($C866,4,3) &amp; LEFT($C866,3) &amp; RIGHT($C866,4)), "")</f>
        <v/>
      </c>
      <c r="Q866" s="37" t="str">
        <f t="array" ref="Q866">IF($R866&lt;&gt;"",IFERROR(INDEX(ISIN!$B:$B,MATCH($R866,ISIN!$C:$C,0))),)</f>
        <v/>
      </c>
      <c r="R866" s="38" t="str">
        <f t="array" ref="R866">IF($E866&lt;&gt;""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7" t="str">
        <f t="shared" si="1"/>
        <v/>
      </c>
      <c r="T866" s="39" t="str">
        <f t="shared" si="2"/>
        <v/>
      </c>
      <c r="U866" s="40" t="str">
        <f t="shared" si="3"/>
        <v/>
      </c>
      <c r="V866" s="34" t="str">
        <f t="shared" si="4"/>
        <v/>
      </c>
      <c r="W866" s="41" t="str">
        <f>IFERROR(__xludf.DUMMYFUNCTION(" IF(Account!$F866&lt;&gt;"""", SPLIT(Account!$F866, "" ""), """")"),"")</f>
        <v/>
      </c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</row>
    <row r="867">
      <c r="A867" s="20"/>
      <c r="B867" s="20"/>
      <c r="C867" s="20"/>
      <c r="D867" s="20"/>
      <c r="E867" s="20"/>
      <c r="F867" s="21"/>
      <c r="G867" s="45"/>
      <c r="H867" s="20"/>
      <c r="I867" s="20"/>
      <c r="J867" s="20"/>
      <c r="K867" s="20"/>
      <c r="L867" s="46"/>
      <c r="M867" s="33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4" t="str">
        <f>IFERROR(__xludf.DUMMYFUNCTION("IF(Account!$F867&lt;&gt;"""", VALUE(REGEXREPLACE($I867, ""\,"", ""."")), """")"),"")</f>
        <v/>
      </c>
      <c r="O867" s="35" t="str">
        <f>IF(Account!$F867&lt;&gt;"", DATEVALUE(MID($A867,4,3) &amp; LEFT($A867,3) &amp; RIGHT($A867,4)) + TIMEVALUE($B867), "")</f>
        <v/>
      </c>
      <c r="P867" s="36" t="str">
        <f>IF(Account!$F867&lt;&gt;"", DATEVALUE(MID($C867,4,3) &amp; LEFT($C867,3) &amp; RIGHT($C867,4)), "")</f>
        <v/>
      </c>
      <c r="Q867" s="37" t="str">
        <f t="array" ref="Q867">IF($R867&lt;&gt;"",IFERROR(INDEX(ISIN!$B:$B,MATCH($R867,ISIN!$C:$C,0))),)</f>
        <v/>
      </c>
      <c r="R867" s="38" t="str">
        <f t="array" ref="R867">IF($E867&lt;&gt;""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7" t="str">
        <f t="shared" si="1"/>
        <v/>
      </c>
      <c r="T867" s="39" t="str">
        <f t="shared" si="2"/>
        <v/>
      </c>
      <c r="U867" s="40" t="str">
        <f t="shared" si="3"/>
        <v/>
      </c>
      <c r="V867" s="34" t="str">
        <f t="shared" si="4"/>
        <v/>
      </c>
      <c r="W867" s="41" t="str">
        <f>IFERROR(__xludf.DUMMYFUNCTION(" IF(Account!$F867&lt;&gt;"""", SPLIT(Account!$F867, "" ""), """")"),"")</f>
        <v/>
      </c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</row>
    <row r="868">
      <c r="A868" s="20"/>
      <c r="B868" s="20"/>
      <c r="C868" s="20"/>
      <c r="D868" s="20"/>
      <c r="E868" s="20"/>
      <c r="F868" s="21"/>
      <c r="G868" s="45"/>
      <c r="H868" s="20"/>
      <c r="I868" s="20"/>
      <c r="J868" s="20"/>
      <c r="K868" s="20"/>
      <c r="L868" s="46"/>
      <c r="M868" s="33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4" t="str">
        <f>IFERROR(__xludf.DUMMYFUNCTION("IF(Account!$F868&lt;&gt;"""", VALUE(REGEXREPLACE($I868, ""\,"", ""."")), """")"),"")</f>
        <v/>
      </c>
      <c r="O868" s="35" t="str">
        <f>IF(Account!$F868&lt;&gt;"", DATEVALUE(MID($A868,4,3) &amp; LEFT($A868,3) &amp; RIGHT($A868,4)) + TIMEVALUE($B868), "")</f>
        <v/>
      </c>
      <c r="P868" s="36" t="str">
        <f>IF(Account!$F868&lt;&gt;"", DATEVALUE(MID($C868,4,3) &amp; LEFT($C868,3) &amp; RIGHT($C868,4)), "")</f>
        <v/>
      </c>
      <c r="Q868" s="37" t="str">
        <f t="array" ref="Q868">IF($R868&lt;&gt;"",IFERROR(INDEX(ISIN!$B:$B,MATCH($R868,ISIN!$C:$C,0))),)</f>
        <v/>
      </c>
      <c r="R868" s="38" t="str">
        <f t="array" ref="R868">IF($E868&lt;&gt;""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7" t="str">
        <f t="shared" si="1"/>
        <v/>
      </c>
      <c r="T868" s="39" t="str">
        <f t="shared" si="2"/>
        <v/>
      </c>
      <c r="U868" s="40" t="str">
        <f t="shared" si="3"/>
        <v/>
      </c>
      <c r="V868" s="34" t="str">
        <f t="shared" si="4"/>
        <v/>
      </c>
      <c r="W868" s="41" t="str">
        <f>IFERROR(__xludf.DUMMYFUNCTION(" IF(Account!$F868&lt;&gt;"""", SPLIT(Account!$F868, "" ""), """")"),"")</f>
        <v/>
      </c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</row>
    <row r="869">
      <c r="A869" s="20"/>
      <c r="B869" s="20"/>
      <c r="C869" s="20"/>
      <c r="D869" s="45"/>
      <c r="E869" s="45"/>
      <c r="F869" s="21"/>
      <c r="G869" s="45"/>
      <c r="H869" s="20"/>
      <c r="I869" s="20"/>
      <c r="J869" s="20"/>
      <c r="K869" s="20"/>
      <c r="L869" s="46"/>
      <c r="M869" s="33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4" t="str">
        <f>IFERROR(__xludf.DUMMYFUNCTION("IF(Account!$F869&lt;&gt;"""", VALUE(REGEXREPLACE($I869, ""\,"", ""."")), """")"),"")</f>
        <v/>
      </c>
      <c r="O869" s="35" t="str">
        <f>IF(Account!$F869&lt;&gt;"", DATEVALUE(MID($A869,4,3) &amp; LEFT($A869,3) &amp; RIGHT($A869,4)) + TIMEVALUE($B869), "")</f>
        <v/>
      </c>
      <c r="P869" s="36" t="str">
        <f>IF(Account!$F869&lt;&gt;"", DATEVALUE(MID($C869,4,3) &amp; LEFT($C869,3) &amp; RIGHT($C869,4)), "")</f>
        <v/>
      </c>
      <c r="Q869" s="37" t="str">
        <f t="array" ref="Q869">IF($R869&lt;&gt;"",IFERROR(INDEX(ISIN!$B:$B,MATCH($R869,ISIN!$C:$C,0))),)</f>
        <v/>
      </c>
      <c r="R869" s="38" t="str">
        <f t="array" ref="R869">IF($E869&lt;&gt;""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7" t="str">
        <f t="shared" si="1"/>
        <v/>
      </c>
      <c r="T869" s="39" t="str">
        <f t="shared" si="2"/>
        <v/>
      </c>
      <c r="U869" s="40" t="str">
        <f t="shared" si="3"/>
        <v/>
      </c>
      <c r="V869" s="34" t="str">
        <f t="shared" si="4"/>
        <v/>
      </c>
      <c r="W869" s="41" t="str">
        <f>IFERROR(__xludf.DUMMYFUNCTION(" IF(Account!$F869&lt;&gt;"""", SPLIT(Account!$F869, "" ""), """")"),"")</f>
        <v/>
      </c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</row>
    <row r="870">
      <c r="A870" s="20"/>
      <c r="B870" s="20"/>
      <c r="C870" s="20"/>
      <c r="D870" s="20"/>
      <c r="E870" s="20"/>
      <c r="F870" s="21"/>
      <c r="G870" s="45"/>
      <c r="H870" s="20"/>
      <c r="I870" s="20"/>
      <c r="J870" s="20"/>
      <c r="K870" s="20"/>
      <c r="L870" s="21"/>
      <c r="M870" s="33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4" t="str">
        <f>IFERROR(__xludf.DUMMYFUNCTION("IF(Account!$F870&lt;&gt;"""", VALUE(REGEXREPLACE($I870, ""\,"", ""."")), """")"),"")</f>
        <v/>
      </c>
      <c r="O870" s="35" t="str">
        <f>IF(Account!$F870&lt;&gt;"", DATEVALUE(MID($A870,4,3) &amp; LEFT($A870,3) &amp; RIGHT($A870,4)) + TIMEVALUE($B870), "")</f>
        <v/>
      </c>
      <c r="P870" s="36" t="str">
        <f>IF(Account!$F870&lt;&gt;"", DATEVALUE(MID($C870,4,3) &amp; LEFT($C870,3) &amp; RIGHT($C870,4)), "")</f>
        <v/>
      </c>
      <c r="Q870" s="37" t="str">
        <f t="array" ref="Q870">IF($R870&lt;&gt;"",IFERROR(INDEX(ISIN!$B:$B,MATCH($R870,ISIN!$C:$C,0))),)</f>
        <v/>
      </c>
      <c r="R870" s="38" t="str">
        <f t="array" ref="R870">IF($E870&lt;&gt;""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7" t="str">
        <f t="shared" si="1"/>
        <v/>
      </c>
      <c r="T870" s="39" t="str">
        <f t="shared" si="2"/>
        <v/>
      </c>
      <c r="U870" s="40" t="str">
        <f t="shared" si="3"/>
        <v/>
      </c>
      <c r="V870" s="34" t="str">
        <f t="shared" si="4"/>
        <v/>
      </c>
      <c r="W870" s="41" t="str">
        <f>IFERROR(__xludf.DUMMYFUNCTION(" IF(Account!$F870&lt;&gt;"""", SPLIT(Account!$F870, "" ""), """")"),"")</f>
        <v/>
      </c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</row>
    <row r="871">
      <c r="A871" s="20"/>
      <c r="B871" s="20"/>
      <c r="C871" s="20"/>
      <c r="D871" s="20"/>
      <c r="E871" s="20"/>
      <c r="F871" s="21"/>
      <c r="G871" s="20"/>
      <c r="H871" s="20"/>
      <c r="I871" s="20"/>
      <c r="J871" s="20"/>
      <c r="K871" s="20"/>
      <c r="L871" s="21"/>
      <c r="M871" s="33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4" t="str">
        <f>IFERROR(__xludf.DUMMYFUNCTION("IF(Account!$F871&lt;&gt;"""", VALUE(REGEXREPLACE($I871, ""\,"", ""."")), """")"),"")</f>
        <v/>
      </c>
      <c r="O871" s="35" t="str">
        <f>IF(Account!$F871&lt;&gt;"", DATEVALUE(MID($A871,4,3) &amp; LEFT($A871,3) &amp; RIGHT($A871,4)) + TIMEVALUE($B871), "")</f>
        <v/>
      </c>
      <c r="P871" s="36" t="str">
        <f>IF(Account!$F871&lt;&gt;"", DATEVALUE(MID($C871,4,3) &amp; LEFT($C871,3) &amp; RIGHT($C871,4)), "")</f>
        <v/>
      </c>
      <c r="Q871" s="37" t="str">
        <f t="array" ref="Q871">IF($R871&lt;&gt;"",IFERROR(INDEX(ISIN!$B:$B,MATCH($R871,ISIN!$C:$C,0))),)</f>
        <v/>
      </c>
      <c r="R871" s="38" t="str">
        <f t="array" ref="R871">IF($E871&lt;&gt;""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7" t="str">
        <f t="shared" si="1"/>
        <v/>
      </c>
      <c r="T871" s="39" t="str">
        <f t="shared" si="2"/>
        <v/>
      </c>
      <c r="U871" s="40" t="str">
        <f t="shared" si="3"/>
        <v/>
      </c>
      <c r="V871" s="34" t="str">
        <f t="shared" si="4"/>
        <v/>
      </c>
      <c r="W871" s="41" t="str">
        <f>IFERROR(__xludf.DUMMYFUNCTION(" IF(Account!$F871&lt;&gt;"""", SPLIT(Account!$F871, "" ""), """")"),"")</f>
        <v/>
      </c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</row>
    <row r="872">
      <c r="A872" s="20"/>
      <c r="B872" s="20"/>
      <c r="C872" s="20"/>
      <c r="D872" s="20"/>
      <c r="E872" s="20"/>
      <c r="F872" s="21"/>
      <c r="G872" s="45"/>
      <c r="H872" s="20"/>
      <c r="I872" s="20"/>
      <c r="J872" s="20"/>
      <c r="K872" s="20"/>
      <c r="L872" s="21"/>
      <c r="M872" s="33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4" t="str">
        <f>IFERROR(__xludf.DUMMYFUNCTION("IF(Account!$F872&lt;&gt;"""", VALUE(REGEXREPLACE($I872, ""\,"", ""."")), """")"),"")</f>
        <v/>
      </c>
      <c r="O872" s="35" t="str">
        <f>IF(Account!$F872&lt;&gt;"", DATEVALUE(MID($A872,4,3) &amp; LEFT($A872,3) &amp; RIGHT($A872,4)) + TIMEVALUE($B872), "")</f>
        <v/>
      </c>
      <c r="P872" s="36" t="str">
        <f>IF(Account!$F872&lt;&gt;"", DATEVALUE(MID($C872,4,3) &amp; LEFT($C872,3) &amp; RIGHT($C872,4)), "")</f>
        <v/>
      </c>
      <c r="Q872" s="37" t="str">
        <f t="array" ref="Q872">IF($R872&lt;&gt;"",IFERROR(INDEX(ISIN!$B:$B,MATCH($R872,ISIN!$C:$C,0))),)</f>
        <v/>
      </c>
      <c r="R872" s="38" t="str">
        <f t="array" ref="R872">IF($E872&lt;&gt;""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7" t="str">
        <f t="shared" si="1"/>
        <v/>
      </c>
      <c r="T872" s="39" t="str">
        <f t="shared" si="2"/>
        <v/>
      </c>
      <c r="U872" s="40" t="str">
        <f t="shared" si="3"/>
        <v/>
      </c>
      <c r="V872" s="34" t="str">
        <f t="shared" si="4"/>
        <v/>
      </c>
      <c r="W872" s="41" t="str">
        <f>IFERROR(__xludf.DUMMYFUNCTION(" IF(Account!$F872&lt;&gt;"""", SPLIT(Account!$F872, "" ""), """")"),"")</f>
        <v/>
      </c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</row>
    <row r="873">
      <c r="A873" s="20"/>
      <c r="B873" s="20"/>
      <c r="C873" s="20"/>
      <c r="D873" s="20"/>
      <c r="E873" s="20"/>
      <c r="F873" s="21"/>
      <c r="G873" s="45"/>
      <c r="H873" s="20"/>
      <c r="I873" s="20"/>
      <c r="J873" s="20"/>
      <c r="K873" s="20"/>
      <c r="L873" s="21"/>
      <c r="M873" s="33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4" t="str">
        <f>IFERROR(__xludf.DUMMYFUNCTION("IF(Account!$F873&lt;&gt;"""", VALUE(REGEXREPLACE($I873, ""\,"", ""."")), """")"),"")</f>
        <v/>
      </c>
      <c r="O873" s="35" t="str">
        <f>IF(Account!$F873&lt;&gt;"", DATEVALUE(MID($A873,4,3) &amp; LEFT($A873,3) &amp; RIGHT($A873,4)) + TIMEVALUE($B873), "")</f>
        <v/>
      </c>
      <c r="P873" s="36" t="str">
        <f>IF(Account!$F873&lt;&gt;"", DATEVALUE(MID($C873,4,3) &amp; LEFT($C873,3) &amp; RIGHT($C873,4)), "")</f>
        <v/>
      </c>
      <c r="Q873" s="37" t="str">
        <f t="array" ref="Q873">IF($R873&lt;&gt;"",IFERROR(INDEX(ISIN!$B:$B,MATCH($R873,ISIN!$C:$C,0))),)</f>
        <v/>
      </c>
      <c r="R873" s="38" t="str">
        <f t="array" ref="R873">IF($E873&lt;&gt;""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7" t="str">
        <f t="shared" si="1"/>
        <v/>
      </c>
      <c r="T873" s="39" t="str">
        <f t="shared" si="2"/>
        <v/>
      </c>
      <c r="U873" s="40" t="str">
        <f t="shared" si="3"/>
        <v/>
      </c>
      <c r="V873" s="34" t="str">
        <f t="shared" si="4"/>
        <v/>
      </c>
      <c r="W873" s="41" t="str">
        <f>IFERROR(__xludf.DUMMYFUNCTION(" IF(Account!$F873&lt;&gt;"""", SPLIT(Account!$F873, "" ""), """")"),"")</f>
        <v/>
      </c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</row>
    <row r="874">
      <c r="A874" s="20"/>
      <c r="B874" s="20"/>
      <c r="C874" s="20"/>
      <c r="D874" s="20"/>
      <c r="E874" s="20"/>
      <c r="F874" s="21"/>
      <c r="G874" s="45"/>
      <c r="H874" s="20"/>
      <c r="I874" s="20"/>
      <c r="J874" s="20"/>
      <c r="K874" s="20"/>
      <c r="L874" s="21"/>
      <c r="M874" s="33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4" t="str">
        <f>IFERROR(__xludf.DUMMYFUNCTION("IF(Account!$F874&lt;&gt;"""", VALUE(REGEXREPLACE($I874, ""\,"", ""."")), """")"),"")</f>
        <v/>
      </c>
      <c r="O874" s="35" t="str">
        <f>IF(Account!$F874&lt;&gt;"", DATEVALUE(MID($A874,4,3) &amp; LEFT($A874,3) &amp; RIGHT($A874,4)) + TIMEVALUE($B874), "")</f>
        <v/>
      </c>
      <c r="P874" s="36" t="str">
        <f>IF(Account!$F874&lt;&gt;"", DATEVALUE(MID($C874,4,3) &amp; LEFT($C874,3) &amp; RIGHT($C874,4)), "")</f>
        <v/>
      </c>
      <c r="Q874" s="37" t="str">
        <f t="array" ref="Q874">IF($R874&lt;&gt;"",IFERROR(INDEX(ISIN!$B:$B,MATCH($R874,ISIN!$C:$C,0))),)</f>
        <v/>
      </c>
      <c r="R874" s="38" t="str">
        <f t="array" ref="R874">IF($E874&lt;&gt;""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7" t="str">
        <f t="shared" si="1"/>
        <v/>
      </c>
      <c r="T874" s="39" t="str">
        <f t="shared" si="2"/>
        <v/>
      </c>
      <c r="U874" s="40" t="str">
        <f t="shared" si="3"/>
        <v/>
      </c>
      <c r="V874" s="34" t="str">
        <f t="shared" si="4"/>
        <v/>
      </c>
      <c r="W874" s="41" t="str">
        <f>IFERROR(__xludf.DUMMYFUNCTION(" IF(Account!$F874&lt;&gt;"""", SPLIT(Account!$F874, "" ""), """")"),"")</f>
        <v/>
      </c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</row>
    <row r="875">
      <c r="A875" s="20"/>
      <c r="B875" s="20"/>
      <c r="C875" s="20"/>
      <c r="D875" s="20"/>
      <c r="E875" s="20"/>
      <c r="F875" s="21"/>
      <c r="G875" s="45"/>
      <c r="H875" s="20"/>
      <c r="I875" s="20"/>
      <c r="J875" s="20"/>
      <c r="K875" s="20"/>
      <c r="L875" s="21"/>
      <c r="M875" s="33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4" t="str">
        <f>IFERROR(__xludf.DUMMYFUNCTION("IF(Account!$F875&lt;&gt;"""", VALUE(REGEXREPLACE($I875, ""\,"", ""."")), """")"),"")</f>
        <v/>
      </c>
      <c r="O875" s="35" t="str">
        <f>IF(Account!$F875&lt;&gt;"", DATEVALUE(MID($A875,4,3) &amp; LEFT($A875,3) &amp; RIGHT($A875,4)) + TIMEVALUE($B875), "")</f>
        <v/>
      </c>
      <c r="P875" s="36" t="str">
        <f>IF(Account!$F875&lt;&gt;"", DATEVALUE(MID($C875,4,3) &amp; LEFT($C875,3) &amp; RIGHT($C875,4)), "")</f>
        <v/>
      </c>
      <c r="Q875" s="37" t="str">
        <f t="array" ref="Q875">IF($R875&lt;&gt;"",IFERROR(INDEX(ISIN!$B:$B,MATCH($R875,ISIN!$C:$C,0))),)</f>
        <v/>
      </c>
      <c r="R875" s="38" t="str">
        <f t="array" ref="R875">IF($E875&lt;&gt;""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7" t="str">
        <f t="shared" si="1"/>
        <v/>
      </c>
      <c r="T875" s="39" t="str">
        <f t="shared" si="2"/>
        <v/>
      </c>
      <c r="U875" s="40" t="str">
        <f t="shared" si="3"/>
        <v/>
      </c>
      <c r="V875" s="34" t="str">
        <f t="shared" si="4"/>
        <v/>
      </c>
      <c r="W875" s="41" t="str">
        <f>IFERROR(__xludf.DUMMYFUNCTION(" IF(Account!$F875&lt;&gt;"""", SPLIT(Account!$F875, "" ""), """")"),"")</f>
        <v/>
      </c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</row>
    <row r="876">
      <c r="A876" s="20"/>
      <c r="B876" s="20"/>
      <c r="C876" s="20"/>
      <c r="D876" s="20"/>
      <c r="E876" s="20"/>
      <c r="F876" s="21"/>
      <c r="G876" s="20"/>
      <c r="H876" s="20"/>
      <c r="I876" s="20"/>
      <c r="J876" s="20"/>
      <c r="K876" s="20"/>
      <c r="L876" s="21"/>
      <c r="M876" s="33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4" t="str">
        <f>IFERROR(__xludf.DUMMYFUNCTION("IF(Account!$F876&lt;&gt;"""", VALUE(REGEXREPLACE($I876, ""\,"", ""."")), """")"),"")</f>
        <v/>
      </c>
      <c r="O876" s="35" t="str">
        <f>IF(Account!$F876&lt;&gt;"", DATEVALUE(MID($A876,4,3) &amp; LEFT($A876,3) &amp; RIGHT($A876,4)) + TIMEVALUE($B876), "")</f>
        <v/>
      </c>
      <c r="P876" s="36" t="str">
        <f>IF(Account!$F876&lt;&gt;"", DATEVALUE(MID($C876,4,3) &amp; LEFT($C876,3) &amp; RIGHT($C876,4)), "")</f>
        <v/>
      </c>
      <c r="Q876" s="37" t="str">
        <f t="array" ref="Q876">IF($R876&lt;&gt;"",IFERROR(INDEX(ISIN!$B:$B,MATCH($R876,ISIN!$C:$C,0))),)</f>
        <v/>
      </c>
      <c r="R876" s="38" t="str">
        <f t="array" ref="R876">IF($E876&lt;&gt;""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7" t="str">
        <f t="shared" si="1"/>
        <v/>
      </c>
      <c r="T876" s="39" t="str">
        <f t="shared" si="2"/>
        <v/>
      </c>
      <c r="U876" s="40" t="str">
        <f t="shared" si="3"/>
        <v/>
      </c>
      <c r="V876" s="34" t="str">
        <f t="shared" si="4"/>
        <v/>
      </c>
      <c r="W876" s="41" t="str">
        <f>IFERROR(__xludf.DUMMYFUNCTION(" IF(Account!$F876&lt;&gt;"""", SPLIT(Account!$F876, "" ""), """")"),"")</f>
        <v/>
      </c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</row>
    <row r="877">
      <c r="A877" s="20"/>
      <c r="B877" s="20"/>
      <c r="C877" s="20"/>
      <c r="D877" s="20"/>
      <c r="E877" s="20"/>
      <c r="F877" s="21"/>
      <c r="G877" s="45"/>
      <c r="H877" s="20"/>
      <c r="I877" s="20"/>
      <c r="J877" s="20"/>
      <c r="K877" s="20"/>
      <c r="L877" s="21"/>
      <c r="M877" s="33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4" t="str">
        <f>IFERROR(__xludf.DUMMYFUNCTION("IF(Account!$F877&lt;&gt;"""", VALUE(REGEXREPLACE($I877, ""\,"", ""."")), """")"),"")</f>
        <v/>
      </c>
      <c r="O877" s="35" t="str">
        <f>IF(Account!$F877&lt;&gt;"", DATEVALUE(MID($A877,4,3) &amp; LEFT($A877,3) &amp; RIGHT($A877,4)) + TIMEVALUE($B877), "")</f>
        <v/>
      </c>
      <c r="P877" s="36" t="str">
        <f>IF(Account!$F877&lt;&gt;"", DATEVALUE(MID($C877,4,3) &amp; LEFT($C877,3) &amp; RIGHT($C877,4)), "")</f>
        <v/>
      </c>
      <c r="Q877" s="37" t="str">
        <f t="array" ref="Q877">IF($R877&lt;&gt;"",IFERROR(INDEX(ISIN!$B:$B,MATCH($R877,ISIN!$C:$C,0))),)</f>
        <v/>
      </c>
      <c r="R877" s="38" t="str">
        <f t="array" ref="R877">IF($E877&lt;&gt;""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7" t="str">
        <f t="shared" si="1"/>
        <v/>
      </c>
      <c r="T877" s="39" t="str">
        <f t="shared" si="2"/>
        <v/>
      </c>
      <c r="U877" s="40" t="str">
        <f t="shared" si="3"/>
        <v/>
      </c>
      <c r="V877" s="34" t="str">
        <f t="shared" si="4"/>
        <v/>
      </c>
      <c r="W877" s="41" t="str">
        <f>IFERROR(__xludf.DUMMYFUNCTION(" IF(Account!$F877&lt;&gt;"""", SPLIT(Account!$F877, "" ""), """")"),"")</f>
        <v/>
      </c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</row>
    <row r="878">
      <c r="A878" s="20"/>
      <c r="B878" s="20"/>
      <c r="C878" s="20"/>
      <c r="D878" s="20"/>
      <c r="E878" s="20"/>
      <c r="F878" s="21"/>
      <c r="G878" s="45"/>
      <c r="H878" s="20"/>
      <c r="I878" s="20"/>
      <c r="J878" s="20"/>
      <c r="K878" s="20"/>
      <c r="L878" s="21"/>
      <c r="M878" s="33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4" t="str">
        <f>IFERROR(__xludf.DUMMYFUNCTION("IF(Account!$F878&lt;&gt;"""", VALUE(REGEXREPLACE($I878, ""\,"", ""."")), """")"),"")</f>
        <v/>
      </c>
      <c r="O878" s="35" t="str">
        <f>IF(Account!$F878&lt;&gt;"", DATEVALUE(MID($A878,4,3) &amp; LEFT($A878,3) &amp; RIGHT($A878,4)) + TIMEVALUE($B878), "")</f>
        <v/>
      </c>
      <c r="P878" s="36" t="str">
        <f>IF(Account!$F878&lt;&gt;"", DATEVALUE(MID($C878,4,3) &amp; LEFT($C878,3) &amp; RIGHT($C878,4)), "")</f>
        <v/>
      </c>
      <c r="Q878" s="37" t="str">
        <f t="array" ref="Q878">IF($R878&lt;&gt;"",IFERROR(INDEX(ISIN!$B:$B,MATCH($R878,ISIN!$C:$C,0))),)</f>
        <v/>
      </c>
      <c r="R878" s="38" t="str">
        <f t="array" ref="R878">IF($E878&lt;&gt;""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7" t="str">
        <f t="shared" si="1"/>
        <v/>
      </c>
      <c r="T878" s="39" t="str">
        <f t="shared" si="2"/>
        <v/>
      </c>
      <c r="U878" s="40" t="str">
        <f t="shared" si="3"/>
        <v/>
      </c>
      <c r="V878" s="34" t="str">
        <f t="shared" si="4"/>
        <v/>
      </c>
      <c r="W878" s="41" t="str">
        <f>IFERROR(__xludf.DUMMYFUNCTION(" IF(Account!$F878&lt;&gt;"""", SPLIT(Account!$F878, "" ""), """")"),"")</f>
        <v/>
      </c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</row>
    <row r="879">
      <c r="A879" s="20"/>
      <c r="B879" s="20"/>
      <c r="C879" s="20"/>
      <c r="D879" s="45"/>
      <c r="E879" s="45"/>
      <c r="F879" s="21"/>
      <c r="G879" s="45"/>
      <c r="H879" s="20"/>
      <c r="I879" s="20"/>
      <c r="J879" s="20"/>
      <c r="K879" s="20"/>
      <c r="L879" s="46"/>
      <c r="M879" s="33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4" t="str">
        <f>IFERROR(__xludf.DUMMYFUNCTION("IF(Account!$F879&lt;&gt;"""", VALUE(REGEXREPLACE($I879, ""\,"", ""."")), """")"),"")</f>
        <v/>
      </c>
      <c r="O879" s="35" t="str">
        <f>IF(Account!$F879&lt;&gt;"", DATEVALUE(MID($A879,4,3) &amp; LEFT($A879,3) &amp; RIGHT($A879,4)) + TIMEVALUE($B879), "")</f>
        <v/>
      </c>
      <c r="P879" s="36" t="str">
        <f>IF(Account!$F879&lt;&gt;"", DATEVALUE(MID($C879,4,3) &amp; LEFT($C879,3) &amp; RIGHT($C879,4)), "")</f>
        <v/>
      </c>
      <c r="Q879" s="37" t="str">
        <f t="array" ref="Q879">IF($R879&lt;&gt;"",IFERROR(INDEX(ISIN!$B:$B,MATCH($R879,ISIN!$C:$C,0))),)</f>
        <v/>
      </c>
      <c r="R879" s="38" t="str">
        <f t="array" ref="R879">IF($E879&lt;&gt;""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7" t="str">
        <f t="shared" si="1"/>
        <v/>
      </c>
      <c r="T879" s="39" t="str">
        <f t="shared" si="2"/>
        <v/>
      </c>
      <c r="U879" s="40" t="str">
        <f t="shared" si="3"/>
        <v/>
      </c>
      <c r="V879" s="34" t="str">
        <f t="shared" si="4"/>
        <v/>
      </c>
      <c r="W879" s="41" t="str">
        <f>IFERROR(__xludf.DUMMYFUNCTION(" IF(Account!$F879&lt;&gt;"""", SPLIT(Account!$F879, "" ""), """")"),"")</f>
        <v/>
      </c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</row>
    <row r="880">
      <c r="A880" s="20"/>
      <c r="B880" s="20"/>
      <c r="C880" s="20"/>
      <c r="D880" s="45"/>
      <c r="E880" s="45"/>
      <c r="F880" s="21"/>
      <c r="G880" s="45"/>
      <c r="H880" s="20"/>
      <c r="I880" s="20"/>
      <c r="J880" s="20"/>
      <c r="K880" s="20"/>
      <c r="L880" s="46"/>
      <c r="M880" s="33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4" t="str">
        <f>IFERROR(__xludf.DUMMYFUNCTION("IF(Account!$F880&lt;&gt;"""", VALUE(REGEXREPLACE($I880, ""\,"", ""."")), """")"),"")</f>
        <v/>
      </c>
      <c r="O880" s="35" t="str">
        <f>IF(Account!$F880&lt;&gt;"", DATEVALUE(MID($A880,4,3) &amp; LEFT($A880,3) &amp; RIGHT($A880,4)) + TIMEVALUE($B880), "")</f>
        <v/>
      </c>
      <c r="P880" s="36" t="str">
        <f>IF(Account!$F880&lt;&gt;"", DATEVALUE(MID($C880,4,3) &amp; LEFT($C880,3) &amp; RIGHT($C880,4)), "")</f>
        <v/>
      </c>
      <c r="Q880" s="37" t="str">
        <f t="array" ref="Q880">IF($R880&lt;&gt;"",IFERROR(INDEX(ISIN!$B:$B,MATCH($R880,ISIN!$C:$C,0))),)</f>
        <v/>
      </c>
      <c r="R880" s="38" t="str">
        <f t="array" ref="R880">IF($E880&lt;&gt;""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7" t="str">
        <f t="shared" si="1"/>
        <v/>
      </c>
      <c r="T880" s="39" t="str">
        <f t="shared" si="2"/>
        <v/>
      </c>
      <c r="U880" s="40" t="str">
        <f t="shared" si="3"/>
        <v/>
      </c>
      <c r="V880" s="34" t="str">
        <f t="shared" si="4"/>
        <v/>
      </c>
      <c r="W880" s="41" t="str">
        <f>IFERROR(__xludf.DUMMYFUNCTION(" IF(Account!$F880&lt;&gt;"""", SPLIT(Account!$F880, "" ""), """")"),"")</f>
        <v/>
      </c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</row>
    <row r="881">
      <c r="A881" s="20"/>
      <c r="B881" s="20"/>
      <c r="C881" s="20"/>
      <c r="D881" s="45"/>
      <c r="E881" s="45"/>
      <c r="F881" s="21"/>
      <c r="G881" s="45"/>
      <c r="H881" s="20"/>
      <c r="I881" s="20"/>
      <c r="J881" s="20"/>
      <c r="K881" s="20"/>
      <c r="L881" s="46"/>
      <c r="M881" s="33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4" t="str">
        <f>IFERROR(__xludf.DUMMYFUNCTION("IF(Account!$F881&lt;&gt;"""", VALUE(REGEXREPLACE($I881, ""\,"", ""."")), """")"),"")</f>
        <v/>
      </c>
      <c r="O881" s="35" t="str">
        <f>IF(Account!$F881&lt;&gt;"", DATEVALUE(MID($A881,4,3) &amp; LEFT($A881,3) &amp; RIGHT($A881,4)) + TIMEVALUE($B881), "")</f>
        <v/>
      </c>
      <c r="P881" s="36" t="str">
        <f>IF(Account!$F881&lt;&gt;"", DATEVALUE(MID($C881,4,3) &amp; LEFT($C881,3) &amp; RIGHT($C881,4)), "")</f>
        <v/>
      </c>
      <c r="Q881" s="37" t="str">
        <f t="array" ref="Q881">IF($R881&lt;&gt;"",IFERROR(INDEX(ISIN!$B:$B,MATCH($R881,ISIN!$C:$C,0))),)</f>
        <v/>
      </c>
      <c r="R881" s="38" t="str">
        <f t="array" ref="R881">IF($E881&lt;&gt;""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7" t="str">
        <f t="shared" si="1"/>
        <v/>
      </c>
      <c r="T881" s="39" t="str">
        <f t="shared" si="2"/>
        <v/>
      </c>
      <c r="U881" s="40" t="str">
        <f t="shared" si="3"/>
        <v/>
      </c>
      <c r="V881" s="34" t="str">
        <f t="shared" si="4"/>
        <v/>
      </c>
      <c r="W881" s="41" t="str">
        <f>IFERROR(__xludf.DUMMYFUNCTION(" IF(Account!$F881&lt;&gt;"""", SPLIT(Account!$F881, "" ""), """")"),"")</f>
        <v/>
      </c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</row>
    <row r="882">
      <c r="A882" s="20"/>
      <c r="B882" s="20"/>
      <c r="C882" s="20"/>
      <c r="D882" s="45"/>
      <c r="E882" s="45"/>
      <c r="F882" s="21"/>
      <c r="G882" s="20"/>
      <c r="H882" s="20"/>
      <c r="I882" s="20"/>
      <c r="J882" s="20"/>
      <c r="K882" s="20"/>
      <c r="L882" s="46"/>
      <c r="M882" s="33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4" t="str">
        <f>IFERROR(__xludf.DUMMYFUNCTION("IF(Account!$F882&lt;&gt;"""", VALUE(REGEXREPLACE($I882, ""\,"", ""."")), """")"),"")</f>
        <v/>
      </c>
      <c r="O882" s="35" t="str">
        <f>IF(Account!$F882&lt;&gt;"", DATEVALUE(MID($A882,4,3) &amp; LEFT($A882,3) &amp; RIGHT($A882,4)) + TIMEVALUE($B882), "")</f>
        <v/>
      </c>
      <c r="P882" s="36" t="str">
        <f>IF(Account!$F882&lt;&gt;"", DATEVALUE(MID($C882,4,3) &amp; LEFT($C882,3) &amp; RIGHT($C882,4)), "")</f>
        <v/>
      </c>
      <c r="Q882" s="37" t="str">
        <f t="array" ref="Q882">IF($R882&lt;&gt;"",IFERROR(INDEX(ISIN!$B:$B,MATCH($R882,ISIN!$C:$C,0))),)</f>
        <v/>
      </c>
      <c r="R882" s="38" t="str">
        <f t="array" ref="R882">IF($E882&lt;&gt;""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7" t="str">
        <f t="shared" si="1"/>
        <v/>
      </c>
      <c r="T882" s="39" t="str">
        <f t="shared" si="2"/>
        <v/>
      </c>
      <c r="U882" s="40" t="str">
        <f t="shared" si="3"/>
        <v/>
      </c>
      <c r="V882" s="34" t="str">
        <f t="shared" si="4"/>
        <v/>
      </c>
      <c r="W882" s="41" t="str">
        <f>IFERROR(__xludf.DUMMYFUNCTION(" IF(Account!$F882&lt;&gt;"""", SPLIT(Account!$F882, "" ""), """")"),"")</f>
        <v/>
      </c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</row>
    <row r="883">
      <c r="A883" s="20"/>
      <c r="B883" s="20"/>
      <c r="C883" s="20"/>
      <c r="D883" s="20"/>
      <c r="E883" s="20"/>
      <c r="F883" s="21"/>
      <c r="G883" s="45"/>
      <c r="H883" s="20"/>
      <c r="I883" s="20"/>
      <c r="J883" s="20"/>
      <c r="K883" s="20"/>
      <c r="L883" s="46"/>
      <c r="M883" s="33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4" t="str">
        <f>IFERROR(__xludf.DUMMYFUNCTION("IF(Account!$F883&lt;&gt;"""", VALUE(REGEXREPLACE($I883, ""\,"", ""."")), """")"),"")</f>
        <v/>
      </c>
      <c r="O883" s="35" t="str">
        <f>IF(Account!$F883&lt;&gt;"", DATEVALUE(MID($A883,4,3) &amp; LEFT($A883,3) &amp; RIGHT($A883,4)) + TIMEVALUE($B883), "")</f>
        <v/>
      </c>
      <c r="P883" s="36" t="str">
        <f>IF(Account!$F883&lt;&gt;"", DATEVALUE(MID($C883,4,3) &amp; LEFT($C883,3) &amp; RIGHT($C883,4)), "")</f>
        <v/>
      </c>
      <c r="Q883" s="37" t="str">
        <f t="array" ref="Q883">IF($R883&lt;&gt;"",IFERROR(INDEX(ISIN!$B:$B,MATCH($R883,ISIN!$C:$C,0))),)</f>
        <v/>
      </c>
      <c r="R883" s="38" t="str">
        <f t="array" ref="R883">IF($E883&lt;&gt;""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7" t="str">
        <f t="shared" si="1"/>
        <v/>
      </c>
      <c r="T883" s="39" t="str">
        <f t="shared" si="2"/>
        <v/>
      </c>
      <c r="U883" s="40" t="str">
        <f t="shared" si="3"/>
        <v/>
      </c>
      <c r="V883" s="34" t="str">
        <f t="shared" si="4"/>
        <v/>
      </c>
      <c r="W883" s="41" t="str">
        <f>IFERROR(__xludf.DUMMYFUNCTION(" IF(Account!$F883&lt;&gt;"""", SPLIT(Account!$F883, "" ""), """")"),"")</f>
        <v/>
      </c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</row>
    <row r="884">
      <c r="A884" s="20"/>
      <c r="B884" s="20"/>
      <c r="C884" s="20"/>
      <c r="D884" s="20"/>
      <c r="E884" s="20"/>
      <c r="F884" s="21"/>
      <c r="G884" s="45"/>
      <c r="H884" s="20"/>
      <c r="I884" s="20"/>
      <c r="J884" s="20"/>
      <c r="K884" s="20"/>
      <c r="L884" s="46"/>
      <c r="M884" s="33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4" t="str">
        <f>IFERROR(__xludf.DUMMYFUNCTION("IF(Account!$F884&lt;&gt;"""", VALUE(REGEXREPLACE($I884, ""\,"", ""."")), """")"),"")</f>
        <v/>
      </c>
      <c r="O884" s="35" t="str">
        <f>IF(Account!$F884&lt;&gt;"", DATEVALUE(MID($A884,4,3) &amp; LEFT($A884,3) &amp; RIGHT($A884,4)) + TIMEVALUE($B884), "")</f>
        <v/>
      </c>
      <c r="P884" s="36" t="str">
        <f>IF(Account!$F884&lt;&gt;"", DATEVALUE(MID($C884,4,3) &amp; LEFT($C884,3) &amp; RIGHT($C884,4)), "")</f>
        <v/>
      </c>
      <c r="Q884" s="37" t="str">
        <f t="array" ref="Q884">IF($R884&lt;&gt;"",IFERROR(INDEX(ISIN!$B:$B,MATCH($R884,ISIN!$C:$C,0))),)</f>
        <v/>
      </c>
      <c r="R884" s="38" t="str">
        <f t="array" ref="R884">IF($E884&lt;&gt;""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7" t="str">
        <f t="shared" si="1"/>
        <v/>
      </c>
      <c r="T884" s="39" t="str">
        <f t="shared" si="2"/>
        <v/>
      </c>
      <c r="U884" s="40" t="str">
        <f t="shared" si="3"/>
        <v/>
      </c>
      <c r="V884" s="34" t="str">
        <f t="shared" si="4"/>
        <v/>
      </c>
      <c r="W884" s="41" t="str">
        <f>IFERROR(__xludf.DUMMYFUNCTION(" IF(Account!$F884&lt;&gt;"""", SPLIT(Account!$F884, "" ""), """")"),"")</f>
        <v/>
      </c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</row>
    <row r="885">
      <c r="A885" s="20"/>
      <c r="B885" s="20"/>
      <c r="C885" s="20"/>
      <c r="D885" s="45"/>
      <c r="E885" s="45"/>
      <c r="F885" s="21"/>
      <c r="G885" s="45"/>
      <c r="H885" s="20"/>
      <c r="I885" s="20"/>
      <c r="J885" s="20"/>
      <c r="K885" s="20"/>
      <c r="L885" s="46"/>
      <c r="M885" s="33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4" t="str">
        <f>IFERROR(__xludf.DUMMYFUNCTION("IF(Account!$F885&lt;&gt;"""", VALUE(REGEXREPLACE($I885, ""\,"", ""."")), """")"),"")</f>
        <v/>
      </c>
      <c r="O885" s="35" t="str">
        <f>IF(Account!$F885&lt;&gt;"", DATEVALUE(MID($A885,4,3) &amp; LEFT($A885,3) &amp; RIGHT($A885,4)) + TIMEVALUE($B885), "")</f>
        <v/>
      </c>
      <c r="P885" s="36" t="str">
        <f>IF(Account!$F885&lt;&gt;"", DATEVALUE(MID($C885,4,3) &amp; LEFT($C885,3) &amp; RIGHT($C885,4)), "")</f>
        <v/>
      </c>
      <c r="Q885" s="37" t="str">
        <f t="array" ref="Q885">IF($R885&lt;&gt;"",IFERROR(INDEX(ISIN!$B:$B,MATCH($R885,ISIN!$C:$C,0))),)</f>
        <v/>
      </c>
      <c r="R885" s="38" t="str">
        <f t="array" ref="R885">IF($E885&lt;&gt;""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7" t="str">
        <f t="shared" si="1"/>
        <v/>
      </c>
      <c r="T885" s="39" t="str">
        <f t="shared" si="2"/>
        <v/>
      </c>
      <c r="U885" s="40" t="str">
        <f t="shared" si="3"/>
        <v/>
      </c>
      <c r="V885" s="34" t="str">
        <f t="shared" si="4"/>
        <v/>
      </c>
      <c r="W885" s="41" t="str">
        <f>IFERROR(__xludf.DUMMYFUNCTION(" IF(Account!$F885&lt;&gt;"""", SPLIT(Account!$F885, "" ""), """")"),"")</f>
        <v/>
      </c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</row>
    <row r="886">
      <c r="A886" s="20"/>
      <c r="B886" s="20"/>
      <c r="C886" s="20"/>
      <c r="D886" s="20"/>
      <c r="E886" s="20"/>
      <c r="F886" s="21"/>
      <c r="G886" s="20"/>
      <c r="H886" s="20"/>
      <c r="I886" s="20"/>
      <c r="J886" s="20"/>
      <c r="K886" s="20"/>
      <c r="L886" s="21"/>
      <c r="M886" s="33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4" t="str">
        <f>IFERROR(__xludf.DUMMYFUNCTION("IF(Account!$F886&lt;&gt;"""", VALUE(REGEXREPLACE($I886, ""\,"", ""."")), """")"),"")</f>
        <v/>
      </c>
      <c r="O886" s="35" t="str">
        <f>IF(Account!$F886&lt;&gt;"", DATEVALUE(MID($A886,4,3) &amp; LEFT($A886,3) &amp; RIGHT($A886,4)) + TIMEVALUE($B886), "")</f>
        <v/>
      </c>
      <c r="P886" s="36" t="str">
        <f>IF(Account!$F886&lt;&gt;"", DATEVALUE(MID($C886,4,3) &amp; LEFT($C886,3) &amp; RIGHT($C886,4)), "")</f>
        <v/>
      </c>
      <c r="Q886" s="37" t="str">
        <f t="array" ref="Q886">IF($R886&lt;&gt;"",IFERROR(INDEX(ISIN!$B:$B,MATCH($R886,ISIN!$C:$C,0))),)</f>
        <v/>
      </c>
      <c r="R886" s="38" t="str">
        <f t="array" ref="R886">IF($E886&lt;&gt;""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7" t="str">
        <f t="shared" si="1"/>
        <v/>
      </c>
      <c r="T886" s="39" t="str">
        <f t="shared" si="2"/>
        <v/>
      </c>
      <c r="U886" s="40" t="str">
        <f t="shared" si="3"/>
        <v/>
      </c>
      <c r="V886" s="34" t="str">
        <f t="shared" si="4"/>
        <v/>
      </c>
      <c r="W886" s="41" t="str">
        <f>IFERROR(__xludf.DUMMYFUNCTION(" IF(Account!$F886&lt;&gt;"""", SPLIT(Account!$F886, "" ""), """")"),"")</f>
        <v/>
      </c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</row>
    <row r="887">
      <c r="A887" s="20"/>
      <c r="B887" s="20"/>
      <c r="C887" s="20"/>
      <c r="D887" s="20"/>
      <c r="E887" s="20"/>
      <c r="F887" s="21"/>
      <c r="G887" s="45"/>
      <c r="H887" s="20"/>
      <c r="I887" s="20"/>
      <c r="J887" s="20"/>
      <c r="K887" s="20"/>
      <c r="L887" s="21"/>
      <c r="M887" s="33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4" t="str">
        <f>IFERROR(__xludf.DUMMYFUNCTION("IF(Account!$F887&lt;&gt;"""", VALUE(REGEXREPLACE($I887, ""\,"", ""."")), """")"),"")</f>
        <v/>
      </c>
      <c r="O887" s="35" t="str">
        <f>IF(Account!$F887&lt;&gt;"", DATEVALUE(MID($A887,4,3) &amp; LEFT($A887,3) &amp; RIGHT($A887,4)) + TIMEVALUE($B887), "")</f>
        <v/>
      </c>
      <c r="P887" s="36" t="str">
        <f>IF(Account!$F887&lt;&gt;"", DATEVALUE(MID($C887,4,3) &amp; LEFT($C887,3) &amp; RIGHT($C887,4)), "")</f>
        <v/>
      </c>
      <c r="Q887" s="37" t="str">
        <f t="array" ref="Q887">IF($R887&lt;&gt;"",IFERROR(INDEX(ISIN!$B:$B,MATCH($R887,ISIN!$C:$C,0))),)</f>
        <v/>
      </c>
      <c r="R887" s="38" t="str">
        <f t="array" ref="R887">IF($E887&lt;&gt;""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7" t="str">
        <f t="shared" si="1"/>
        <v/>
      </c>
      <c r="T887" s="39" t="str">
        <f t="shared" si="2"/>
        <v/>
      </c>
      <c r="U887" s="40" t="str">
        <f t="shared" si="3"/>
        <v/>
      </c>
      <c r="V887" s="34" t="str">
        <f t="shared" si="4"/>
        <v/>
      </c>
      <c r="W887" s="41" t="str">
        <f>IFERROR(__xludf.DUMMYFUNCTION(" IF(Account!$F887&lt;&gt;"""", SPLIT(Account!$F887, "" ""), """")"),"")</f>
        <v/>
      </c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</row>
    <row r="888">
      <c r="A888" s="20"/>
      <c r="B888" s="20"/>
      <c r="C888" s="20"/>
      <c r="D888" s="20"/>
      <c r="E888" s="20"/>
      <c r="F888" s="21"/>
      <c r="G888" s="45"/>
      <c r="H888" s="20"/>
      <c r="I888" s="20"/>
      <c r="J888" s="20"/>
      <c r="K888" s="20"/>
      <c r="L888" s="21"/>
      <c r="M888" s="33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4" t="str">
        <f>IFERROR(__xludf.DUMMYFUNCTION("IF(Account!$F888&lt;&gt;"""", VALUE(REGEXREPLACE($I888, ""\,"", ""."")), """")"),"")</f>
        <v/>
      </c>
      <c r="O888" s="35" t="str">
        <f>IF(Account!$F888&lt;&gt;"", DATEVALUE(MID($A888,4,3) &amp; LEFT($A888,3) &amp; RIGHT($A888,4)) + TIMEVALUE($B888), "")</f>
        <v/>
      </c>
      <c r="P888" s="36" t="str">
        <f>IF(Account!$F888&lt;&gt;"", DATEVALUE(MID($C888,4,3) &amp; LEFT($C888,3) &amp; RIGHT($C888,4)), "")</f>
        <v/>
      </c>
      <c r="Q888" s="37" t="str">
        <f t="array" ref="Q888">IF($R888&lt;&gt;"",IFERROR(INDEX(ISIN!$B:$B,MATCH($R888,ISIN!$C:$C,0))),)</f>
        <v/>
      </c>
      <c r="R888" s="38" t="str">
        <f t="array" ref="R888">IF($E888&lt;&gt;""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7" t="str">
        <f t="shared" si="1"/>
        <v/>
      </c>
      <c r="T888" s="39" t="str">
        <f t="shared" si="2"/>
        <v/>
      </c>
      <c r="U888" s="40" t="str">
        <f t="shared" si="3"/>
        <v/>
      </c>
      <c r="V888" s="34" t="str">
        <f t="shared" si="4"/>
        <v/>
      </c>
      <c r="W888" s="41" t="str">
        <f>IFERROR(__xludf.DUMMYFUNCTION(" IF(Account!$F888&lt;&gt;"""", SPLIT(Account!$F888, "" ""), """")"),"")</f>
        <v/>
      </c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</row>
    <row r="889">
      <c r="A889" s="20"/>
      <c r="B889" s="20"/>
      <c r="C889" s="20"/>
      <c r="D889" s="20"/>
      <c r="E889" s="20"/>
      <c r="F889" s="21"/>
      <c r="G889" s="45"/>
      <c r="H889" s="20"/>
      <c r="I889" s="20"/>
      <c r="J889" s="20"/>
      <c r="K889" s="20"/>
      <c r="L889" s="21"/>
      <c r="M889" s="33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4" t="str">
        <f>IFERROR(__xludf.DUMMYFUNCTION("IF(Account!$F889&lt;&gt;"""", VALUE(REGEXREPLACE($I889, ""\,"", ""."")), """")"),"")</f>
        <v/>
      </c>
      <c r="O889" s="35" t="str">
        <f>IF(Account!$F889&lt;&gt;"", DATEVALUE(MID($A889,4,3) &amp; LEFT($A889,3) &amp; RIGHT($A889,4)) + TIMEVALUE($B889), "")</f>
        <v/>
      </c>
      <c r="P889" s="36" t="str">
        <f>IF(Account!$F889&lt;&gt;"", DATEVALUE(MID($C889,4,3) &amp; LEFT($C889,3) &amp; RIGHT($C889,4)), "")</f>
        <v/>
      </c>
      <c r="Q889" s="37" t="str">
        <f t="array" ref="Q889">IF($R889&lt;&gt;"",IFERROR(INDEX(ISIN!$B:$B,MATCH($R889,ISIN!$C:$C,0))),)</f>
        <v/>
      </c>
      <c r="R889" s="38" t="str">
        <f t="array" ref="R889">IF($E889&lt;&gt;""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7" t="str">
        <f t="shared" si="1"/>
        <v/>
      </c>
      <c r="T889" s="39" t="str">
        <f t="shared" si="2"/>
        <v/>
      </c>
      <c r="U889" s="40" t="str">
        <f t="shared" si="3"/>
        <v/>
      </c>
      <c r="V889" s="34" t="str">
        <f t="shared" si="4"/>
        <v/>
      </c>
      <c r="W889" s="41" t="str">
        <f>IFERROR(__xludf.DUMMYFUNCTION(" IF(Account!$F889&lt;&gt;"""", SPLIT(Account!$F889, "" ""), """")"),"")</f>
        <v/>
      </c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</row>
    <row r="890">
      <c r="A890" s="20"/>
      <c r="B890" s="20"/>
      <c r="C890" s="20"/>
      <c r="D890" s="20"/>
      <c r="E890" s="20"/>
      <c r="F890" s="21"/>
      <c r="G890" s="20"/>
      <c r="H890" s="20"/>
      <c r="I890" s="20"/>
      <c r="J890" s="20"/>
      <c r="K890" s="20"/>
      <c r="L890" s="21"/>
      <c r="M890" s="33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4" t="str">
        <f>IFERROR(__xludf.DUMMYFUNCTION("IF(Account!$F890&lt;&gt;"""", VALUE(REGEXREPLACE($I890, ""\,"", ""."")), """")"),"")</f>
        <v/>
      </c>
      <c r="O890" s="35" t="str">
        <f>IF(Account!$F890&lt;&gt;"", DATEVALUE(MID($A890,4,3) &amp; LEFT($A890,3) &amp; RIGHT($A890,4)) + TIMEVALUE($B890), "")</f>
        <v/>
      </c>
      <c r="P890" s="36" t="str">
        <f>IF(Account!$F890&lt;&gt;"", DATEVALUE(MID($C890,4,3) &amp; LEFT($C890,3) &amp; RIGHT($C890,4)), "")</f>
        <v/>
      </c>
      <c r="Q890" s="37" t="str">
        <f t="array" ref="Q890">IF($R890&lt;&gt;"",IFERROR(INDEX(ISIN!$B:$B,MATCH($R890,ISIN!$C:$C,0))),)</f>
        <v/>
      </c>
      <c r="R890" s="38" t="str">
        <f t="array" ref="R890">IF($E890&lt;&gt;""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7" t="str">
        <f t="shared" si="1"/>
        <v/>
      </c>
      <c r="T890" s="39" t="str">
        <f t="shared" si="2"/>
        <v/>
      </c>
      <c r="U890" s="40" t="str">
        <f t="shared" si="3"/>
        <v/>
      </c>
      <c r="V890" s="34" t="str">
        <f t="shared" si="4"/>
        <v/>
      </c>
      <c r="W890" s="41" t="str">
        <f>IFERROR(__xludf.DUMMYFUNCTION(" IF(Account!$F890&lt;&gt;"""", SPLIT(Account!$F890, "" ""), """")"),"")</f>
        <v/>
      </c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</row>
    <row r="891">
      <c r="A891" s="20"/>
      <c r="B891" s="20"/>
      <c r="C891" s="20"/>
      <c r="D891" s="20"/>
      <c r="E891" s="20"/>
      <c r="F891" s="21"/>
      <c r="G891" s="45"/>
      <c r="H891" s="20"/>
      <c r="I891" s="20"/>
      <c r="J891" s="20"/>
      <c r="K891" s="20"/>
      <c r="L891" s="21"/>
      <c r="M891" s="33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4" t="str">
        <f>IFERROR(__xludf.DUMMYFUNCTION("IF(Account!$F891&lt;&gt;"""", VALUE(REGEXREPLACE($I891, ""\,"", ""."")), """")"),"")</f>
        <v/>
      </c>
      <c r="O891" s="35" t="str">
        <f>IF(Account!$F891&lt;&gt;"", DATEVALUE(MID($A891,4,3) &amp; LEFT($A891,3) &amp; RIGHT($A891,4)) + TIMEVALUE($B891), "")</f>
        <v/>
      </c>
      <c r="P891" s="36" t="str">
        <f>IF(Account!$F891&lt;&gt;"", DATEVALUE(MID($C891,4,3) &amp; LEFT($C891,3) &amp; RIGHT($C891,4)), "")</f>
        <v/>
      </c>
      <c r="Q891" s="37" t="str">
        <f t="array" ref="Q891">IF($R891&lt;&gt;"",IFERROR(INDEX(ISIN!$B:$B,MATCH($R891,ISIN!$C:$C,0))),)</f>
        <v/>
      </c>
      <c r="R891" s="38" t="str">
        <f t="array" ref="R891">IF($E891&lt;&gt;""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7" t="str">
        <f t="shared" si="1"/>
        <v/>
      </c>
      <c r="T891" s="39" t="str">
        <f t="shared" si="2"/>
        <v/>
      </c>
      <c r="U891" s="40" t="str">
        <f t="shared" si="3"/>
        <v/>
      </c>
      <c r="V891" s="34" t="str">
        <f t="shared" si="4"/>
        <v/>
      </c>
      <c r="W891" s="41" t="str">
        <f>IFERROR(__xludf.DUMMYFUNCTION(" IF(Account!$F891&lt;&gt;"""", SPLIT(Account!$F891, "" ""), """")"),"")</f>
        <v/>
      </c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</row>
    <row r="892">
      <c r="A892" s="20"/>
      <c r="B892" s="20"/>
      <c r="C892" s="20"/>
      <c r="D892" s="20"/>
      <c r="E892" s="20"/>
      <c r="F892" s="21"/>
      <c r="G892" s="45"/>
      <c r="H892" s="20"/>
      <c r="I892" s="20"/>
      <c r="J892" s="20"/>
      <c r="K892" s="20"/>
      <c r="L892" s="21"/>
      <c r="M892" s="33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4" t="str">
        <f>IFERROR(__xludf.DUMMYFUNCTION("IF(Account!$F892&lt;&gt;"""", VALUE(REGEXREPLACE($I892, ""\,"", ""."")), """")"),"")</f>
        <v/>
      </c>
      <c r="O892" s="35" t="str">
        <f>IF(Account!$F892&lt;&gt;"", DATEVALUE(MID($A892,4,3) &amp; LEFT($A892,3) &amp; RIGHT($A892,4)) + TIMEVALUE($B892), "")</f>
        <v/>
      </c>
      <c r="P892" s="36" t="str">
        <f>IF(Account!$F892&lt;&gt;"", DATEVALUE(MID($C892,4,3) &amp; LEFT($C892,3) &amp; RIGHT($C892,4)), "")</f>
        <v/>
      </c>
      <c r="Q892" s="37" t="str">
        <f t="array" ref="Q892">IF($R892&lt;&gt;"",IFERROR(INDEX(ISIN!$B:$B,MATCH($R892,ISIN!$C:$C,0))),)</f>
        <v/>
      </c>
      <c r="R892" s="38" t="str">
        <f t="array" ref="R892">IF($E892&lt;&gt;""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7" t="str">
        <f t="shared" si="1"/>
        <v/>
      </c>
      <c r="T892" s="39" t="str">
        <f t="shared" si="2"/>
        <v/>
      </c>
      <c r="U892" s="40" t="str">
        <f t="shared" si="3"/>
        <v/>
      </c>
      <c r="V892" s="34" t="str">
        <f t="shared" si="4"/>
        <v/>
      </c>
      <c r="W892" s="41" t="str">
        <f>IFERROR(__xludf.DUMMYFUNCTION(" IF(Account!$F892&lt;&gt;"""", SPLIT(Account!$F892, "" ""), """")"),"")</f>
        <v/>
      </c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</row>
    <row r="893">
      <c r="A893" s="20"/>
      <c r="B893" s="20"/>
      <c r="C893" s="20"/>
      <c r="D893" s="20"/>
      <c r="E893" s="20"/>
      <c r="F893" s="21"/>
      <c r="G893" s="45"/>
      <c r="H893" s="20"/>
      <c r="I893" s="20"/>
      <c r="J893" s="20"/>
      <c r="K893" s="20"/>
      <c r="L893" s="21"/>
      <c r="M893" s="33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4" t="str">
        <f>IFERROR(__xludf.DUMMYFUNCTION("IF(Account!$F893&lt;&gt;"""", VALUE(REGEXREPLACE($I893, ""\,"", ""."")), """")"),"")</f>
        <v/>
      </c>
      <c r="O893" s="35" t="str">
        <f>IF(Account!$F893&lt;&gt;"", DATEVALUE(MID($A893,4,3) &amp; LEFT($A893,3) &amp; RIGHT($A893,4)) + TIMEVALUE($B893), "")</f>
        <v/>
      </c>
      <c r="P893" s="36" t="str">
        <f>IF(Account!$F893&lt;&gt;"", DATEVALUE(MID($C893,4,3) &amp; LEFT($C893,3) &amp; RIGHT($C893,4)), "")</f>
        <v/>
      </c>
      <c r="Q893" s="37" t="str">
        <f t="array" ref="Q893">IF($R893&lt;&gt;"",IFERROR(INDEX(ISIN!$B:$B,MATCH($R893,ISIN!$C:$C,0))),)</f>
        <v/>
      </c>
      <c r="R893" s="38" t="str">
        <f t="array" ref="R893">IF($E893&lt;&gt;""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7" t="str">
        <f t="shared" si="1"/>
        <v/>
      </c>
      <c r="T893" s="39" t="str">
        <f t="shared" si="2"/>
        <v/>
      </c>
      <c r="U893" s="40" t="str">
        <f t="shared" si="3"/>
        <v/>
      </c>
      <c r="V893" s="34" t="str">
        <f t="shared" si="4"/>
        <v/>
      </c>
      <c r="W893" s="41" t="str">
        <f>IFERROR(__xludf.DUMMYFUNCTION(" IF(Account!$F893&lt;&gt;"""", SPLIT(Account!$F893, "" ""), """")"),"")</f>
        <v/>
      </c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</row>
    <row r="894">
      <c r="A894" s="20"/>
      <c r="B894" s="20"/>
      <c r="C894" s="20"/>
      <c r="D894" s="20"/>
      <c r="E894" s="20"/>
      <c r="F894" s="21"/>
      <c r="G894" s="45"/>
      <c r="H894" s="20"/>
      <c r="I894" s="20"/>
      <c r="J894" s="20"/>
      <c r="K894" s="20"/>
      <c r="L894" s="21"/>
      <c r="M894" s="33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4" t="str">
        <f>IFERROR(__xludf.DUMMYFUNCTION("IF(Account!$F894&lt;&gt;"""", VALUE(REGEXREPLACE($I894, ""\,"", ""."")), """")"),"")</f>
        <v/>
      </c>
      <c r="O894" s="35" t="str">
        <f>IF(Account!$F894&lt;&gt;"", DATEVALUE(MID($A894,4,3) &amp; LEFT($A894,3) &amp; RIGHT($A894,4)) + TIMEVALUE($B894), "")</f>
        <v/>
      </c>
      <c r="P894" s="36" t="str">
        <f>IF(Account!$F894&lt;&gt;"", DATEVALUE(MID($C894,4,3) &amp; LEFT($C894,3) &amp; RIGHT($C894,4)), "")</f>
        <v/>
      </c>
      <c r="Q894" s="37" t="str">
        <f t="array" ref="Q894">IF($R894&lt;&gt;"",IFERROR(INDEX(ISIN!$B:$B,MATCH($R894,ISIN!$C:$C,0))),)</f>
        <v/>
      </c>
      <c r="R894" s="38" t="str">
        <f t="array" ref="R894">IF($E894&lt;&gt;""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7" t="str">
        <f t="shared" si="1"/>
        <v/>
      </c>
      <c r="T894" s="39" t="str">
        <f t="shared" si="2"/>
        <v/>
      </c>
      <c r="U894" s="40" t="str">
        <f t="shared" si="3"/>
        <v/>
      </c>
      <c r="V894" s="34" t="str">
        <f t="shared" si="4"/>
        <v/>
      </c>
      <c r="W894" s="41" t="str">
        <f>IFERROR(__xludf.DUMMYFUNCTION(" IF(Account!$F894&lt;&gt;"""", SPLIT(Account!$F894, "" ""), """")"),"")</f>
        <v/>
      </c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</row>
    <row r="895">
      <c r="A895" s="20"/>
      <c r="B895" s="20"/>
      <c r="C895" s="20"/>
      <c r="D895" s="20"/>
      <c r="E895" s="20"/>
      <c r="F895" s="21"/>
      <c r="G895" s="45"/>
      <c r="H895" s="20"/>
      <c r="I895" s="20"/>
      <c r="J895" s="20"/>
      <c r="K895" s="20"/>
      <c r="L895" s="21"/>
      <c r="M895" s="33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4" t="str">
        <f>IFERROR(__xludf.DUMMYFUNCTION("IF(Account!$F895&lt;&gt;"""", VALUE(REGEXREPLACE($I895, ""\,"", ""."")), """")"),"")</f>
        <v/>
      </c>
      <c r="O895" s="35" t="str">
        <f>IF(Account!$F895&lt;&gt;"", DATEVALUE(MID($A895,4,3) &amp; LEFT($A895,3) &amp; RIGHT($A895,4)) + TIMEVALUE($B895), "")</f>
        <v/>
      </c>
      <c r="P895" s="36" t="str">
        <f>IF(Account!$F895&lt;&gt;"", DATEVALUE(MID($C895,4,3) &amp; LEFT($C895,3) &amp; RIGHT($C895,4)), "")</f>
        <v/>
      </c>
      <c r="Q895" s="37" t="str">
        <f t="array" ref="Q895">IF($R895&lt;&gt;"",IFERROR(INDEX(ISIN!$B:$B,MATCH($R895,ISIN!$C:$C,0))),)</f>
        <v/>
      </c>
      <c r="R895" s="38" t="str">
        <f t="array" ref="R895">IF($E895&lt;&gt;""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7" t="str">
        <f t="shared" si="1"/>
        <v/>
      </c>
      <c r="T895" s="39" t="str">
        <f t="shared" si="2"/>
        <v/>
      </c>
      <c r="U895" s="40" t="str">
        <f t="shared" si="3"/>
        <v/>
      </c>
      <c r="V895" s="34" t="str">
        <f t="shared" si="4"/>
        <v/>
      </c>
      <c r="W895" s="41" t="str">
        <f>IFERROR(__xludf.DUMMYFUNCTION(" IF(Account!$F895&lt;&gt;"""", SPLIT(Account!$F895, "" ""), """")"),"")</f>
        <v/>
      </c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</row>
    <row r="896">
      <c r="A896" s="20"/>
      <c r="B896" s="20"/>
      <c r="C896" s="20"/>
      <c r="D896" s="20"/>
      <c r="E896" s="20"/>
      <c r="F896" s="21"/>
      <c r="G896" s="45"/>
      <c r="H896" s="20"/>
      <c r="I896" s="20"/>
      <c r="J896" s="20"/>
      <c r="K896" s="20"/>
      <c r="L896" s="21"/>
      <c r="M896" s="33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4" t="str">
        <f>IFERROR(__xludf.DUMMYFUNCTION("IF(Account!$F896&lt;&gt;"""", VALUE(REGEXREPLACE($I896, ""\,"", ""."")), """")"),"")</f>
        <v/>
      </c>
      <c r="O896" s="35" t="str">
        <f>IF(Account!$F896&lt;&gt;"", DATEVALUE(MID($A896,4,3) &amp; LEFT($A896,3) &amp; RIGHT($A896,4)) + TIMEVALUE($B896), "")</f>
        <v/>
      </c>
      <c r="P896" s="36" t="str">
        <f>IF(Account!$F896&lt;&gt;"", DATEVALUE(MID($C896,4,3) &amp; LEFT($C896,3) &amp; RIGHT($C896,4)), "")</f>
        <v/>
      </c>
      <c r="Q896" s="37" t="str">
        <f t="array" ref="Q896">IF($R896&lt;&gt;"",IFERROR(INDEX(ISIN!$B:$B,MATCH($R896,ISIN!$C:$C,0))),)</f>
        <v/>
      </c>
      <c r="R896" s="38" t="str">
        <f t="array" ref="R896">IF($E896&lt;&gt;""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7" t="str">
        <f t="shared" si="1"/>
        <v/>
      </c>
      <c r="T896" s="39" t="str">
        <f t="shared" si="2"/>
        <v/>
      </c>
      <c r="U896" s="40" t="str">
        <f t="shared" si="3"/>
        <v/>
      </c>
      <c r="V896" s="34" t="str">
        <f t="shared" si="4"/>
        <v/>
      </c>
      <c r="W896" s="41" t="str">
        <f>IFERROR(__xludf.DUMMYFUNCTION(" IF(Account!$F896&lt;&gt;"""", SPLIT(Account!$F896, "" ""), """")"),"")</f>
        <v/>
      </c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</row>
    <row r="897">
      <c r="A897" s="20"/>
      <c r="B897" s="20"/>
      <c r="C897" s="20"/>
      <c r="D897" s="20"/>
      <c r="E897" s="20"/>
      <c r="F897" s="21"/>
      <c r="G897" s="20"/>
      <c r="H897" s="20"/>
      <c r="I897" s="20"/>
      <c r="J897" s="20"/>
      <c r="K897" s="20"/>
      <c r="L897" s="21"/>
      <c r="M897" s="33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4" t="str">
        <f>IFERROR(__xludf.DUMMYFUNCTION("IF(Account!$F897&lt;&gt;"""", VALUE(REGEXREPLACE($I897, ""\,"", ""."")), """")"),"")</f>
        <v/>
      </c>
      <c r="O897" s="35" t="str">
        <f>IF(Account!$F897&lt;&gt;"", DATEVALUE(MID($A897,4,3) &amp; LEFT($A897,3) &amp; RIGHT($A897,4)) + TIMEVALUE($B897), "")</f>
        <v/>
      </c>
      <c r="P897" s="36" t="str">
        <f>IF(Account!$F897&lt;&gt;"", DATEVALUE(MID($C897,4,3) &amp; LEFT($C897,3) &amp; RIGHT($C897,4)), "")</f>
        <v/>
      </c>
      <c r="Q897" s="37" t="str">
        <f t="array" ref="Q897">IF($R897&lt;&gt;"",IFERROR(INDEX(ISIN!$B:$B,MATCH($R897,ISIN!$C:$C,0))),)</f>
        <v/>
      </c>
      <c r="R897" s="38" t="str">
        <f t="array" ref="R897">IF($E897&lt;&gt;""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7" t="str">
        <f t="shared" si="1"/>
        <v/>
      </c>
      <c r="T897" s="39" t="str">
        <f t="shared" si="2"/>
        <v/>
      </c>
      <c r="U897" s="40" t="str">
        <f t="shared" si="3"/>
        <v/>
      </c>
      <c r="V897" s="34" t="str">
        <f t="shared" si="4"/>
        <v/>
      </c>
      <c r="W897" s="41" t="str">
        <f>IFERROR(__xludf.DUMMYFUNCTION(" IF(Account!$F897&lt;&gt;"""", SPLIT(Account!$F897, "" ""), """")"),"")</f>
        <v/>
      </c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</row>
    <row r="898">
      <c r="A898" s="20"/>
      <c r="B898" s="20"/>
      <c r="C898" s="20"/>
      <c r="D898" s="20"/>
      <c r="E898" s="20"/>
      <c r="F898" s="21"/>
      <c r="G898" s="45"/>
      <c r="H898" s="20"/>
      <c r="I898" s="20"/>
      <c r="J898" s="20"/>
      <c r="K898" s="20"/>
      <c r="L898" s="21"/>
      <c r="M898" s="33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4" t="str">
        <f>IFERROR(__xludf.DUMMYFUNCTION("IF(Account!$F898&lt;&gt;"""", VALUE(REGEXREPLACE($I898, ""\,"", ""."")), """")"),"")</f>
        <v/>
      </c>
      <c r="O898" s="35" t="str">
        <f>IF(Account!$F898&lt;&gt;"", DATEVALUE(MID($A898,4,3) &amp; LEFT($A898,3) &amp; RIGHT($A898,4)) + TIMEVALUE($B898), "")</f>
        <v/>
      </c>
      <c r="P898" s="36" t="str">
        <f>IF(Account!$F898&lt;&gt;"", DATEVALUE(MID($C898,4,3) &amp; LEFT($C898,3) &amp; RIGHT($C898,4)), "")</f>
        <v/>
      </c>
      <c r="Q898" s="37" t="str">
        <f t="array" ref="Q898">IF($R898&lt;&gt;"",IFERROR(INDEX(ISIN!$B:$B,MATCH($R898,ISIN!$C:$C,0))),)</f>
        <v/>
      </c>
      <c r="R898" s="38" t="str">
        <f t="array" ref="R898">IF($E898&lt;&gt;""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7" t="str">
        <f t="shared" si="1"/>
        <v/>
      </c>
      <c r="T898" s="39" t="str">
        <f t="shared" si="2"/>
        <v/>
      </c>
      <c r="U898" s="40" t="str">
        <f t="shared" si="3"/>
        <v/>
      </c>
      <c r="V898" s="34" t="str">
        <f t="shared" si="4"/>
        <v/>
      </c>
      <c r="W898" s="41" t="str">
        <f>IFERROR(__xludf.DUMMYFUNCTION(" IF(Account!$F898&lt;&gt;"""", SPLIT(Account!$F898, "" ""), """")"),"")</f>
        <v/>
      </c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</row>
    <row r="899">
      <c r="A899" s="20"/>
      <c r="B899" s="20"/>
      <c r="C899" s="20"/>
      <c r="D899" s="20"/>
      <c r="E899" s="20"/>
      <c r="F899" s="21"/>
      <c r="G899" s="45"/>
      <c r="H899" s="20"/>
      <c r="I899" s="20"/>
      <c r="J899" s="20"/>
      <c r="K899" s="20"/>
      <c r="L899" s="21"/>
      <c r="M899" s="33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4" t="str">
        <f>IFERROR(__xludf.DUMMYFUNCTION("IF(Account!$F899&lt;&gt;"""", VALUE(REGEXREPLACE($I899, ""\,"", ""."")), """")"),"")</f>
        <v/>
      </c>
      <c r="O899" s="35" t="str">
        <f>IF(Account!$F899&lt;&gt;"", DATEVALUE(MID($A899,4,3) &amp; LEFT($A899,3) &amp; RIGHT($A899,4)) + TIMEVALUE($B899), "")</f>
        <v/>
      </c>
      <c r="P899" s="36" t="str">
        <f>IF(Account!$F899&lt;&gt;"", DATEVALUE(MID($C899,4,3) &amp; LEFT($C899,3) &amp; RIGHT($C899,4)), "")</f>
        <v/>
      </c>
      <c r="Q899" s="37" t="str">
        <f t="array" ref="Q899">IF($R899&lt;&gt;"",IFERROR(INDEX(ISIN!$B:$B,MATCH($R899,ISIN!$C:$C,0))),)</f>
        <v/>
      </c>
      <c r="R899" s="38" t="str">
        <f t="array" ref="R899">IF($E899&lt;&gt;""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7" t="str">
        <f t="shared" si="1"/>
        <v/>
      </c>
      <c r="T899" s="39" t="str">
        <f t="shared" si="2"/>
        <v/>
      </c>
      <c r="U899" s="40" t="str">
        <f t="shared" si="3"/>
        <v/>
      </c>
      <c r="V899" s="34" t="str">
        <f t="shared" si="4"/>
        <v/>
      </c>
      <c r="W899" s="41" t="str">
        <f>IFERROR(__xludf.DUMMYFUNCTION(" IF(Account!$F899&lt;&gt;"""", SPLIT(Account!$F899, "" ""), """")"),"")</f>
        <v/>
      </c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</row>
    <row r="900">
      <c r="A900" s="20"/>
      <c r="B900" s="20"/>
      <c r="C900" s="20"/>
      <c r="D900" s="20"/>
      <c r="E900" s="20"/>
      <c r="F900" s="21"/>
      <c r="G900" s="45"/>
      <c r="H900" s="45"/>
      <c r="I900" s="45"/>
      <c r="J900" s="20"/>
      <c r="K900" s="20"/>
      <c r="L900" s="46"/>
      <c r="M900" s="33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4" t="str">
        <f>IFERROR(__xludf.DUMMYFUNCTION("IF(Account!$F900&lt;&gt;"""", VALUE(REGEXREPLACE($I900, ""\,"", ""."")), """")"),"")</f>
        <v/>
      </c>
      <c r="O900" s="35" t="str">
        <f>IF(Account!$F900&lt;&gt;"", DATEVALUE(MID($A900,4,3) &amp; LEFT($A900,3) &amp; RIGHT($A900,4)) + TIMEVALUE($B900), "")</f>
        <v/>
      </c>
      <c r="P900" s="36" t="str">
        <f>IF(Account!$F900&lt;&gt;"", DATEVALUE(MID($C900,4,3) &amp; LEFT($C900,3) &amp; RIGHT($C900,4)), "")</f>
        <v/>
      </c>
      <c r="Q900" s="37" t="str">
        <f t="array" ref="Q900">IF($R900&lt;&gt;"",IFERROR(INDEX(ISIN!$B:$B,MATCH($R900,ISIN!$C:$C,0))),)</f>
        <v/>
      </c>
      <c r="R900" s="38" t="str">
        <f t="array" ref="R900">IF($E900&lt;&gt;""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7" t="str">
        <f t="shared" si="1"/>
        <v/>
      </c>
      <c r="T900" s="39" t="str">
        <f t="shared" si="2"/>
        <v/>
      </c>
      <c r="U900" s="40" t="str">
        <f t="shared" si="3"/>
        <v/>
      </c>
      <c r="V900" s="34" t="str">
        <f t="shared" si="4"/>
        <v/>
      </c>
      <c r="W900" s="41" t="str">
        <f>IFERROR(__xludf.DUMMYFUNCTION(" IF(Account!$F900&lt;&gt;"""", SPLIT(Account!$F900, "" ""), """")"),"")</f>
        <v/>
      </c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</row>
    <row r="901">
      <c r="A901" s="20"/>
      <c r="B901" s="20"/>
      <c r="C901" s="20"/>
      <c r="D901" s="45"/>
      <c r="E901" s="45"/>
      <c r="F901" s="21"/>
      <c r="G901" s="20"/>
      <c r="H901" s="20"/>
      <c r="I901" s="20"/>
      <c r="J901" s="20"/>
      <c r="K901" s="20"/>
      <c r="L901" s="46"/>
      <c r="M901" s="33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4" t="str">
        <f>IFERROR(__xludf.DUMMYFUNCTION("IF(Account!$F901&lt;&gt;"""", VALUE(REGEXREPLACE($I901, ""\,"", ""."")), """")"),"")</f>
        <v/>
      </c>
      <c r="O901" s="35" t="str">
        <f>IF(Account!$F901&lt;&gt;"", DATEVALUE(MID($A901,4,3) &amp; LEFT($A901,3) &amp; RIGHT($A901,4)) + TIMEVALUE($B901), "")</f>
        <v/>
      </c>
      <c r="P901" s="36" t="str">
        <f>IF(Account!$F901&lt;&gt;"", DATEVALUE(MID($C901,4,3) &amp; LEFT($C901,3) &amp; RIGHT($C901,4)), "")</f>
        <v/>
      </c>
      <c r="Q901" s="37" t="str">
        <f t="array" ref="Q901">IF($R901&lt;&gt;"",IFERROR(INDEX(ISIN!$B:$B,MATCH($R901,ISIN!$C:$C,0))),)</f>
        <v/>
      </c>
      <c r="R901" s="38" t="str">
        <f t="array" ref="R901">IF($E901&lt;&gt;""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7" t="str">
        <f t="shared" si="1"/>
        <v/>
      </c>
      <c r="T901" s="39" t="str">
        <f t="shared" si="2"/>
        <v/>
      </c>
      <c r="U901" s="40" t="str">
        <f t="shared" si="3"/>
        <v/>
      </c>
      <c r="V901" s="34" t="str">
        <f t="shared" si="4"/>
        <v/>
      </c>
      <c r="W901" s="41" t="str">
        <f>IFERROR(__xludf.DUMMYFUNCTION(" IF(Account!$F901&lt;&gt;"""", SPLIT(Account!$F901, "" ""), """")"),"")</f>
        <v/>
      </c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</row>
    <row r="902">
      <c r="A902" s="20"/>
      <c r="B902" s="20"/>
      <c r="C902" s="20"/>
      <c r="D902" s="45"/>
      <c r="E902" s="45"/>
      <c r="F902" s="21"/>
      <c r="G902" s="45"/>
      <c r="H902" s="20"/>
      <c r="I902" s="20"/>
      <c r="J902" s="20"/>
      <c r="K902" s="20"/>
      <c r="L902" s="46"/>
      <c r="M902" s="33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4" t="str">
        <f>IFERROR(__xludf.DUMMYFUNCTION("IF(Account!$F902&lt;&gt;"""", VALUE(REGEXREPLACE($I902, ""\,"", ""."")), """")"),"")</f>
        <v/>
      </c>
      <c r="O902" s="35" t="str">
        <f>IF(Account!$F902&lt;&gt;"", DATEVALUE(MID($A902,4,3) &amp; LEFT($A902,3) &amp; RIGHT($A902,4)) + TIMEVALUE($B902), "")</f>
        <v/>
      </c>
      <c r="P902" s="36" t="str">
        <f>IF(Account!$F902&lt;&gt;"", DATEVALUE(MID($C902,4,3) &amp; LEFT($C902,3) &amp; RIGHT($C902,4)), "")</f>
        <v/>
      </c>
      <c r="Q902" s="37" t="str">
        <f t="array" ref="Q902">IF($R902&lt;&gt;"",IFERROR(INDEX(ISIN!$B:$B,MATCH($R902,ISIN!$C:$C,0))),)</f>
        <v/>
      </c>
      <c r="R902" s="38" t="str">
        <f t="array" ref="R902">IF($E902&lt;&gt;""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7" t="str">
        <f t="shared" si="1"/>
        <v/>
      </c>
      <c r="T902" s="39" t="str">
        <f t="shared" si="2"/>
        <v/>
      </c>
      <c r="U902" s="40" t="str">
        <f t="shared" si="3"/>
        <v/>
      </c>
      <c r="V902" s="34" t="str">
        <f t="shared" si="4"/>
        <v/>
      </c>
      <c r="W902" s="41" t="str">
        <f>IFERROR(__xludf.DUMMYFUNCTION(" IF(Account!$F902&lt;&gt;"""", SPLIT(Account!$F902, "" ""), """")"),"")</f>
        <v/>
      </c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</row>
    <row r="903">
      <c r="A903" s="20"/>
      <c r="B903" s="20"/>
      <c r="C903" s="20"/>
      <c r="D903" s="20"/>
      <c r="E903" s="20"/>
      <c r="F903" s="21"/>
      <c r="G903" s="45"/>
      <c r="H903" s="45"/>
      <c r="I903" s="45"/>
      <c r="J903" s="20"/>
      <c r="K903" s="20"/>
      <c r="L903" s="46"/>
      <c r="M903" s="33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4" t="str">
        <f>IFERROR(__xludf.DUMMYFUNCTION("IF(Account!$F903&lt;&gt;"""", VALUE(REGEXREPLACE($I903, ""\,"", ""."")), """")"),"")</f>
        <v/>
      </c>
      <c r="O903" s="35" t="str">
        <f>IF(Account!$F903&lt;&gt;"", DATEVALUE(MID($A903,4,3) &amp; LEFT($A903,3) &amp; RIGHT($A903,4)) + TIMEVALUE($B903), "")</f>
        <v/>
      </c>
      <c r="P903" s="36" t="str">
        <f>IF(Account!$F903&lt;&gt;"", DATEVALUE(MID($C903,4,3) &amp; LEFT($C903,3) &amp; RIGHT($C903,4)), "")</f>
        <v/>
      </c>
      <c r="Q903" s="37" t="str">
        <f t="array" ref="Q903">IF($R903&lt;&gt;"",IFERROR(INDEX(ISIN!$B:$B,MATCH($R903,ISIN!$C:$C,0))),)</f>
        <v/>
      </c>
      <c r="R903" s="38" t="str">
        <f t="array" ref="R903">IF($E903&lt;&gt;""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7" t="str">
        <f t="shared" si="1"/>
        <v/>
      </c>
      <c r="T903" s="39" t="str">
        <f t="shared" si="2"/>
        <v/>
      </c>
      <c r="U903" s="40" t="str">
        <f t="shared" si="3"/>
        <v/>
      </c>
      <c r="V903" s="34" t="str">
        <f t="shared" si="4"/>
        <v/>
      </c>
      <c r="W903" s="41" t="str">
        <f>IFERROR(__xludf.DUMMYFUNCTION(" IF(Account!$F903&lt;&gt;"""", SPLIT(Account!$F903, "" ""), """")"),"")</f>
        <v/>
      </c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</row>
    <row r="904">
      <c r="A904" s="20"/>
      <c r="B904" s="20"/>
      <c r="C904" s="20"/>
      <c r="D904" s="20"/>
      <c r="E904" s="20"/>
      <c r="F904" s="21"/>
      <c r="G904" s="45"/>
      <c r="H904" s="20"/>
      <c r="I904" s="20"/>
      <c r="J904" s="20"/>
      <c r="K904" s="20"/>
      <c r="L904" s="46"/>
      <c r="M904" s="33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4" t="str">
        <f>IFERROR(__xludf.DUMMYFUNCTION("IF(Account!$F904&lt;&gt;"""", VALUE(REGEXREPLACE($I904, ""\,"", ""."")), """")"),"")</f>
        <v/>
      </c>
      <c r="O904" s="35" t="str">
        <f>IF(Account!$F904&lt;&gt;"", DATEVALUE(MID($A904,4,3) &amp; LEFT($A904,3) &amp; RIGHT($A904,4)) + TIMEVALUE($B904), "")</f>
        <v/>
      </c>
      <c r="P904" s="36" t="str">
        <f>IF(Account!$F904&lt;&gt;"", DATEVALUE(MID($C904,4,3) &amp; LEFT($C904,3) &amp; RIGHT($C904,4)), "")</f>
        <v/>
      </c>
      <c r="Q904" s="37" t="str">
        <f t="array" ref="Q904">IF($R904&lt;&gt;"",IFERROR(INDEX(ISIN!$B:$B,MATCH($R904,ISIN!$C:$C,0))),)</f>
        <v/>
      </c>
      <c r="R904" s="38" t="str">
        <f t="array" ref="R904">IF($E904&lt;&gt;""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7" t="str">
        <f t="shared" si="1"/>
        <v/>
      </c>
      <c r="T904" s="39" t="str">
        <f t="shared" si="2"/>
        <v/>
      </c>
      <c r="U904" s="40" t="str">
        <f t="shared" si="3"/>
        <v/>
      </c>
      <c r="V904" s="34" t="str">
        <f t="shared" si="4"/>
        <v/>
      </c>
      <c r="W904" s="41" t="str">
        <f>IFERROR(__xludf.DUMMYFUNCTION(" IF(Account!$F904&lt;&gt;"""", SPLIT(Account!$F904, "" ""), """")"),"")</f>
        <v/>
      </c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</row>
    <row r="905">
      <c r="A905" s="20"/>
      <c r="B905" s="20"/>
      <c r="C905" s="20"/>
      <c r="D905" s="20"/>
      <c r="E905" s="20"/>
      <c r="F905" s="21"/>
      <c r="G905" s="45"/>
      <c r="H905" s="20"/>
      <c r="I905" s="20"/>
      <c r="J905" s="20"/>
      <c r="K905" s="20"/>
      <c r="L905" s="46"/>
      <c r="M905" s="33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4" t="str">
        <f>IFERROR(__xludf.DUMMYFUNCTION("IF(Account!$F905&lt;&gt;"""", VALUE(REGEXREPLACE($I905, ""\,"", ""."")), """")"),"")</f>
        <v/>
      </c>
      <c r="O905" s="35" t="str">
        <f>IF(Account!$F905&lt;&gt;"", DATEVALUE(MID($A905,4,3) &amp; LEFT($A905,3) &amp; RIGHT($A905,4)) + TIMEVALUE($B905), "")</f>
        <v/>
      </c>
      <c r="P905" s="36" t="str">
        <f>IF(Account!$F905&lt;&gt;"", DATEVALUE(MID($C905,4,3) &amp; LEFT($C905,3) &amp; RIGHT($C905,4)), "")</f>
        <v/>
      </c>
      <c r="Q905" s="37" t="str">
        <f t="array" ref="Q905">IF($R905&lt;&gt;"",IFERROR(INDEX(ISIN!$B:$B,MATCH($R905,ISIN!$C:$C,0))),)</f>
        <v/>
      </c>
      <c r="R905" s="38" t="str">
        <f t="array" ref="R905">IF($E905&lt;&gt;""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7" t="str">
        <f t="shared" si="1"/>
        <v/>
      </c>
      <c r="T905" s="39" t="str">
        <f t="shared" si="2"/>
        <v/>
      </c>
      <c r="U905" s="40" t="str">
        <f t="shared" si="3"/>
        <v/>
      </c>
      <c r="V905" s="34" t="str">
        <f t="shared" si="4"/>
        <v/>
      </c>
      <c r="W905" s="41" t="str">
        <f>IFERROR(__xludf.DUMMYFUNCTION(" IF(Account!$F905&lt;&gt;"""", SPLIT(Account!$F905, "" ""), """")"),"")</f>
        <v/>
      </c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</row>
    <row r="906">
      <c r="A906" s="20"/>
      <c r="B906" s="20"/>
      <c r="C906" s="20"/>
      <c r="D906" s="20"/>
      <c r="E906" s="20"/>
      <c r="F906" s="21"/>
      <c r="G906" s="45"/>
      <c r="H906" s="20"/>
      <c r="I906" s="20"/>
      <c r="J906" s="20"/>
      <c r="K906" s="20"/>
      <c r="L906" s="21"/>
      <c r="M906" s="33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4" t="str">
        <f>IFERROR(__xludf.DUMMYFUNCTION("IF(Account!$F906&lt;&gt;"""", VALUE(REGEXREPLACE($I906, ""\,"", ""."")), """")"),"")</f>
        <v/>
      </c>
      <c r="O906" s="35" t="str">
        <f>IF(Account!$F906&lt;&gt;"", DATEVALUE(MID($A906,4,3) &amp; LEFT($A906,3) &amp; RIGHT($A906,4)) + TIMEVALUE($B906), "")</f>
        <v/>
      </c>
      <c r="P906" s="36" t="str">
        <f>IF(Account!$F906&lt;&gt;"", DATEVALUE(MID($C906,4,3) &amp; LEFT($C906,3) &amp; RIGHT($C906,4)), "")</f>
        <v/>
      </c>
      <c r="Q906" s="37" t="str">
        <f t="array" ref="Q906">IF($R906&lt;&gt;"",IFERROR(INDEX(ISIN!$B:$B,MATCH($R906,ISIN!$C:$C,0))),)</f>
        <v/>
      </c>
      <c r="R906" s="38" t="str">
        <f t="array" ref="R906">IF($E906&lt;&gt;""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7" t="str">
        <f t="shared" si="1"/>
        <v/>
      </c>
      <c r="T906" s="39" t="str">
        <f t="shared" si="2"/>
        <v/>
      </c>
      <c r="U906" s="40" t="str">
        <f t="shared" si="3"/>
        <v/>
      </c>
      <c r="V906" s="34" t="str">
        <f t="shared" si="4"/>
        <v/>
      </c>
      <c r="W906" s="41" t="str">
        <f>IFERROR(__xludf.DUMMYFUNCTION(" IF(Account!$F906&lt;&gt;"""", SPLIT(Account!$F906, "" ""), """")"),"")</f>
        <v/>
      </c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</row>
    <row r="907">
      <c r="A907" s="20"/>
      <c r="B907" s="20"/>
      <c r="C907" s="20"/>
      <c r="D907" s="20"/>
      <c r="E907" s="20"/>
      <c r="F907" s="21"/>
      <c r="G907" s="45"/>
      <c r="H907" s="20"/>
      <c r="I907" s="20"/>
      <c r="J907" s="20"/>
      <c r="K907" s="20"/>
      <c r="L907" s="21"/>
      <c r="M907" s="33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4" t="str">
        <f>IFERROR(__xludf.DUMMYFUNCTION("IF(Account!$F907&lt;&gt;"""", VALUE(REGEXREPLACE($I907, ""\,"", ""."")), """")"),"")</f>
        <v/>
      </c>
      <c r="O907" s="35" t="str">
        <f>IF(Account!$F907&lt;&gt;"", DATEVALUE(MID($A907,4,3) &amp; LEFT($A907,3) &amp; RIGHT($A907,4)) + TIMEVALUE($B907), "")</f>
        <v/>
      </c>
      <c r="P907" s="36" t="str">
        <f>IF(Account!$F907&lt;&gt;"", DATEVALUE(MID($C907,4,3) &amp; LEFT($C907,3) &amp; RIGHT($C907,4)), "")</f>
        <v/>
      </c>
      <c r="Q907" s="37" t="str">
        <f t="array" ref="Q907">IF($R907&lt;&gt;"",IFERROR(INDEX(ISIN!$B:$B,MATCH($R907,ISIN!$C:$C,0))),)</f>
        <v/>
      </c>
      <c r="R907" s="38" t="str">
        <f t="array" ref="R907">IF($E907&lt;&gt;""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7" t="str">
        <f t="shared" si="1"/>
        <v/>
      </c>
      <c r="T907" s="39" t="str">
        <f t="shared" si="2"/>
        <v/>
      </c>
      <c r="U907" s="40" t="str">
        <f t="shared" si="3"/>
        <v/>
      </c>
      <c r="V907" s="34" t="str">
        <f t="shared" si="4"/>
        <v/>
      </c>
      <c r="W907" s="41" t="str">
        <f>IFERROR(__xludf.DUMMYFUNCTION(" IF(Account!$F907&lt;&gt;"""", SPLIT(Account!$F907, "" ""), """")"),"")</f>
        <v/>
      </c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</row>
    <row r="908">
      <c r="A908" s="20"/>
      <c r="B908" s="20"/>
      <c r="C908" s="20"/>
      <c r="D908" s="20"/>
      <c r="E908" s="20"/>
      <c r="F908" s="21"/>
      <c r="G908" s="20"/>
      <c r="H908" s="20"/>
      <c r="I908" s="20"/>
      <c r="J908" s="20"/>
      <c r="K908" s="20"/>
      <c r="L908" s="21"/>
      <c r="M908" s="33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4" t="str">
        <f>IFERROR(__xludf.DUMMYFUNCTION("IF(Account!$F908&lt;&gt;"""", VALUE(REGEXREPLACE($I908, ""\,"", ""."")), """")"),"")</f>
        <v/>
      </c>
      <c r="O908" s="35" t="str">
        <f>IF(Account!$F908&lt;&gt;"", DATEVALUE(MID($A908,4,3) &amp; LEFT($A908,3) &amp; RIGHT($A908,4)) + TIMEVALUE($B908), "")</f>
        <v/>
      </c>
      <c r="P908" s="36" t="str">
        <f>IF(Account!$F908&lt;&gt;"", DATEVALUE(MID($C908,4,3) &amp; LEFT($C908,3) &amp; RIGHT($C908,4)), "")</f>
        <v/>
      </c>
      <c r="Q908" s="37" t="str">
        <f t="array" ref="Q908">IF($R908&lt;&gt;"",IFERROR(INDEX(ISIN!$B:$B,MATCH($R908,ISIN!$C:$C,0))),)</f>
        <v/>
      </c>
      <c r="R908" s="38" t="str">
        <f t="array" ref="R908">IF($E908&lt;&gt;""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7" t="str">
        <f t="shared" si="1"/>
        <v/>
      </c>
      <c r="T908" s="39" t="str">
        <f t="shared" si="2"/>
        <v/>
      </c>
      <c r="U908" s="40" t="str">
        <f t="shared" si="3"/>
        <v/>
      </c>
      <c r="V908" s="34" t="str">
        <f t="shared" si="4"/>
        <v/>
      </c>
      <c r="W908" s="41" t="str">
        <f>IFERROR(__xludf.DUMMYFUNCTION(" IF(Account!$F908&lt;&gt;"""", SPLIT(Account!$F908, "" ""), """")"),"")</f>
        <v/>
      </c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</row>
    <row r="909">
      <c r="A909" s="20"/>
      <c r="B909" s="20"/>
      <c r="C909" s="20"/>
      <c r="D909" s="20"/>
      <c r="E909" s="20"/>
      <c r="F909" s="21"/>
      <c r="G909" s="45"/>
      <c r="H909" s="20"/>
      <c r="I909" s="20"/>
      <c r="J909" s="20"/>
      <c r="K909" s="20"/>
      <c r="L909" s="21"/>
      <c r="M909" s="33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4" t="str">
        <f>IFERROR(__xludf.DUMMYFUNCTION("IF(Account!$F909&lt;&gt;"""", VALUE(REGEXREPLACE($I909, ""\,"", ""."")), """")"),"")</f>
        <v/>
      </c>
      <c r="O909" s="35" t="str">
        <f>IF(Account!$F909&lt;&gt;"", DATEVALUE(MID($A909,4,3) &amp; LEFT($A909,3) &amp; RIGHT($A909,4)) + TIMEVALUE($B909), "")</f>
        <v/>
      </c>
      <c r="P909" s="36" t="str">
        <f>IF(Account!$F909&lt;&gt;"", DATEVALUE(MID($C909,4,3) &amp; LEFT($C909,3) &amp; RIGHT($C909,4)), "")</f>
        <v/>
      </c>
      <c r="Q909" s="37" t="str">
        <f t="array" ref="Q909">IF($R909&lt;&gt;"",IFERROR(INDEX(ISIN!$B:$B,MATCH($R909,ISIN!$C:$C,0))),)</f>
        <v/>
      </c>
      <c r="R909" s="38" t="str">
        <f t="array" ref="R909">IF($E909&lt;&gt;""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7" t="str">
        <f t="shared" si="1"/>
        <v/>
      </c>
      <c r="T909" s="39" t="str">
        <f t="shared" si="2"/>
        <v/>
      </c>
      <c r="U909" s="40" t="str">
        <f t="shared" si="3"/>
        <v/>
      </c>
      <c r="V909" s="34" t="str">
        <f t="shared" si="4"/>
        <v/>
      </c>
      <c r="W909" s="41" t="str">
        <f>IFERROR(__xludf.DUMMYFUNCTION(" IF(Account!$F909&lt;&gt;"""", SPLIT(Account!$F909, "" ""), """")"),"")</f>
        <v/>
      </c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</row>
    <row r="910">
      <c r="A910" s="20"/>
      <c r="B910" s="20"/>
      <c r="C910" s="20"/>
      <c r="D910" s="20"/>
      <c r="E910" s="20"/>
      <c r="F910" s="21"/>
      <c r="G910" s="45"/>
      <c r="H910" s="20"/>
      <c r="I910" s="20"/>
      <c r="J910" s="20"/>
      <c r="K910" s="20"/>
      <c r="L910" s="21"/>
      <c r="M910" s="33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4" t="str">
        <f>IFERROR(__xludf.DUMMYFUNCTION("IF(Account!$F910&lt;&gt;"""", VALUE(REGEXREPLACE($I910, ""\,"", ""."")), """")"),"")</f>
        <v/>
      </c>
      <c r="O910" s="35" t="str">
        <f>IF(Account!$F910&lt;&gt;"", DATEVALUE(MID($A910,4,3) &amp; LEFT($A910,3) &amp; RIGHT($A910,4)) + TIMEVALUE($B910), "")</f>
        <v/>
      </c>
      <c r="P910" s="36" t="str">
        <f>IF(Account!$F910&lt;&gt;"", DATEVALUE(MID($C910,4,3) &amp; LEFT($C910,3) &amp; RIGHT($C910,4)), "")</f>
        <v/>
      </c>
      <c r="Q910" s="37" t="str">
        <f t="array" ref="Q910">IF($R910&lt;&gt;"",IFERROR(INDEX(ISIN!$B:$B,MATCH($R910,ISIN!$C:$C,0))),)</f>
        <v/>
      </c>
      <c r="R910" s="38" t="str">
        <f t="array" ref="R910">IF($E910&lt;&gt;""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7" t="str">
        <f t="shared" si="1"/>
        <v/>
      </c>
      <c r="T910" s="39" t="str">
        <f t="shared" si="2"/>
        <v/>
      </c>
      <c r="U910" s="40" t="str">
        <f t="shared" si="3"/>
        <v/>
      </c>
      <c r="V910" s="34" t="str">
        <f t="shared" si="4"/>
        <v/>
      </c>
      <c r="W910" s="41" t="str">
        <f>IFERROR(__xludf.DUMMYFUNCTION(" IF(Account!$F910&lt;&gt;"""", SPLIT(Account!$F910, "" ""), """")"),"")</f>
        <v/>
      </c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</row>
    <row r="911">
      <c r="A911" s="20"/>
      <c r="B911" s="20"/>
      <c r="C911" s="20"/>
      <c r="D911" s="20"/>
      <c r="E911" s="20"/>
      <c r="F911" s="21"/>
      <c r="G911" s="20"/>
      <c r="H911" s="20"/>
      <c r="I911" s="20"/>
      <c r="J911" s="20"/>
      <c r="K911" s="20"/>
      <c r="L911" s="21"/>
      <c r="M911" s="33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4" t="str">
        <f>IFERROR(__xludf.DUMMYFUNCTION("IF(Account!$F911&lt;&gt;"""", VALUE(REGEXREPLACE($I911, ""\,"", ""."")), """")"),"")</f>
        <v/>
      </c>
      <c r="O911" s="35" t="str">
        <f>IF(Account!$F911&lt;&gt;"", DATEVALUE(MID($A911,4,3) &amp; LEFT($A911,3) &amp; RIGHT($A911,4)) + TIMEVALUE($B911), "")</f>
        <v/>
      </c>
      <c r="P911" s="36" t="str">
        <f>IF(Account!$F911&lt;&gt;"", DATEVALUE(MID($C911,4,3) &amp; LEFT($C911,3) &amp; RIGHT($C911,4)), "")</f>
        <v/>
      </c>
      <c r="Q911" s="37" t="str">
        <f t="array" ref="Q911">IF($R911&lt;&gt;"",IFERROR(INDEX(ISIN!$B:$B,MATCH($R911,ISIN!$C:$C,0))),)</f>
        <v/>
      </c>
      <c r="R911" s="38" t="str">
        <f t="array" ref="R911">IF($E911&lt;&gt;""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7" t="str">
        <f t="shared" si="1"/>
        <v/>
      </c>
      <c r="T911" s="39" t="str">
        <f t="shared" si="2"/>
        <v/>
      </c>
      <c r="U911" s="40" t="str">
        <f t="shared" si="3"/>
        <v/>
      </c>
      <c r="V911" s="34" t="str">
        <f t="shared" si="4"/>
        <v/>
      </c>
      <c r="W911" s="41" t="str">
        <f>IFERROR(__xludf.DUMMYFUNCTION(" IF(Account!$F911&lt;&gt;"""", SPLIT(Account!$F911, "" ""), """")"),"")</f>
        <v/>
      </c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</row>
    <row r="912">
      <c r="A912" s="20"/>
      <c r="B912" s="20"/>
      <c r="C912" s="20"/>
      <c r="D912" s="20"/>
      <c r="E912" s="20"/>
      <c r="F912" s="21"/>
      <c r="G912" s="45"/>
      <c r="H912" s="20"/>
      <c r="I912" s="20"/>
      <c r="J912" s="20"/>
      <c r="K912" s="20"/>
      <c r="L912" s="21"/>
      <c r="M912" s="33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4" t="str">
        <f>IFERROR(__xludf.DUMMYFUNCTION("IF(Account!$F912&lt;&gt;"""", VALUE(REGEXREPLACE($I912, ""\,"", ""."")), """")"),"")</f>
        <v/>
      </c>
      <c r="O912" s="35" t="str">
        <f>IF(Account!$F912&lt;&gt;"", DATEVALUE(MID($A912,4,3) &amp; LEFT($A912,3) &amp; RIGHT($A912,4)) + TIMEVALUE($B912), "")</f>
        <v/>
      </c>
      <c r="P912" s="36" t="str">
        <f>IF(Account!$F912&lt;&gt;"", DATEVALUE(MID($C912,4,3) &amp; LEFT($C912,3) &amp; RIGHT($C912,4)), "")</f>
        <v/>
      </c>
      <c r="Q912" s="37" t="str">
        <f t="array" ref="Q912">IF($R912&lt;&gt;"",IFERROR(INDEX(ISIN!$B:$B,MATCH($R912,ISIN!$C:$C,0))),)</f>
        <v/>
      </c>
      <c r="R912" s="38" t="str">
        <f t="array" ref="R912">IF($E912&lt;&gt;""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7" t="str">
        <f t="shared" si="1"/>
        <v/>
      </c>
      <c r="T912" s="39" t="str">
        <f t="shared" si="2"/>
        <v/>
      </c>
      <c r="U912" s="40" t="str">
        <f t="shared" si="3"/>
        <v/>
      </c>
      <c r="V912" s="34" t="str">
        <f t="shared" si="4"/>
        <v/>
      </c>
      <c r="W912" s="41" t="str">
        <f>IFERROR(__xludf.DUMMYFUNCTION(" IF(Account!$F912&lt;&gt;"""", SPLIT(Account!$F912, "" ""), """")"),"")</f>
        <v/>
      </c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</row>
    <row r="913">
      <c r="A913" s="20"/>
      <c r="B913" s="20"/>
      <c r="C913" s="20"/>
      <c r="D913" s="20"/>
      <c r="E913" s="20"/>
      <c r="F913" s="21"/>
      <c r="G913" s="45"/>
      <c r="H913" s="20"/>
      <c r="I913" s="20"/>
      <c r="J913" s="20"/>
      <c r="K913" s="20"/>
      <c r="L913" s="21"/>
      <c r="M913" s="33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4" t="str">
        <f>IFERROR(__xludf.DUMMYFUNCTION("IF(Account!$F913&lt;&gt;"""", VALUE(REGEXREPLACE($I913, ""\,"", ""."")), """")"),"")</f>
        <v/>
      </c>
      <c r="O913" s="35" t="str">
        <f>IF(Account!$F913&lt;&gt;"", DATEVALUE(MID($A913,4,3) &amp; LEFT($A913,3) &amp; RIGHT($A913,4)) + TIMEVALUE($B913), "")</f>
        <v/>
      </c>
      <c r="P913" s="36" t="str">
        <f>IF(Account!$F913&lt;&gt;"", DATEVALUE(MID($C913,4,3) &amp; LEFT($C913,3) &amp; RIGHT($C913,4)), "")</f>
        <v/>
      </c>
      <c r="Q913" s="37" t="str">
        <f t="array" ref="Q913">IF($R913&lt;&gt;"",IFERROR(INDEX(ISIN!$B:$B,MATCH($R913,ISIN!$C:$C,0))),)</f>
        <v/>
      </c>
      <c r="R913" s="38" t="str">
        <f t="array" ref="R913">IF($E913&lt;&gt;""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7" t="str">
        <f t="shared" si="1"/>
        <v/>
      </c>
      <c r="T913" s="39" t="str">
        <f t="shared" si="2"/>
        <v/>
      </c>
      <c r="U913" s="40" t="str">
        <f t="shared" si="3"/>
        <v/>
      </c>
      <c r="V913" s="34" t="str">
        <f t="shared" si="4"/>
        <v/>
      </c>
      <c r="W913" s="41" t="str">
        <f>IFERROR(__xludf.DUMMYFUNCTION(" IF(Account!$F913&lt;&gt;"""", SPLIT(Account!$F913, "" ""), """")"),"")</f>
        <v/>
      </c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</row>
    <row r="914">
      <c r="A914" s="20"/>
      <c r="B914" s="20"/>
      <c r="C914" s="20"/>
      <c r="D914" s="20"/>
      <c r="E914" s="20"/>
      <c r="F914" s="21"/>
      <c r="G914" s="45"/>
      <c r="H914" s="20"/>
      <c r="I914" s="20"/>
      <c r="J914" s="20"/>
      <c r="K914" s="20"/>
      <c r="L914" s="21"/>
      <c r="M914" s="33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4" t="str">
        <f>IFERROR(__xludf.DUMMYFUNCTION("IF(Account!$F914&lt;&gt;"""", VALUE(REGEXREPLACE($I914, ""\,"", ""."")), """")"),"")</f>
        <v/>
      </c>
      <c r="O914" s="35" t="str">
        <f>IF(Account!$F914&lt;&gt;"", DATEVALUE(MID($A914,4,3) &amp; LEFT($A914,3) &amp; RIGHT($A914,4)) + TIMEVALUE($B914), "")</f>
        <v/>
      </c>
      <c r="P914" s="36" t="str">
        <f>IF(Account!$F914&lt;&gt;"", DATEVALUE(MID($C914,4,3) &amp; LEFT($C914,3) &amp; RIGHT($C914,4)), "")</f>
        <v/>
      </c>
      <c r="Q914" s="37" t="str">
        <f t="array" ref="Q914">IF($R914&lt;&gt;"",IFERROR(INDEX(ISIN!$B:$B,MATCH($R914,ISIN!$C:$C,0))),)</f>
        <v/>
      </c>
      <c r="R914" s="38" t="str">
        <f t="array" ref="R914">IF($E914&lt;&gt;""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7" t="str">
        <f t="shared" si="1"/>
        <v/>
      </c>
      <c r="T914" s="39" t="str">
        <f t="shared" si="2"/>
        <v/>
      </c>
      <c r="U914" s="40" t="str">
        <f t="shared" si="3"/>
        <v/>
      </c>
      <c r="V914" s="34" t="str">
        <f t="shared" si="4"/>
        <v/>
      </c>
      <c r="W914" s="41" t="str">
        <f>IFERROR(__xludf.DUMMYFUNCTION(" IF(Account!$F914&lt;&gt;"""", SPLIT(Account!$F914, "" ""), """")"),"")</f>
        <v/>
      </c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</row>
    <row r="915">
      <c r="A915" s="20"/>
      <c r="B915" s="20"/>
      <c r="C915" s="20"/>
      <c r="D915" s="20"/>
      <c r="E915" s="20"/>
      <c r="F915" s="21"/>
      <c r="G915" s="45"/>
      <c r="H915" s="20"/>
      <c r="I915" s="20"/>
      <c r="J915" s="20"/>
      <c r="K915" s="20"/>
      <c r="L915" s="21"/>
      <c r="M915" s="33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4" t="str">
        <f>IFERROR(__xludf.DUMMYFUNCTION("IF(Account!$F915&lt;&gt;"""", VALUE(REGEXREPLACE($I915, ""\,"", ""."")), """")"),"")</f>
        <v/>
      </c>
      <c r="O915" s="35" t="str">
        <f>IF(Account!$F915&lt;&gt;"", DATEVALUE(MID($A915,4,3) &amp; LEFT($A915,3) &amp; RIGHT($A915,4)) + TIMEVALUE($B915), "")</f>
        <v/>
      </c>
      <c r="P915" s="36" t="str">
        <f>IF(Account!$F915&lt;&gt;"", DATEVALUE(MID($C915,4,3) &amp; LEFT($C915,3) &amp; RIGHT($C915,4)), "")</f>
        <v/>
      </c>
      <c r="Q915" s="37" t="str">
        <f t="array" ref="Q915">IF($R915&lt;&gt;"",IFERROR(INDEX(ISIN!$B:$B,MATCH($R915,ISIN!$C:$C,0))),)</f>
        <v/>
      </c>
      <c r="R915" s="38" t="str">
        <f t="array" ref="R915">IF($E915&lt;&gt;""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7" t="str">
        <f t="shared" si="1"/>
        <v/>
      </c>
      <c r="T915" s="39" t="str">
        <f t="shared" si="2"/>
        <v/>
      </c>
      <c r="U915" s="40" t="str">
        <f t="shared" si="3"/>
        <v/>
      </c>
      <c r="V915" s="34" t="str">
        <f t="shared" si="4"/>
        <v/>
      </c>
      <c r="W915" s="41" t="str">
        <f>IFERROR(__xludf.DUMMYFUNCTION(" IF(Account!$F915&lt;&gt;"""", SPLIT(Account!$F915, "" ""), """")"),"")</f>
        <v/>
      </c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</row>
    <row r="916">
      <c r="A916" s="20"/>
      <c r="B916" s="20"/>
      <c r="C916" s="20"/>
      <c r="D916" s="20"/>
      <c r="E916" s="20"/>
      <c r="F916" s="21"/>
      <c r="G916" s="45"/>
      <c r="H916" s="20"/>
      <c r="I916" s="20"/>
      <c r="J916" s="20"/>
      <c r="K916" s="20"/>
      <c r="L916" s="21"/>
      <c r="M916" s="33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4" t="str">
        <f>IFERROR(__xludf.DUMMYFUNCTION("IF(Account!$F916&lt;&gt;"""", VALUE(REGEXREPLACE($I916, ""\,"", ""."")), """")"),"")</f>
        <v/>
      </c>
      <c r="O916" s="35" t="str">
        <f>IF(Account!$F916&lt;&gt;"", DATEVALUE(MID($A916,4,3) &amp; LEFT($A916,3) &amp; RIGHT($A916,4)) + TIMEVALUE($B916), "")</f>
        <v/>
      </c>
      <c r="P916" s="36" t="str">
        <f>IF(Account!$F916&lt;&gt;"", DATEVALUE(MID($C916,4,3) &amp; LEFT($C916,3) &amp; RIGHT($C916,4)), "")</f>
        <v/>
      </c>
      <c r="Q916" s="37" t="str">
        <f t="array" ref="Q916">IF($R916&lt;&gt;"",IFERROR(INDEX(ISIN!$B:$B,MATCH($R916,ISIN!$C:$C,0))),)</f>
        <v/>
      </c>
      <c r="R916" s="38" t="str">
        <f t="array" ref="R916">IF($E916&lt;&gt;""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7" t="str">
        <f t="shared" si="1"/>
        <v/>
      </c>
      <c r="T916" s="39" t="str">
        <f t="shared" si="2"/>
        <v/>
      </c>
      <c r="U916" s="40" t="str">
        <f t="shared" si="3"/>
        <v/>
      </c>
      <c r="V916" s="34" t="str">
        <f t="shared" si="4"/>
        <v/>
      </c>
      <c r="W916" s="41" t="str">
        <f>IFERROR(__xludf.DUMMYFUNCTION(" IF(Account!$F916&lt;&gt;"""", SPLIT(Account!$F916, "" ""), """")"),"")</f>
        <v/>
      </c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</row>
    <row r="917">
      <c r="A917" s="20"/>
      <c r="B917" s="20"/>
      <c r="C917" s="20"/>
      <c r="D917" s="20"/>
      <c r="E917" s="20"/>
      <c r="F917" s="21"/>
      <c r="G917" s="20"/>
      <c r="H917" s="20"/>
      <c r="I917" s="20"/>
      <c r="J917" s="20"/>
      <c r="K917" s="20"/>
      <c r="L917" s="21"/>
      <c r="M917" s="33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4" t="str">
        <f>IFERROR(__xludf.DUMMYFUNCTION("IF(Account!$F917&lt;&gt;"""", VALUE(REGEXREPLACE($I917, ""\,"", ""."")), """")"),"")</f>
        <v/>
      </c>
      <c r="O917" s="35" t="str">
        <f>IF(Account!$F917&lt;&gt;"", DATEVALUE(MID($A917,4,3) &amp; LEFT($A917,3) &amp; RIGHT($A917,4)) + TIMEVALUE($B917), "")</f>
        <v/>
      </c>
      <c r="P917" s="36" t="str">
        <f>IF(Account!$F917&lt;&gt;"", DATEVALUE(MID($C917,4,3) &amp; LEFT($C917,3) &amp; RIGHT($C917,4)), "")</f>
        <v/>
      </c>
      <c r="Q917" s="37" t="str">
        <f t="array" ref="Q917">IF($R917&lt;&gt;"",IFERROR(INDEX(ISIN!$B:$B,MATCH($R917,ISIN!$C:$C,0))),)</f>
        <v/>
      </c>
      <c r="R917" s="38" t="str">
        <f t="array" ref="R917">IF($E917&lt;&gt;""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7" t="str">
        <f t="shared" si="1"/>
        <v/>
      </c>
      <c r="T917" s="39" t="str">
        <f t="shared" si="2"/>
        <v/>
      </c>
      <c r="U917" s="40" t="str">
        <f t="shared" si="3"/>
        <v/>
      </c>
      <c r="V917" s="34" t="str">
        <f t="shared" si="4"/>
        <v/>
      </c>
      <c r="W917" s="41" t="str">
        <f>IFERROR(__xludf.DUMMYFUNCTION(" IF(Account!$F917&lt;&gt;"""", SPLIT(Account!$F917, "" ""), """")"),"")</f>
        <v/>
      </c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</row>
    <row r="918">
      <c r="A918" s="20"/>
      <c r="B918" s="20"/>
      <c r="C918" s="20"/>
      <c r="D918" s="20"/>
      <c r="E918" s="20"/>
      <c r="F918" s="21"/>
      <c r="G918" s="45"/>
      <c r="H918" s="20"/>
      <c r="I918" s="20"/>
      <c r="J918" s="20"/>
      <c r="K918" s="20"/>
      <c r="L918" s="21"/>
      <c r="M918" s="33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4" t="str">
        <f>IFERROR(__xludf.DUMMYFUNCTION("IF(Account!$F918&lt;&gt;"""", VALUE(REGEXREPLACE($I918, ""\,"", ""."")), """")"),"")</f>
        <v/>
      </c>
      <c r="O918" s="35" t="str">
        <f>IF(Account!$F918&lt;&gt;"", DATEVALUE(MID($A918,4,3) &amp; LEFT($A918,3) &amp; RIGHT($A918,4)) + TIMEVALUE($B918), "")</f>
        <v/>
      </c>
      <c r="P918" s="36" t="str">
        <f>IF(Account!$F918&lt;&gt;"", DATEVALUE(MID($C918,4,3) &amp; LEFT($C918,3) &amp; RIGHT($C918,4)), "")</f>
        <v/>
      </c>
      <c r="Q918" s="37" t="str">
        <f t="array" ref="Q918">IF($R918&lt;&gt;"",IFERROR(INDEX(ISIN!$B:$B,MATCH($R918,ISIN!$C:$C,0))),)</f>
        <v/>
      </c>
      <c r="R918" s="38" t="str">
        <f t="array" ref="R918">IF($E918&lt;&gt;""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7" t="str">
        <f t="shared" si="1"/>
        <v/>
      </c>
      <c r="T918" s="39" t="str">
        <f t="shared" si="2"/>
        <v/>
      </c>
      <c r="U918" s="40" t="str">
        <f t="shared" si="3"/>
        <v/>
      </c>
      <c r="V918" s="34" t="str">
        <f t="shared" si="4"/>
        <v/>
      </c>
      <c r="W918" s="41" t="str">
        <f>IFERROR(__xludf.DUMMYFUNCTION(" IF(Account!$F918&lt;&gt;"""", SPLIT(Account!$F918, "" ""), """")"),"")</f>
        <v/>
      </c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</row>
    <row r="919">
      <c r="A919" s="20"/>
      <c r="B919" s="20"/>
      <c r="C919" s="20"/>
      <c r="D919" s="20"/>
      <c r="E919" s="20"/>
      <c r="F919" s="21"/>
      <c r="G919" s="45"/>
      <c r="H919" s="20"/>
      <c r="I919" s="20"/>
      <c r="J919" s="20"/>
      <c r="K919" s="20"/>
      <c r="L919" s="21"/>
      <c r="M919" s="33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4" t="str">
        <f>IFERROR(__xludf.DUMMYFUNCTION("IF(Account!$F919&lt;&gt;"""", VALUE(REGEXREPLACE($I919, ""\,"", ""."")), """")"),"")</f>
        <v/>
      </c>
      <c r="O919" s="35" t="str">
        <f>IF(Account!$F919&lt;&gt;"", DATEVALUE(MID($A919,4,3) &amp; LEFT($A919,3) &amp; RIGHT($A919,4)) + TIMEVALUE($B919), "")</f>
        <v/>
      </c>
      <c r="P919" s="36" t="str">
        <f>IF(Account!$F919&lt;&gt;"", DATEVALUE(MID($C919,4,3) &amp; LEFT($C919,3) &amp; RIGHT($C919,4)), "")</f>
        <v/>
      </c>
      <c r="Q919" s="37" t="str">
        <f t="array" ref="Q919">IF($R919&lt;&gt;"",IFERROR(INDEX(ISIN!$B:$B,MATCH($R919,ISIN!$C:$C,0))),)</f>
        <v/>
      </c>
      <c r="R919" s="38" t="str">
        <f t="array" ref="R919">IF($E919&lt;&gt;""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7" t="str">
        <f t="shared" si="1"/>
        <v/>
      </c>
      <c r="T919" s="39" t="str">
        <f t="shared" si="2"/>
        <v/>
      </c>
      <c r="U919" s="40" t="str">
        <f t="shared" si="3"/>
        <v/>
      </c>
      <c r="V919" s="34" t="str">
        <f t="shared" si="4"/>
        <v/>
      </c>
      <c r="W919" s="41" t="str">
        <f>IFERROR(__xludf.DUMMYFUNCTION(" IF(Account!$F919&lt;&gt;"""", SPLIT(Account!$F919, "" ""), """")"),"")</f>
        <v/>
      </c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</row>
    <row r="920">
      <c r="A920" s="20"/>
      <c r="B920" s="20"/>
      <c r="C920" s="20"/>
      <c r="D920" s="45"/>
      <c r="E920" s="45"/>
      <c r="F920" s="21"/>
      <c r="G920" s="45"/>
      <c r="H920" s="20"/>
      <c r="I920" s="20"/>
      <c r="J920" s="20"/>
      <c r="K920" s="20"/>
      <c r="L920" s="46"/>
      <c r="M920" s="33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4" t="str">
        <f>IFERROR(__xludf.DUMMYFUNCTION("IF(Account!$F920&lt;&gt;"""", VALUE(REGEXREPLACE($I920, ""\,"", ""."")), """")"),"")</f>
        <v/>
      </c>
      <c r="O920" s="35" t="str">
        <f>IF(Account!$F920&lt;&gt;"", DATEVALUE(MID($A920,4,3) &amp; LEFT($A920,3) &amp; RIGHT($A920,4)) + TIMEVALUE($B920), "")</f>
        <v/>
      </c>
      <c r="P920" s="36" t="str">
        <f>IF(Account!$F920&lt;&gt;"", DATEVALUE(MID($C920,4,3) &amp; LEFT($C920,3) &amp; RIGHT($C920,4)), "")</f>
        <v/>
      </c>
      <c r="Q920" s="37" t="str">
        <f t="array" ref="Q920">IF($R920&lt;&gt;"",IFERROR(INDEX(ISIN!$B:$B,MATCH($R920,ISIN!$C:$C,0))),)</f>
        <v/>
      </c>
      <c r="R920" s="38" t="str">
        <f t="array" ref="R920">IF($E920&lt;&gt;""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7" t="str">
        <f t="shared" si="1"/>
        <v/>
      </c>
      <c r="T920" s="39" t="str">
        <f t="shared" si="2"/>
        <v/>
      </c>
      <c r="U920" s="40" t="str">
        <f t="shared" si="3"/>
        <v/>
      </c>
      <c r="V920" s="34" t="str">
        <f t="shared" si="4"/>
        <v/>
      </c>
      <c r="W920" s="41" t="str">
        <f>IFERROR(__xludf.DUMMYFUNCTION(" IF(Account!$F920&lt;&gt;"""", SPLIT(Account!$F920, "" ""), """")"),"")</f>
        <v/>
      </c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</row>
    <row r="921">
      <c r="A921" s="20"/>
      <c r="B921" s="20"/>
      <c r="C921" s="20"/>
      <c r="D921" s="45"/>
      <c r="E921" s="45"/>
      <c r="F921" s="21"/>
      <c r="G921" s="45"/>
      <c r="H921" s="20"/>
      <c r="I921" s="20"/>
      <c r="J921" s="20"/>
      <c r="K921" s="20"/>
      <c r="L921" s="46"/>
      <c r="M921" s="33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4" t="str">
        <f>IFERROR(__xludf.DUMMYFUNCTION("IF(Account!$F921&lt;&gt;"""", VALUE(REGEXREPLACE($I921, ""\,"", ""."")), """")"),"")</f>
        <v/>
      </c>
      <c r="O921" s="35" t="str">
        <f>IF(Account!$F921&lt;&gt;"", DATEVALUE(MID($A921,4,3) &amp; LEFT($A921,3) &amp; RIGHT($A921,4)) + TIMEVALUE($B921), "")</f>
        <v/>
      </c>
      <c r="P921" s="36" t="str">
        <f>IF(Account!$F921&lt;&gt;"", DATEVALUE(MID($C921,4,3) &amp; LEFT($C921,3) &amp; RIGHT($C921,4)), "")</f>
        <v/>
      </c>
      <c r="Q921" s="37" t="str">
        <f t="array" ref="Q921">IF($R921&lt;&gt;"",IFERROR(INDEX(ISIN!$B:$B,MATCH($R921,ISIN!$C:$C,0))),)</f>
        <v/>
      </c>
      <c r="R921" s="38" t="str">
        <f t="array" ref="R921">IF($E921&lt;&gt;""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7" t="str">
        <f t="shared" si="1"/>
        <v/>
      </c>
      <c r="T921" s="39" t="str">
        <f t="shared" si="2"/>
        <v/>
      </c>
      <c r="U921" s="40" t="str">
        <f t="shared" si="3"/>
        <v/>
      </c>
      <c r="V921" s="34" t="str">
        <f t="shared" si="4"/>
        <v/>
      </c>
      <c r="W921" s="41" t="str">
        <f>IFERROR(__xludf.DUMMYFUNCTION(" IF(Account!$F921&lt;&gt;"""", SPLIT(Account!$F921, "" ""), """")"),"")</f>
        <v/>
      </c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</row>
    <row r="922">
      <c r="A922" s="20"/>
      <c r="B922" s="20"/>
      <c r="C922" s="20"/>
      <c r="D922" s="45"/>
      <c r="E922" s="45"/>
      <c r="F922" s="21"/>
      <c r="G922" s="45"/>
      <c r="H922" s="20"/>
      <c r="I922" s="20"/>
      <c r="J922" s="20"/>
      <c r="K922" s="20"/>
      <c r="L922" s="46"/>
      <c r="M922" s="33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4" t="str">
        <f>IFERROR(__xludf.DUMMYFUNCTION("IF(Account!$F922&lt;&gt;"""", VALUE(REGEXREPLACE($I922, ""\,"", ""."")), """")"),"")</f>
        <v/>
      </c>
      <c r="O922" s="35" t="str">
        <f>IF(Account!$F922&lt;&gt;"", DATEVALUE(MID($A922,4,3) &amp; LEFT($A922,3) &amp; RIGHT($A922,4)) + TIMEVALUE($B922), "")</f>
        <v/>
      </c>
      <c r="P922" s="36" t="str">
        <f>IF(Account!$F922&lt;&gt;"", DATEVALUE(MID($C922,4,3) &amp; LEFT($C922,3) &amp; RIGHT($C922,4)), "")</f>
        <v/>
      </c>
      <c r="Q922" s="37" t="str">
        <f t="array" ref="Q922">IF($R922&lt;&gt;"",IFERROR(INDEX(ISIN!$B:$B,MATCH($R922,ISIN!$C:$C,0))),)</f>
        <v/>
      </c>
      <c r="R922" s="38" t="str">
        <f t="array" ref="R922">IF($E922&lt;&gt;""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7" t="str">
        <f t="shared" si="1"/>
        <v/>
      </c>
      <c r="T922" s="39" t="str">
        <f t="shared" si="2"/>
        <v/>
      </c>
      <c r="U922" s="40" t="str">
        <f t="shared" si="3"/>
        <v/>
      </c>
      <c r="V922" s="34" t="str">
        <f t="shared" si="4"/>
        <v/>
      </c>
      <c r="W922" s="41" t="str">
        <f>IFERROR(__xludf.DUMMYFUNCTION(" IF(Account!$F922&lt;&gt;"""", SPLIT(Account!$F922, "" ""), """")"),"")</f>
        <v/>
      </c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</row>
    <row r="923">
      <c r="A923" s="20"/>
      <c r="B923" s="20"/>
      <c r="C923" s="20"/>
      <c r="D923" s="20"/>
      <c r="E923" s="20"/>
      <c r="F923" s="21"/>
      <c r="G923" s="45"/>
      <c r="H923" s="45"/>
      <c r="I923" s="45"/>
      <c r="J923" s="20"/>
      <c r="K923" s="20"/>
      <c r="L923" s="46"/>
      <c r="M923" s="33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4" t="str">
        <f>IFERROR(__xludf.DUMMYFUNCTION("IF(Account!$F923&lt;&gt;"""", VALUE(REGEXREPLACE($I923, ""\,"", ""."")), """")"),"")</f>
        <v/>
      </c>
      <c r="O923" s="35" t="str">
        <f>IF(Account!$F923&lt;&gt;"", DATEVALUE(MID($A923,4,3) &amp; LEFT($A923,3) &amp; RIGHT($A923,4)) + TIMEVALUE($B923), "")</f>
        <v/>
      </c>
      <c r="P923" s="36" t="str">
        <f>IF(Account!$F923&lt;&gt;"", DATEVALUE(MID($C923,4,3) &amp; LEFT($C923,3) &amp; RIGHT($C923,4)), "")</f>
        <v/>
      </c>
      <c r="Q923" s="37" t="str">
        <f t="array" ref="Q923">IF($R923&lt;&gt;"",IFERROR(INDEX(ISIN!$B:$B,MATCH($R923,ISIN!$C:$C,0))),)</f>
        <v/>
      </c>
      <c r="R923" s="38" t="str">
        <f t="array" ref="R923">IF($E923&lt;&gt;""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7" t="str">
        <f t="shared" si="1"/>
        <v/>
      </c>
      <c r="T923" s="39" t="str">
        <f t="shared" si="2"/>
        <v/>
      </c>
      <c r="U923" s="40" t="str">
        <f t="shared" si="3"/>
        <v/>
      </c>
      <c r="V923" s="34" t="str">
        <f t="shared" si="4"/>
        <v/>
      </c>
      <c r="W923" s="41" t="str">
        <f>IFERROR(__xludf.DUMMYFUNCTION(" IF(Account!$F923&lt;&gt;"""", SPLIT(Account!$F923, "" ""), """")"),"")</f>
        <v/>
      </c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</row>
    <row r="924">
      <c r="A924" s="20"/>
      <c r="B924" s="20"/>
      <c r="C924" s="20"/>
      <c r="D924" s="45"/>
      <c r="E924" s="45"/>
      <c r="F924" s="21"/>
      <c r="G924" s="20"/>
      <c r="H924" s="20"/>
      <c r="I924" s="20"/>
      <c r="J924" s="20"/>
      <c r="K924" s="20"/>
      <c r="L924" s="46"/>
      <c r="M924" s="33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4" t="str">
        <f>IFERROR(__xludf.DUMMYFUNCTION("IF(Account!$F924&lt;&gt;"""", VALUE(REGEXREPLACE($I924, ""\,"", ""."")), """")"),"")</f>
        <v/>
      </c>
      <c r="O924" s="35" t="str">
        <f>IF(Account!$F924&lt;&gt;"", DATEVALUE(MID($A924,4,3) &amp; LEFT($A924,3) &amp; RIGHT($A924,4)) + TIMEVALUE($B924), "")</f>
        <v/>
      </c>
      <c r="P924" s="36" t="str">
        <f>IF(Account!$F924&lt;&gt;"", DATEVALUE(MID($C924,4,3) &amp; LEFT($C924,3) &amp; RIGHT($C924,4)), "")</f>
        <v/>
      </c>
      <c r="Q924" s="37" t="str">
        <f t="array" ref="Q924">IF($R924&lt;&gt;"",IFERROR(INDEX(ISIN!$B:$B,MATCH($R924,ISIN!$C:$C,0))),)</f>
        <v/>
      </c>
      <c r="R924" s="38" t="str">
        <f t="array" ref="R924">IF($E924&lt;&gt;""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7" t="str">
        <f t="shared" si="1"/>
        <v/>
      </c>
      <c r="T924" s="39" t="str">
        <f t="shared" si="2"/>
        <v/>
      </c>
      <c r="U924" s="40" t="str">
        <f t="shared" si="3"/>
        <v/>
      </c>
      <c r="V924" s="34" t="str">
        <f t="shared" si="4"/>
        <v/>
      </c>
      <c r="W924" s="41" t="str">
        <f>IFERROR(__xludf.DUMMYFUNCTION(" IF(Account!$F924&lt;&gt;"""", SPLIT(Account!$F924, "" ""), """")"),"")</f>
        <v/>
      </c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</row>
    <row r="925">
      <c r="A925" s="20"/>
      <c r="B925" s="20"/>
      <c r="C925" s="20"/>
      <c r="D925" s="45"/>
      <c r="E925" s="45"/>
      <c r="F925" s="21"/>
      <c r="G925" s="45"/>
      <c r="H925" s="20"/>
      <c r="I925" s="20"/>
      <c r="J925" s="20"/>
      <c r="K925" s="20"/>
      <c r="L925" s="46"/>
      <c r="M925" s="33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4" t="str">
        <f>IFERROR(__xludf.DUMMYFUNCTION("IF(Account!$F925&lt;&gt;"""", VALUE(REGEXREPLACE($I925, ""\,"", ""."")), """")"),"")</f>
        <v/>
      </c>
      <c r="O925" s="35" t="str">
        <f>IF(Account!$F925&lt;&gt;"", DATEVALUE(MID($A925,4,3) &amp; LEFT($A925,3) &amp; RIGHT($A925,4)) + TIMEVALUE($B925), "")</f>
        <v/>
      </c>
      <c r="P925" s="36" t="str">
        <f>IF(Account!$F925&lt;&gt;"", DATEVALUE(MID($C925,4,3) &amp; LEFT($C925,3) &amp; RIGHT($C925,4)), "")</f>
        <v/>
      </c>
      <c r="Q925" s="37" t="str">
        <f t="array" ref="Q925">IF($R925&lt;&gt;"",IFERROR(INDEX(ISIN!$B:$B,MATCH($R925,ISIN!$C:$C,0))),)</f>
        <v/>
      </c>
      <c r="R925" s="38" t="str">
        <f t="array" ref="R925">IF($E925&lt;&gt;""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7" t="str">
        <f t="shared" si="1"/>
        <v/>
      </c>
      <c r="T925" s="39" t="str">
        <f t="shared" si="2"/>
        <v/>
      </c>
      <c r="U925" s="40" t="str">
        <f t="shared" si="3"/>
        <v/>
      </c>
      <c r="V925" s="34" t="str">
        <f t="shared" si="4"/>
        <v/>
      </c>
      <c r="W925" s="41" t="str">
        <f>IFERROR(__xludf.DUMMYFUNCTION(" IF(Account!$F925&lt;&gt;"""", SPLIT(Account!$F925, "" ""), """")"),"")</f>
        <v/>
      </c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</row>
    <row r="926">
      <c r="A926" s="20"/>
      <c r="B926" s="20"/>
      <c r="C926" s="20"/>
      <c r="D926" s="20"/>
      <c r="E926" s="20"/>
      <c r="F926" s="21"/>
      <c r="G926" s="45"/>
      <c r="H926" s="45"/>
      <c r="I926" s="45"/>
      <c r="J926" s="20"/>
      <c r="K926" s="20"/>
      <c r="L926" s="46"/>
      <c r="M926" s="33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4" t="str">
        <f>IFERROR(__xludf.DUMMYFUNCTION("IF(Account!$F926&lt;&gt;"""", VALUE(REGEXREPLACE($I926, ""\,"", ""."")), """")"),"")</f>
        <v/>
      </c>
      <c r="O926" s="35" t="str">
        <f>IF(Account!$F926&lt;&gt;"", DATEVALUE(MID($A926,4,3) &amp; LEFT($A926,3) &amp; RIGHT($A926,4)) + TIMEVALUE($B926), "")</f>
        <v/>
      </c>
      <c r="P926" s="36" t="str">
        <f>IF(Account!$F926&lt;&gt;"", DATEVALUE(MID($C926,4,3) &amp; LEFT($C926,3) &amp; RIGHT($C926,4)), "")</f>
        <v/>
      </c>
      <c r="Q926" s="37" t="str">
        <f t="array" ref="Q926">IF($R926&lt;&gt;"",IFERROR(INDEX(ISIN!$B:$B,MATCH($R926,ISIN!$C:$C,0))),)</f>
        <v/>
      </c>
      <c r="R926" s="38" t="str">
        <f t="array" ref="R926">IF($E926&lt;&gt;""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7" t="str">
        <f t="shared" si="1"/>
        <v/>
      </c>
      <c r="T926" s="39" t="str">
        <f t="shared" si="2"/>
        <v/>
      </c>
      <c r="U926" s="40" t="str">
        <f t="shared" si="3"/>
        <v/>
      </c>
      <c r="V926" s="34" t="str">
        <f t="shared" si="4"/>
        <v/>
      </c>
      <c r="W926" s="41" t="str">
        <f>IFERROR(__xludf.DUMMYFUNCTION(" IF(Account!$F926&lt;&gt;"""", SPLIT(Account!$F926, "" ""), """")"),"")</f>
        <v/>
      </c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</row>
    <row r="927">
      <c r="A927" s="20"/>
      <c r="B927" s="20"/>
      <c r="C927" s="20"/>
      <c r="D927" s="20"/>
      <c r="E927" s="20"/>
      <c r="F927" s="21"/>
      <c r="G927" s="45"/>
      <c r="H927" s="20"/>
      <c r="I927" s="20"/>
      <c r="J927" s="20"/>
      <c r="K927" s="20"/>
      <c r="L927" s="46"/>
      <c r="M927" s="33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4" t="str">
        <f>IFERROR(__xludf.DUMMYFUNCTION("IF(Account!$F927&lt;&gt;"""", VALUE(REGEXREPLACE($I927, ""\,"", ""."")), """")"),"")</f>
        <v/>
      </c>
      <c r="O927" s="35" t="str">
        <f>IF(Account!$F927&lt;&gt;"", DATEVALUE(MID($A927,4,3) &amp; LEFT($A927,3) &amp; RIGHT($A927,4)) + TIMEVALUE($B927), "")</f>
        <v/>
      </c>
      <c r="P927" s="36" t="str">
        <f>IF(Account!$F927&lt;&gt;"", DATEVALUE(MID($C927,4,3) &amp; LEFT($C927,3) &amp; RIGHT($C927,4)), "")</f>
        <v/>
      </c>
      <c r="Q927" s="37" t="str">
        <f t="array" ref="Q927">IF($R927&lt;&gt;"",IFERROR(INDEX(ISIN!$B:$B,MATCH($R927,ISIN!$C:$C,0))),)</f>
        <v/>
      </c>
      <c r="R927" s="38" t="str">
        <f t="array" ref="R927">IF($E927&lt;&gt;""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7" t="str">
        <f t="shared" si="1"/>
        <v/>
      </c>
      <c r="T927" s="39" t="str">
        <f t="shared" si="2"/>
        <v/>
      </c>
      <c r="U927" s="40" t="str">
        <f t="shared" si="3"/>
        <v/>
      </c>
      <c r="V927" s="34" t="str">
        <f t="shared" si="4"/>
        <v/>
      </c>
      <c r="W927" s="41" t="str">
        <f>IFERROR(__xludf.DUMMYFUNCTION(" IF(Account!$F927&lt;&gt;"""", SPLIT(Account!$F927, "" ""), """")"),"")</f>
        <v/>
      </c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</row>
    <row r="928">
      <c r="A928" s="20"/>
      <c r="B928" s="20"/>
      <c r="C928" s="20"/>
      <c r="D928" s="20"/>
      <c r="E928" s="20"/>
      <c r="F928" s="21"/>
      <c r="G928" s="45"/>
      <c r="H928" s="20"/>
      <c r="I928" s="20"/>
      <c r="J928" s="20"/>
      <c r="K928" s="20"/>
      <c r="L928" s="46"/>
      <c r="M928" s="33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4" t="str">
        <f>IFERROR(__xludf.DUMMYFUNCTION("IF(Account!$F928&lt;&gt;"""", VALUE(REGEXREPLACE($I928, ""\,"", ""."")), """")"),"")</f>
        <v/>
      </c>
      <c r="O928" s="35" t="str">
        <f>IF(Account!$F928&lt;&gt;"", DATEVALUE(MID($A928,4,3) &amp; LEFT($A928,3) &amp; RIGHT($A928,4)) + TIMEVALUE($B928), "")</f>
        <v/>
      </c>
      <c r="P928" s="36" t="str">
        <f>IF(Account!$F928&lt;&gt;"", DATEVALUE(MID($C928,4,3) &amp; LEFT($C928,3) &amp; RIGHT($C928,4)), "")</f>
        <v/>
      </c>
      <c r="Q928" s="37" t="str">
        <f t="array" ref="Q928">IF($R928&lt;&gt;"",IFERROR(INDEX(ISIN!$B:$B,MATCH($R928,ISIN!$C:$C,0))),)</f>
        <v/>
      </c>
      <c r="R928" s="38" t="str">
        <f t="array" ref="R928">IF($E928&lt;&gt;""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7" t="str">
        <f t="shared" si="1"/>
        <v/>
      </c>
      <c r="T928" s="39" t="str">
        <f t="shared" si="2"/>
        <v/>
      </c>
      <c r="U928" s="40" t="str">
        <f t="shared" si="3"/>
        <v/>
      </c>
      <c r="V928" s="34" t="str">
        <f t="shared" si="4"/>
        <v/>
      </c>
      <c r="W928" s="41" t="str">
        <f>IFERROR(__xludf.DUMMYFUNCTION(" IF(Account!$F928&lt;&gt;"""", SPLIT(Account!$F928, "" ""), """")"),"")</f>
        <v/>
      </c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</row>
    <row r="929">
      <c r="A929" s="20"/>
      <c r="B929" s="20"/>
      <c r="C929" s="20"/>
      <c r="D929" s="45"/>
      <c r="E929" s="45"/>
      <c r="F929" s="21"/>
      <c r="G929" s="20"/>
      <c r="H929" s="20"/>
      <c r="I929" s="20"/>
      <c r="J929" s="20"/>
      <c r="K929" s="20"/>
      <c r="L929" s="46"/>
      <c r="M929" s="33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4" t="str">
        <f>IFERROR(__xludf.DUMMYFUNCTION("IF(Account!$F929&lt;&gt;"""", VALUE(REGEXREPLACE($I929, ""\,"", ""."")), """")"),"")</f>
        <v/>
      </c>
      <c r="O929" s="35" t="str">
        <f>IF(Account!$F929&lt;&gt;"", DATEVALUE(MID($A929,4,3) &amp; LEFT($A929,3) &amp; RIGHT($A929,4)) + TIMEVALUE($B929), "")</f>
        <v/>
      </c>
      <c r="P929" s="36" t="str">
        <f>IF(Account!$F929&lt;&gt;"", DATEVALUE(MID($C929,4,3) &amp; LEFT($C929,3) &amp; RIGHT($C929,4)), "")</f>
        <v/>
      </c>
      <c r="Q929" s="37" t="str">
        <f t="array" ref="Q929">IF($R929&lt;&gt;"",IFERROR(INDEX(ISIN!$B:$B,MATCH($R929,ISIN!$C:$C,0))),)</f>
        <v/>
      </c>
      <c r="R929" s="38" t="str">
        <f t="array" ref="R929">IF($E929&lt;&gt;""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7" t="str">
        <f t="shared" si="1"/>
        <v/>
      </c>
      <c r="T929" s="39" t="str">
        <f t="shared" si="2"/>
        <v/>
      </c>
      <c r="U929" s="40" t="str">
        <f t="shared" si="3"/>
        <v/>
      </c>
      <c r="V929" s="34" t="str">
        <f t="shared" si="4"/>
        <v/>
      </c>
      <c r="W929" s="41" t="str">
        <f>IFERROR(__xludf.DUMMYFUNCTION(" IF(Account!$F929&lt;&gt;"""", SPLIT(Account!$F929, "" ""), """")"),"")</f>
        <v/>
      </c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</row>
    <row r="930">
      <c r="A930" s="20"/>
      <c r="B930" s="20"/>
      <c r="C930" s="20"/>
      <c r="D930" s="45"/>
      <c r="E930" s="45"/>
      <c r="F930" s="21"/>
      <c r="G930" s="45"/>
      <c r="H930" s="20"/>
      <c r="I930" s="20"/>
      <c r="J930" s="20"/>
      <c r="K930" s="20"/>
      <c r="L930" s="46"/>
      <c r="M930" s="33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4" t="str">
        <f>IFERROR(__xludf.DUMMYFUNCTION("IF(Account!$F930&lt;&gt;"""", VALUE(REGEXREPLACE($I930, ""\,"", ""."")), """")"),"")</f>
        <v/>
      </c>
      <c r="O930" s="35" t="str">
        <f>IF(Account!$F930&lt;&gt;"", DATEVALUE(MID($A930,4,3) &amp; LEFT($A930,3) &amp; RIGHT($A930,4)) + TIMEVALUE($B930), "")</f>
        <v/>
      </c>
      <c r="P930" s="36" t="str">
        <f>IF(Account!$F930&lt;&gt;"", DATEVALUE(MID($C930,4,3) &amp; LEFT($C930,3) &amp; RIGHT($C930,4)), "")</f>
        <v/>
      </c>
      <c r="Q930" s="37" t="str">
        <f t="array" ref="Q930">IF($R930&lt;&gt;"",IFERROR(INDEX(ISIN!$B:$B,MATCH($R930,ISIN!$C:$C,0))),)</f>
        <v/>
      </c>
      <c r="R930" s="38" t="str">
        <f t="array" ref="R930">IF($E930&lt;&gt;""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7" t="str">
        <f t="shared" si="1"/>
        <v/>
      </c>
      <c r="T930" s="39" t="str">
        <f t="shared" si="2"/>
        <v/>
      </c>
      <c r="U930" s="40" t="str">
        <f t="shared" si="3"/>
        <v/>
      </c>
      <c r="V930" s="34" t="str">
        <f t="shared" si="4"/>
        <v/>
      </c>
      <c r="W930" s="41" t="str">
        <f>IFERROR(__xludf.DUMMYFUNCTION(" IF(Account!$F930&lt;&gt;"""", SPLIT(Account!$F930, "" ""), """")"),"")</f>
        <v/>
      </c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</row>
    <row r="931">
      <c r="A931" s="20"/>
      <c r="B931" s="20"/>
      <c r="C931" s="20"/>
      <c r="D931" s="20"/>
      <c r="E931" s="20"/>
      <c r="F931" s="21"/>
      <c r="G931" s="45"/>
      <c r="H931" s="20"/>
      <c r="I931" s="20"/>
      <c r="J931" s="20"/>
      <c r="K931" s="20"/>
      <c r="L931" s="46"/>
      <c r="M931" s="33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4" t="str">
        <f>IFERROR(__xludf.DUMMYFUNCTION("IF(Account!$F931&lt;&gt;"""", VALUE(REGEXREPLACE($I931, ""\,"", ""."")), """")"),"")</f>
        <v/>
      </c>
      <c r="O931" s="35" t="str">
        <f>IF(Account!$F931&lt;&gt;"", DATEVALUE(MID($A931,4,3) &amp; LEFT($A931,3) &amp; RIGHT($A931,4)) + TIMEVALUE($B931), "")</f>
        <v/>
      </c>
      <c r="P931" s="36" t="str">
        <f>IF(Account!$F931&lt;&gt;"", DATEVALUE(MID($C931,4,3) &amp; LEFT($C931,3) &amp; RIGHT($C931,4)), "")</f>
        <v/>
      </c>
      <c r="Q931" s="37" t="str">
        <f t="array" ref="Q931">IF($R931&lt;&gt;"",IFERROR(INDEX(ISIN!$B:$B,MATCH($R931,ISIN!$C:$C,0))),)</f>
        <v/>
      </c>
      <c r="R931" s="38" t="str">
        <f t="array" ref="R931">IF($E931&lt;&gt;""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7" t="str">
        <f t="shared" si="1"/>
        <v/>
      </c>
      <c r="T931" s="39" t="str">
        <f t="shared" si="2"/>
        <v/>
      </c>
      <c r="U931" s="40" t="str">
        <f t="shared" si="3"/>
        <v/>
      </c>
      <c r="V931" s="34" t="str">
        <f t="shared" si="4"/>
        <v/>
      </c>
      <c r="W931" s="41" t="str">
        <f>IFERROR(__xludf.DUMMYFUNCTION(" IF(Account!$F931&lt;&gt;"""", SPLIT(Account!$F931, "" ""), """")"),"")</f>
        <v/>
      </c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</row>
    <row r="932">
      <c r="A932" s="20"/>
      <c r="B932" s="20"/>
      <c r="C932" s="20"/>
      <c r="D932" s="20"/>
      <c r="E932" s="20"/>
      <c r="F932" s="21"/>
      <c r="G932" s="45"/>
      <c r="H932" s="20"/>
      <c r="I932" s="20"/>
      <c r="J932" s="20"/>
      <c r="K932" s="20"/>
      <c r="L932" s="46"/>
      <c r="M932" s="33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4" t="str">
        <f>IFERROR(__xludf.DUMMYFUNCTION("IF(Account!$F932&lt;&gt;"""", VALUE(REGEXREPLACE($I932, ""\,"", ""."")), """")"),"")</f>
        <v/>
      </c>
      <c r="O932" s="35" t="str">
        <f>IF(Account!$F932&lt;&gt;"", DATEVALUE(MID($A932,4,3) &amp; LEFT($A932,3) &amp; RIGHT($A932,4)) + TIMEVALUE($B932), "")</f>
        <v/>
      </c>
      <c r="P932" s="36" t="str">
        <f>IF(Account!$F932&lt;&gt;"", DATEVALUE(MID($C932,4,3) &amp; LEFT($C932,3) &amp; RIGHT($C932,4)), "")</f>
        <v/>
      </c>
      <c r="Q932" s="37" t="str">
        <f t="array" ref="Q932">IF($R932&lt;&gt;"",IFERROR(INDEX(ISIN!$B:$B,MATCH($R932,ISIN!$C:$C,0))),)</f>
        <v/>
      </c>
      <c r="R932" s="38" t="str">
        <f t="array" ref="R932">IF($E932&lt;&gt;""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7" t="str">
        <f t="shared" si="1"/>
        <v/>
      </c>
      <c r="T932" s="39" t="str">
        <f t="shared" si="2"/>
        <v/>
      </c>
      <c r="U932" s="40" t="str">
        <f t="shared" si="3"/>
        <v/>
      </c>
      <c r="V932" s="34" t="str">
        <f t="shared" si="4"/>
        <v/>
      </c>
      <c r="W932" s="41" t="str">
        <f>IFERROR(__xludf.DUMMYFUNCTION(" IF(Account!$F932&lt;&gt;"""", SPLIT(Account!$F932, "" ""), """")"),"")</f>
        <v/>
      </c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</row>
    <row r="933">
      <c r="A933" s="20"/>
      <c r="B933" s="20"/>
      <c r="C933" s="20"/>
      <c r="D933" s="20"/>
      <c r="E933" s="20"/>
      <c r="F933" s="21"/>
      <c r="G933" s="20"/>
      <c r="H933" s="20"/>
      <c r="I933" s="20"/>
      <c r="J933" s="20"/>
      <c r="K933" s="20"/>
      <c r="L933" s="21"/>
      <c r="M933" s="33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4" t="str">
        <f>IFERROR(__xludf.DUMMYFUNCTION("IF(Account!$F933&lt;&gt;"""", VALUE(REGEXREPLACE($I933, ""\,"", ""."")), """")"),"")</f>
        <v/>
      </c>
      <c r="O933" s="35" t="str">
        <f>IF(Account!$F933&lt;&gt;"", DATEVALUE(MID($A933,4,3) &amp; LEFT($A933,3) &amp; RIGHT($A933,4)) + TIMEVALUE($B933), "")</f>
        <v/>
      </c>
      <c r="P933" s="36" t="str">
        <f>IF(Account!$F933&lt;&gt;"", DATEVALUE(MID($C933,4,3) &amp; LEFT($C933,3) &amp; RIGHT($C933,4)), "")</f>
        <v/>
      </c>
      <c r="Q933" s="37" t="str">
        <f t="array" ref="Q933">IF($R933&lt;&gt;"",IFERROR(INDEX(ISIN!$B:$B,MATCH($R933,ISIN!$C:$C,0))),)</f>
        <v/>
      </c>
      <c r="R933" s="38" t="str">
        <f t="array" ref="R933">IF($E933&lt;&gt;""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7" t="str">
        <f t="shared" si="1"/>
        <v/>
      </c>
      <c r="T933" s="39" t="str">
        <f t="shared" si="2"/>
        <v/>
      </c>
      <c r="U933" s="40" t="str">
        <f t="shared" si="3"/>
        <v/>
      </c>
      <c r="V933" s="34" t="str">
        <f t="shared" si="4"/>
        <v/>
      </c>
      <c r="W933" s="41" t="str">
        <f>IFERROR(__xludf.DUMMYFUNCTION(" IF(Account!$F933&lt;&gt;"""", SPLIT(Account!$F933, "" ""), """")"),"")</f>
        <v/>
      </c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</row>
    <row r="934">
      <c r="A934" s="20"/>
      <c r="B934" s="20"/>
      <c r="C934" s="20"/>
      <c r="D934" s="20"/>
      <c r="E934" s="20"/>
      <c r="F934" s="21"/>
      <c r="G934" s="45"/>
      <c r="H934" s="20"/>
      <c r="I934" s="20"/>
      <c r="J934" s="20"/>
      <c r="K934" s="20"/>
      <c r="L934" s="21"/>
      <c r="M934" s="33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4" t="str">
        <f>IFERROR(__xludf.DUMMYFUNCTION("IF(Account!$F934&lt;&gt;"""", VALUE(REGEXREPLACE($I934, ""\,"", ""."")), """")"),"")</f>
        <v/>
      </c>
      <c r="O934" s="35" t="str">
        <f>IF(Account!$F934&lt;&gt;"", DATEVALUE(MID($A934,4,3) &amp; LEFT($A934,3) &amp; RIGHT($A934,4)) + TIMEVALUE($B934), "")</f>
        <v/>
      </c>
      <c r="P934" s="36" t="str">
        <f>IF(Account!$F934&lt;&gt;"", DATEVALUE(MID($C934,4,3) &amp; LEFT($C934,3) &amp; RIGHT($C934,4)), "")</f>
        <v/>
      </c>
      <c r="Q934" s="37" t="str">
        <f t="array" ref="Q934">IF($R934&lt;&gt;"",IFERROR(INDEX(ISIN!$B:$B,MATCH($R934,ISIN!$C:$C,0))),)</f>
        <v/>
      </c>
      <c r="R934" s="38" t="str">
        <f t="array" ref="R934">IF($E934&lt;&gt;""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7" t="str">
        <f t="shared" si="1"/>
        <v/>
      </c>
      <c r="T934" s="39" t="str">
        <f t="shared" si="2"/>
        <v/>
      </c>
      <c r="U934" s="40" t="str">
        <f t="shared" si="3"/>
        <v/>
      </c>
      <c r="V934" s="34" t="str">
        <f t="shared" si="4"/>
        <v/>
      </c>
      <c r="W934" s="41" t="str">
        <f>IFERROR(__xludf.DUMMYFUNCTION(" IF(Account!$F934&lt;&gt;"""", SPLIT(Account!$F934, "" ""), """")"),"")</f>
        <v/>
      </c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</row>
    <row r="935">
      <c r="A935" s="20"/>
      <c r="B935" s="20"/>
      <c r="C935" s="20"/>
      <c r="D935" s="20"/>
      <c r="E935" s="20"/>
      <c r="F935" s="21"/>
      <c r="G935" s="45"/>
      <c r="H935" s="20"/>
      <c r="I935" s="20"/>
      <c r="J935" s="20"/>
      <c r="K935" s="20"/>
      <c r="L935" s="21"/>
      <c r="M935" s="33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4" t="str">
        <f>IFERROR(__xludf.DUMMYFUNCTION("IF(Account!$F935&lt;&gt;"""", VALUE(REGEXREPLACE($I935, ""\,"", ""."")), """")"),"")</f>
        <v/>
      </c>
      <c r="O935" s="35" t="str">
        <f>IF(Account!$F935&lt;&gt;"", DATEVALUE(MID($A935,4,3) &amp; LEFT($A935,3) &amp; RIGHT($A935,4)) + TIMEVALUE($B935), "")</f>
        <v/>
      </c>
      <c r="P935" s="36" t="str">
        <f>IF(Account!$F935&lt;&gt;"", DATEVALUE(MID($C935,4,3) &amp; LEFT($C935,3) &amp; RIGHT($C935,4)), "")</f>
        <v/>
      </c>
      <c r="Q935" s="37" t="str">
        <f t="array" ref="Q935">IF($R935&lt;&gt;"",IFERROR(INDEX(ISIN!$B:$B,MATCH($R935,ISIN!$C:$C,0))),)</f>
        <v/>
      </c>
      <c r="R935" s="38" t="str">
        <f t="array" ref="R935">IF($E935&lt;&gt;""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7" t="str">
        <f t="shared" si="1"/>
        <v/>
      </c>
      <c r="T935" s="39" t="str">
        <f t="shared" si="2"/>
        <v/>
      </c>
      <c r="U935" s="40" t="str">
        <f t="shared" si="3"/>
        <v/>
      </c>
      <c r="V935" s="34" t="str">
        <f t="shared" si="4"/>
        <v/>
      </c>
      <c r="W935" s="41" t="str">
        <f>IFERROR(__xludf.DUMMYFUNCTION(" IF(Account!$F935&lt;&gt;"""", SPLIT(Account!$F935, "" ""), """")"),"")</f>
        <v/>
      </c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</row>
    <row r="936">
      <c r="A936" s="20"/>
      <c r="B936" s="20"/>
      <c r="C936" s="20"/>
      <c r="D936" s="20"/>
      <c r="E936" s="20"/>
      <c r="F936" s="21"/>
      <c r="G936" s="45"/>
      <c r="H936" s="20"/>
      <c r="I936" s="20"/>
      <c r="J936" s="20"/>
      <c r="K936" s="20"/>
      <c r="L936" s="21"/>
      <c r="M936" s="33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4" t="str">
        <f>IFERROR(__xludf.DUMMYFUNCTION("IF(Account!$F936&lt;&gt;"""", VALUE(REGEXREPLACE($I936, ""\,"", ""."")), """")"),"")</f>
        <v/>
      </c>
      <c r="O936" s="35" t="str">
        <f>IF(Account!$F936&lt;&gt;"", DATEVALUE(MID($A936,4,3) &amp; LEFT($A936,3) &amp; RIGHT($A936,4)) + TIMEVALUE($B936), "")</f>
        <v/>
      </c>
      <c r="P936" s="36" t="str">
        <f>IF(Account!$F936&lt;&gt;"", DATEVALUE(MID($C936,4,3) &amp; LEFT($C936,3) &amp; RIGHT($C936,4)), "")</f>
        <v/>
      </c>
      <c r="Q936" s="37" t="str">
        <f t="array" ref="Q936">IF($R936&lt;&gt;"",IFERROR(INDEX(ISIN!$B:$B,MATCH($R936,ISIN!$C:$C,0))),)</f>
        <v/>
      </c>
      <c r="R936" s="38" t="str">
        <f t="array" ref="R936">IF($E936&lt;&gt;""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7" t="str">
        <f t="shared" si="1"/>
        <v/>
      </c>
      <c r="T936" s="39" t="str">
        <f t="shared" si="2"/>
        <v/>
      </c>
      <c r="U936" s="40" t="str">
        <f t="shared" si="3"/>
        <v/>
      </c>
      <c r="V936" s="34" t="str">
        <f t="shared" si="4"/>
        <v/>
      </c>
      <c r="W936" s="41" t="str">
        <f>IFERROR(__xludf.DUMMYFUNCTION(" IF(Account!$F936&lt;&gt;"""", SPLIT(Account!$F936, "" ""), """")"),"")</f>
        <v/>
      </c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</row>
    <row r="937">
      <c r="A937" s="20"/>
      <c r="B937" s="20"/>
      <c r="C937" s="20"/>
      <c r="D937" s="20"/>
      <c r="E937" s="20"/>
      <c r="F937" s="21"/>
      <c r="G937" s="45"/>
      <c r="H937" s="20"/>
      <c r="I937" s="20"/>
      <c r="J937" s="20"/>
      <c r="K937" s="20"/>
      <c r="L937" s="21"/>
      <c r="M937" s="33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4" t="str">
        <f>IFERROR(__xludf.DUMMYFUNCTION("IF(Account!$F937&lt;&gt;"""", VALUE(REGEXREPLACE($I937, ""\,"", ""."")), """")"),"")</f>
        <v/>
      </c>
      <c r="O937" s="35" t="str">
        <f>IF(Account!$F937&lt;&gt;"", DATEVALUE(MID($A937,4,3) &amp; LEFT($A937,3) &amp; RIGHT($A937,4)) + TIMEVALUE($B937), "")</f>
        <v/>
      </c>
      <c r="P937" s="36" t="str">
        <f>IF(Account!$F937&lt;&gt;"", DATEVALUE(MID($C937,4,3) &amp; LEFT($C937,3) &amp; RIGHT($C937,4)), "")</f>
        <v/>
      </c>
      <c r="Q937" s="37" t="str">
        <f t="array" ref="Q937">IF($R937&lt;&gt;"",IFERROR(INDEX(ISIN!$B:$B,MATCH($R937,ISIN!$C:$C,0))),)</f>
        <v/>
      </c>
      <c r="R937" s="38" t="str">
        <f t="array" ref="R937">IF($E937&lt;&gt;""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7" t="str">
        <f t="shared" si="1"/>
        <v/>
      </c>
      <c r="T937" s="39" t="str">
        <f t="shared" si="2"/>
        <v/>
      </c>
      <c r="U937" s="40" t="str">
        <f t="shared" si="3"/>
        <v/>
      </c>
      <c r="V937" s="34" t="str">
        <f t="shared" si="4"/>
        <v/>
      </c>
      <c r="W937" s="41" t="str">
        <f>IFERROR(__xludf.DUMMYFUNCTION(" IF(Account!$F937&lt;&gt;"""", SPLIT(Account!$F937, "" ""), """")"),"")</f>
        <v/>
      </c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</row>
    <row r="938">
      <c r="A938" s="20"/>
      <c r="B938" s="20"/>
      <c r="C938" s="20"/>
      <c r="D938" s="20"/>
      <c r="E938" s="20"/>
      <c r="F938" s="21"/>
      <c r="G938" s="45"/>
      <c r="H938" s="20"/>
      <c r="I938" s="20"/>
      <c r="J938" s="20"/>
      <c r="K938" s="20"/>
      <c r="L938" s="21"/>
      <c r="M938" s="33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4" t="str">
        <f>IFERROR(__xludf.DUMMYFUNCTION("IF(Account!$F938&lt;&gt;"""", VALUE(REGEXREPLACE($I938, ""\,"", ""."")), """")"),"")</f>
        <v/>
      </c>
      <c r="O938" s="35" t="str">
        <f>IF(Account!$F938&lt;&gt;"", DATEVALUE(MID($A938,4,3) &amp; LEFT($A938,3) &amp; RIGHT($A938,4)) + TIMEVALUE($B938), "")</f>
        <v/>
      </c>
      <c r="P938" s="36" t="str">
        <f>IF(Account!$F938&lt;&gt;"", DATEVALUE(MID($C938,4,3) &amp; LEFT($C938,3) &amp; RIGHT($C938,4)), "")</f>
        <v/>
      </c>
      <c r="Q938" s="37" t="str">
        <f t="array" ref="Q938">IF($R938&lt;&gt;"",IFERROR(INDEX(ISIN!$B:$B,MATCH($R938,ISIN!$C:$C,0))),)</f>
        <v/>
      </c>
      <c r="R938" s="38" t="str">
        <f t="array" ref="R938">IF($E938&lt;&gt;""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7" t="str">
        <f t="shared" si="1"/>
        <v/>
      </c>
      <c r="T938" s="39" t="str">
        <f t="shared" si="2"/>
        <v/>
      </c>
      <c r="U938" s="40" t="str">
        <f t="shared" si="3"/>
        <v/>
      </c>
      <c r="V938" s="34" t="str">
        <f t="shared" si="4"/>
        <v/>
      </c>
      <c r="W938" s="41" t="str">
        <f>IFERROR(__xludf.DUMMYFUNCTION(" IF(Account!$F938&lt;&gt;"""", SPLIT(Account!$F938, "" ""), """")"),"")</f>
        <v/>
      </c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</row>
    <row r="939">
      <c r="A939" s="20"/>
      <c r="B939" s="20"/>
      <c r="C939" s="20"/>
      <c r="D939" s="45"/>
      <c r="E939" s="45"/>
      <c r="F939" s="21"/>
      <c r="G939" s="45"/>
      <c r="H939" s="20"/>
      <c r="I939" s="20"/>
      <c r="J939" s="20"/>
      <c r="K939" s="20"/>
      <c r="L939" s="46"/>
      <c r="M939" s="33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4" t="str">
        <f>IFERROR(__xludf.DUMMYFUNCTION("IF(Account!$F939&lt;&gt;"""", VALUE(REGEXREPLACE($I939, ""\,"", ""."")), """")"),"")</f>
        <v/>
      </c>
      <c r="O939" s="35" t="str">
        <f>IF(Account!$F939&lt;&gt;"", DATEVALUE(MID($A939,4,3) &amp; LEFT($A939,3) &amp; RIGHT($A939,4)) + TIMEVALUE($B939), "")</f>
        <v/>
      </c>
      <c r="P939" s="36" t="str">
        <f>IF(Account!$F939&lt;&gt;"", DATEVALUE(MID($C939,4,3) &amp; LEFT($C939,3) &amp; RIGHT($C939,4)), "")</f>
        <v/>
      </c>
      <c r="Q939" s="37" t="str">
        <f t="array" ref="Q939">IF($R939&lt;&gt;"",IFERROR(INDEX(ISIN!$B:$B,MATCH($R939,ISIN!$C:$C,0))),)</f>
        <v/>
      </c>
      <c r="R939" s="38" t="str">
        <f t="array" ref="R939">IF($E939&lt;&gt;""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7" t="str">
        <f t="shared" si="1"/>
        <v/>
      </c>
      <c r="T939" s="39" t="str">
        <f t="shared" si="2"/>
        <v/>
      </c>
      <c r="U939" s="40" t="str">
        <f t="shared" si="3"/>
        <v/>
      </c>
      <c r="V939" s="34" t="str">
        <f t="shared" si="4"/>
        <v/>
      </c>
      <c r="W939" s="41" t="str">
        <f>IFERROR(__xludf.DUMMYFUNCTION(" IF(Account!$F939&lt;&gt;"""", SPLIT(Account!$F939, "" ""), """")"),"")</f>
        <v/>
      </c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</row>
    <row r="940">
      <c r="A940" s="20"/>
      <c r="B940" s="20"/>
      <c r="C940" s="20"/>
      <c r="D940" s="20"/>
      <c r="E940" s="20"/>
      <c r="F940" s="21"/>
      <c r="G940" s="45"/>
      <c r="H940" s="20"/>
      <c r="I940" s="20"/>
      <c r="J940" s="20"/>
      <c r="K940" s="20"/>
      <c r="L940" s="21"/>
      <c r="M940" s="33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4" t="str">
        <f>IFERROR(__xludf.DUMMYFUNCTION("IF(Account!$F940&lt;&gt;"""", VALUE(REGEXREPLACE($I940, ""\,"", ""."")), """")"),"")</f>
        <v/>
      </c>
      <c r="O940" s="35" t="str">
        <f>IF(Account!$F940&lt;&gt;"", DATEVALUE(MID($A940,4,3) &amp; LEFT($A940,3) &amp; RIGHT($A940,4)) + TIMEVALUE($B940), "")</f>
        <v/>
      </c>
      <c r="P940" s="36" t="str">
        <f>IF(Account!$F940&lt;&gt;"", DATEVALUE(MID($C940,4,3) &amp; LEFT($C940,3) &amp; RIGHT($C940,4)), "")</f>
        <v/>
      </c>
      <c r="Q940" s="37" t="str">
        <f t="array" ref="Q940">IF($R940&lt;&gt;"",IFERROR(INDEX(ISIN!$B:$B,MATCH($R940,ISIN!$C:$C,0))),)</f>
        <v/>
      </c>
      <c r="R940" s="38" t="str">
        <f t="array" ref="R940">IF($E940&lt;&gt;""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7" t="str">
        <f t="shared" si="1"/>
        <v/>
      </c>
      <c r="T940" s="39" t="str">
        <f t="shared" si="2"/>
        <v/>
      </c>
      <c r="U940" s="40" t="str">
        <f t="shared" si="3"/>
        <v/>
      </c>
      <c r="V940" s="34" t="str">
        <f t="shared" si="4"/>
        <v/>
      </c>
      <c r="W940" s="41" t="str">
        <f>IFERROR(__xludf.DUMMYFUNCTION(" IF(Account!$F940&lt;&gt;"""", SPLIT(Account!$F940, "" ""), """")"),"")</f>
        <v/>
      </c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</row>
    <row r="941">
      <c r="A941" s="20"/>
      <c r="B941" s="20"/>
      <c r="C941" s="20"/>
      <c r="D941" s="20"/>
      <c r="E941" s="20"/>
      <c r="F941" s="21"/>
      <c r="G941" s="45"/>
      <c r="H941" s="20"/>
      <c r="I941" s="20"/>
      <c r="J941" s="20"/>
      <c r="K941" s="20"/>
      <c r="L941" s="21"/>
      <c r="M941" s="33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4" t="str">
        <f>IFERROR(__xludf.DUMMYFUNCTION("IF(Account!$F941&lt;&gt;"""", VALUE(REGEXREPLACE($I941, ""\,"", ""."")), """")"),"")</f>
        <v/>
      </c>
      <c r="O941" s="35" t="str">
        <f>IF(Account!$F941&lt;&gt;"", DATEVALUE(MID($A941,4,3) &amp; LEFT($A941,3) &amp; RIGHT($A941,4)) + TIMEVALUE($B941), "")</f>
        <v/>
      </c>
      <c r="P941" s="36" t="str">
        <f>IF(Account!$F941&lt;&gt;"", DATEVALUE(MID($C941,4,3) &amp; LEFT($C941,3) &amp; RIGHT($C941,4)), "")</f>
        <v/>
      </c>
      <c r="Q941" s="37" t="str">
        <f t="array" ref="Q941">IF($R941&lt;&gt;"",IFERROR(INDEX(ISIN!$B:$B,MATCH($R941,ISIN!$C:$C,0))),)</f>
        <v/>
      </c>
      <c r="R941" s="38" t="str">
        <f t="array" ref="R941">IF($E941&lt;&gt;""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7" t="str">
        <f t="shared" si="1"/>
        <v/>
      </c>
      <c r="T941" s="39" t="str">
        <f t="shared" si="2"/>
        <v/>
      </c>
      <c r="U941" s="40" t="str">
        <f t="shared" si="3"/>
        <v/>
      </c>
      <c r="V941" s="34" t="str">
        <f t="shared" si="4"/>
        <v/>
      </c>
      <c r="W941" s="41" t="str">
        <f>IFERROR(__xludf.DUMMYFUNCTION(" IF(Account!$F941&lt;&gt;"""", SPLIT(Account!$F941, "" ""), """")"),"")</f>
        <v/>
      </c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</row>
    <row r="942">
      <c r="A942" s="20"/>
      <c r="B942" s="20"/>
      <c r="C942" s="20"/>
      <c r="D942" s="20"/>
      <c r="E942" s="20"/>
      <c r="F942" s="21"/>
      <c r="G942" s="45"/>
      <c r="H942" s="20"/>
      <c r="I942" s="20"/>
      <c r="J942" s="20"/>
      <c r="K942" s="20"/>
      <c r="L942" s="21"/>
      <c r="M942" s="33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4" t="str">
        <f>IFERROR(__xludf.DUMMYFUNCTION("IF(Account!$F942&lt;&gt;"""", VALUE(REGEXREPLACE($I942, ""\,"", ""."")), """")"),"")</f>
        <v/>
      </c>
      <c r="O942" s="35" t="str">
        <f>IF(Account!$F942&lt;&gt;"", DATEVALUE(MID($A942,4,3) &amp; LEFT($A942,3) &amp; RIGHT($A942,4)) + TIMEVALUE($B942), "")</f>
        <v/>
      </c>
      <c r="P942" s="36" t="str">
        <f>IF(Account!$F942&lt;&gt;"", DATEVALUE(MID($C942,4,3) &amp; LEFT($C942,3) &amp; RIGHT($C942,4)), "")</f>
        <v/>
      </c>
      <c r="Q942" s="37" t="str">
        <f t="array" ref="Q942">IF($R942&lt;&gt;"",IFERROR(INDEX(ISIN!$B:$B,MATCH($R942,ISIN!$C:$C,0))),)</f>
        <v/>
      </c>
      <c r="R942" s="38" t="str">
        <f t="array" ref="R942">IF($E942&lt;&gt;""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7" t="str">
        <f t="shared" si="1"/>
        <v/>
      </c>
      <c r="T942" s="39" t="str">
        <f t="shared" si="2"/>
        <v/>
      </c>
      <c r="U942" s="40" t="str">
        <f t="shared" si="3"/>
        <v/>
      </c>
      <c r="V942" s="34" t="str">
        <f t="shared" si="4"/>
        <v/>
      </c>
      <c r="W942" s="41" t="str">
        <f>IFERROR(__xludf.DUMMYFUNCTION(" IF(Account!$F942&lt;&gt;"""", SPLIT(Account!$F942, "" ""), """")"),"")</f>
        <v/>
      </c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</row>
    <row r="943">
      <c r="A943" s="20"/>
      <c r="B943" s="20"/>
      <c r="C943" s="20"/>
      <c r="D943" s="20"/>
      <c r="E943" s="20"/>
      <c r="F943" s="21"/>
      <c r="G943" s="20"/>
      <c r="H943" s="20"/>
      <c r="I943" s="20"/>
      <c r="J943" s="20"/>
      <c r="K943" s="20"/>
      <c r="L943" s="21"/>
      <c r="M943" s="33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4" t="str">
        <f>IFERROR(__xludf.DUMMYFUNCTION("IF(Account!$F943&lt;&gt;"""", VALUE(REGEXREPLACE($I943, ""\,"", ""."")), """")"),"")</f>
        <v/>
      </c>
      <c r="O943" s="35" t="str">
        <f>IF(Account!$F943&lt;&gt;"", DATEVALUE(MID($A943,4,3) &amp; LEFT($A943,3) &amp; RIGHT($A943,4)) + TIMEVALUE($B943), "")</f>
        <v/>
      </c>
      <c r="P943" s="36" t="str">
        <f>IF(Account!$F943&lt;&gt;"", DATEVALUE(MID($C943,4,3) &amp; LEFT($C943,3) &amp; RIGHT($C943,4)), "")</f>
        <v/>
      </c>
      <c r="Q943" s="37" t="str">
        <f t="array" ref="Q943">IF($R943&lt;&gt;"",IFERROR(INDEX(ISIN!$B:$B,MATCH($R943,ISIN!$C:$C,0))),)</f>
        <v/>
      </c>
      <c r="R943" s="38" t="str">
        <f t="array" ref="R943">IF($E943&lt;&gt;""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7" t="str">
        <f t="shared" si="1"/>
        <v/>
      </c>
      <c r="T943" s="39" t="str">
        <f t="shared" si="2"/>
        <v/>
      </c>
      <c r="U943" s="40" t="str">
        <f t="shared" si="3"/>
        <v/>
      </c>
      <c r="V943" s="34" t="str">
        <f t="shared" si="4"/>
        <v/>
      </c>
      <c r="W943" s="41" t="str">
        <f>IFERROR(__xludf.DUMMYFUNCTION(" IF(Account!$F943&lt;&gt;"""", SPLIT(Account!$F943, "" ""), """")"),"")</f>
        <v/>
      </c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</row>
    <row r="944">
      <c r="A944" s="20"/>
      <c r="B944" s="20"/>
      <c r="C944" s="20"/>
      <c r="D944" s="20"/>
      <c r="E944" s="20"/>
      <c r="F944" s="21"/>
      <c r="G944" s="45"/>
      <c r="H944" s="20"/>
      <c r="I944" s="20"/>
      <c r="J944" s="20"/>
      <c r="K944" s="20"/>
      <c r="L944" s="21"/>
      <c r="M944" s="33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4" t="str">
        <f>IFERROR(__xludf.DUMMYFUNCTION("IF(Account!$F944&lt;&gt;"""", VALUE(REGEXREPLACE($I944, ""\,"", ""."")), """")"),"")</f>
        <v/>
      </c>
      <c r="O944" s="35" t="str">
        <f>IF(Account!$F944&lt;&gt;"", DATEVALUE(MID($A944,4,3) &amp; LEFT($A944,3) &amp; RIGHT($A944,4)) + TIMEVALUE($B944), "")</f>
        <v/>
      </c>
      <c r="P944" s="36" t="str">
        <f>IF(Account!$F944&lt;&gt;"", DATEVALUE(MID($C944,4,3) &amp; LEFT($C944,3) &amp; RIGHT($C944,4)), "")</f>
        <v/>
      </c>
      <c r="Q944" s="37" t="str">
        <f t="array" ref="Q944">IF($R944&lt;&gt;"",IFERROR(INDEX(ISIN!$B:$B,MATCH($R944,ISIN!$C:$C,0))),)</f>
        <v/>
      </c>
      <c r="R944" s="38" t="str">
        <f t="array" ref="R944">IF($E944&lt;&gt;""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7" t="str">
        <f t="shared" si="1"/>
        <v/>
      </c>
      <c r="T944" s="39" t="str">
        <f t="shared" si="2"/>
        <v/>
      </c>
      <c r="U944" s="40" t="str">
        <f t="shared" si="3"/>
        <v/>
      </c>
      <c r="V944" s="34" t="str">
        <f t="shared" si="4"/>
        <v/>
      </c>
      <c r="W944" s="41" t="str">
        <f>IFERROR(__xludf.DUMMYFUNCTION(" IF(Account!$F944&lt;&gt;"""", SPLIT(Account!$F944, "" ""), """")"),"")</f>
        <v/>
      </c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</row>
    <row r="945">
      <c r="A945" s="20"/>
      <c r="B945" s="20"/>
      <c r="C945" s="20"/>
      <c r="D945" s="20"/>
      <c r="E945" s="20"/>
      <c r="F945" s="21"/>
      <c r="G945" s="20"/>
      <c r="H945" s="20"/>
      <c r="I945" s="20"/>
      <c r="J945" s="20"/>
      <c r="K945" s="20"/>
      <c r="L945" s="21"/>
      <c r="M945" s="33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4" t="str">
        <f>IFERROR(__xludf.DUMMYFUNCTION("IF(Account!$F945&lt;&gt;"""", VALUE(REGEXREPLACE($I945, ""\,"", ""."")), """")"),"")</f>
        <v/>
      </c>
      <c r="O945" s="35" t="str">
        <f>IF(Account!$F945&lt;&gt;"", DATEVALUE(MID($A945,4,3) &amp; LEFT($A945,3) &amp; RIGHT($A945,4)) + TIMEVALUE($B945), "")</f>
        <v/>
      </c>
      <c r="P945" s="36" t="str">
        <f>IF(Account!$F945&lt;&gt;"", DATEVALUE(MID($C945,4,3) &amp; LEFT($C945,3) &amp; RIGHT($C945,4)), "")</f>
        <v/>
      </c>
      <c r="Q945" s="37" t="str">
        <f t="array" ref="Q945">IF($R945&lt;&gt;"",IFERROR(INDEX(ISIN!$B:$B,MATCH($R945,ISIN!$C:$C,0))),)</f>
        <v/>
      </c>
      <c r="R945" s="38" t="str">
        <f t="array" ref="R945">IF($E945&lt;&gt;""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7" t="str">
        <f t="shared" si="1"/>
        <v/>
      </c>
      <c r="T945" s="39" t="str">
        <f t="shared" si="2"/>
        <v/>
      </c>
      <c r="U945" s="40" t="str">
        <f t="shared" si="3"/>
        <v/>
      </c>
      <c r="V945" s="34" t="str">
        <f t="shared" si="4"/>
        <v/>
      </c>
      <c r="W945" s="41" t="str">
        <f>IFERROR(__xludf.DUMMYFUNCTION(" IF(Account!$F945&lt;&gt;"""", SPLIT(Account!$F945, "" ""), """")"),"")</f>
        <v/>
      </c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</row>
    <row r="946">
      <c r="A946" s="20"/>
      <c r="B946" s="20"/>
      <c r="C946" s="20"/>
      <c r="D946" s="20"/>
      <c r="E946" s="20"/>
      <c r="F946" s="21"/>
      <c r="G946" s="45"/>
      <c r="H946" s="20"/>
      <c r="I946" s="20"/>
      <c r="J946" s="20"/>
      <c r="K946" s="20"/>
      <c r="L946" s="21"/>
      <c r="M946" s="33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4" t="str">
        <f>IFERROR(__xludf.DUMMYFUNCTION("IF(Account!$F946&lt;&gt;"""", VALUE(REGEXREPLACE($I946, ""\,"", ""."")), """")"),"")</f>
        <v/>
      </c>
      <c r="O946" s="35" t="str">
        <f>IF(Account!$F946&lt;&gt;"", DATEVALUE(MID($A946,4,3) &amp; LEFT($A946,3) &amp; RIGHT($A946,4)) + TIMEVALUE($B946), "")</f>
        <v/>
      </c>
      <c r="P946" s="36" t="str">
        <f>IF(Account!$F946&lt;&gt;"", DATEVALUE(MID($C946,4,3) &amp; LEFT($C946,3) &amp; RIGHT($C946,4)), "")</f>
        <v/>
      </c>
      <c r="Q946" s="37" t="str">
        <f t="array" ref="Q946">IF($R946&lt;&gt;"",IFERROR(INDEX(ISIN!$B:$B,MATCH($R946,ISIN!$C:$C,0))),)</f>
        <v/>
      </c>
      <c r="R946" s="38" t="str">
        <f t="array" ref="R946">IF($E946&lt;&gt;""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7" t="str">
        <f t="shared" si="1"/>
        <v/>
      </c>
      <c r="T946" s="39" t="str">
        <f t="shared" si="2"/>
        <v/>
      </c>
      <c r="U946" s="40" t="str">
        <f t="shared" si="3"/>
        <v/>
      </c>
      <c r="V946" s="34" t="str">
        <f t="shared" si="4"/>
        <v/>
      </c>
      <c r="W946" s="41" t="str">
        <f>IFERROR(__xludf.DUMMYFUNCTION(" IF(Account!$F946&lt;&gt;"""", SPLIT(Account!$F946, "" ""), """")"),"")</f>
        <v/>
      </c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</row>
    <row r="947">
      <c r="A947" s="20"/>
      <c r="B947" s="20"/>
      <c r="C947" s="20"/>
      <c r="D947" s="20"/>
      <c r="E947" s="20"/>
      <c r="F947" s="21"/>
      <c r="G947" s="20"/>
      <c r="H947" s="20"/>
      <c r="I947" s="20"/>
      <c r="J947" s="20"/>
      <c r="K947" s="20"/>
      <c r="L947" s="21"/>
      <c r="M947" s="33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4" t="str">
        <f>IFERROR(__xludf.DUMMYFUNCTION("IF(Account!$F947&lt;&gt;"""", VALUE(REGEXREPLACE($I947, ""\,"", ""."")), """")"),"")</f>
        <v/>
      </c>
      <c r="O947" s="35" t="str">
        <f>IF(Account!$F947&lt;&gt;"", DATEVALUE(MID($A947,4,3) &amp; LEFT($A947,3) &amp; RIGHT($A947,4)) + TIMEVALUE($B947), "")</f>
        <v/>
      </c>
      <c r="P947" s="36" t="str">
        <f>IF(Account!$F947&lt;&gt;"", DATEVALUE(MID($C947,4,3) &amp; LEFT($C947,3) &amp; RIGHT($C947,4)), "")</f>
        <v/>
      </c>
      <c r="Q947" s="37" t="str">
        <f t="array" ref="Q947">IF($R947&lt;&gt;"",IFERROR(INDEX(ISIN!$B:$B,MATCH($R947,ISIN!$C:$C,0))),)</f>
        <v/>
      </c>
      <c r="R947" s="38" t="str">
        <f t="array" ref="R947">IF($E947&lt;&gt;""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7" t="str">
        <f t="shared" si="1"/>
        <v/>
      </c>
      <c r="T947" s="39" t="str">
        <f t="shared" si="2"/>
        <v/>
      </c>
      <c r="U947" s="40" t="str">
        <f t="shared" si="3"/>
        <v/>
      </c>
      <c r="V947" s="34" t="str">
        <f t="shared" si="4"/>
        <v/>
      </c>
      <c r="W947" s="41" t="str">
        <f>IFERROR(__xludf.DUMMYFUNCTION(" IF(Account!$F947&lt;&gt;"""", SPLIT(Account!$F947, "" ""), """")"),"")</f>
        <v/>
      </c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</row>
    <row r="948">
      <c r="A948" s="20"/>
      <c r="B948" s="20"/>
      <c r="C948" s="20"/>
      <c r="D948" s="20"/>
      <c r="E948" s="20"/>
      <c r="F948" s="21"/>
      <c r="G948" s="45"/>
      <c r="H948" s="20"/>
      <c r="I948" s="20"/>
      <c r="J948" s="20"/>
      <c r="K948" s="20"/>
      <c r="L948" s="21"/>
      <c r="M948" s="33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4" t="str">
        <f>IFERROR(__xludf.DUMMYFUNCTION("IF(Account!$F948&lt;&gt;"""", VALUE(REGEXREPLACE($I948, ""\,"", ""."")), """")"),"")</f>
        <v/>
      </c>
      <c r="O948" s="35" t="str">
        <f>IF(Account!$F948&lt;&gt;"", DATEVALUE(MID($A948,4,3) &amp; LEFT($A948,3) &amp; RIGHT($A948,4)) + TIMEVALUE($B948), "")</f>
        <v/>
      </c>
      <c r="P948" s="36" t="str">
        <f>IF(Account!$F948&lt;&gt;"", DATEVALUE(MID($C948,4,3) &amp; LEFT($C948,3) &amp; RIGHT($C948,4)), "")</f>
        <v/>
      </c>
      <c r="Q948" s="37" t="str">
        <f t="array" ref="Q948">IF($R948&lt;&gt;"",IFERROR(INDEX(ISIN!$B:$B,MATCH($R948,ISIN!$C:$C,0))),)</f>
        <v/>
      </c>
      <c r="R948" s="38" t="str">
        <f t="array" ref="R948">IF($E948&lt;&gt;""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7" t="str">
        <f t="shared" si="1"/>
        <v/>
      </c>
      <c r="T948" s="39" t="str">
        <f t="shared" si="2"/>
        <v/>
      </c>
      <c r="U948" s="40" t="str">
        <f t="shared" si="3"/>
        <v/>
      </c>
      <c r="V948" s="34" t="str">
        <f t="shared" si="4"/>
        <v/>
      </c>
      <c r="W948" s="41" t="str">
        <f>IFERROR(__xludf.DUMMYFUNCTION(" IF(Account!$F948&lt;&gt;"""", SPLIT(Account!$F948, "" ""), """")"),"")</f>
        <v/>
      </c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</row>
    <row r="949">
      <c r="A949" s="20"/>
      <c r="B949" s="20"/>
      <c r="C949" s="20"/>
      <c r="D949" s="20"/>
      <c r="E949" s="20"/>
      <c r="F949" s="21"/>
      <c r="G949" s="20"/>
      <c r="H949" s="20"/>
      <c r="I949" s="20"/>
      <c r="J949" s="20"/>
      <c r="K949" s="20"/>
      <c r="L949" s="21"/>
      <c r="M949" s="33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4" t="str">
        <f>IFERROR(__xludf.DUMMYFUNCTION("IF(Account!$F949&lt;&gt;"""", VALUE(REGEXREPLACE($I949, ""\,"", ""."")), """")"),"")</f>
        <v/>
      </c>
      <c r="O949" s="35" t="str">
        <f>IF(Account!$F949&lt;&gt;"", DATEVALUE(MID($A949,4,3) &amp; LEFT($A949,3) &amp; RIGHT($A949,4)) + TIMEVALUE($B949), "")</f>
        <v/>
      </c>
      <c r="P949" s="36" t="str">
        <f>IF(Account!$F949&lt;&gt;"", DATEVALUE(MID($C949,4,3) &amp; LEFT($C949,3) &amp; RIGHT($C949,4)), "")</f>
        <v/>
      </c>
      <c r="Q949" s="37" t="str">
        <f t="array" ref="Q949">IF($R949&lt;&gt;"",IFERROR(INDEX(ISIN!$B:$B,MATCH($R949,ISIN!$C:$C,0))),)</f>
        <v/>
      </c>
      <c r="R949" s="38" t="str">
        <f t="array" ref="R949">IF($E949&lt;&gt;""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7" t="str">
        <f t="shared" si="1"/>
        <v/>
      </c>
      <c r="T949" s="39" t="str">
        <f t="shared" si="2"/>
        <v/>
      </c>
      <c r="U949" s="40" t="str">
        <f t="shared" si="3"/>
        <v/>
      </c>
      <c r="V949" s="34" t="str">
        <f t="shared" si="4"/>
        <v/>
      </c>
      <c r="W949" s="41" t="str">
        <f>IFERROR(__xludf.DUMMYFUNCTION(" IF(Account!$F949&lt;&gt;"""", SPLIT(Account!$F949, "" ""), """")"),"")</f>
        <v/>
      </c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</row>
    <row r="950">
      <c r="A950" s="20"/>
      <c r="B950" s="20"/>
      <c r="C950" s="20"/>
      <c r="D950" s="20"/>
      <c r="E950" s="20"/>
      <c r="F950" s="21"/>
      <c r="G950" s="45"/>
      <c r="H950" s="20"/>
      <c r="I950" s="20"/>
      <c r="J950" s="20"/>
      <c r="K950" s="20"/>
      <c r="L950" s="21"/>
      <c r="M950" s="33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4" t="str">
        <f>IFERROR(__xludf.DUMMYFUNCTION("IF(Account!$F950&lt;&gt;"""", VALUE(REGEXREPLACE($I950, ""\,"", ""."")), """")"),"")</f>
        <v/>
      </c>
      <c r="O950" s="35" t="str">
        <f>IF(Account!$F950&lt;&gt;"", DATEVALUE(MID($A950,4,3) &amp; LEFT($A950,3) &amp; RIGHT($A950,4)) + TIMEVALUE($B950), "")</f>
        <v/>
      </c>
      <c r="P950" s="36" t="str">
        <f>IF(Account!$F950&lt;&gt;"", DATEVALUE(MID($C950,4,3) &amp; LEFT($C950,3) &amp; RIGHT($C950,4)), "")</f>
        <v/>
      </c>
      <c r="Q950" s="37" t="str">
        <f t="array" ref="Q950">IF($R950&lt;&gt;"",IFERROR(INDEX(ISIN!$B:$B,MATCH($R950,ISIN!$C:$C,0))),)</f>
        <v/>
      </c>
      <c r="R950" s="38" t="str">
        <f t="array" ref="R950">IF($E950&lt;&gt;""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7" t="str">
        <f t="shared" si="1"/>
        <v/>
      </c>
      <c r="T950" s="39" t="str">
        <f t="shared" si="2"/>
        <v/>
      </c>
      <c r="U950" s="40" t="str">
        <f t="shared" si="3"/>
        <v/>
      </c>
      <c r="V950" s="34" t="str">
        <f t="shared" si="4"/>
        <v/>
      </c>
      <c r="W950" s="41" t="str">
        <f>IFERROR(__xludf.DUMMYFUNCTION(" IF(Account!$F950&lt;&gt;"""", SPLIT(Account!$F950, "" ""), """")"),"")</f>
        <v/>
      </c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</row>
    <row r="951">
      <c r="A951" s="20"/>
      <c r="B951" s="20"/>
      <c r="C951" s="20"/>
      <c r="D951" s="20"/>
      <c r="E951" s="20"/>
      <c r="F951" s="21"/>
      <c r="G951" s="20"/>
      <c r="H951" s="20"/>
      <c r="I951" s="20"/>
      <c r="J951" s="20"/>
      <c r="K951" s="20"/>
      <c r="L951" s="21"/>
      <c r="M951" s="33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4" t="str">
        <f>IFERROR(__xludf.DUMMYFUNCTION("IF(Account!$F951&lt;&gt;"""", VALUE(REGEXREPLACE($I951, ""\,"", ""."")), """")"),"")</f>
        <v/>
      </c>
      <c r="O951" s="35" t="str">
        <f>IF(Account!$F951&lt;&gt;"", DATEVALUE(MID($A951,4,3) &amp; LEFT($A951,3) &amp; RIGHT($A951,4)) + TIMEVALUE($B951), "")</f>
        <v/>
      </c>
      <c r="P951" s="36" t="str">
        <f>IF(Account!$F951&lt;&gt;"", DATEVALUE(MID($C951,4,3) &amp; LEFT($C951,3) &amp; RIGHT($C951,4)), "")</f>
        <v/>
      </c>
      <c r="Q951" s="37" t="str">
        <f t="array" ref="Q951">IF($R951&lt;&gt;"",IFERROR(INDEX(ISIN!$B:$B,MATCH($R951,ISIN!$C:$C,0))),)</f>
        <v/>
      </c>
      <c r="R951" s="38" t="str">
        <f t="array" ref="R951">IF($E951&lt;&gt;""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7" t="str">
        <f t="shared" si="1"/>
        <v/>
      </c>
      <c r="T951" s="39" t="str">
        <f t="shared" si="2"/>
        <v/>
      </c>
      <c r="U951" s="40" t="str">
        <f t="shared" si="3"/>
        <v/>
      </c>
      <c r="V951" s="34" t="str">
        <f t="shared" si="4"/>
        <v/>
      </c>
      <c r="W951" s="41" t="str">
        <f>IFERROR(__xludf.DUMMYFUNCTION(" IF(Account!$F951&lt;&gt;"""", SPLIT(Account!$F951, "" ""), """")"),"")</f>
        <v/>
      </c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</row>
    <row r="952">
      <c r="A952" s="20"/>
      <c r="B952" s="20"/>
      <c r="C952" s="20"/>
      <c r="D952" s="20"/>
      <c r="E952" s="20"/>
      <c r="F952" s="21"/>
      <c r="G952" s="45"/>
      <c r="H952" s="20"/>
      <c r="I952" s="20"/>
      <c r="J952" s="20"/>
      <c r="K952" s="20"/>
      <c r="L952" s="21"/>
      <c r="M952" s="33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4" t="str">
        <f>IFERROR(__xludf.DUMMYFUNCTION("IF(Account!$F952&lt;&gt;"""", VALUE(REGEXREPLACE($I952, ""\,"", ""."")), """")"),"")</f>
        <v/>
      </c>
      <c r="O952" s="35" t="str">
        <f>IF(Account!$F952&lt;&gt;"", DATEVALUE(MID($A952,4,3) &amp; LEFT($A952,3) &amp; RIGHT($A952,4)) + TIMEVALUE($B952), "")</f>
        <v/>
      </c>
      <c r="P952" s="36" t="str">
        <f>IF(Account!$F952&lt;&gt;"", DATEVALUE(MID($C952,4,3) &amp; LEFT($C952,3) &amp; RIGHT($C952,4)), "")</f>
        <v/>
      </c>
      <c r="Q952" s="37" t="str">
        <f t="array" ref="Q952">IF($R952&lt;&gt;"",IFERROR(INDEX(ISIN!$B:$B,MATCH($R952,ISIN!$C:$C,0))),)</f>
        <v/>
      </c>
      <c r="R952" s="38" t="str">
        <f t="array" ref="R952">IF($E952&lt;&gt;""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7" t="str">
        <f t="shared" si="1"/>
        <v/>
      </c>
      <c r="T952" s="39" t="str">
        <f t="shared" si="2"/>
        <v/>
      </c>
      <c r="U952" s="40" t="str">
        <f t="shared" si="3"/>
        <v/>
      </c>
      <c r="V952" s="34" t="str">
        <f t="shared" si="4"/>
        <v/>
      </c>
      <c r="W952" s="41" t="str">
        <f>IFERROR(__xludf.DUMMYFUNCTION(" IF(Account!$F952&lt;&gt;"""", SPLIT(Account!$F952, "" ""), """")"),"")</f>
        <v/>
      </c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</row>
    <row r="953">
      <c r="A953" s="20"/>
      <c r="B953" s="20"/>
      <c r="C953" s="20"/>
      <c r="D953" s="20"/>
      <c r="E953" s="20"/>
      <c r="F953" s="21"/>
      <c r="G953" s="20"/>
      <c r="H953" s="20"/>
      <c r="I953" s="20"/>
      <c r="J953" s="20"/>
      <c r="K953" s="20"/>
      <c r="L953" s="21"/>
      <c r="M953" s="33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4" t="str">
        <f>IFERROR(__xludf.DUMMYFUNCTION("IF(Account!$F953&lt;&gt;"""", VALUE(REGEXREPLACE($I953, ""\,"", ""."")), """")"),"")</f>
        <v/>
      </c>
      <c r="O953" s="35" t="str">
        <f>IF(Account!$F953&lt;&gt;"", DATEVALUE(MID($A953,4,3) &amp; LEFT($A953,3) &amp; RIGHT($A953,4)) + TIMEVALUE($B953), "")</f>
        <v/>
      </c>
      <c r="P953" s="36" t="str">
        <f>IF(Account!$F953&lt;&gt;"", DATEVALUE(MID($C953,4,3) &amp; LEFT($C953,3) &amp; RIGHT($C953,4)), "")</f>
        <v/>
      </c>
      <c r="Q953" s="37" t="str">
        <f t="array" ref="Q953">IF($R953&lt;&gt;"",IFERROR(INDEX(ISIN!$B:$B,MATCH($R953,ISIN!$C:$C,0))),)</f>
        <v/>
      </c>
      <c r="R953" s="38" t="str">
        <f t="array" ref="R953">IF($E953&lt;&gt;""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7" t="str">
        <f t="shared" si="1"/>
        <v/>
      </c>
      <c r="T953" s="39" t="str">
        <f t="shared" si="2"/>
        <v/>
      </c>
      <c r="U953" s="40" t="str">
        <f t="shared" si="3"/>
        <v/>
      </c>
      <c r="V953" s="34" t="str">
        <f t="shared" si="4"/>
        <v/>
      </c>
      <c r="W953" s="41" t="str">
        <f>IFERROR(__xludf.DUMMYFUNCTION(" IF(Account!$F953&lt;&gt;"""", SPLIT(Account!$F953, "" ""), """")"),"")</f>
        <v/>
      </c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</row>
    <row r="954">
      <c r="A954" s="20"/>
      <c r="B954" s="20"/>
      <c r="C954" s="20"/>
      <c r="D954" s="20"/>
      <c r="E954" s="20"/>
      <c r="F954" s="21"/>
      <c r="G954" s="45"/>
      <c r="H954" s="20"/>
      <c r="I954" s="20"/>
      <c r="J954" s="20"/>
      <c r="K954" s="20"/>
      <c r="L954" s="21"/>
      <c r="M954" s="33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4" t="str">
        <f>IFERROR(__xludf.DUMMYFUNCTION("IF(Account!$F954&lt;&gt;"""", VALUE(REGEXREPLACE($I954, ""\,"", ""."")), """")"),"")</f>
        <v/>
      </c>
      <c r="O954" s="35" t="str">
        <f>IF(Account!$F954&lt;&gt;"", DATEVALUE(MID($A954,4,3) &amp; LEFT($A954,3) &amp; RIGHT($A954,4)) + TIMEVALUE($B954), "")</f>
        <v/>
      </c>
      <c r="P954" s="36" t="str">
        <f>IF(Account!$F954&lt;&gt;"", DATEVALUE(MID($C954,4,3) &amp; LEFT($C954,3) &amp; RIGHT($C954,4)), "")</f>
        <v/>
      </c>
      <c r="Q954" s="37" t="str">
        <f t="array" ref="Q954">IF($R954&lt;&gt;"",IFERROR(INDEX(ISIN!$B:$B,MATCH($R954,ISIN!$C:$C,0))),)</f>
        <v/>
      </c>
      <c r="R954" s="38" t="str">
        <f t="array" ref="R954">IF($E954&lt;&gt;""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7" t="str">
        <f t="shared" si="1"/>
        <v/>
      </c>
      <c r="T954" s="39" t="str">
        <f t="shared" si="2"/>
        <v/>
      </c>
      <c r="U954" s="40" t="str">
        <f t="shared" si="3"/>
        <v/>
      </c>
      <c r="V954" s="34" t="str">
        <f t="shared" si="4"/>
        <v/>
      </c>
      <c r="W954" s="41" t="str">
        <f>IFERROR(__xludf.DUMMYFUNCTION(" IF(Account!$F954&lt;&gt;"""", SPLIT(Account!$F954, "" ""), """")"),"")</f>
        <v/>
      </c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</row>
    <row r="955">
      <c r="A955" s="20"/>
      <c r="B955" s="20"/>
      <c r="C955" s="20"/>
      <c r="D955" s="20"/>
      <c r="E955" s="20"/>
      <c r="F955" s="21"/>
      <c r="G955" s="20"/>
      <c r="H955" s="20"/>
      <c r="I955" s="20"/>
      <c r="J955" s="20"/>
      <c r="K955" s="20"/>
      <c r="L955" s="21"/>
      <c r="M955" s="33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4" t="str">
        <f>IFERROR(__xludf.DUMMYFUNCTION("IF(Account!$F955&lt;&gt;"""", VALUE(REGEXREPLACE($I955, ""\,"", ""."")), """")"),"")</f>
        <v/>
      </c>
      <c r="O955" s="35" t="str">
        <f>IF(Account!$F955&lt;&gt;"", DATEVALUE(MID($A955,4,3) &amp; LEFT($A955,3) &amp; RIGHT($A955,4)) + TIMEVALUE($B955), "")</f>
        <v/>
      </c>
      <c r="P955" s="36" t="str">
        <f>IF(Account!$F955&lt;&gt;"", DATEVALUE(MID($C955,4,3) &amp; LEFT($C955,3) &amp; RIGHT($C955,4)), "")</f>
        <v/>
      </c>
      <c r="Q955" s="37" t="str">
        <f t="array" ref="Q955">IF($R955&lt;&gt;"",IFERROR(INDEX(ISIN!$B:$B,MATCH($R955,ISIN!$C:$C,0))),)</f>
        <v/>
      </c>
      <c r="R955" s="38" t="str">
        <f t="array" ref="R955">IF($E955&lt;&gt;""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7" t="str">
        <f t="shared" si="1"/>
        <v/>
      </c>
      <c r="T955" s="39" t="str">
        <f t="shared" si="2"/>
        <v/>
      </c>
      <c r="U955" s="40" t="str">
        <f t="shared" si="3"/>
        <v/>
      </c>
      <c r="V955" s="34" t="str">
        <f t="shared" si="4"/>
        <v/>
      </c>
      <c r="W955" s="41" t="str">
        <f>IFERROR(__xludf.DUMMYFUNCTION(" IF(Account!$F955&lt;&gt;"""", SPLIT(Account!$F955, "" ""), """")"),"")</f>
        <v/>
      </c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</row>
    <row r="956">
      <c r="A956" s="20"/>
      <c r="B956" s="20"/>
      <c r="C956" s="20"/>
      <c r="D956" s="20"/>
      <c r="E956" s="20"/>
      <c r="F956" s="21"/>
      <c r="G956" s="45"/>
      <c r="H956" s="20"/>
      <c r="I956" s="20"/>
      <c r="J956" s="20"/>
      <c r="K956" s="20"/>
      <c r="L956" s="21"/>
      <c r="M956" s="33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4" t="str">
        <f>IFERROR(__xludf.DUMMYFUNCTION("IF(Account!$F956&lt;&gt;"""", VALUE(REGEXREPLACE($I956, ""\,"", ""."")), """")"),"")</f>
        <v/>
      </c>
      <c r="O956" s="35" t="str">
        <f>IF(Account!$F956&lt;&gt;"", DATEVALUE(MID($A956,4,3) &amp; LEFT($A956,3) &amp; RIGHT($A956,4)) + TIMEVALUE($B956), "")</f>
        <v/>
      </c>
      <c r="P956" s="36" t="str">
        <f>IF(Account!$F956&lt;&gt;"", DATEVALUE(MID($C956,4,3) &amp; LEFT($C956,3) &amp; RIGHT($C956,4)), "")</f>
        <v/>
      </c>
      <c r="Q956" s="37" t="str">
        <f t="array" ref="Q956">IF($R956&lt;&gt;"",IFERROR(INDEX(ISIN!$B:$B,MATCH($R956,ISIN!$C:$C,0))),)</f>
        <v/>
      </c>
      <c r="R956" s="38" t="str">
        <f t="array" ref="R956">IF($E956&lt;&gt;""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7" t="str">
        <f t="shared" si="1"/>
        <v/>
      </c>
      <c r="T956" s="39" t="str">
        <f t="shared" si="2"/>
        <v/>
      </c>
      <c r="U956" s="40" t="str">
        <f t="shared" si="3"/>
        <v/>
      </c>
      <c r="V956" s="34" t="str">
        <f t="shared" si="4"/>
        <v/>
      </c>
      <c r="W956" s="41" t="str">
        <f>IFERROR(__xludf.DUMMYFUNCTION(" IF(Account!$F956&lt;&gt;"""", SPLIT(Account!$F956, "" ""), """")"),"")</f>
        <v/>
      </c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</row>
    <row r="957">
      <c r="A957" s="20"/>
      <c r="B957" s="20"/>
      <c r="C957" s="20"/>
      <c r="D957" s="20"/>
      <c r="E957" s="20"/>
      <c r="F957" s="21"/>
      <c r="G957" s="20"/>
      <c r="H957" s="20"/>
      <c r="I957" s="20"/>
      <c r="J957" s="20"/>
      <c r="K957" s="20"/>
      <c r="L957" s="21"/>
      <c r="M957" s="33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4" t="str">
        <f>IFERROR(__xludf.DUMMYFUNCTION("IF(Account!$F957&lt;&gt;"""", VALUE(REGEXREPLACE($I957, ""\,"", ""."")), """")"),"")</f>
        <v/>
      </c>
      <c r="O957" s="35" t="str">
        <f>IF(Account!$F957&lt;&gt;"", DATEVALUE(MID($A957,4,3) &amp; LEFT($A957,3) &amp; RIGHT($A957,4)) + TIMEVALUE($B957), "")</f>
        <v/>
      </c>
      <c r="P957" s="36" t="str">
        <f>IF(Account!$F957&lt;&gt;"", DATEVALUE(MID($C957,4,3) &amp; LEFT($C957,3) &amp; RIGHT($C957,4)), "")</f>
        <v/>
      </c>
      <c r="Q957" s="37" t="str">
        <f t="array" ref="Q957">IF($R957&lt;&gt;"",IFERROR(INDEX(ISIN!$B:$B,MATCH($R957,ISIN!$C:$C,0))),)</f>
        <v/>
      </c>
      <c r="R957" s="38" t="str">
        <f t="array" ref="R957">IF($E957&lt;&gt;""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7" t="str">
        <f t="shared" si="1"/>
        <v/>
      </c>
      <c r="T957" s="39" t="str">
        <f t="shared" si="2"/>
        <v/>
      </c>
      <c r="U957" s="40" t="str">
        <f t="shared" si="3"/>
        <v/>
      </c>
      <c r="V957" s="34" t="str">
        <f t="shared" si="4"/>
        <v/>
      </c>
      <c r="W957" s="41" t="str">
        <f>IFERROR(__xludf.DUMMYFUNCTION(" IF(Account!$F957&lt;&gt;"""", SPLIT(Account!$F957, "" ""), """")"),"")</f>
        <v/>
      </c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</row>
    <row r="958">
      <c r="A958" s="20"/>
      <c r="B958" s="20"/>
      <c r="C958" s="20"/>
      <c r="D958" s="20"/>
      <c r="E958" s="20"/>
      <c r="F958" s="21"/>
      <c r="G958" s="45"/>
      <c r="H958" s="20"/>
      <c r="I958" s="20"/>
      <c r="J958" s="20"/>
      <c r="K958" s="20"/>
      <c r="L958" s="21"/>
      <c r="M958" s="33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4" t="str">
        <f>IFERROR(__xludf.DUMMYFUNCTION("IF(Account!$F958&lt;&gt;"""", VALUE(REGEXREPLACE($I958, ""\,"", ""."")), """")"),"")</f>
        <v/>
      </c>
      <c r="O958" s="35" t="str">
        <f>IF(Account!$F958&lt;&gt;"", DATEVALUE(MID($A958,4,3) &amp; LEFT($A958,3) &amp; RIGHT($A958,4)) + TIMEVALUE($B958), "")</f>
        <v/>
      </c>
      <c r="P958" s="36" t="str">
        <f>IF(Account!$F958&lt;&gt;"", DATEVALUE(MID($C958,4,3) &amp; LEFT($C958,3) &amp; RIGHT($C958,4)), "")</f>
        <v/>
      </c>
      <c r="Q958" s="37" t="str">
        <f t="array" ref="Q958">IF($R958&lt;&gt;"",IFERROR(INDEX(ISIN!$B:$B,MATCH($R958,ISIN!$C:$C,0))),)</f>
        <v/>
      </c>
      <c r="R958" s="38" t="str">
        <f t="array" ref="R958">IF($E958&lt;&gt;""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7" t="str">
        <f t="shared" si="1"/>
        <v/>
      </c>
      <c r="T958" s="39" t="str">
        <f t="shared" si="2"/>
        <v/>
      </c>
      <c r="U958" s="40" t="str">
        <f t="shared" si="3"/>
        <v/>
      </c>
      <c r="V958" s="34" t="str">
        <f t="shared" si="4"/>
        <v/>
      </c>
      <c r="W958" s="41" t="str">
        <f>IFERROR(__xludf.DUMMYFUNCTION(" IF(Account!$F958&lt;&gt;"""", SPLIT(Account!$F958, "" ""), """")"),"")</f>
        <v/>
      </c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</row>
    <row r="959">
      <c r="A959" s="20"/>
      <c r="B959" s="20"/>
      <c r="C959" s="20"/>
      <c r="D959" s="20"/>
      <c r="E959" s="20"/>
      <c r="F959" s="21"/>
      <c r="G959" s="20"/>
      <c r="H959" s="20"/>
      <c r="I959" s="20"/>
      <c r="J959" s="20"/>
      <c r="K959" s="20"/>
      <c r="L959" s="21"/>
      <c r="M959" s="33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4" t="str">
        <f>IFERROR(__xludf.DUMMYFUNCTION("IF(Account!$F959&lt;&gt;"""", VALUE(REGEXREPLACE($I959, ""\,"", ""."")), """")"),"")</f>
        <v/>
      </c>
      <c r="O959" s="35" t="str">
        <f>IF(Account!$F959&lt;&gt;"", DATEVALUE(MID($A959,4,3) &amp; LEFT($A959,3) &amp; RIGHT($A959,4)) + TIMEVALUE($B959), "")</f>
        <v/>
      </c>
      <c r="P959" s="36" t="str">
        <f>IF(Account!$F959&lt;&gt;"", DATEVALUE(MID($C959,4,3) &amp; LEFT($C959,3) &amp; RIGHT($C959,4)), "")</f>
        <v/>
      </c>
      <c r="Q959" s="37" t="str">
        <f t="array" ref="Q959">IF($R959&lt;&gt;"",IFERROR(INDEX(ISIN!$B:$B,MATCH($R959,ISIN!$C:$C,0))),)</f>
        <v/>
      </c>
      <c r="R959" s="38" t="str">
        <f t="array" ref="R959">IF($E959&lt;&gt;""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7" t="str">
        <f t="shared" si="1"/>
        <v/>
      </c>
      <c r="T959" s="39" t="str">
        <f t="shared" si="2"/>
        <v/>
      </c>
      <c r="U959" s="40" t="str">
        <f t="shared" si="3"/>
        <v/>
      </c>
      <c r="V959" s="34" t="str">
        <f t="shared" si="4"/>
        <v/>
      </c>
      <c r="W959" s="41" t="str">
        <f>IFERROR(__xludf.DUMMYFUNCTION(" IF(Account!$F959&lt;&gt;"""", SPLIT(Account!$F959, "" ""), """")"),"")</f>
        <v/>
      </c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</row>
    <row r="960">
      <c r="A960" s="20"/>
      <c r="B960" s="20"/>
      <c r="C960" s="20"/>
      <c r="D960" s="20"/>
      <c r="E960" s="20"/>
      <c r="F960" s="21"/>
      <c r="G960" s="45"/>
      <c r="H960" s="20"/>
      <c r="I960" s="20"/>
      <c r="J960" s="20"/>
      <c r="K960" s="20"/>
      <c r="L960" s="21"/>
      <c r="M960" s="33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4" t="str">
        <f>IFERROR(__xludf.DUMMYFUNCTION("IF(Account!$F960&lt;&gt;"""", VALUE(REGEXREPLACE($I960, ""\,"", ""."")), """")"),"")</f>
        <v/>
      </c>
      <c r="O960" s="35" t="str">
        <f>IF(Account!$F960&lt;&gt;"", DATEVALUE(MID($A960,4,3) &amp; LEFT($A960,3) &amp; RIGHT($A960,4)) + TIMEVALUE($B960), "")</f>
        <v/>
      </c>
      <c r="P960" s="36" t="str">
        <f>IF(Account!$F960&lt;&gt;"", DATEVALUE(MID($C960,4,3) &amp; LEFT($C960,3) &amp; RIGHT($C960,4)), "")</f>
        <v/>
      </c>
      <c r="Q960" s="37" t="str">
        <f t="array" ref="Q960">IF($R960&lt;&gt;"",IFERROR(INDEX(ISIN!$B:$B,MATCH($R960,ISIN!$C:$C,0))),)</f>
        <v/>
      </c>
      <c r="R960" s="38" t="str">
        <f t="array" ref="R960">IF($E960&lt;&gt;""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7" t="str">
        <f t="shared" si="1"/>
        <v/>
      </c>
      <c r="T960" s="39" t="str">
        <f t="shared" si="2"/>
        <v/>
      </c>
      <c r="U960" s="40" t="str">
        <f t="shared" si="3"/>
        <v/>
      </c>
      <c r="V960" s="34" t="str">
        <f t="shared" si="4"/>
        <v/>
      </c>
      <c r="W960" s="41" t="str">
        <f>IFERROR(__xludf.DUMMYFUNCTION(" IF(Account!$F960&lt;&gt;"""", SPLIT(Account!$F960, "" ""), """")"),"")</f>
        <v/>
      </c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</row>
    <row r="961">
      <c r="A961" s="20"/>
      <c r="B961" s="20"/>
      <c r="C961" s="20"/>
      <c r="D961" s="20"/>
      <c r="E961" s="20"/>
      <c r="F961" s="21"/>
      <c r="G961" s="45"/>
      <c r="H961" s="20"/>
      <c r="I961" s="20"/>
      <c r="J961" s="20"/>
      <c r="K961" s="20"/>
      <c r="L961" s="21"/>
      <c r="M961" s="33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4" t="str">
        <f>IFERROR(__xludf.DUMMYFUNCTION("IF(Account!$F961&lt;&gt;"""", VALUE(REGEXREPLACE($I961, ""\,"", ""."")), """")"),"")</f>
        <v/>
      </c>
      <c r="O961" s="35" t="str">
        <f>IF(Account!$F961&lt;&gt;"", DATEVALUE(MID($A961,4,3) &amp; LEFT($A961,3) &amp; RIGHT($A961,4)) + TIMEVALUE($B961), "")</f>
        <v/>
      </c>
      <c r="P961" s="36" t="str">
        <f>IF(Account!$F961&lt;&gt;"", DATEVALUE(MID($C961,4,3) &amp; LEFT($C961,3) &amp; RIGHT($C961,4)), "")</f>
        <v/>
      </c>
      <c r="Q961" s="37" t="str">
        <f t="array" ref="Q961">IF($R961&lt;&gt;"",IFERROR(INDEX(ISIN!$B:$B,MATCH($R961,ISIN!$C:$C,0))),)</f>
        <v/>
      </c>
      <c r="R961" s="38" t="str">
        <f t="array" ref="R961">IF($E961&lt;&gt;""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7" t="str">
        <f t="shared" si="1"/>
        <v/>
      </c>
      <c r="T961" s="39" t="str">
        <f t="shared" si="2"/>
        <v/>
      </c>
      <c r="U961" s="40" t="str">
        <f t="shared" si="3"/>
        <v/>
      </c>
      <c r="V961" s="34" t="str">
        <f t="shared" si="4"/>
        <v/>
      </c>
      <c r="W961" s="41" t="str">
        <f>IFERROR(__xludf.DUMMYFUNCTION(" IF(Account!$F961&lt;&gt;"""", SPLIT(Account!$F961, "" ""), """")"),"")</f>
        <v/>
      </c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</row>
    <row r="962">
      <c r="A962" s="20"/>
      <c r="B962" s="20"/>
      <c r="C962" s="20"/>
      <c r="D962" s="20"/>
      <c r="E962" s="20"/>
      <c r="F962" s="21"/>
      <c r="G962" s="45"/>
      <c r="H962" s="20"/>
      <c r="I962" s="20"/>
      <c r="J962" s="20"/>
      <c r="K962" s="20"/>
      <c r="L962" s="21"/>
      <c r="M962" s="33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4" t="str">
        <f>IFERROR(__xludf.DUMMYFUNCTION("IF(Account!$F962&lt;&gt;"""", VALUE(REGEXREPLACE($I962, ""\,"", ""."")), """")"),"")</f>
        <v/>
      </c>
      <c r="O962" s="35" t="str">
        <f>IF(Account!$F962&lt;&gt;"", DATEVALUE(MID($A962,4,3) &amp; LEFT($A962,3) &amp; RIGHT($A962,4)) + TIMEVALUE($B962), "")</f>
        <v/>
      </c>
      <c r="P962" s="36" t="str">
        <f>IF(Account!$F962&lt;&gt;"", DATEVALUE(MID($C962,4,3) &amp; LEFT($C962,3) &amp; RIGHT($C962,4)), "")</f>
        <v/>
      </c>
      <c r="Q962" s="37" t="str">
        <f t="array" ref="Q962">IF($R962&lt;&gt;"",IFERROR(INDEX(ISIN!$B:$B,MATCH($R962,ISIN!$C:$C,0))),)</f>
        <v/>
      </c>
      <c r="R962" s="38" t="str">
        <f t="array" ref="R962">IF($E962&lt;&gt;""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7" t="str">
        <f t="shared" si="1"/>
        <v/>
      </c>
      <c r="T962" s="39" t="str">
        <f t="shared" si="2"/>
        <v/>
      </c>
      <c r="U962" s="40" t="str">
        <f t="shared" si="3"/>
        <v/>
      </c>
      <c r="V962" s="34" t="str">
        <f t="shared" si="4"/>
        <v/>
      </c>
      <c r="W962" s="41" t="str">
        <f>IFERROR(__xludf.DUMMYFUNCTION(" IF(Account!$F962&lt;&gt;"""", SPLIT(Account!$F962, "" ""), """")"),"")</f>
        <v/>
      </c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</row>
    <row r="963">
      <c r="A963" s="20"/>
      <c r="B963" s="20"/>
      <c r="C963" s="20"/>
      <c r="D963" s="20"/>
      <c r="E963" s="20"/>
      <c r="F963" s="21"/>
      <c r="G963" s="45"/>
      <c r="H963" s="20"/>
      <c r="I963" s="20"/>
      <c r="J963" s="20"/>
      <c r="K963" s="20"/>
      <c r="L963" s="21"/>
      <c r="M963" s="33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4" t="str">
        <f>IFERROR(__xludf.DUMMYFUNCTION("IF(Account!$F963&lt;&gt;"""", VALUE(REGEXREPLACE($I963, ""\,"", ""."")), """")"),"")</f>
        <v/>
      </c>
      <c r="O963" s="35" t="str">
        <f>IF(Account!$F963&lt;&gt;"", DATEVALUE(MID($A963,4,3) &amp; LEFT($A963,3) &amp; RIGHT($A963,4)) + TIMEVALUE($B963), "")</f>
        <v/>
      </c>
      <c r="P963" s="36" t="str">
        <f>IF(Account!$F963&lt;&gt;"", DATEVALUE(MID($C963,4,3) &amp; LEFT($C963,3) &amp; RIGHT($C963,4)), "")</f>
        <v/>
      </c>
      <c r="Q963" s="37" t="str">
        <f t="array" ref="Q963">IF($R963&lt;&gt;"",IFERROR(INDEX(ISIN!$B:$B,MATCH($R963,ISIN!$C:$C,0))),)</f>
        <v/>
      </c>
      <c r="R963" s="38" t="str">
        <f t="array" ref="R963">IF($E963&lt;&gt;""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7" t="str">
        <f t="shared" si="1"/>
        <v/>
      </c>
      <c r="T963" s="39" t="str">
        <f t="shared" si="2"/>
        <v/>
      </c>
      <c r="U963" s="40" t="str">
        <f t="shared" si="3"/>
        <v/>
      </c>
      <c r="V963" s="34" t="str">
        <f t="shared" si="4"/>
        <v/>
      </c>
      <c r="W963" s="41" t="str">
        <f>IFERROR(__xludf.DUMMYFUNCTION(" IF(Account!$F963&lt;&gt;"""", SPLIT(Account!$F963, "" ""), """")"),"")</f>
        <v/>
      </c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</row>
    <row r="964">
      <c r="A964" s="20"/>
      <c r="B964" s="20"/>
      <c r="C964" s="20"/>
      <c r="D964" s="20"/>
      <c r="E964" s="20"/>
      <c r="F964" s="21"/>
      <c r="G964" s="45"/>
      <c r="H964" s="20"/>
      <c r="I964" s="20"/>
      <c r="J964" s="20"/>
      <c r="K964" s="20"/>
      <c r="L964" s="21"/>
      <c r="M964" s="33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4" t="str">
        <f>IFERROR(__xludf.DUMMYFUNCTION("IF(Account!$F964&lt;&gt;"""", VALUE(REGEXREPLACE($I964, ""\,"", ""."")), """")"),"")</f>
        <v/>
      </c>
      <c r="O964" s="35" t="str">
        <f>IF(Account!$F964&lt;&gt;"", DATEVALUE(MID($A964,4,3) &amp; LEFT($A964,3) &amp; RIGHT($A964,4)) + TIMEVALUE($B964), "")</f>
        <v/>
      </c>
      <c r="P964" s="36" t="str">
        <f>IF(Account!$F964&lt;&gt;"", DATEVALUE(MID($C964,4,3) &amp; LEFT($C964,3) &amp; RIGHT($C964,4)), "")</f>
        <v/>
      </c>
      <c r="Q964" s="37" t="str">
        <f t="array" ref="Q964">IF($R964&lt;&gt;"",IFERROR(INDEX(ISIN!$B:$B,MATCH($R964,ISIN!$C:$C,0))),)</f>
        <v/>
      </c>
      <c r="R964" s="38" t="str">
        <f t="array" ref="R964">IF($E964&lt;&gt;""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7" t="str">
        <f t="shared" si="1"/>
        <v/>
      </c>
      <c r="T964" s="39" t="str">
        <f t="shared" si="2"/>
        <v/>
      </c>
      <c r="U964" s="40" t="str">
        <f t="shared" si="3"/>
        <v/>
      </c>
      <c r="V964" s="34" t="str">
        <f t="shared" si="4"/>
        <v/>
      </c>
      <c r="W964" s="41" t="str">
        <f>IFERROR(__xludf.DUMMYFUNCTION(" IF(Account!$F964&lt;&gt;"""", SPLIT(Account!$F964, "" ""), """")"),"")</f>
        <v/>
      </c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</row>
    <row r="965">
      <c r="A965" s="20"/>
      <c r="B965" s="20"/>
      <c r="C965" s="20"/>
      <c r="D965" s="20"/>
      <c r="E965" s="20"/>
      <c r="F965" s="21"/>
      <c r="G965" s="45"/>
      <c r="H965" s="20"/>
      <c r="I965" s="20"/>
      <c r="J965" s="20"/>
      <c r="K965" s="20"/>
      <c r="L965" s="21"/>
      <c r="M965" s="33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4" t="str">
        <f>IFERROR(__xludf.DUMMYFUNCTION("IF(Account!$F965&lt;&gt;"""", VALUE(REGEXREPLACE($I965, ""\,"", ""."")), """")"),"")</f>
        <v/>
      </c>
      <c r="O965" s="35" t="str">
        <f>IF(Account!$F965&lt;&gt;"", DATEVALUE(MID($A965,4,3) &amp; LEFT($A965,3) &amp; RIGHT($A965,4)) + TIMEVALUE($B965), "")</f>
        <v/>
      </c>
      <c r="P965" s="36" t="str">
        <f>IF(Account!$F965&lt;&gt;"", DATEVALUE(MID($C965,4,3) &amp; LEFT($C965,3) &amp; RIGHT($C965,4)), "")</f>
        <v/>
      </c>
      <c r="Q965" s="37" t="str">
        <f t="array" ref="Q965">IF($R965&lt;&gt;"",IFERROR(INDEX(ISIN!$B:$B,MATCH($R965,ISIN!$C:$C,0))),)</f>
        <v/>
      </c>
      <c r="R965" s="38" t="str">
        <f t="array" ref="R965">IF($E965&lt;&gt;""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7" t="str">
        <f t="shared" si="1"/>
        <v/>
      </c>
      <c r="T965" s="39" t="str">
        <f t="shared" si="2"/>
        <v/>
      </c>
      <c r="U965" s="40" t="str">
        <f t="shared" si="3"/>
        <v/>
      </c>
      <c r="V965" s="34" t="str">
        <f t="shared" si="4"/>
        <v/>
      </c>
      <c r="W965" s="41" t="str">
        <f>IFERROR(__xludf.DUMMYFUNCTION(" IF(Account!$F965&lt;&gt;"""", SPLIT(Account!$F965, "" ""), """")"),"")</f>
        <v/>
      </c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</row>
    <row r="966">
      <c r="A966" s="20"/>
      <c r="B966" s="20"/>
      <c r="C966" s="20"/>
      <c r="D966" s="20"/>
      <c r="E966" s="20"/>
      <c r="F966" s="21"/>
      <c r="G966" s="45"/>
      <c r="H966" s="20"/>
      <c r="I966" s="20"/>
      <c r="J966" s="20"/>
      <c r="K966" s="20"/>
      <c r="L966" s="21"/>
      <c r="M966" s="33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4" t="str">
        <f>IFERROR(__xludf.DUMMYFUNCTION("IF(Account!$F966&lt;&gt;"""", VALUE(REGEXREPLACE($I966, ""\,"", ""."")), """")"),"")</f>
        <v/>
      </c>
      <c r="O966" s="35" t="str">
        <f>IF(Account!$F966&lt;&gt;"", DATEVALUE(MID($A966,4,3) &amp; LEFT($A966,3) &amp; RIGHT($A966,4)) + TIMEVALUE($B966), "")</f>
        <v/>
      </c>
      <c r="P966" s="36" t="str">
        <f>IF(Account!$F966&lt;&gt;"", DATEVALUE(MID($C966,4,3) &amp; LEFT($C966,3) &amp; RIGHT($C966,4)), "")</f>
        <v/>
      </c>
      <c r="Q966" s="37" t="str">
        <f t="array" ref="Q966">IF($R966&lt;&gt;"",IFERROR(INDEX(ISIN!$B:$B,MATCH($R966,ISIN!$C:$C,0))),)</f>
        <v/>
      </c>
      <c r="R966" s="38" t="str">
        <f t="array" ref="R966">IF($E966&lt;&gt;""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7" t="str">
        <f t="shared" si="1"/>
        <v/>
      </c>
      <c r="T966" s="39" t="str">
        <f t="shared" si="2"/>
        <v/>
      </c>
      <c r="U966" s="40" t="str">
        <f t="shared" si="3"/>
        <v/>
      </c>
      <c r="V966" s="34" t="str">
        <f t="shared" si="4"/>
        <v/>
      </c>
      <c r="W966" s="41" t="str">
        <f>IFERROR(__xludf.DUMMYFUNCTION(" IF(Account!$F966&lt;&gt;"""", SPLIT(Account!$F966, "" ""), """")"),"")</f>
        <v/>
      </c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</row>
    <row r="967">
      <c r="A967" s="20"/>
      <c r="B967" s="20"/>
      <c r="C967" s="20"/>
      <c r="D967" s="20"/>
      <c r="E967" s="20"/>
      <c r="F967" s="21"/>
      <c r="G967" s="45"/>
      <c r="H967" s="20"/>
      <c r="I967" s="20"/>
      <c r="J967" s="20"/>
      <c r="K967" s="20"/>
      <c r="L967" s="21"/>
      <c r="M967" s="33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4" t="str">
        <f>IFERROR(__xludf.DUMMYFUNCTION("IF(Account!$F967&lt;&gt;"""", VALUE(REGEXREPLACE($I967, ""\,"", ""."")), """")"),"")</f>
        <v/>
      </c>
      <c r="O967" s="35" t="str">
        <f>IF(Account!$F967&lt;&gt;"", DATEVALUE(MID($A967,4,3) &amp; LEFT($A967,3) &amp; RIGHT($A967,4)) + TIMEVALUE($B967), "")</f>
        <v/>
      </c>
      <c r="P967" s="36" t="str">
        <f>IF(Account!$F967&lt;&gt;"", DATEVALUE(MID($C967,4,3) &amp; LEFT($C967,3) &amp; RIGHT($C967,4)), "")</f>
        <v/>
      </c>
      <c r="Q967" s="37" t="str">
        <f t="array" ref="Q967">IF($R967&lt;&gt;"",IFERROR(INDEX(ISIN!$B:$B,MATCH($R967,ISIN!$C:$C,0))),)</f>
        <v/>
      </c>
      <c r="R967" s="38" t="str">
        <f t="array" ref="R967">IF($E967&lt;&gt;""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7" t="str">
        <f t="shared" si="1"/>
        <v/>
      </c>
      <c r="T967" s="39" t="str">
        <f t="shared" si="2"/>
        <v/>
      </c>
      <c r="U967" s="40" t="str">
        <f t="shared" si="3"/>
        <v/>
      </c>
      <c r="V967" s="34" t="str">
        <f t="shared" si="4"/>
        <v/>
      </c>
      <c r="W967" s="41" t="str">
        <f>IFERROR(__xludf.DUMMYFUNCTION(" IF(Account!$F967&lt;&gt;"""", SPLIT(Account!$F967, "" ""), """")"),"")</f>
        <v/>
      </c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</row>
    <row r="968">
      <c r="A968" s="20"/>
      <c r="B968" s="20"/>
      <c r="C968" s="20"/>
      <c r="D968" s="20"/>
      <c r="E968" s="20"/>
      <c r="F968" s="21"/>
      <c r="G968" s="45"/>
      <c r="H968" s="20"/>
      <c r="I968" s="20"/>
      <c r="J968" s="20"/>
      <c r="K968" s="20"/>
      <c r="L968" s="21"/>
      <c r="M968" s="33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4" t="str">
        <f>IFERROR(__xludf.DUMMYFUNCTION("IF(Account!$F968&lt;&gt;"""", VALUE(REGEXREPLACE($I968, ""\,"", ""."")), """")"),"")</f>
        <v/>
      </c>
      <c r="O968" s="35" t="str">
        <f>IF(Account!$F968&lt;&gt;"", DATEVALUE(MID($A968,4,3) &amp; LEFT($A968,3) &amp; RIGHT($A968,4)) + TIMEVALUE($B968), "")</f>
        <v/>
      </c>
      <c r="P968" s="36" t="str">
        <f>IF(Account!$F968&lt;&gt;"", DATEVALUE(MID($C968,4,3) &amp; LEFT($C968,3) &amp; RIGHT($C968,4)), "")</f>
        <v/>
      </c>
      <c r="Q968" s="37" t="str">
        <f t="array" ref="Q968">IF($R968&lt;&gt;"",IFERROR(INDEX(ISIN!$B:$B,MATCH($R968,ISIN!$C:$C,0))),)</f>
        <v/>
      </c>
      <c r="R968" s="38" t="str">
        <f t="array" ref="R968">IF($E968&lt;&gt;""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7" t="str">
        <f t="shared" si="1"/>
        <v/>
      </c>
      <c r="T968" s="39" t="str">
        <f t="shared" si="2"/>
        <v/>
      </c>
      <c r="U968" s="40" t="str">
        <f t="shared" si="3"/>
        <v/>
      </c>
      <c r="V968" s="34" t="str">
        <f t="shared" si="4"/>
        <v/>
      </c>
      <c r="W968" s="41" t="str">
        <f>IFERROR(__xludf.DUMMYFUNCTION(" IF(Account!$F968&lt;&gt;"""", SPLIT(Account!$F968, "" ""), """")"),"")</f>
        <v/>
      </c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</row>
    <row r="969">
      <c r="A969" s="20"/>
      <c r="B969" s="20"/>
      <c r="C969" s="20"/>
      <c r="D969" s="20"/>
      <c r="E969" s="20"/>
      <c r="F969" s="21"/>
      <c r="G969" s="45"/>
      <c r="H969" s="20"/>
      <c r="I969" s="20"/>
      <c r="J969" s="20"/>
      <c r="K969" s="20"/>
      <c r="L969" s="21"/>
      <c r="M969" s="33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4" t="str">
        <f>IFERROR(__xludf.DUMMYFUNCTION("IF(Account!$F969&lt;&gt;"""", VALUE(REGEXREPLACE($I969, ""\,"", ""."")), """")"),"")</f>
        <v/>
      </c>
      <c r="O969" s="35" t="str">
        <f>IF(Account!$F969&lt;&gt;"", DATEVALUE(MID($A969,4,3) &amp; LEFT($A969,3) &amp; RIGHT($A969,4)) + TIMEVALUE($B969), "")</f>
        <v/>
      </c>
      <c r="P969" s="36" t="str">
        <f>IF(Account!$F969&lt;&gt;"", DATEVALUE(MID($C969,4,3) &amp; LEFT($C969,3) &amp; RIGHT($C969,4)), "")</f>
        <v/>
      </c>
      <c r="Q969" s="37" t="str">
        <f t="array" ref="Q969">IF($R969&lt;&gt;"",IFERROR(INDEX(ISIN!$B:$B,MATCH($R969,ISIN!$C:$C,0))),)</f>
        <v/>
      </c>
      <c r="R969" s="38" t="str">
        <f t="array" ref="R969">IF($E969&lt;&gt;""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7" t="str">
        <f t="shared" si="1"/>
        <v/>
      </c>
      <c r="T969" s="39" t="str">
        <f t="shared" si="2"/>
        <v/>
      </c>
      <c r="U969" s="40" t="str">
        <f t="shared" si="3"/>
        <v/>
      </c>
      <c r="V969" s="34" t="str">
        <f t="shared" si="4"/>
        <v/>
      </c>
      <c r="W969" s="41" t="str">
        <f>IFERROR(__xludf.DUMMYFUNCTION(" IF(Account!$F969&lt;&gt;"""", SPLIT(Account!$F969, "" ""), """")"),"")</f>
        <v/>
      </c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</row>
    <row r="970">
      <c r="A970" s="20"/>
      <c r="B970" s="20"/>
      <c r="C970" s="20"/>
      <c r="D970" s="20"/>
      <c r="E970" s="20"/>
      <c r="F970" s="21"/>
      <c r="G970" s="20"/>
      <c r="H970" s="20"/>
      <c r="I970" s="20"/>
      <c r="J970" s="20"/>
      <c r="K970" s="20"/>
      <c r="L970" s="21"/>
      <c r="M970" s="33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4" t="str">
        <f>IFERROR(__xludf.DUMMYFUNCTION("IF(Account!$F970&lt;&gt;"""", VALUE(REGEXREPLACE($I970, ""\,"", ""."")), """")"),"")</f>
        <v/>
      </c>
      <c r="O970" s="35" t="str">
        <f>IF(Account!$F970&lt;&gt;"", DATEVALUE(MID($A970,4,3) &amp; LEFT($A970,3) &amp; RIGHT($A970,4)) + TIMEVALUE($B970), "")</f>
        <v/>
      </c>
      <c r="P970" s="36" t="str">
        <f>IF(Account!$F970&lt;&gt;"", DATEVALUE(MID($C970,4,3) &amp; LEFT($C970,3) &amp; RIGHT($C970,4)), "")</f>
        <v/>
      </c>
      <c r="Q970" s="37" t="str">
        <f t="array" ref="Q970">IF($R970&lt;&gt;"",IFERROR(INDEX(ISIN!$B:$B,MATCH($R970,ISIN!$C:$C,0))),)</f>
        <v/>
      </c>
      <c r="R970" s="38" t="str">
        <f t="array" ref="R970">IF($E970&lt;&gt;""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7" t="str">
        <f t="shared" si="1"/>
        <v/>
      </c>
      <c r="T970" s="39" t="str">
        <f t="shared" si="2"/>
        <v/>
      </c>
      <c r="U970" s="40" t="str">
        <f t="shared" si="3"/>
        <v/>
      </c>
      <c r="V970" s="34" t="str">
        <f t="shared" si="4"/>
        <v/>
      </c>
      <c r="W970" s="41" t="str">
        <f>IFERROR(__xludf.DUMMYFUNCTION(" IF(Account!$F970&lt;&gt;"""", SPLIT(Account!$F970, "" ""), """")"),"")</f>
        <v/>
      </c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</row>
    <row r="971">
      <c r="A971" s="20"/>
      <c r="B971" s="20"/>
      <c r="C971" s="20"/>
      <c r="D971" s="20"/>
      <c r="E971" s="20"/>
      <c r="F971" s="21"/>
      <c r="G971" s="45"/>
      <c r="H971" s="20"/>
      <c r="I971" s="20"/>
      <c r="J971" s="20"/>
      <c r="K971" s="20"/>
      <c r="L971" s="21"/>
      <c r="M971" s="33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4" t="str">
        <f>IFERROR(__xludf.DUMMYFUNCTION("IF(Account!$F971&lt;&gt;"""", VALUE(REGEXREPLACE($I971, ""\,"", ""."")), """")"),"")</f>
        <v/>
      </c>
      <c r="O971" s="35" t="str">
        <f>IF(Account!$F971&lt;&gt;"", DATEVALUE(MID($A971,4,3) &amp; LEFT($A971,3) &amp; RIGHT($A971,4)) + TIMEVALUE($B971), "")</f>
        <v/>
      </c>
      <c r="P971" s="36" t="str">
        <f>IF(Account!$F971&lt;&gt;"", DATEVALUE(MID($C971,4,3) &amp; LEFT($C971,3) &amp; RIGHT($C971,4)), "")</f>
        <v/>
      </c>
      <c r="Q971" s="37" t="str">
        <f t="array" ref="Q971">IF($R971&lt;&gt;"",IFERROR(INDEX(ISIN!$B:$B,MATCH($R971,ISIN!$C:$C,0))),)</f>
        <v/>
      </c>
      <c r="R971" s="38" t="str">
        <f t="array" ref="R971">IF($E971&lt;&gt;""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7" t="str">
        <f t="shared" si="1"/>
        <v/>
      </c>
      <c r="T971" s="39" t="str">
        <f t="shared" si="2"/>
        <v/>
      </c>
      <c r="U971" s="40" t="str">
        <f t="shared" si="3"/>
        <v/>
      </c>
      <c r="V971" s="34" t="str">
        <f t="shared" si="4"/>
        <v/>
      </c>
      <c r="W971" s="41" t="str">
        <f>IFERROR(__xludf.DUMMYFUNCTION(" IF(Account!$F971&lt;&gt;"""", SPLIT(Account!$F971, "" ""), """")"),"")</f>
        <v/>
      </c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</row>
    <row r="972">
      <c r="A972" s="20"/>
      <c r="B972" s="20"/>
      <c r="C972" s="20"/>
      <c r="D972" s="20"/>
      <c r="E972" s="20"/>
      <c r="F972" s="21"/>
      <c r="G972" s="20"/>
      <c r="H972" s="20"/>
      <c r="I972" s="20"/>
      <c r="J972" s="20"/>
      <c r="K972" s="20"/>
      <c r="L972" s="21"/>
      <c r="M972" s="33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4" t="str">
        <f>IFERROR(__xludf.DUMMYFUNCTION("IF(Account!$F972&lt;&gt;"""", VALUE(REGEXREPLACE($I972, ""\,"", ""."")), """")"),"")</f>
        <v/>
      </c>
      <c r="O972" s="35" t="str">
        <f>IF(Account!$F972&lt;&gt;"", DATEVALUE(MID($A972,4,3) &amp; LEFT($A972,3) &amp; RIGHT($A972,4)) + TIMEVALUE($B972), "")</f>
        <v/>
      </c>
      <c r="P972" s="36" t="str">
        <f>IF(Account!$F972&lt;&gt;"", DATEVALUE(MID($C972,4,3) &amp; LEFT($C972,3) &amp; RIGHT($C972,4)), "")</f>
        <v/>
      </c>
      <c r="Q972" s="37" t="str">
        <f t="array" ref="Q972">IF($R972&lt;&gt;"",IFERROR(INDEX(ISIN!$B:$B,MATCH($R972,ISIN!$C:$C,0))),)</f>
        <v/>
      </c>
      <c r="R972" s="38" t="str">
        <f t="array" ref="R972">IF($E972&lt;&gt;""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7" t="str">
        <f t="shared" si="1"/>
        <v/>
      </c>
      <c r="T972" s="39" t="str">
        <f t="shared" si="2"/>
        <v/>
      </c>
      <c r="U972" s="40" t="str">
        <f t="shared" si="3"/>
        <v/>
      </c>
      <c r="V972" s="34" t="str">
        <f t="shared" si="4"/>
        <v/>
      </c>
      <c r="W972" s="41" t="str">
        <f>IFERROR(__xludf.DUMMYFUNCTION(" IF(Account!$F972&lt;&gt;"""", SPLIT(Account!$F972, "" ""), """")"),"")</f>
        <v/>
      </c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</row>
    <row r="973">
      <c r="A973" s="20"/>
      <c r="B973" s="20"/>
      <c r="C973" s="20"/>
      <c r="D973" s="20"/>
      <c r="E973" s="20"/>
      <c r="F973" s="21"/>
      <c r="G973" s="45"/>
      <c r="H973" s="20"/>
      <c r="I973" s="20"/>
      <c r="J973" s="20"/>
      <c r="K973" s="20"/>
      <c r="L973" s="21"/>
      <c r="M973" s="33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4" t="str">
        <f>IFERROR(__xludf.DUMMYFUNCTION("IF(Account!$F973&lt;&gt;"""", VALUE(REGEXREPLACE($I973, ""\,"", ""."")), """")"),"")</f>
        <v/>
      </c>
      <c r="O973" s="35" t="str">
        <f>IF(Account!$F973&lt;&gt;"", DATEVALUE(MID($A973,4,3) &amp; LEFT($A973,3) &amp; RIGHT($A973,4)) + TIMEVALUE($B973), "")</f>
        <v/>
      </c>
      <c r="P973" s="36" t="str">
        <f>IF(Account!$F973&lt;&gt;"", DATEVALUE(MID($C973,4,3) &amp; LEFT($C973,3) &amp; RIGHT($C973,4)), "")</f>
        <v/>
      </c>
      <c r="Q973" s="37" t="str">
        <f t="array" ref="Q973">IF($R973&lt;&gt;"",IFERROR(INDEX(ISIN!$B:$B,MATCH($R973,ISIN!$C:$C,0))),)</f>
        <v/>
      </c>
      <c r="R973" s="38" t="str">
        <f t="array" ref="R973">IF($E973&lt;&gt;""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7" t="str">
        <f t="shared" si="1"/>
        <v/>
      </c>
      <c r="T973" s="39" t="str">
        <f t="shared" si="2"/>
        <v/>
      </c>
      <c r="U973" s="40" t="str">
        <f t="shared" si="3"/>
        <v/>
      </c>
      <c r="V973" s="34" t="str">
        <f t="shared" si="4"/>
        <v/>
      </c>
      <c r="W973" s="41" t="str">
        <f>IFERROR(__xludf.DUMMYFUNCTION(" IF(Account!$F973&lt;&gt;"""", SPLIT(Account!$F973, "" ""), """")"),"")</f>
        <v/>
      </c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</row>
    <row r="974">
      <c r="A974" s="20"/>
      <c r="B974" s="20"/>
      <c r="C974" s="20"/>
      <c r="D974" s="20"/>
      <c r="E974" s="20"/>
      <c r="F974" s="21"/>
      <c r="G974" s="20"/>
      <c r="H974" s="20"/>
      <c r="I974" s="20"/>
      <c r="J974" s="20"/>
      <c r="K974" s="20"/>
      <c r="L974" s="21"/>
      <c r="M974" s="33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4" t="str">
        <f>IFERROR(__xludf.DUMMYFUNCTION("IF(Account!$F974&lt;&gt;"""", VALUE(REGEXREPLACE($I974, ""\,"", ""."")), """")"),"")</f>
        <v/>
      </c>
      <c r="O974" s="35" t="str">
        <f>IF(Account!$F974&lt;&gt;"", DATEVALUE(MID($A974,4,3) &amp; LEFT($A974,3) &amp; RIGHT($A974,4)) + TIMEVALUE($B974), "")</f>
        <v/>
      </c>
      <c r="P974" s="36" t="str">
        <f>IF(Account!$F974&lt;&gt;"", DATEVALUE(MID($C974,4,3) &amp; LEFT($C974,3) &amp; RIGHT($C974,4)), "")</f>
        <v/>
      </c>
      <c r="Q974" s="37" t="str">
        <f t="array" ref="Q974">IF($R974&lt;&gt;"",IFERROR(INDEX(ISIN!$B:$B,MATCH($R974,ISIN!$C:$C,0))),)</f>
        <v/>
      </c>
      <c r="R974" s="38" t="str">
        <f t="array" ref="R974">IF($E974&lt;&gt;""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7" t="str">
        <f t="shared" si="1"/>
        <v/>
      </c>
      <c r="T974" s="39" t="str">
        <f t="shared" si="2"/>
        <v/>
      </c>
      <c r="U974" s="40" t="str">
        <f t="shared" si="3"/>
        <v/>
      </c>
      <c r="V974" s="34" t="str">
        <f t="shared" si="4"/>
        <v/>
      </c>
      <c r="W974" s="41" t="str">
        <f>IFERROR(__xludf.DUMMYFUNCTION(" IF(Account!$F974&lt;&gt;"""", SPLIT(Account!$F974, "" ""), """")"),"")</f>
        <v/>
      </c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</row>
    <row r="975">
      <c r="A975" s="20"/>
      <c r="B975" s="20"/>
      <c r="C975" s="20"/>
      <c r="D975" s="20"/>
      <c r="E975" s="20"/>
      <c r="F975" s="21"/>
      <c r="G975" s="45"/>
      <c r="H975" s="20"/>
      <c r="I975" s="20"/>
      <c r="J975" s="20"/>
      <c r="K975" s="20"/>
      <c r="L975" s="21"/>
      <c r="M975" s="33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4" t="str">
        <f>IFERROR(__xludf.DUMMYFUNCTION("IF(Account!$F975&lt;&gt;"""", VALUE(REGEXREPLACE($I975, ""\,"", ""."")), """")"),"")</f>
        <v/>
      </c>
      <c r="O975" s="35" t="str">
        <f>IF(Account!$F975&lt;&gt;"", DATEVALUE(MID($A975,4,3) &amp; LEFT($A975,3) &amp; RIGHT($A975,4)) + TIMEVALUE($B975), "")</f>
        <v/>
      </c>
      <c r="P975" s="36" t="str">
        <f>IF(Account!$F975&lt;&gt;"", DATEVALUE(MID($C975,4,3) &amp; LEFT($C975,3) &amp; RIGHT($C975,4)), "")</f>
        <v/>
      </c>
      <c r="Q975" s="37" t="str">
        <f t="array" ref="Q975">IF($R975&lt;&gt;"",IFERROR(INDEX(ISIN!$B:$B,MATCH($R975,ISIN!$C:$C,0))),)</f>
        <v/>
      </c>
      <c r="R975" s="38" t="str">
        <f t="array" ref="R975">IF($E975&lt;&gt;""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7" t="str">
        <f t="shared" si="1"/>
        <v/>
      </c>
      <c r="T975" s="39" t="str">
        <f t="shared" si="2"/>
        <v/>
      </c>
      <c r="U975" s="40" t="str">
        <f t="shared" si="3"/>
        <v/>
      </c>
      <c r="V975" s="34" t="str">
        <f t="shared" si="4"/>
        <v/>
      </c>
      <c r="W975" s="41" t="str">
        <f>IFERROR(__xludf.DUMMYFUNCTION(" IF(Account!$F975&lt;&gt;"""", SPLIT(Account!$F975, "" ""), """")"),"")</f>
        <v/>
      </c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</row>
    <row r="976">
      <c r="A976" s="20"/>
      <c r="B976" s="20"/>
      <c r="C976" s="20"/>
      <c r="D976" s="20"/>
      <c r="E976" s="20"/>
      <c r="F976" s="21"/>
      <c r="G976" s="20"/>
      <c r="H976" s="20"/>
      <c r="I976" s="20"/>
      <c r="J976" s="20"/>
      <c r="K976" s="20"/>
      <c r="L976" s="21"/>
      <c r="M976" s="33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4" t="str">
        <f>IFERROR(__xludf.DUMMYFUNCTION("IF(Account!$F976&lt;&gt;"""", VALUE(REGEXREPLACE($I976, ""\,"", ""."")), """")"),"")</f>
        <v/>
      </c>
      <c r="O976" s="35" t="str">
        <f>IF(Account!$F976&lt;&gt;"", DATEVALUE(MID($A976,4,3) &amp; LEFT($A976,3) &amp; RIGHT($A976,4)) + TIMEVALUE($B976), "")</f>
        <v/>
      </c>
      <c r="P976" s="36" t="str">
        <f>IF(Account!$F976&lt;&gt;"", DATEVALUE(MID($C976,4,3) &amp; LEFT($C976,3) &amp; RIGHT($C976,4)), "")</f>
        <v/>
      </c>
      <c r="Q976" s="37" t="str">
        <f t="array" ref="Q976">IF($R976&lt;&gt;"",IFERROR(INDEX(ISIN!$B:$B,MATCH($R976,ISIN!$C:$C,0))),)</f>
        <v/>
      </c>
      <c r="R976" s="38" t="str">
        <f t="array" ref="R976">IF($E976&lt;&gt;""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7" t="str">
        <f t="shared" si="1"/>
        <v/>
      </c>
      <c r="T976" s="39" t="str">
        <f t="shared" si="2"/>
        <v/>
      </c>
      <c r="U976" s="40" t="str">
        <f t="shared" si="3"/>
        <v/>
      </c>
      <c r="V976" s="34" t="str">
        <f t="shared" si="4"/>
        <v/>
      </c>
      <c r="W976" s="41" t="str">
        <f>IFERROR(__xludf.DUMMYFUNCTION(" IF(Account!$F976&lt;&gt;"""", SPLIT(Account!$F976, "" ""), """")"),"")</f>
        <v/>
      </c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</row>
    <row r="977">
      <c r="A977" s="20"/>
      <c r="B977" s="20"/>
      <c r="C977" s="20"/>
      <c r="D977" s="20"/>
      <c r="E977" s="20"/>
      <c r="F977" s="21"/>
      <c r="G977" s="45"/>
      <c r="H977" s="20"/>
      <c r="I977" s="20"/>
      <c r="J977" s="20"/>
      <c r="K977" s="20"/>
      <c r="L977" s="21"/>
      <c r="M977" s="33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4" t="str">
        <f>IFERROR(__xludf.DUMMYFUNCTION("IF(Account!$F977&lt;&gt;"""", VALUE(REGEXREPLACE($I977, ""\,"", ""."")), """")"),"")</f>
        <v/>
      </c>
      <c r="O977" s="35" t="str">
        <f>IF(Account!$F977&lt;&gt;"", DATEVALUE(MID($A977,4,3) &amp; LEFT($A977,3) &amp; RIGHT($A977,4)) + TIMEVALUE($B977), "")</f>
        <v/>
      </c>
      <c r="P977" s="36" t="str">
        <f>IF(Account!$F977&lt;&gt;"", DATEVALUE(MID($C977,4,3) &amp; LEFT($C977,3) &amp; RIGHT($C977,4)), "")</f>
        <v/>
      </c>
      <c r="Q977" s="37" t="str">
        <f t="array" ref="Q977">IF($R977&lt;&gt;"",IFERROR(INDEX(ISIN!$B:$B,MATCH($R977,ISIN!$C:$C,0))),)</f>
        <v/>
      </c>
      <c r="R977" s="38" t="str">
        <f t="array" ref="R977">IF($E977&lt;&gt;""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7" t="str">
        <f t="shared" si="1"/>
        <v/>
      </c>
      <c r="T977" s="39" t="str">
        <f t="shared" si="2"/>
        <v/>
      </c>
      <c r="U977" s="40" t="str">
        <f t="shared" si="3"/>
        <v/>
      </c>
      <c r="V977" s="34" t="str">
        <f t="shared" si="4"/>
        <v/>
      </c>
      <c r="W977" s="41" t="str">
        <f>IFERROR(__xludf.DUMMYFUNCTION(" IF(Account!$F977&lt;&gt;"""", SPLIT(Account!$F977, "" ""), """")"),"")</f>
        <v/>
      </c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</row>
    <row r="978">
      <c r="A978" s="20"/>
      <c r="B978" s="20"/>
      <c r="C978" s="20"/>
      <c r="D978" s="20"/>
      <c r="E978" s="20"/>
      <c r="F978" s="21"/>
      <c r="G978" s="20"/>
      <c r="H978" s="20"/>
      <c r="I978" s="20"/>
      <c r="J978" s="20"/>
      <c r="K978" s="20"/>
      <c r="L978" s="21"/>
      <c r="M978" s="33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4" t="str">
        <f>IFERROR(__xludf.DUMMYFUNCTION("IF(Account!$F978&lt;&gt;"""", VALUE(REGEXREPLACE($I978, ""\,"", ""."")), """")"),"")</f>
        <v/>
      </c>
      <c r="O978" s="35" t="str">
        <f>IF(Account!$F978&lt;&gt;"", DATEVALUE(MID($A978,4,3) &amp; LEFT($A978,3) &amp; RIGHT($A978,4)) + TIMEVALUE($B978), "")</f>
        <v/>
      </c>
      <c r="P978" s="36" t="str">
        <f>IF(Account!$F978&lt;&gt;"", DATEVALUE(MID($C978,4,3) &amp; LEFT($C978,3) &amp; RIGHT($C978,4)), "")</f>
        <v/>
      </c>
      <c r="Q978" s="37" t="str">
        <f t="array" ref="Q978">IF($R978&lt;&gt;"",IFERROR(INDEX(ISIN!$B:$B,MATCH($R978,ISIN!$C:$C,0))),)</f>
        <v/>
      </c>
      <c r="R978" s="38" t="str">
        <f t="array" ref="R978">IF($E978&lt;&gt;""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7" t="str">
        <f t="shared" si="1"/>
        <v/>
      </c>
      <c r="T978" s="39" t="str">
        <f t="shared" si="2"/>
        <v/>
      </c>
      <c r="U978" s="40" t="str">
        <f t="shared" si="3"/>
        <v/>
      </c>
      <c r="V978" s="34" t="str">
        <f t="shared" si="4"/>
        <v/>
      </c>
      <c r="W978" s="41" t="str">
        <f>IFERROR(__xludf.DUMMYFUNCTION(" IF(Account!$F978&lt;&gt;"""", SPLIT(Account!$F978, "" ""), """")"),"")</f>
        <v/>
      </c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</row>
    <row r="979">
      <c r="A979" s="45"/>
      <c r="B979" s="45"/>
      <c r="C979" s="45"/>
      <c r="D979" s="45"/>
      <c r="E979" s="45"/>
      <c r="F979" s="46"/>
      <c r="G979" s="45"/>
      <c r="H979" s="45"/>
      <c r="I979" s="45"/>
      <c r="J979" s="45"/>
      <c r="K979" s="45"/>
      <c r="L979" s="21"/>
      <c r="M979" s="33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4" t="str">
        <f>IFERROR(__xludf.DUMMYFUNCTION("IF(Account!$F979&lt;&gt;"""", VALUE(REGEXREPLACE($I979, ""\,"", ""."")), """")"),"")</f>
        <v/>
      </c>
      <c r="O979" s="35" t="str">
        <f>IF(Account!$F979&lt;&gt;"", DATEVALUE(MID($A979,4,3) &amp; LEFT($A979,3) &amp; RIGHT($A979,4)) + TIMEVALUE($B979), "")</f>
        <v/>
      </c>
      <c r="P979" s="36" t="str">
        <f>IF(Account!$F979&lt;&gt;"", DATEVALUE(MID($C979,4,3) &amp; LEFT($C979,3) &amp; RIGHT($C979,4)), "")</f>
        <v/>
      </c>
      <c r="Q979" s="37" t="str">
        <f t="array" ref="Q979">IF($R979&lt;&gt;"",IFERROR(INDEX(ISIN!$B:$B,MATCH($R979,ISIN!$C:$C,0))),)</f>
        <v/>
      </c>
      <c r="R979" s="38" t="str">
        <f t="array" ref="R979">IF($E979&lt;&gt;""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7" t="str">
        <f t="shared" si="1"/>
        <v/>
      </c>
      <c r="T979" s="39" t="str">
        <f t="shared" si="2"/>
        <v/>
      </c>
      <c r="U979" s="40" t="str">
        <f t="shared" si="3"/>
        <v/>
      </c>
      <c r="V979" s="34" t="str">
        <f t="shared" si="4"/>
        <v/>
      </c>
      <c r="W979" s="41" t="str">
        <f>IFERROR(__xludf.DUMMYFUNCTION(" IF(Account!$F979&lt;&gt;"""", SPLIT(Account!$F979, "" ""), """")"),"")</f>
        <v/>
      </c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</row>
    <row r="980">
      <c r="A980" s="20"/>
      <c r="B980" s="20"/>
      <c r="C980" s="20"/>
      <c r="D980" s="20"/>
      <c r="E980" s="20"/>
      <c r="F980" s="21"/>
      <c r="G980" s="45"/>
      <c r="H980" s="20"/>
      <c r="I980" s="20"/>
      <c r="J980" s="20"/>
      <c r="K980" s="20"/>
      <c r="L980" s="21"/>
      <c r="M980" s="33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4" t="str">
        <f>IFERROR(__xludf.DUMMYFUNCTION("IF(Account!$F980&lt;&gt;"""", VALUE(REGEXREPLACE($I980, ""\,"", ""."")), """")"),"")</f>
        <v/>
      </c>
      <c r="O980" s="35" t="str">
        <f>IF(Account!$F980&lt;&gt;"", DATEVALUE(MID($A980,4,3) &amp; LEFT($A980,3) &amp; RIGHT($A980,4)) + TIMEVALUE($B980), "")</f>
        <v/>
      </c>
      <c r="P980" s="36" t="str">
        <f>IF(Account!$F980&lt;&gt;"", DATEVALUE(MID($C980,4,3) &amp; LEFT($C980,3) &amp; RIGHT($C980,4)), "")</f>
        <v/>
      </c>
      <c r="Q980" s="37" t="str">
        <f t="array" ref="Q980">IF($R980&lt;&gt;"",IFERROR(INDEX(ISIN!$B:$B,MATCH($R980,ISIN!$C:$C,0))),)</f>
        <v/>
      </c>
      <c r="R980" s="38" t="str">
        <f t="array" ref="R980">IF($E980&lt;&gt;""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7" t="str">
        <f t="shared" si="1"/>
        <v/>
      </c>
      <c r="T980" s="39" t="str">
        <f t="shared" si="2"/>
        <v/>
      </c>
      <c r="U980" s="40" t="str">
        <f t="shared" si="3"/>
        <v/>
      </c>
      <c r="V980" s="34" t="str">
        <f t="shared" si="4"/>
        <v/>
      </c>
      <c r="W980" s="41" t="str">
        <f>IFERROR(__xludf.DUMMYFUNCTION(" IF(Account!$F980&lt;&gt;"""", SPLIT(Account!$F980, "" ""), """")"),"")</f>
        <v/>
      </c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</row>
    <row r="981">
      <c r="A981" s="20"/>
      <c r="B981" s="20"/>
      <c r="C981" s="20"/>
      <c r="D981" s="20"/>
      <c r="E981" s="20"/>
      <c r="F981" s="21"/>
      <c r="G981" s="20"/>
      <c r="H981" s="20"/>
      <c r="I981" s="20"/>
      <c r="J981" s="20"/>
      <c r="K981" s="20"/>
      <c r="L981" s="21"/>
      <c r="M981" s="33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4" t="str">
        <f>IFERROR(__xludf.DUMMYFUNCTION("IF(Account!$F981&lt;&gt;"""", VALUE(REGEXREPLACE($I981, ""\,"", ""."")), """")"),"")</f>
        <v/>
      </c>
      <c r="O981" s="35" t="str">
        <f>IF(Account!$F981&lt;&gt;"", DATEVALUE(MID($A981,4,3) &amp; LEFT($A981,3) &amp; RIGHT($A981,4)) + TIMEVALUE($B981), "")</f>
        <v/>
      </c>
      <c r="P981" s="36" t="str">
        <f>IF(Account!$F981&lt;&gt;"", DATEVALUE(MID($C981,4,3) &amp; LEFT($C981,3) &amp; RIGHT($C981,4)), "")</f>
        <v/>
      </c>
      <c r="Q981" s="37" t="str">
        <f t="array" ref="Q981">IF($R981&lt;&gt;"",IFERROR(INDEX(ISIN!$B:$B,MATCH($R981,ISIN!$C:$C,0))),)</f>
        <v/>
      </c>
      <c r="R981" s="38" t="str">
        <f t="array" ref="R981">IF($E981&lt;&gt;""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7" t="str">
        <f t="shared" si="1"/>
        <v/>
      </c>
      <c r="T981" s="39" t="str">
        <f t="shared" si="2"/>
        <v/>
      </c>
      <c r="U981" s="40" t="str">
        <f t="shared" si="3"/>
        <v/>
      </c>
      <c r="V981" s="34" t="str">
        <f t="shared" si="4"/>
        <v/>
      </c>
      <c r="W981" s="41" t="str">
        <f>IFERROR(__xludf.DUMMYFUNCTION(" IF(Account!$F981&lt;&gt;"""", SPLIT(Account!$F981, "" ""), """")"),"")</f>
        <v/>
      </c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</row>
    <row r="982">
      <c r="A982" s="20"/>
      <c r="B982" s="20"/>
      <c r="C982" s="20"/>
      <c r="D982" s="20"/>
      <c r="E982" s="20"/>
      <c r="F982" s="21"/>
      <c r="G982" s="45"/>
      <c r="H982" s="20"/>
      <c r="I982" s="20"/>
      <c r="J982" s="20"/>
      <c r="K982" s="20"/>
      <c r="L982" s="21"/>
      <c r="M982" s="33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4" t="str">
        <f>IFERROR(__xludf.DUMMYFUNCTION("IF(Account!$F982&lt;&gt;"""", VALUE(REGEXREPLACE($I982, ""\,"", ""."")), """")"),"")</f>
        <v/>
      </c>
      <c r="O982" s="35" t="str">
        <f>IF(Account!$F982&lt;&gt;"", DATEVALUE(MID($A982,4,3) &amp; LEFT($A982,3) &amp; RIGHT($A982,4)) + TIMEVALUE($B982), "")</f>
        <v/>
      </c>
      <c r="P982" s="36" t="str">
        <f>IF(Account!$F982&lt;&gt;"", DATEVALUE(MID($C982,4,3) &amp; LEFT($C982,3) &amp; RIGHT($C982,4)), "")</f>
        <v/>
      </c>
      <c r="Q982" s="37" t="str">
        <f t="array" ref="Q982">IF($R982&lt;&gt;"",IFERROR(INDEX(ISIN!$B:$B,MATCH($R982,ISIN!$C:$C,0))),)</f>
        <v/>
      </c>
      <c r="R982" s="38" t="str">
        <f t="array" ref="R982">IF($E982&lt;&gt;""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7" t="str">
        <f t="shared" si="1"/>
        <v/>
      </c>
      <c r="T982" s="39" t="str">
        <f t="shared" si="2"/>
        <v/>
      </c>
      <c r="U982" s="40" t="str">
        <f t="shared" si="3"/>
        <v/>
      </c>
      <c r="V982" s="34" t="str">
        <f t="shared" si="4"/>
        <v/>
      </c>
      <c r="W982" s="41" t="str">
        <f>IFERROR(__xludf.DUMMYFUNCTION(" IF(Account!$F982&lt;&gt;"""", SPLIT(Account!$F982, "" ""), """")"),"")</f>
        <v/>
      </c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</row>
    <row r="983">
      <c r="A983" s="20"/>
      <c r="B983" s="20"/>
      <c r="C983" s="20"/>
      <c r="D983" s="20"/>
      <c r="E983" s="20"/>
      <c r="F983" s="21"/>
      <c r="G983" s="45"/>
      <c r="H983" s="20"/>
      <c r="I983" s="20"/>
      <c r="J983" s="20"/>
      <c r="K983" s="20"/>
      <c r="L983" s="21"/>
      <c r="M983" s="33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4" t="str">
        <f>IFERROR(__xludf.DUMMYFUNCTION("IF(Account!$F983&lt;&gt;"""", VALUE(REGEXREPLACE($I983, ""\,"", ""."")), """")"),"")</f>
        <v/>
      </c>
      <c r="O983" s="35" t="str">
        <f>IF(Account!$F983&lt;&gt;"", DATEVALUE(MID($A983,4,3) &amp; LEFT($A983,3) &amp; RIGHT($A983,4)) + TIMEVALUE($B983), "")</f>
        <v/>
      </c>
      <c r="P983" s="36" t="str">
        <f>IF(Account!$F983&lt;&gt;"", DATEVALUE(MID($C983,4,3) &amp; LEFT($C983,3) &amp; RIGHT($C983,4)), "")</f>
        <v/>
      </c>
      <c r="Q983" s="37" t="str">
        <f t="array" ref="Q983">IF($R983&lt;&gt;"",IFERROR(INDEX(ISIN!$B:$B,MATCH($R983,ISIN!$C:$C,0))),)</f>
        <v/>
      </c>
      <c r="R983" s="38" t="str">
        <f t="array" ref="R983">IF($E983&lt;&gt;""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7" t="str">
        <f t="shared" si="1"/>
        <v/>
      </c>
      <c r="T983" s="39" t="str">
        <f t="shared" si="2"/>
        <v/>
      </c>
      <c r="U983" s="40" t="str">
        <f t="shared" si="3"/>
        <v/>
      </c>
      <c r="V983" s="34" t="str">
        <f t="shared" si="4"/>
        <v/>
      </c>
      <c r="W983" s="41" t="str">
        <f>IFERROR(__xludf.DUMMYFUNCTION(" IF(Account!$F983&lt;&gt;"""", SPLIT(Account!$F983, "" ""), """")"),"")</f>
        <v/>
      </c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</row>
    <row r="984">
      <c r="A984" s="20"/>
      <c r="B984" s="20"/>
      <c r="C984" s="20"/>
      <c r="D984" s="20"/>
      <c r="E984" s="20"/>
      <c r="F984" s="21"/>
      <c r="G984" s="45"/>
      <c r="H984" s="20"/>
      <c r="I984" s="20"/>
      <c r="J984" s="20"/>
      <c r="K984" s="20"/>
      <c r="L984" s="21"/>
      <c r="M984" s="33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4" t="str">
        <f>IFERROR(__xludf.DUMMYFUNCTION("IF(Account!$F984&lt;&gt;"""", VALUE(REGEXREPLACE($I984, ""\,"", ""."")), """")"),"")</f>
        <v/>
      </c>
      <c r="O984" s="35" t="str">
        <f>IF(Account!$F984&lt;&gt;"", DATEVALUE(MID($A984,4,3) &amp; LEFT($A984,3) &amp; RIGHT($A984,4)) + TIMEVALUE($B984), "")</f>
        <v/>
      </c>
      <c r="P984" s="36" t="str">
        <f>IF(Account!$F984&lt;&gt;"", DATEVALUE(MID($C984,4,3) &amp; LEFT($C984,3) &amp; RIGHT($C984,4)), "")</f>
        <v/>
      </c>
      <c r="Q984" s="37" t="str">
        <f t="array" ref="Q984">IF($R984&lt;&gt;"",IFERROR(INDEX(ISIN!$B:$B,MATCH($R984,ISIN!$C:$C,0))),)</f>
        <v/>
      </c>
      <c r="R984" s="38" t="str">
        <f t="array" ref="R984">IF($E984&lt;&gt;""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7" t="str">
        <f t="shared" si="1"/>
        <v/>
      </c>
      <c r="T984" s="39" t="str">
        <f t="shared" si="2"/>
        <v/>
      </c>
      <c r="U984" s="40" t="str">
        <f t="shared" si="3"/>
        <v/>
      </c>
      <c r="V984" s="34" t="str">
        <f t="shared" si="4"/>
        <v/>
      </c>
      <c r="W984" s="41" t="str">
        <f>IFERROR(__xludf.DUMMYFUNCTION(" IF(Account!$F984&lt;&gt;"""", SPLIT(Account!$F984, "" ""), """")"),"")</f>
        <v/>
      </c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</row>
    <row r="985">
      <c r="A985" s="20"/>
      <c r="B985" s="20"/>
      <c r="C985" s="20"/>
      <c r="D985" s="20"/>
      <c r="E985" s="20"/>
      <c r="F985" s="21"/>
      <c r="G985" s="45"/>
      <c r="H985" s="20"/>
      <c r="I985" s="20"/>
      <c r="J985" s="20"/>
      <c r="K985" s="20"/>
      <c r="L985" s="21"/>
      <c r="M985" s="33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4" t="str">
        <f>IFERROR(__xludf.DUMMYFUNCTION("IF(Account!$F985&lt;&gt;"""", VALUE(REGEXREPLACE($I985, ""\,"", ""."")), """")"),"")</f>
        <v/>
      </c>
      <c r="O985" s="35" t="str">
        <f>IF(Account!$F985&lt;&gt;"", DATEVALUE(MID($A985,4,3) &amp; LEFT($A985,3) &amp; RIGHT($A985,4)) + TIMEVALUE($B985), "")</f>
        <v/>
      </c>
      <c r="P985" s="36" t="str">
        <f>IF(Account!$F985&lt;&gt;"", DATEVALUE(MID($C985,4,3) &amp; LEFT($C985,3) &amp; RIGHT($C985,4)), "")</f>
        <v/>
      </c>
      <c r="Q985" s="37" t="str">
        <f t="array" ref="Q985">IF($R985&lt;&gt;"",IFERROR(INDEX(ISIN!$B:$B,MATCH($R985,ISIN!$C:$C,0))),)</f>
        <v/>
      </c>
      <c r="R985" s="38" t="str">
        <f t="array" ref="R985">IF($E985&lt;&gt;""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7" t="str">
        <f t="shared" si="1"/>
        <v/>
      </c>
      <c r="T985" s="39" t="str">
        <f t="shared" si="2"/>
        <v/>
      </c>
      <c r="U985" s="40" t="str">
        <f t="shared" si="3"/>
        <v/>
      </c>
      <c r="V985" s="34" t="str">
        <f t="shared" si="4"/>
        <v/>
      </c>
      <c r="W985" s="41" t="str">
        <f>IFERROR(__xludf.DUMMYFUNCTION(" IF(Account!$F985&lt;&gt;"""", SPLIT(Account!$F985, "" ""), """")"),"")</f>
        <v/>
      </c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</row>
    <row r="986">
      <c r="A986" s="20"/>
      <c r="B986" s="20"/>
      <c r="C986" s="20"/>
      <c r="D986" s="20"/>
      <c r="E986" s="20"/>
      <c r="F986" s="21"/>
      <c r="G986" s="45"/>
      <c r="H986" s="20"/>
      <c r="I986" s="20"/>
      <c r="J986" s="20"/>
      <c r="K986" s="20"/>
      <c r="L986" s="21"/>
      <c r="M986" s="33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4" t="str">
        <f>IFERROR(__xludf.DUMMYFUNCTION("IF(Account!$F986&lt;&gt;"""", VALUE(REGEXREPLACE($I986, ""\,"", ""."")), """")"),"")</f>
        <v/>
      </c>
      <c r="O986" s="35" t="str">
        <f>IF(Account!$F986&lt;&gt;"", DATEVALUE(MID($A986,4,3) &amp; LEFT($A986,3) &amp; RIGHT($A986,4)) + TIMEVALUE($B986), "")</f>
        <v/>
      </c>
      <c r="P986" s="36" t="str">
        <f>IF(Account!$F986&lt;&gt;"", DATEVALUE(MID($C986,4,3) &amp; LEFT($C986,3) &amp; RIGHT($C986,4)), "")</f>
        <v/>
      </c>
      <c r="Q986" s="37" t="str">
        <f t="array" ref="Q986">IF($R986&lt;&gt;"",IFERROR(INDEX(ISIN!$B:$B,MATCH($R986,ISIN!$C:$C,0))),)</f>
        <v/>
      </c>
      <c r="R986" s="38" t="str">
        <f t="array" ref="R986">IF($E986&lt;&gt;""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7" t="str">
        <f t="shared" si="1"/>
        <v/>
      </c>
      <c r="T986" s="39" t="str">
        <f t="shared" si="2"/>
        <v/>
      </c>
      <c r="U986" s="40" t="str">
        <f t="shared" si="3"/>
        <v/>
      </c>
      <c r="V986" s="34" t="str">
        <f t="shared" si="4"/>
        <v/>
      </c>
      <c r="W986" s="41" t="str">
        <f>IFERROR(__xludf.DUMMYFUNCTION(" IF(Account!$F986&lt;&gt;"""", SPLIT(Account!$F986, "" ""), """")"),"")</f>
        <v/>
      </c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</row>
    <row r="987">
      <c r="A987" s="20"/>
      <c r="B987" s="20"/>
      <c r="C987" s="20"/>
      <c r="D987" s="20"/>
      <c r="E987" s="20"/>
      <c r="F987" s="21"/>
      <c r="G987" s="45"/>
      <c r="H987" s="20"/>
      <c r="I987" s="20"/>
      <c r="J987" s="20"/>
      <c r="K987" s="20"/>
      <c r="L987" s="21"/>
      <c r="M987" s="33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4" t="str">
        <f>IFERROR(__xludf.DUMMYFUNCTION("IF(Account!$F987&lt;&gt;"""", VALUE(REGEXREPLACE($I987, ""\,"", ""."")), """")"),"")</f>
        <v/>
      </c>
      <c r="O987" s="35" t="str">
        <f>IF(Account!$F987&lt;&gt;"", DATEVALUE(MID($A987,4,3) &amp; LEFT($A987,3) &amp; RIGHT($A987,4)) + TIMEVALUE($B987), "")</f>
        <v/>
      </c>
      <c r="P987" s="36" t="str">
        <f>IF(Account!$F987&lt;&gt;"", DATEVALUE(MID($C987,4,3) &amp; LEFT($C987,3) &amp; RIGHT($C987,4)), "")</f>
        <v/>
      </c>
      <c r="Q987" s="37" t="str">
        <f t="array" ref="Q987">IF($R987&lt;&gt;"",IFERROR(INDEX(ISIN!$B:$B,MATCH($R987,ISIN!$C:$C,0))),)</f>
        <v/>
      </c>
      <c r="R987" s="38" t="str">
        <f t="array" ref="R987">IF($E987&lt;&gt;""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7" t="str">
        <f t="shared" si="1"/>
        <v/>
      </c>
      <c r="T987" s="39" t="str">
        <f t="shared" si="2"/>
        <v/>
      </c>
      <c r="U987" s="40" t="str">
        <f t="shared" si="3"/>
        <v/>
      </c>
      <c r="V987" s="34" t="str">
        <f t="shared" si="4"/>
        <v/>
      </c>
      <c r="W987" s="41" t="str">
        <f>IFERROR(__xludf.DUMMYFUNCTION(" IF(Account!$F987&lt;&gt;"""", SPLIT(Account!$F987, "" ""), """")"),"")</f>
        <v/>
      </c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</row>
    <row r="988">
      <c r="A988" s="20"/>
      <c r="B988" s="20"/>
      <c r="C988" s="20"/>
      <c r="D988" s="20"/>
      <c r="E988" s="20"/>
      <c r="F988" s="21"/>
      <c r="G988" s="45"/>
      <c r="H988" s="20"/>
      <c r="I988" s="20"/>
      <c r="J988" s="20"/>
      <c r="K988" s="20"/>
      <c r="L988" s="21"/>
      <c r="M988" s="33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4" t="str">
        <f>IFERROR(__xludf.DUMMYFUNCTION("IF(Account!$F988&lt;&gt;"""", VALUE(REGEXREPLACE($I988, ""\,"", ""."")), """")"),"")</f>
        <v/>
      </c>
      <c r="O988" s="35" t="str">
        <f>IF(Account!$F988&lt;&gt;"", DATEVALUE(MID($A988,4,3) &amp; LEFT($A988,3) &amp; RIGHT($A988,4)) + TIMEVALUE($B988), "")</f>
        <v/>
      </c>
      <c r="P988" s="36" t="str">
        <f>IF(Account!$F988&lt;&gt;"", DATEVALUE(MID($C988,4,3) &amp; LEFT($C988,3) &amp; RIGHT($C988,4)), "")</f>
        <v/>
      </c>
      <c r="Q988" s="37" t="str">
        <f t="array" ref="Q988">IF($R988&lt;&gt;"",IFERROR(INDEX(ISIN!$B:$B,MATCH($R988,ISIN!$C:$C,0))),)</f>
        <v/>
      </c>
      <c r="R988" s="38" t="str">
        <f t="array" ref="R988">IF($E988&lt;&gt;""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7" t="str">
        <f t="shared" si="1"/>
        <v/>
      </c>
      <c r="T988" s="39" t="str">
        <f t="shared" si="2"/>
        <v/>
      </c>
      <c r="U988" s="40" t="str">
        <f t="shared" si="3"/>
        <v/>
      </c>
      <c r="V988" s="34" t="str">
        <f t="shared" si="4"/>
        <v/>
      </c>
      <c r="W988" s="41" t="str">
        <f>IFERROR(__xludf.DUMMYFUNCTION(" IF(Account!$F988&lt;&gt;"""", SPLIT(Account!$F988, "" ""), """")"),"")</f>
        <v/>
      </c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</row>
    <row r="989">
      <c r="A989" s="20"/>
      <c r="B989" s="20"/>
      <c r="C989" s="20"/>
      <c r="D989" s="20"/>
      <c r="E989" s="20"/>
      <c r="F989" s="21"/>
      <c r="G989" s="20"/>
      <c r="H989" s="20"/>
      <c r="I989" s="20"/>
      <c r="J989" s="20"/>
      <c r="K989" s="20"/>
      <c r="L989" s="21"/>
      <c r="M989" s="33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4" t="str">
        <f>IFERROR(__xludf.DUMMYFUNCTION("IF(Account!$F989&lt;&gt;"""", VALUE(REGEXREPLACE($I989, ""\,"", ""."")), """")"),"")</f>
        <v/>
      </c>
      <c r="O989" s="35" t="str">
        <f>IF(Account!$F989&lt;&gt;"", DATEVALUE(MID($A989,4,3) &amp; LEFT($A989,3) &amp; RIGHT($A989,4)) + TIMEVALUE($B989), "")</f>
        <v/>
      </c>
      <c r="P989" s="36" t="str">
        <f>IF(Account!$F989&lt;&gt;"", DATEVALUE(MID($C989,4,3) &amp; LEFT($C989,3) &amp; RIGHT($C989,4)), "")</f>
        <v/>
      </c>
      <c r="Q989" s="37" t="str">
        <f t="array" ref="Q989">IF($R989&lt;&gt;"",IFERROR(INDEX(ISIN!$B:$B,MATCH($R989,ISIN!$C:$C,0))),)</f>
        <v/>
      </c>
      <c r="R989" s="38" t="str">
        <f t="array" ref="R989">IF($E989&lt;&gt;""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7" t="str">
        <f t="shared" si="1"/>
        <v/>
      </c>
      <c r="T989" s="39" t="str">
        <f t="shared" si="2"/>
        <v/>
      </c>
      <c r="U989" s="40" t="str">
        <f t="shared" si="3"/>
        <v/>
      </c>
      <c r="V989" s="34" t="str">
        <f t="shared" si="4"/>
        <v/>
      </c>
      <c r="W989" s="41" t="str">
        <f>IFERROR(__xludf.DUMMYFUNCTION(" IF(Account!$F989&lt;&gt;"""", SPLIT(Account!$F989, "" ""), """")"),"")</f>
        <v/>
      </c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</row>
    <row r="990">
      <c r="A990" s="20"/>
      <c r="B990" s="20"/>
      <c r="C990" s="20"/>
      <c r="D990" s="20"/>
      <c r="E990" s="20"/>
      <c r="F990" s="21"/>
      <c r="G990" s="45"/>
      <c r="H990" s="20"/>
      <c r="I990" s="20"/>
      <c r="J990" s="20"/>
      <c r="K990" s="20"/>
      <c r="L990" s="21"/>
      <c r="M990" s="33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4" t="str">
        <f>IFERROR(__xludf.DUMMYFUNCTION("IF(Account!$F990&lt;&gt;"""", VALUE(REGEXREPLACE($I990, ""\,"", ""."")), """")"),"")</f>
        <v/>
      </c>
      <c r="O990" s="35" t="str">
        <f>IF(Account!$F990&lt;&gt;"", DATEVALUE(MID($A990,4,3) &amp; LEFT($A990,3) &amp; RIGHT($A990,4)) + TIMEVALUE($B990), "")</f>
        <v/>
      </c>
      <c r="P990" s="36" t="str">
        <f>IF(Account!$F990&lt;&gt;"", DATEVALUE(MID($C990,4,3) &amp; LEFT($C990,3) &amp; RIGHT($C990,4)), "")</f>
        <v/>
      </c>
      <c r="Q990" s="37" t="str">
        <f t="array" ref="Q990">IF($R990&lt;&gt;"",IFERROR(INDEX(ISIN!$B:$B,MATCH($R990,ISIN!$C:$C,0))),)</f>
        <v/>
      </c>
      <c r="R990" s="38" t="str">
        <f t="array" ref="R990">IF($E990&lt;&gt;""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7" t="str">
        <f t="shared" si="1"/>
        <v/>
      </c>
      <c r="T990" s="39" t="str">
        <f t="shared" si="2"/>
        <v/>
      </c>
      <c r="U990" s="40" t="str">
        <f t="shared" si="3"/>
        <v/>
      </c>
      <c r="V990" s="34" t="str">
        <f t="shared" si="4"/>
        <v/>
      </c>
      <c r="W990" s="41" t="str">
        <f>IFERROR(__xludf.DUMMYFUNCTION(" IF(Account!$F990&lt;&gt;"""", SPLIT(Account!$F990, "" ""), """")"),"")</f>
        <v/>
      </c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</row>
    <row r="991">
      <c r="A991" s="20"/>
      <c r="B991" s="20"/>
      <c r="C991" s="20"/>
      <c r="D991" s="20"/>
      <c r="E991" s="20"/>
      <c r="F991" s="21"/>
      <c r="G991" s="20"/>
      <c r="H991" s="20"/>
      <c r="I991" s="20"/>
      <c r="J991" s="20"/>
      <c r="K991" s="20"/>
      <c r="L991" s="21"/>
      <c r="M991" s="33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4" t="str">
        <f>IFERROR(__xludf.DUMMYFUNCTION("IF(Account!$F991&lt;&gt;"""", VALUE(REGEXREPLACE($I991, ""\,"", ""."")), """")"),"")</f>
        <v/>
      </c>
      <c r="O991" s="35" t="str">
        <f>IF(Account!$F991&lt;&gt;"", DATEVALUE(MID($A991,4,3) &amp; LEFT($A991,3) &amp; RIGHT($A991,4)) + TIMEVALUE($B991), "")</f>
        <v/>
      </c>
      <c r="P991" s="36" t="str">
        <f>IF(Account!$F991&lt;&gt;"", DATEVALUE(MID($C991,4,3) &amp; LEFT($C991,3) &amp; RIGHT($C991,4)), "")</f>
        <v/>
      </c>
      <c r="Q991" s="37" t="str">
        <f t="array" ref="Q991">IF($R991&lt;&gt;"",IFERROR(INDEX(ISIN!$B:$B,MATCH($R991,ISIN!$C:$C,0))),)</f>
        <v/>
      </c>
      <c r="R991" s="38" t="str">
        <f t="array" ref="R991">IF($E991&lt;&gt;""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7" t="str">
        <f t="shared" si="1"/>
        <v/>
      </c>
      <c r="T991" s="39" t="str">
        <f t="shared" si="2"/>
        <v/>
      </c>
      <c r="U991" s="40" t="str">
        <f t="shared" si="3"/>
        <v/>
      </c>
      <c r="V991" s="34" t="str">
        <f t="shared" si="4"/>
        <v/>
      </c>
      <c r="W991" s="41" t="str">
        <f>IFERROR(__xludf.DUMMYFUNCTION(" IF(Account!$F991&lt;&gt;"""", SPLIT(Account!$F991, "" ""), """")"),"")</f>
        <v/>
      </c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</row>
    <row r="992">
      <c r="A992" s="20"/>
      <c r="B992" s="20"/>
      <c r="C992" s="20"/>
      <c r="D992" s="20"/>
      <c r="E992" s="20"/>
      <c r="F992" s="21"/>
      <c r="G992" s="45"/>
      <c r="H992" s="20"/>
      <c r="I992" s="20"/>
      <c r="J992" s="20"/>
      <c r="K992" s="20"/>
      <c r="L992" s="21"/>
      <c r="M992" s="33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4" t="str">
        <f>IFERROR(__xludf.DUMMYFUNCTION("IF(Account!$F992&lt;&gt;"""", VALUE(REGEXREPLACE($I992, ""\,"", ""."")), """")"),"")</f>
        <v/>
      </c>
      <c r="O992" s="35" t="str">
        <f>IF(Account!$F992&lt;&gt;"", DATEVALUE(MID($A992,4,3) &amp; LEFT($A992,3) &amp; RIGHT($A992,4)) + TIMEVALUE($B992), "")</f>
        <v/>
      </c>
      <c r="P992" s="36" t="str">
        <f>IF(Account!$F992&lt;&gt;"", DATEVALUE(MID($C992,4,3) &amp; LEFT($C992,3) &amp; RIGHT($C992,4)), "")</f>
        <v/>
      </c>
      <c r="Q992" s="37" t="str">
        <f t="array" ref="Q992">IF($R992&lt;&gt;"",IFERROR(INDEX(ISIN!$B:$B,MATCH($R992,ISIN!$C:$C,0))),)</f>
        <v/>
      </c>
      <c r="R992" s="38" t="str">
        <f t="array" ref="R992">IF($E992&lt;&gt;""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7" t="str">
        <f t="shared" si="1"/>
        <v/>
      </c>
      <c r="T992" s="39" t="str">
        <f t="shared" si="2"/>
        <v/>
      </c>
      <c r="U992" s="40" t="str">
        <f t="shared" si="3"/>
        <v/>
      </c>
      <c r="V992" s="34" t="str">
        <f t="shared" si="4"/>
        <v/>
      </c>
      <c r="W992" s="41" t="str">
        <f>IFERROR(__xludf.DUMMYFUNCTION(" IF(Account!$F992&lt;&gt;"""", SPLIT(Account!$F992, "" ""), """")"),"")</f>
        <v/>
      </c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</row>
    <row r="993">
      <c r="A993" s="20"/>
      <c r="B993" s="20"/>
      <c r="C993" s="20"/>
      <c r="D993" s="20"/>
      <c r="E993" s="20"/>
      <c r="F993" s="21"/>
      <c r="G993" s="20"/>
      <c r="H993" s="20"/>
      <c r="I993" s="20"/>
      <c r="J993" s="20"/>
      <c r="K993" s="20"/>
      <c r="L993" s="21"/>
      <c r="M993" s="33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4" t="str">
        <f>IFERROR(__xludf.DUMMYFUNCTION("IF(Account!$F993&lt;&gt;"""", VALUE(REGEXREPLACE($I993, ""\,"", ""."")), """")"),"")</f>
        <v/>
      </c>
      <c r="O993" s="35" t="str">
        <f>IF(Account!$F993&lt;&gt;"", DATEVALUE(MID($A993,4,3) &amp; LEFT($A993,3) &amp; RIGHT($A993,4)) + TIMEVALUE($B993), "")</f>
        <v/>
      </c>
      <c r="P993" s="36" t="str">
        <f>IF(Account!$F993&lt;&gt;"", DATEVALUE(MID($C993,4,3) &amp; LEFT($C993,3) &amp; RIGHT($C993,4)), "")</f>
        <v/>
      </c>
      <c r="Q993" s="37" t="str">
        <f t="array" ref="Q993">IF($R993&lt;&gt;"",IFERROR(INDEX(ISIN!$B:$B,MATCH($R993,ISIN!$C:$C,0))),)</f>
        <v/>
      </c>
      <c r="R993" s="38" t="str">
        <f t="array" ref="R993">IF($E993&lt;&gt;""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7" t="str">
        <f t="shared" si="1"/>
        <v/>
      </c>
      <c r="T993" s="39" t="str">
        <f t="shared" si="2"/>
        <v/>
      </c>
      <c r="U993" s="40" t="str">
        <f t="shared" si="3"/>
        <v/>
      </c>
      <c r="V993" s="34" t="str">
        <f t="shared" si="4"/>
        <v/>
      </c>
      <c r="W993" s="41" t="str">
        <f>IFERROR(__xludf.DUMMYFUNCTION(" IF(Account!$F993&lt;&gt;"""", SPLIT(Account!$F993, "" ""), """")"),"")</f>
        <v/>
      </c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</row>
    <row r="994">
      <c r="A994" s="20"/>
      <c r="B994" s="20"/>
      <c r="C994" s="20"/>
      <c r="D994" s="20"/>
      <c r="E994" s="20"/>
      <c r="F994" s="21"/>
      <c r="G994" s="45"/>
      <c r="H994" s="20"/>
      <c r="I994" s="20"/>
      <c r="J994" s="20"/>
      <c r="K994" s="20"/>
      <c r="L994" s="21"/>
      <c r="M994" s="33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4" t="str">
        <f>IFERROR(__xludf.DUMMYFUNCTION("IF(Account!$F994&lt;&gt;"""", VALUE(REGEXREPLACE($I994, ""\,"", ""."")), """")"),"")</f>
        <v/>
      </c>
      <c r="O994" s="35" t="str">
        <f>IF(Account!$F994&lt;&gt;"", DATEVALUE(MID($A994,4,3) &amp; LEFT($A994,3) &amp; RIGHT($A994,4)) + TIMEVALUE($B994), "")</f>
        <v/>
      </c>
      <c r="P994" s="36" t="str">
        <f>IF(Account!$F994&lt;&gt;"", DATEVALUE(MID($C994,4,3) &amp; LEFT($C994,3) &amp; RIGHT($C994,4)), "")</f>
        <v/>
      </c>
      <c r="Q994" s="37" t="str">
        <f t="array" ref="Q994">IF($R994&lt;&gt;"",IFERROR(INDEX(ISIN!$B:$B,MATCH($R994,ISIN!$C:$C,0))),)</f>
        <v/>
      </c>
      <c r="R994" s="38" t="str">
        <f t="array" ref="R994">IF($E994&lt;&gt;""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7" t="str">
        <f t="shared" si="1"/>
        <v/>
      </c>
      <c r="T994" s="39" t="str">
        <f t="shared" si="2"/>
        <v/>
      </c>
      <c r="U994" s="40" t="str">
        <f t="shared" si="3"/>
        <v/>
      </c>
      <c r="V994" s="34" t="str">
        <f t="shared" si="4"/>
        <v/>
      </c>
      <c r="W994" s="41" t="str">
        <f>IFERROR(__xludf.DUMMYFUNCTION(" IF(Account!$F994&lt;&gt;"""", SPLIT(Account!$F994, "" ""), """")"),"")</f>
        <v/>
      </c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</row>
    <row r="995">
      <c r="A995" s="20"/>
      <c r="B995" s="20"/>
      <c r="C995" s="20"/>
      <c r="D995" s="20"/>
      <c r="E995" s="20"/>
      <c r="F995" s="21"/>
      <c r="G995" s="20"/>
      <c r="H995" s="20"/>
      <c r="I995" s="20"/>
      <c r="J995" s="20"/>
      <c r="K995" s="20"/>
      <c r="L995" s="21"/>
      <c r="M995" s="33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4" t="str">
        <f>IFERROR(__xludf.DUMMYFUNCTION("IF(Account!$F995&lt;&gt;"""", VALUE(REGEXREPLACE($I995, ""\,"", ""."")), """")"),"")</f>
        <v/>
      </c>
      <c r="O995" s="35" t="str">
        <f>IF(Account!$F995&lt;&gt;"", DATEVALUE(MID($A995,4,3) &amp; LEFT($A995,3) &amp; RIGHT($A995,4)) + TIMEVALUE($B995), "")</f>
        <v/>
      </c>
      <c r="P995" s="36" t="str">
        <f>IF(Account!$F995&lt;&gt;"", DATEVALUE(MID($C995,4,3) &amp; LEFT($C995,3) &amp; RIGHT($C995,4)), "")</f>
        <v/>
      </c>
      <c r="Q995" s="37" t="str">
        <f t="array" ref="Q995">IF($R995&lt;&gt;"",IFERROR(INDEX(ISIN!$B:$B,MATCH($R995,ISIN!$C:$C,0))),)</f>
        <v/>
      </c>
      <c r="R995" s="38" t="str">
        <f t="array" ref="R995">IF($E995&lt;&gt;""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7" t="str">
        <f t="shared" si="1"/>
        <v/>
      </c>
      <c r="T995" s="39" t="str">
        <f t="shared" si="2"/>
        <v/>
      </c>
      <c r="U995" s="40" t="str">
        <f t="shared" si="3"/>
        <v/>
      </c>
      <c r="V995" s="34" t="str">
        <f t="shared" si="4"/>
        <v/>
      </c>
      <c r="W995" s="41" t="str">
        <f>IFERROR(__xludf.DUMMYFUNCTION(" IF(Account!$F995&lt;&gt;"""", SPLIT(Account!$F995, "" ""), """")"),"")</f>
        <v/>
      </c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</row>
    <row r="996">
      <c r="A996" s="20"/>
      <c r="B996" s="20"/>
      <c r="C996" s="20"/>
      <c r="D996" s="20"/>
      <c r="E996" s="20"/>
      <c r="F996" s="21"/>
      <c r="G996" s="45"/>
      <c r="H996" s="20"/>
      <c r="I996" s="20"/>
      <c r="J996" s="20"/>
      <c r="K996" s="20"/>
      <c r="L996" s="21"/>
      <c r="M996" s="33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4" t="str">
        <f>IFERROR(__xludf.DUMMYFUNCTION("IF(Account!$F996&lt;&gt;"""", VALUE(REGEXREPLACE($I996, ""\,"", ""."")), """")"),"")</f>
        <v/>
      </c>
      <c r="O996" s="35" t="str">
        <f>IF(Account!$F996&lt;&gt;"", DATEVALUE(MID($A996,4,3) &amp; LEFT($A996,3) &amp; RIGHT($A996,4)) + TIMEVALUE($B996), "")</f>
        <v/>
      </c>
      <c r="P996" s="36" t="str">
        <f>IF(Account!$F996&lt;&gt;"", DATEVALUE(MID($C996,4,3) &amp; LEFT($C996,3) &amp; RIGHT($C996,4)), "")</f>
        <v/>
      </c>
      <c r="Q996" s="37" t="str">
        <f t="array" ref="Q996">IF($R996&lt;&gt;"",IFERROR(INDEX(ISIN!$B:$B,MATCH($R996,ISIN!$C:$C,0))),)</f>
        <v/>
      </c>
      <c r="R996" s="38" t="str">
        <f t="array" ref="R996">IF($E996&lt;&gt;""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7" t="str">
        <f t="shared" si="1"/>
        <v/>
      </c>
      <c r="T996" s="39" t="str">
        <f t="shared" si="2"/>
        <v/>
      </c>
      <c r="U996" s="40" t="str">
        <f t="shared" si="3"/>
        <v/>
      </c>
      <c r="V996" s="34" t="str">
        <f t="shared" si="4"/>
        <v/>
      </c>
      <c r="W996" s="41" t="str">
        <f>IFERROR(__xludf.DUMMYFUNCTION(" IF(Account!$F996&lt;&gt;"""", SPLIT(Account!$F996, "" ""), """")"),"")</f>
        <v/>
      </c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</row>
    <row r="997">
      <c r="A997" s="20"/>
      <c r="B997" s="20"/>
      <c r="C997" s="20"/>
      <c r="D997" s="20"/>
      <c r="E997" s="20"/>
      <c r="F997" s="21"/>
      <c r="G997" s="20"/>
      <c r="H997" s="20"/>
      <c r="I997" s="20"/>
      <c r="J997" s="20"/>
      <c r="K997" s="20"/>
      <c r="L997" s="21"/>
      <c r="M997" s="33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4" t="str">
        <f>IFERROR(__xludf.DUMMYFUNCTION("IF(Account!$F997&lt;&gt;"""", VALUE(REGEXREPLACE($I997, ""\,"", ""."")), """")"),"")</f>
        <v/>
      </c>
      <c r="O997" s="35" t="str">
        <f>IF(Account!$F997&lt;&gt;"", DATEVALUE(MID($A997,4,3) &amp; LEFT($A997,3) &amp; RIGHT($A997,4)) + TIMEVALUE($B997), "")</f>
        <v/>
      </c>
      <c r="P997" s="36" t="str">
        <f>IF(Account!$F997&lt;&gt;"", DATEVALUE(MID($C997,4,3) &amp; LEFT($C997,3) &amp; RIGHT($C997,4)), "")</f>
        <v/>
      </c>
      <c r="Q997" s="37" t="str">
        <f t="array" ref="Q997">IF($R997&lt;&gt;"",IFERROR(INDEX(ISIN!$B:$B,MATCH($R997,ISIN!$C:$C,0))),)</f>
        <v/>
      </c>
      <c r="R997" s="38" t="str">
        <f t="array" ref="R997">IF($E997&lt;&gt;""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7" t="str">
        <f t="shared" si="1"/>
        <v/>
      </c>
      <c r="T997" s="39" t="str">
        <f t="shared" si="2"/>
        <v/>
      </c>
      <c r="U997" s="40" t="str">
        <f t="shared" si="3"/>
        <v/>
      </c>
      <c r="V997" s="34" t="str">
        <f t="shared" si="4"/>
        <v/>
      </c>
      <c r="W997" s="41" t="str">
        <f>IFERROR(__xludf.DUMMYFUNCTION(" IF(Account!$F997&lt;&gt;"""", SPLIT(Account!$F997, "" ""), """")"),"")</f>
        <v/>
      </c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</row>
    <row r="998">
      <c r="A998" s="20"/>
      <c r="B998" s="20"/>
      <c r="C998" s="20"/>
      <c r="D998" s="20"/>
      <c r="E998" s="20"/>
      <c r="F998" s="21"/>
      <c r="G998" s="45"/>
      <c r="H998" s="20"/>
      <c r="I998" s="20"/>
      <c r="J998" s="20"/>
      <c r="K998" s="20"/>
      <c r="L998" s="21"/>
      <c r="M998" s="33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4" t="str">
        <f>IFERROR(__xludf.DUMMYFUNCTION("IF(Account!$F998&lt;&gt;"""", VALUE(REGEXREPLACE($I998, ""\,"", ""."")), """")"),"")</f>
        <v/>
      </c>
      <c r="O998" s="35" t="str">
        <f>IF(Account!$F998&lt;&gt;"", DATEVALUE(MID($A998,4,3) &amp; LEFT($A998,3) &amp; RIGHT($A998,4)) + TIMEVALUE($B998), "")</f>
        <v/>
      </c>
      <c r="P998" s="36" t="str">
        <f>IF(Account!$F998&lt;&gt;"", DATEVALUE(MID($C998,4,3) &amp; LEFT($C998,3) &amp; RIGHT($C998,4)), "")</f>
        <v/>
      </c>
      <c r="Q998" s="37" t="str">
        <f t="array" ref="Q998">IF($R998&lt;&gt;"",IFERROR(INDEX(ISIN!$B:$B,MATCH($R998,ISIN!$C:$C,0))),)</f>
        <v/>
      </c>
      <c r="R998" s="38" t="str">
        <f t="array" ref="R998">IF($E998&lt;&gt;""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7" t="str">
        <f t="shared" si="1"/>
        <v/>
      </c>
      <c r="T998" s="39" t="str">
        <f t="shared" si="2"/>
        <v/>
      </c>
      <c r="U998" s="40" t="str">
        <f t="shared" si="3"/>
        <v/>
      </c>
      <c r="V998" s="34" t="str">
        <f t="shared" si="4"/>
        <v/>
      </c>
      <c r="W998" s="41" t="str">
        <f>IFERROR(__xludf.DUMMYFUNCTION(" IF(Account!$F998&lt;&gt;"""", SPLIT(Account!$F998, "" ""), """")"),"")</f>
        <v/>
      </c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</row>
    <row r="999">
      <c r="A999" s="20"/>
      <c r="B999" s="20"/>
      <c r="C999" s="20"/>
      <c r="D999" s="20"/>
      <c r="E999" s="20"/>
      <c r="F999" s="21"/>
      <c r="G999" s="20"/>
      <c r="H999" s="20"/>
      <c r="I999" s="20"/>
      <c r="J999" s="20"/>
      <c r="K999" s="20"/>
      <c r="L999" s="21"/>
      <c r="M999" s="33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4" t="str">
        <f>IFERROR(__xludf.DUMMYFUNCTION("IF(Account!$F999&lt;&gt;"""", VALUE(REGEXREPLACE($I999, ""\,"", ""."")), """")"),"")</f>
        <v/>
      </c>
      <c r="O999" s="35" t="str">
        <f>IF(Account!$F999&lt;&gt;"", DATEVALUE(MID($A999,4,3) &amp; LEFT($A999,3) &amp; RIGHT($A999,4)) + TIMEVALUE($B999), "")</f>
        <v/>
      </c>
      <c r="P999" s="36" t="str">
        <f>IF(Account!$F999&lt;&gt;"", DATEVALUE(MID($C999,4,3) &amp; LEFT($C999,3) &amp; RIGHT($C999,4)), "")</f>
        <v/>
      </c>
      <c r="Q999" s="37" t="str">
        <f t="array" ref="Q999">IF($R999&lt;&gt;"",IFERROR(INDEX(ISIN!$B:$B,MATCH($R999,ISIN!$C:$C,0))),)</f>
        <v/>
      </c>
      <c r="R999" s="38" t="str">
        <f t="array" ref="R999">IF($E999&lt;&gt;""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7" t="str">
        <f t="shared" si="1"/>
        <v/>
      </c>
      <c r="T999" s="39" t="str">
        <f t="shared" si="2"/>
        <v/>
      </c>
      <c r="U999" s="40" t="str">
        <f t="shared" si="3"/>
        <v/>
      </c>
      <c r="V999" s="34" t="str">
        <f t="shared" si="4"/>
        <v/>
      </c>
      <c r="W999" s="41" t="str">
        <f>IFERROR(__xludf.DUMMYFUNCTION(" IF(Account!$F999&lt;&gt;"""", SPLIT(Account!$F999, "" ""), """")"),"")</f>
        <v/>
      </c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</row>
    <row r="1000">
      <c r="A1000" s="20"/>
      <c r="B1000" s="20"/>
      <c r="C1000" s="20"/>
      <c r="D1000" s="20"/>
      <c r="E1000" s="20"/>
      <c r="F1000" s="21"/>
      <c r="G1000" s="45"/>
      <c r="H1000" s="20"/>
      <c r="I1000" s="20"/>
      <c r="J1000" s="20"/>
      <c r="K1000" s="20"/>
      <c r="L1000" s="21"/>
      <c r="M1000" s="33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4" t="str">
        <f>IFERROR(__xludf.DUMMYFUNCTION("IF(Account!$F1000&lt;&gt;"""", VALUE(REGEXREPLACE($I1000, ""\,"", ""."")), """")"),"")</f>
        <v/>
      </c>
      <c r="O1000" s="35" t="str">
        <f>IF(Account!$F1000&lt;&gt;"", DATEVALUE(MID($A1000,4,3) &amp; LEFT($A1000,3) &amp; RIGHT($A1000,4)) + TIMEVALUE($B1000), "")</f>
        <v/>
      </c>
      <c r="P1000" s="36" t="str">
        <f>IF(Account!$F1000&lt;&gt;"", DATEVALUE(MID($C1000,4,3) &amp; LEFT($C1000,3) &amp; RIGHT($C1000,4)), "")</f>
        <v/>
      </c>
      <c r="Q1000" s="37" t="str">
        <f t="array" ref="Q1000">IF($R1000&lt;&gt;"",IFERROR(INDEX(ISIN!$B:$B,MATCH($R1000,ISIN!$C:$C,0))),)</f>
        <v/>
      </c>
      <c r="R1000" s="38" t="str">
        <f t="array" ref="R1000">IF($E1000&lt;&gt;""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7" t="str">
        <f t="shared" si="1"/>
        <v/>
      </c>
      <c r="T1000" s="39" t="str">
        <f t="shared" si="2"/>
        <v/>
      </c>
      <c r="U1000" s="40" t="str">
        <f t="shared" si="3"/>
        <v/>
      </c>
      <c r="V1000" s="34" t="str">
        <f t="shared" si="4"/>
        <v/>
      </c>
      <c r="W1000" s="41" t="str">
        <f>IFERROR(__xludf.DUMMYFUNCTION(" IF(Account!$F1000&lt;&gt;"""", SPLIT(Account!$F1000, "" ""), """")"),"")</f>
        <v/>
      </c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</row>
    <row r="1001">
      <c r="A1001" s="20"/>
      <c r="B1001" s="20"/>
      <c r="C1001" s="20"/>
      <c r="D1001" s="20"/>
      <c r="E1001" s="20"/>
      <c r="F1001" s="21"/>
      <c r="G1001" s="20"/>
      <c r="H1001" s="20"/>
      <c r="I1001" s="20"/>
      <c r="J1001" s="20"/>
      <c r="K1001" s="20"/>
      <c r="L1001" s="21"/>
      <c r="M1001" s="33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4" t="str">
        <f>IFERROR(__xludf.DUMMYFUNCTION("IF(Account!$F1001&lt;&gt;"""", VALUE(REGEXREPLACE($I1001, ""\,"", ""."")), """")"),"")</f>
        <v/>
      </c>
      <c r="O1001" s="35" t="str">
        <f>IF(Account!$F1001&lt;&gt;"", DATEVALUE(MID($A1001,4,3) &amp; LEFT($A1001,3) &amp; RIGHT($A1001,4)) + TIMEVALUE($B1001), "")</f>
        <v/>
      </c>
      <c r="P1001" s="36" t="str">
        <f>IF(Account!$F1001&lt;&gt;"", DATEVALUE(MID($C1001,4,3) &amp; LEFT($C1001,3) &amp; RIGHT($C1001,4)), "")</f>
        <v/>
      </c>
      <c r="Q1001" s="37" t="str">
        <f t="array" ref="Q1001">IF($R1001&lt;&gt;"",IFERROR(INDEX(ISIN!$B:$B,MATCH($R1001,ISIN!$C:$C,0))),)</f>
        <v/>
      </c>
      <c r="R1001" s="38" t="str">
        <f t="array" ref="R1001">IF($E1001&lt;&gt;""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7" t="str">
        <f t="shared" si="1"/>
        <v/>
      </c>
      <c r="T1001" s="39" t="str">
        <f t="shared" si="2"/>
        <v/>
      </c>
      <c r="U1001" s="40" t="str">
        <f t="shared" si="3"/>
        <v/>
      </c>
      <c r="V1001" s="34" t="str">
        <f t="shared" si="4"/>
        <v/>
      </c>
      <c r="W1001" s="41" t="str">
        <f>IFERROR(__xludf.DUMMYFUNCTION(" IF(Account!$F1001&lt;&gt;"""", SPLIT(Account!$F1001, "" ""), """")"),"")</f>
        <v/>
      </c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</row>
    <row r="1002">
      <c r="A1002" s="20"/>
      <c r="B1002" s="20"/>
      <c r="C1002" s="20"/>
      <c r="D1002" s="20"/>
      <c r="E1002" s="20"/>
      <c r="F1002" s="21"/>
      <c r="G1002" s="45"/>
      <c r="H1002" s="20"/>
      <c r="I1002" s="20"/>
      <c r="J1002" s="20"/>
      <c r="K1002" s="20"/>
      <c r="L1002" s="21"/>
      <c r="M1002" s="33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4" t="str">
        <f>IFERROR(__xludf.DUMMYFUNCTION("IF(Account!$F1002&lt;&gt;"""", VALUE(REGEXREPLACE($I1002, ""\,"", ""."")), """")"),"")</f>
        <v/>
      </c>
      <c r="O1002" s="35" t="str">
        <f>IF(Account!$F1002&lt;&gt;"", DATEVALUE(MID($A1002,4,3) &amp; LEFT($A1002,3) &amp; RIGHT($A1002,4)) + TIMEVALUE($B1002), "")</f>
        <v/>
      </c>
      <c r="P1002" s="36" t="str">
        <f>IF(Account!$F1002&lt;&gt;"", DATEVALUE(MID($C1002,4,3) &amp; LEFT($C1002,3) &amp; RIGHT($C1002,4)), "")</f>
        <v/>
      </c>
      <c r="Q1002" s="37" t="str">
        <f t="array" ref="Q1002">IF($R1002&lt;&gt;"",IFERROR(INDEX(ISIN!$B:$B,MATCH($R1002,ISIN!$C:$C,0))),)</f>
        <v/>
      </c>
      <c r="R1002" s="38" t="str">
        <f t="array" ref="R1002">IF($E1002&lt;&gt;""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7" t="str">
        <f t="shared" si="1"/>
        <v/>
      </c>
      <c r="T1002" s="39" t="str">
        <f t="shared" si="2"/>
        <v/>
      </c>
      <c r="U1002" s="40" t="str">
        <f t="shared" si="3"/>
        <v/>
      </c>
      <c r="V1002" s="34" t="str">
        <f t="shared" si="4"/>
        <v/>
      </c>
      <c r="W1002" s="41" t="str">
        <f>IFERROR(__xludf.DUMMYFUNCTION(" IF(Account!$F1002&lt;&gt;"""", SPLIT(Account!$F1002, "" ""), """")"),"")</f>
        <v/>
      </c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</row>
    <row r="1003">
      <c r="A1003" s="20"/>
      <c r="B1003" s="20"/>
      <c r="C1003" s="20"/>
      <c r="D1003" s="20"/>
      <c r="E1003" s="20"/>
      <c r="F1003" s="21"/>
      <c r="G1003" s="45"/>
      <c r="H1003" s="20"/>
      <c r="I1003" s="20"/>
      <c r="J1003" s="20"/>
      <c r="K1003" s="20"/>
      <c r="L1003" s="21"/>
      <c r="M1003" s="33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4" t="str">
        <f>IFERROR(__xludf.DUMMYFUNCTION("IF(Account!$F1003&lt;&gt;"""", VALUE(REGEXREPLACE($I1003, ""\,"", ""."")), """")"),"")</f>
        <v/>
      </c>
      <c r="O1003" s="35" t="str">
        <f>IF(Account!$F1003&lt;&gt;"", DATEVALUE(MID($A1003,4,3) &amp; LEFT($A1003,3) &amp; RIGHT($A1003,4)) + TIMEVALUE($B1003), "")</f>
        <v/>
      </c>
      <c r="P1003" s="36" t="str">
        <f>IF(Account!$F1003&lt;&gt;"", DATEVALUE(MID($C1003,4,3) &amp; LEFT($C1003,3) &amp; RIGHT($C1003,4)), "")</f>
        <v/>
      </c>
      <c r="Q1003" s="37" t="str">
        <f t="array" ref="Q1003">IF($R1003&lt;&gt;"",IFERROR(INDEX(ISIN!$B:$B,MATCH($R1003,ISIN!$C:$C,0))),)</f>
        <v/>
      </c>
      <c r="R1003" s="38" t="str">
        <f t="array" ref="R1003">IF($E1003&lt;&gt;""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7" t="str">
        <f t="shared" si="1"/>
        <v/>
      </c>
      <c r="T1003" s="39" t="str">
        <f t="shared" si="2"/>
        <v/>
      </c>
      <c r="U1003" s="40" t="str">
        <f t="shared" si="3"/>
        <v/>
      </c>
      <c r="V1003" s="34" t="str">
        <f t="shared" si="4"/>
        <v/>
      </c>
      <c r="W1003" s="41" t="str">
        <f>IFERROR(__xludf.DUMMYFUNCTION(" IF(Account!$F1003&lt;&gt;"""", SPLIT(Account!$F1003, "" ""), """")"),"")</f>
        <v/>
      </c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</row>
    <row r="1004">
      <c r="A1004" s="20"/>
      <c r="B1004" s="20"/>
      <c r="C1004" s="20"/>
      <c r="D1004" s="20"/>
      <c r="E1004" s="20"/>
      <c r="F1004" s="21"/>
      <c r="G1004" s="45"/>
      <c r="H1004" s="20"/>
      <c r="I1004" s="20"/>
      <c r="J1004" s="20"/>
      <c r="K1004" s="20"/>
      <c r="L1004" s="21"/>
      <c r="M1004" s="33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4" t="str">
        <f>IFERROR(__xludf.DUMMYFUNCTION("IF(Account!$F1004&lt;&gt;"""", VALUE(REGEXREPLACE($I1004, ""\,"", ""."")), """")"),"")</f>
        <v/>
      </c>
      <c r="O1004" s="35" t="str">
        <f>IF(Account!$F1004&lt;&gt;"", DATEVALUE(MID($A1004,4,3) &amp; LEFT($A1004,3) &amp; RIGHT($A1004,4)) + TIMEVALUE($B1004), "")</f>
        <v/>
      </c>
      <c r="P1004" s="36" t="str">
        <f>IF(Account!$F1004&lt;&gt;"", DATEVALUE(MID($C1004,4,3) &amp; LEFT($C1004,3) &amp; RIGHT($C1004,4)), "")</f>
        <v/>
      </c>
      <c r="Q1004" s="37" t="str">
        <f t="array" ref="Q1004">IF($R1004&lt;&gt;"",IFERROR(INDEX(ISIN!$B:$B,MATCH($R1004,ISIN!$C:$C,0))),)</f>
        <v/>
      </c>
      <c r="R1004" s="38" t="str">
        <f t="array" ref="R1004">IF($E1004&lt;&gt;""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7" t="str">
        <f t="shared" si="1"/>
        <v/>
      </c>
      <c r="T1004" s="39" t="str">
        <f t="shared" si="2"/>
        <v/>
      </c>
      <c r="U1004" s="40" t="str">
        <f t="shared" si="3"/>
        <v/>
      </c>
      <c r="V1004" s="34" t="str">
        <f t="shared" si="4"/>
        <v/>
      </c>
      <c r="W1004" s="41" t="str">
        <f>IFERROR(__xludf.DUMMYFUNCTION(" IF(Account!$F1004&lt;&gt;"""", SPLIT(Account!$F1004, "" ""), """")"),"")</f>
        <v/>
      </c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</row>
    <row r="1005">
      <c r="A1005" s="20"/>
      <c r="B1005" s="20"/>
      <c r="C1005" s="20"/>
      <c r="D1005" s="20"/>
      <c r="E1005" s="20"/>
      <c r="F1005" s="21"/>
      <c r="G1005" s="45"/>
      <c r="H1005" s="20"/>
      <c r="I1005" s="20"/>
      <c r="J1005" s="20"/>
      <c r="K1005" s="20"/>
      <c r="L1005" s="21"/>
      <c r="M1005" s="33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4" t="str">
        <f>IFERROR(__xludf.DUMMYFUNCTION("IF(Account!$F1005&lt;&gt;"""", VALUE(REGEXREPLACE($I1005, ""\,"", ""."")), """")"),"")</f>
        <v/>
      </c>
      <c r="O1005" s="35" t="str">
        <f>IF(Account!$F1005&lt;&gt;"", DATEVALUE(MID($A1005,4,3) &amp; LEFT($A1005,3) &amp; RIGHT($A1005,4)) + TIMEVALUE($B1005), "")</f>
        <v/>
      </c>
      <c r="P1005" s="36" t="str">
        <f>IF(Account!$F1005&lt;&gt;"", DATEVALUE(MID($C1005,4,3) &amp; LEFT($C1005,3) &amp; RIGHT($C1005,4)), "")</f>
        <v/>
      </c>
      <c r="Q1005" s="37" t="str">
        <f t="array" ref="Q1005">IF($R1005&lt;&gt;"",IFERROR(INDEX(ISIN!$B:$B,MATCH($R1005,ISIN!$C:$C,0))),)</f>
        <v/>
      </c>
      <c r="R1005" s="38" t="str">
        <f t="array" ref="R1005">IF($E1005&lt;&gt;""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7" t="str">
        <f t="shared" si="1"/>
        <v/>
      </c>
      <c r="T1005" s="39" t="str">
        <f t="shared" si="2"/>
        <v/>
      </c>
      <c r="U1005" s="40" t="str">
        <f t="shared" si="3"/>
        <v/>
      </c>
      <c r="V1005" s="34" t="str">
        <f t="shared" si="4"/>
        <v/>
      </c>
      <c r="W1005" s="41" t="str">
        <f>IFERROR(__xludf.DUMMYFUNCTION(" IF(Account!$F1005&lt;&gt;"""", SPLIT(Account!$F1005, "" ""), """")"),"")</f>
        <v/>
      </c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</row>
    <row r="1006">
      <c r="A1006" s="20"/>
      <c r="B1006" s="20"/>
      <c r="C1006" s="20"/>
      <c r="D1006" s="20"/>
      <c r="E1006" s="20"/>
      <c r="F1006" s="21"/>
      <c r="G1006" s="45"/>
      <c r="H1006" s="20"/>
      <c r="I1006" s="20"/>
      <c r="J1006" s="20"/>
      <c r="K1006" s="20"/>
      <c r="L1006" s="21"/>
      <c r="M1006" s="33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4" t="str">
        <f>IFERROR(__xludf.DUMMYFUNCTION("IF(Account!$F1006&lt;&gt;"""", VALUE(REGEXREPLACE($I1006, ""\,"", ""."")), """")"),"")</f>
        <v/>
      </c>
      <c r="O1006" s="35" t="str">
        <f>IF(Account!$F1006&lt;&gt;"", DATEVALUE(MID($A1006,4,3) &amp; LEFT($A1006,3) &amp; RIGHT($A1006,4)) + TIMEVALUE($B1006), "")</f>
        <v/>
      </c>
      <c r="P1006" s="36" t="str">
        <f>IF(Account!$F1006&lt;&gt;"", DATEVALUE(MID($C1006,4,3) &amp; LEFT($C1006,3) &amp; RIGHT($C1006,4)), "")</f>
        <v/>
      </c>
      <c r="Q1006" s="37" t="str">
        <f t="array" ref="Q1006">IF($R1006&lt;&gt;"",IFERROR(INDEX(ISIN!$B:$B,MATCH($R1006,ISIN!$C:$C,0))),)</f>
        <v/>
      </c>
      <c r="R1006" s="38" t="str">
        <f t="array" ref="R1006">IF($E1006&lt;&gt;""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7" t="str">
        <f t="shared" si="1"/>
        <v/>
      </c>
      <c r="T1006" s="39" t="str">
        <f t="shared" si="2"/>
        <v/>
      </c>
      <c r="U1006" s="40" t="str">
        <f t="shared" si="3"/>
        <v/>
      </c>
      <c r="V1006" s="34" t="str">
        <f t="shared" si="4"/>
        <v/>
      </c>
      <c r="W1006" s="41" t="str">
        <f>IFERROR(__xludf.DUMMYFUNCTION(" IF(Account!$F1006&lt;&gt;"""", SPLIT(Account!$F1006, "" ""), """")"),"")</f>
        <v/>
      </c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</row>
    <row r="1007">
      <c r="A1007" s="20"/>
      <c r="B1007" s="20"/>
      <c r="C1007" s="20"/>
      <c r="D1007" s="20"/>
      <c r="E1007" s="20"/>
      <c r="F1007" s="21"/>
      <c r="G1007" s="45"/>
      <c r="H1007" s="20"/>
      <c r="I1007" s="20"/>
      <c r="J1007" s="20"/>
      <c r="K1007" s="20"/>
      <c r="L1007" s="21"/>
      <c r="M1007" s="33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4" t="str">
        <f>IFERROR(__xludf.DUMMYFUNCTION("IF(Account!$F1007&lt;&gt;"""", VALUE(REGEXREPLACE($I1007, ""\,"", ""."")), """")"),"")</f>
        <v/>
      </c>
      <c r="O1007" s="35" t="str">
        <f>IF(Account!$F1007&lt;&gt;"", DATEVALUE(MID($A1007,4,3) &amp; LEFT($A1007,3) &amp; RIGHT($A1007,4)) + TIMEVALUE($B1007), "")</f>
        <v/>
      </c>
      <c r="P1007" s="36" t="str">
        <f>IF(Account!$F1007&lt;&gt;"", DATEVALUE(MID($C1007,4,3) &amp; LEFT($C1007,3) &amp; RIGHT($C1007,4)), "")</f>
        <v/>
      </c>
      <c r="Q1007" s="37" t="str">
        <f t="array" ref="Q1007">IF($R1007&lt;&gt;"",IFERROR(INDEX(ISIN!$B:$B,MATCH($R1007,ISIN!$C:$C,0))),)</f>
        <v/>
      </c>
      <c r="R1007" s="38" t="str">
        <f t="array" ref="R1007">IF($E1007&lt;&gt;""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7" t="str">
        <f t="shared" si="1"/>
        <v/>
      </c>
      <c r="T1007" s="39" t="str">
        <f t="shared" si="2"/>
        <v/>
      </c>
      <c r="U1007" s="40" t="str">
        <f t="shared" si="3"/>
        <v/>
      </c>
      <c r="V1007" s="34" t="str">
        <f t="shared" si="4"/>
        <v/>
      </c>
      <c r="W1007" s="41" t="str">
        <f>IFERROR(__xludf.DUMMYFUNCTION(" IF(Account!$F1007&lt;&gt;"""", SPLIT(Account!$F1007, "" ""), """")"),"")</f>
        <v/>
      </c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</row>
    <row r="1008">
      <c r="A1008" s="20"/>
      <c r="B1008" s="20"/>
      <c r="C1008" s="20"/>
      <c r="D1008" s="20"/>
      <c r="E1008" s="20"/>
      <c r="F1008" s="21"/>
      <c r="G1008" s="45"/>
      <c r="H1008" s="20"/>
      <c r="I1008" s="20"/>
      <c r="J1008" s="20"/>
      <c r="K1008" s="20"/>
      <c r="L1008" s="21"/>
      <c r="M1008" s="33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4" t="str">
        <f>IFERROR(__xludf.DUMMYFUNCTION("IF(Account!$F1008&lt;&gt;"""", VALUE(REGEXREPLACE($I1008, ""\,"", ""."")), """")"),"")</f>
        <v/>
      </c>
      <c r="O1008" s="35" t="str">
        <f>IF(Account!$F1008&lt;&gt;"", DATEVALUE(MID($A1008,4,3) &amp; LEFT($A1008,3) &amp; RIGHT($A1008,4)) + TIMEVALUE($B1008), "")</f>
        <v/>
      </c>
      <c r="P1008" s="36" t="str">
        <f>IF(Account!$F1008&lt;&gt;"", DATEVALUE(MID($C1008,4,3) &amp; LEFT($C1008,3) &amp; RIGHT($C1008,4)), "")</f>
        <v/>
      </c>
      <c r="Q1008" s="37" t="str">
        <f t="array" ref="Q1008">IF($R1008&lt;&gt;"",IFERROR(INDEX(ISIN!$B:$B,MATCH($R1008,ISIN!$C:$C,0))),)</f>
        <v/>
      </c>
      <c r="R1008" s="38" t="str">
        <f t="array" ref="R1008">IF($E1008&lt;&gt;""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7" t="str">
        <f t="shared" si="1"/>
        <v/>
      </c>
      <c r="T1008" s="39" t="str">
        <f t="shared" si="2"/>
        <v/>
      </c>
      <c r="U1008" s="40" t="str">
        <f t="shared" si="3"/>
        <v/>
      </c>
      <c r="V1008" s="34" t="str">
        <f t="shared" si="4"/>
        <v/>
      </c>
      <c r="W1008" s="41" t="str">
        <f>IFERROR(__xludf.DUMMYFUNCTION(" IF(Account!$F1008&lt;&gt;"""", SPLIT(Account!$F1008, "" ""), """")"),"")</f>
        <v/>
      </c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</row>
    <row r="1009">
      <c r="A1009" s="20"/>
      <c r="B1009" s="20"/>
      <c r="C1009" s="20"/>
      <c r="D1009" s="20"/>
      <c r="E1009" s="20"/>
      <c r="F1009" s="21"/>
      <c r="G1009" s="45"/>
      <c r="H1009" s="20"/>
      <c r="I1009" s="20"/>
      <c r="J1009" s="20"/>
      <c r="K1009" s="20"/>
      <c r="L1009" s="21"/>
      <c r="M1009" s="33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4" t="str">
        <f>IFERROR(__xludf.DUMMYFUNCTION("IF(Account!$F1009&lt;&gt;"""", VALUE(REGEXREPLACE($I1009, ""\,"", ""."")), """")"),"")</f>
        <v/>
      </c>
      <c r="O1009" s="35" t="str">
        <f>IF(Account!$F1009&lt;&gt;"", DATEVALUE(MID($A1009,4,3) &amp; LEFT($A1009,3) &amp; RIGHT($A1009,4)) + TIMEVALUE($B1009), "")</f>
        <v/>
      </c>
      <c r="P1009" s="36" t="str">
        <f>IF(Account!$F1009&lt;&gt;"", DATEVALUE(MID($C1009,4,3) &amp; LEFT($C1009,3) &amp; RIGHT($C1009,4)), "")</f>
        <v/>
      </c>
      <c r="Q1009" s="37" t="str">
        <f t="array" ref="Q1009">IF($R1009&lt;&gt;"",IFERROR(INDEX(ISIN!$B:$B,MATCH($R1009,ISIN!$C:$C,0))),)</f>
        <v/>
      </c>
      <c r="R1009" s="38" t="str">
        <f t="array" ref="R1009">IF($E1009&lt;&gt;""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7" t="str">
        <f t="shared" si="1"/>
        <v/>
      </c>
      <c r="T1009" s="39" t="str">
        <f t="shared" si="2"/>
        <v/>
      </c>
      <c r="U1009" s="40" t="str">
        <f t="shared" si="3"/>
        <v/>
      </c>
      <c r="V1009" s="34" t="str">
        <f t="shared" si="4"/>
        <v/>
      </c>
      <c r="W1009" s="41" t="str">
        <f>IFERROR(__xludf.DUMMYFUNCTION(" IF(Account!$F1009&lt;&gt;"""", SPLIT(Account!$F1009, "" ""), """")"),"")</f>
        <v/>
      </c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</row>
    <row r="1010">
      <c r="A1010" s="20"/>
      <c r="B1010" s="20"/>
      <c r="C1010" s="20"/>
      <c r="D1010" s="20"/>
      <c r="E1010" s="20"/>
      <c r="F1010" s="21"/>
      <c r="G1010" s="20"/>
      <c r="H1010" s="20"/>
      <c r="I1010" s="20"/>
      <c r="J1010" s="20"/>
      <c r="K1010" s="20"/>
      <c r="L1010" s="21"/>
      <c r="M1010" s="33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4" t="str">
        <f>IFERROR(__xludf.DUMMYFUNCTION("IF(Account!$F1010&lt;&gt;"""", VALUE(REGEXREPLACE($I1010, ""\,"", ""."")), """")"),"")</f>
        <v/>
      </c>
      <c r="O1010" s="35" t="str">
        <f>IF(Account!$F1010&lt;&gt;"", DATEVALUE(MID($A1010,4,3) &amp; LEFT($A1010,3) &amp; RIGHT($A1010,4)) + TIMEVALUE($B1010), "")</f>
        <v/>
      </c>
      <c r="P1010" s="36" t="str">
        <f>IF(Account!$F1010&lt;&gt;"", DATEVALUE(MID($C1010,4,3) &amp; LEFT($C1010,3) &amp; RIGHT($C1010,4)), "")</f>
        <v/>
      </c>
      <c r="Q1010" s="37" t="str">
        <f t="array" ref="Q1010">IF($R1010&lt;&gt;"",IFERROR(INDEX(ISIN!$B:$B,MATCH($R1010,ISIN!$C:$C,0))),)</f>
        <v/>
      </c>
      <c r="R1010" s="38" t="str">
        <f t="array" ref="R1010">IF($E1010&lt;&gt;""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7" t="str">
        <f t="shared" si="1"/>
        <v/>
      </c>
      <c r="T1010" s="39" t="str">
        <f t="shared" si="2"/>
        <v/>
      </c>
      <c r="U1010" s="40" t="str">
        <f t="shared" si="3"/>
        <v/>
      </c>
      <c r="V1010" s="34" t="str">
        <f t="shared" si="4"/>
        <v/>
      </c>
      <c r="W1010" s="41" t="str">
        <f>IFERROR(__xludf.DUMMYFUNCTION(" IF(Account!$F1010&lt;&gt;"""", SPLIT(Account!$F1010, "" ""), """")"),"")</f>
        <v/>
      </c>
      <c r="X1010" s="42"/>
      <c r="Y1010" s="42"/>
      <c r="Z1010" s="42"/>
      <c r="AA1010" s="42"/>
      <c r="AB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</row>
    <row r="1011">
      <c r="A1011" s="20"/>
      <c r="B1011" s="20"/>
      <c r="C1011" s="20"/>
      <c r="D1011" s="20"/>
      <c r="E1011" s="20"/>
      <c r="F1011" s="21"/>
      <c r="G1011" s="45"/>
      <c r="H1011" s="20"/>
      <c r="I1011" s="20"/>
      <c r="J1011" s="20"/>
      <c r="K1011" s="20"/>
      <c r="L1011" s="21"/>
      <c r="M1011" s="33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4" t="str">
        <f>IFERROR(__xludf.DUMMYFUNCTION("IF(Account!$F1011&lt;&gt;"""", VALUE(REGEXREPLACE($I1011, ""\,"", ""."")), """")"),"")</f>
        <v/>
      </c>
      <c r="O1011" s="35" t="str">
        <f>IF(Account!$F1011&lt;&gt;"", DATEVALUE(MID($A1011,4,3) &amp; LEFT($A1011,3) &amp; RIGHT($A1011,4)) + TIMEVALUE($B1011), "")</f>
        <v/>
      </c>
      <c r="P1011" s="36" t="str">
        <f>IF(Account!$F1011&lt;&gt;"", DATEVALUE(MID($C1011,4,3) &amp; LEFT($C1011,3) &amp; RIGHT($C1011,4)), "")</f>
        <v/>
      </c>
      <c r="Q1011" s="37" t="str">
        <f t="array" ref="Q1011">IF($R1011&lt;&gt;"",IFERROR(INDEX(ISIN!$B:$B,MATCH($R1011,ISIN!$C:$C,0))),)</f>
        <v/>
      </c>
      <c r="R1011" s="38" t="str">
        <f t="array" ref="R1011">IF($E1011&lt;&gt;""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7" t="str">
        <f t="shared" si="1"/>
        <v/>
      </c>
      <c r="T1011" s="39" t="str">
        <f t="shared" si="2"/>
        <v/>
      </c>
      <c r="U1011" s="40" t="str">
        <f t="shared" si="3"/>
        <v/>
      </c>
      <c r="V1011" s="34" t="str">
        <f t="shared" si="4"/>
        <v/>
      </c>
      <c r="W1011" s="41" t="str">
        <f>IFERROR(__xludf.DUMMYFUNCTION(" IF(Account!$F1011&lt;&gt;"""", SPLIT(Account!$F1011, "" ""), """")"),"")</f>
        <v/>
      </c>
      <c r="X1011" s="42"/>
      <c r="Y1011" s="42"/>
      <c r="Z1011" s="42"/>
      <c r="AA1011" s="42"/>
      <c r="AB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</row>
    <row r="1012">
      <c r="A1012" s="20"/>
      <c r="B1012" s="20"/>
      <c r="C1012" s="20"/>
      <c r="D1012" s="20"/>
      <c r="E1012" s="20"/>
      <c r="F1012" s="21"/>
      <c r="G1012" s="20"/>
      <c r="H1012" s="20"/>
      <c r="I1012" s="20"/>
      <c r="J1012" s="20"/>
      <c r="K1012" s="20"/>
      <c r="L1012" s="21"/>
      <c r="M1012" s="33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4" t="str">
        <f>IFERROR(__xludf.DUMMYFUNCTION("IF(Account!$F1012&lt;&gt;"""", VALUE(REGEXREPLACE($I1012, ""\,"", ""."")), """")"),"")</f>
        <v/>
      </c>
      <c r="O1012" s="35" t="str">
        <f>IF(Account!$F1012&lt;&gt;"", DATEVALUE(MID($A1012,4,3) &amp; LEFT($A1012,3) &amp; RIGHT($A1012,4)) + TIMEVALUE($B1012), "")</f>
        <v/>
      </c>
      <c r="P1012" s="36" t="str">
        <f>IF(Account!$F1012&lt;&gt;"", DATEVALUE(MID($C1012,4,3) &amp; LEFT($C1012,3) &amp; RIGHT($C1012,4)), "")</f>
        <v/>
      </c>
      <c r="Q1012" s="37" t="str">
        <f t="array" ref="Q1012">IF($R1012&lt;&gt;"",IFERROR(INDEX(ISIN!$B:$B,MATCH($R1012,ISIN!$C:$C,0))),)</f>
        <v/>
      </c>
      <c r="R1012" s="38" t="str">
        <f t="array" ref="R1012">IF($E1012&lt;&gt;""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7" t="str">
        <f t="shared" si="1"/>
        <v/>
      </c>
      <c r="T1012" s="39" t="str">
        <f t="shared" si="2"/>
        <v/>
      </c>
      <c r="U1012" s="40" t="str">
        <f t="shared" si="3"/>
        <v/>
      </c>
      <c r="V1012" s="34" t="str">
        <f t="shared" si="4"/>
        <v/>
      </c>
      <c r="W1012" s="41" t="str">
        <f>IFERROR(__xludf.DUMMYFUNCTION(" IF(Account!$F1012&lt;&gt;"""", SPLIT(Account!$F1012, "" ""), """")"),"")</f>
        <v/>
      </c>
      <c r="X1012" s="42"/>
      <c r="Y1012" s="42"/>
      <c r="Z1012" s="42"/>
      <c r="AA1012" s="42"/>
      <c r="AB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</row>
    <row r="1013">
      <c r="A1013" s="45"/>
      <c r="B1013" s="45"/>
      <c r="C1013" s="45"/>
      <c r="D1013" s="45"/>
      <c r="E1013" s="45"/>
      <c r="F1013" s="46"/>
      <c r="G1013" s="45"/>
      <c r="H1013" s="45"/>
      <c r="I1013" s="45"/>
      <c r="J1013" s="45"/>
      <c r="K1013" s="45"/>
      <c r="L1013" s="21"/>
      <c r="M1013" s="33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4" t="str">
        <f>IFERROR(__xludf.DUMMYFUNCTION("IF(Account!$F1013&lt;&gt;"""", VALUE(REGEXREPLACE($I1013, ""\,"", ""."")), """")"),"")</f>
        <v/>
      </c>
      <c r="O1013" s="35" t="str">
        <f>IF(Account!$F1013&lt;&gt;"", DATEVALUE(MID($A1013,4,3) &amp; LEFT($A1013,3) &amp; RIGHT($A1013,4)) + TIMEVALUE($B1013), "")</f>
        <v/>
      </c>
      <c r="P1013" s="36" t="str">
        <f>IF(Account!$F1013&lt;&gt;"", DATEVALUE(MID($C1013,4,3) &amp; LEFT($C1013,3) &amp; RIGHT($C1013,4)), "")</f>
        <v/>
      </c>
      <c r="Q1013" s="37" t="str">
        <f t="array" ref="Q1013">IF($R1013&lt;&gt;"",IFERROR(INDEX(ISIN!$B:$B,MATCH($R1013,ISIN!$C:$C,0))),)</f>
        <v/>
      </c>
      <c r="R1013" s="38" t="str">
        <f t="array" ref="R1013">IF($E1013&lt;&gt;""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7" t="str">
        <f t="shared" si="1"/>
        <v/>
      </c>
      <c r="T1013" s="39" t="str">
        <f t="shared" si="2"/>
        <v/>
      </c>
      <c r="U1013" s="40" t="str">
        <f t="shared" si="3"/>
        <v/>
      </c>
      <c r="V1013" s="34" t="str">
        <f t="shared" si="4"/>
        <v/>
      </c>
      <c r="W1013" s="41" t="str">
        <f>IFERROR(__xludf.DUMMYFUNCTION(" IF(Account!$F1013&lt;&gt;"""", SPLIT(Account!$F1013, "" ""), """")"),"")</f>
        <v/>
      </c>
      <c r="X1013" s="42"/>
      <c r="Y1013" s="42"/>
      <c r="Z1013" s="42"/>
      <c r="AA1013" s="42"/>
      <c r="AB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</row>
    <row r="1014">
      <c r="A1014" s="20"/>
      <c r="B1014" s="20"/>
      <c r="C1014" s="20"/>
      <c r="D1014" s="20"/>
      <c r="E1014" s="20"/>
      <c r="F1014" s="21"/>
      <c r="G1014" s="45"/>
      <c r="H1014" s="20"/>
      <c r="I1014" s="20"/>
      <c r="J1014" s="20"/>
      <c r="K1014" s="20"/>
      <c r="L1014" s="21"/>
      <c r="M1014" s="33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4" t="str">
        <f>IFERROR(__xludf.DUMMYFUNCTION("IF(Account!$F1014&lt;&gt;"""", VALUE(REGEXREPLACE($I1014, ""\,"", ""."")), """")"),"")</f>
        <v/>
      </c>
      <c r="O1014" s="35" t="str">
        <f>IF(Account!$F1014&lt;&gt;"", DATEVALUE(MID($A1014,4,3) &amp; LEFT($A1014,3) &amp; RIGHT($A1014,4)) + TIMEVALUE($B1014), "")</f>
        <v/>
      </c>
      <c r="P1014" s="36" t="str">
        <f>IF(Account!$F1014&lt;&gt;"", DATEVALUE(MID($C1014,4,3) &amp; LEFT($C1014,3) &amp; RIGHT($C1014,4)), "")</f>
        <v/>
      </c>
      <c r="Q1014" s="37" t="str">
        <f t="array" ref="Q1014">IF($R1014&lt;&gt;"",IFERROR(INDEX(ISIN!$B:$B,MATCH($R1014,ISIN!$C:$C,0))),)</f>
        <v/>
      </c>
      <c r="R1014" s="38" t="str">
        <f t="array" ref="R1014">IF($E1014&lt;&gt;""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7" t="str">
        <f t="shared" si="1"/>
        <v/>
      </c>
      <c r="T1014" s="39" t="str">
        <f t="shared" si="2"/>
        <v/>
      </c>
      <c r="U1014" s="40" t="str">
        <f t="shared" si="3"/>
        <v/>
      </c>
      <c r="V1014" s="34" t="str">
        <f t="shared" si="4"/>
        <v/>
      </c>
      <c r="W1014" s="41" t="str">
        <f>IFERROR(__xludf.DUMMYFUNCTION(" IF(Account!$F1014&lt;&gt;"""", SPLIT(Account!$F1014, "" ""), """")"),"")</f>
        <v/>
      </c>
      <c r="X1014" s="42"/>
      <c r="Y1014" s="42"/>
      <c r="Z1014" s="42"/>
      <c r="AA1014" s="42"/>
      <c r="AB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</row>
    <row r="1015">
      <c r="A1015" s="20"/>
      <c r="B1015" s="20"/>
      <c r="C1015" s="20"/>
      <c r="D1015" s="20"/>
      <c r="E1015" s="20"/>
      <c r="F1015" s="21"/>
      <c r="G1015" s="45"/>
      <c r="H1015" s="20"/>
      <c r="I1015" s="20"/>
      <c r="J1015" s="20"/>
      <c r="K1015" s="20"/>
      <c r="L1015" s="21"/>
      <c r="M1015" s="33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4" t="str">
        <f>IFERROR(__xludf.DUMMYFUNCTION("IF(Account!$F1015&lt;&gt;"""", VALUE(REGEXREPLACE($I1015, ""\,"", ""."")), """")"),"")</f>
        <v/>
      </c>
      <c r="O1015" s="35" t="str">
        <f>IF(Account!$F1015&lt;&gt;"", DATEVALUE(MID($A1015,4,3) &amp; LEFT($A1015,3) &amp; RIGHT($A1015,4)) + TIMEVALUE($B1015), "")</f>
        <v/>
      </c>
      <c r="P1015" s="36" t="str">
        <f>IF(Account!$F1015&lt;&gt;"", DATEVALUE(MID($C1015,4,3) &amp; LEFT($C1015,3) &amp; RIGHT($C1015,4)), "")</f>
        <v/>
      </c>
      <c r="Q1015" s="37" t="str">
        <f t="array" ref="Q1015">IF($R1015&lt;&gt;"",IFERROR(INDEX(ISIN!$B:$B,MATCH($R1015,ISIN!$C:$C,0))),)</f>
        <v/>
      </c>
      <c r="R1015" s="38" t="str">
        <f t="array" ref="R1015">IF($E1015&lt;&gt;""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7" t="str">
        <f t="shared" si="1"/>
        <v/>
      </c>
      <c r="T1015" s="39" t="str">
        <f t="shared" si="2"/>
        <v/>
      </c>
      <c r="U1015" s="40" t="str">
        <f t="shared" si="3"/>
        <v/>
      </c>
      <c r="V1015" s="34" t="str">
        <f t="shared" si="4"/>
        <v/>
      </c>
      <c r="W1015" s="41" t="str">
        <f>IFERROR(__xludf.DUMMYFUNCTION(" IF(Account!$F1015&lt;&gt;"""", SPLIT(Account!$F1015, "" ""), """")"),"")</f>
        <v/>
      </c>
      <c r="X1015" s="42"/>
      <c r="Y1015" s="42"/>
      <c r="Z1015" s="42"/>
      <c r="AA1015" s="42"/>
      <c r="AB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</row>
    <row r="1016">
      <c r="A1016" s="20"/>
      <c r="B1016" s="20"/>
      <c r="C1016" s="20"/>
      <c r="D1016" s="20"/>
      <c r="E1016" s="20"/>
      <c r="F1016" s="21"/>
      <c r="G1016" s="45"/>
      <c r="H1016" s="20"/>
      <c r="I1016" s="20"/>
      <c r="J1016" s="20"/>
      <c r="K1016" s="20"/>
      <c r="L1016" s="21"/>
      <c r="M1016" s="33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4" t="str">
        <f>IFERROR(__xludf.DUMMYFUNCTION("IF(Account!$F1016&lt;&gt;"""", VALUE(REGEXREPLACE($I1016, ""\,"", ""."")), """")"),"")</f>
        <v/>
      </c>
      <c r="O1016" s="35" t="str">
        <f>IF(Account!$F1016&lt;&gt;"", DATEVALUE(MID($A1016,4,3) &amp; LEFT($A1016,3) &amp; RIGHT($A1016,4)) + TIMEVALUE($B1016), "")</f>
        <v/>
      </c>
      <c r="P1016" s="36" t="str">
        <f>IF(Account!$F1016&lt;&gt;"", DATEVALUE(MID($C1016,4,3) &amp; LEFT($C1016,3) &amp; RIGHT($C1016,4)), "")</f>
        <v/>
      </c>
      <c r="Q1016" s="37" t="str">
        <f t="array" ref="Q1016">IF($R1016&lt;&gt;"",IFERROR(INDEX(ISIN!$B:$B,MATCH($R1016,ISIN!$C:$C,0))),)</f>
        <v/>
      </c>
      <c r="R1016" s="38" t="str">
        <f t="array" ref="R1016">IF($E1016&lt;&gt;""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7" t="str">
        <f t="shared" si="1"/>
        <v/>
      </c>
      <c r="T1016" s="39" t="str">
        <f t="shared" si="2"/>
        <v/>
      </c>
      <c r="U1016" s="40" t="str">
        <f t="shared" si="3"/>
        <v/>
      </c>
      <c r="V1016" s="34" t="str">
        <f t="shared" si="4"/>
        <v/>
      </c>
      <c r="W1016" s="41" t="str">
        <f>IFERROR(__xludf.DUMMYFUNCTION(" IF(Account!$F1016&lt;&gt;"""", SPLIT(Account!$F1016, "" ""), """")"),"")</f>
        <v/>
      </c>
      <c r="X1016" s="42"/>
      <c r="Y1016" s="42"/>
      <c r="Z1016" s="42"/>
      <c r="AA1016" s="42"/>
      <c r="AB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</row>
    <row r="1017">
      <c r="A1017" s="20"/>
      <c r="B1017" s="20"/>
      <c r="C1017" s="20"/>
      <c r="D1017" s="20"/>
      <c r="E1017" s="20"/>
      <c r="F1017" s="21"/>
      <c r="G1017" s="20"/>
      <c r="H1017" s="20"/>
      <c r="I1017" s="20"/>
      <c r="J1017" s="20"/>
      <c r="K1017" s="20"/>
      <c r="L1017" s="21"/>
      <c r="M1017" s="33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4" t="str">
        <f>IFERROR(__xludf.DUMMYFUNCTION("IF(Account!$F1017&lt;&gt;"""", VALUE(REGEXREPLACE($I1017, ""\,"", ""."")), """")"),"")</f>
        <v/>
      </c>
      <c r="O1017" s="35" t="str">
        <f>IF(Account!$F1017&lt;&gt;"", DATEVALUE(MID($A1017,4,3) &amp; LEFT($A1017,3) &amp; RIGHT($A1017,4)) + TIMEVALUE($B1017), "")</f>
        <v/>
      </c>
      <c r="P1017" s="36" t="str">
        <f>IF(Account!$F1017&lt;&gt;"", DATEVALUE(MID($C1017,4,3) &amp; LEFT($C1017,3) &amp; RIGHT($C1017,4)), "")</f>
        <v/>
      </c>
      <c r="Q1017" s="37" t="str">
        <f t="array" ref="Q1017">IF($R1017&lt;&gt;"",IFERROR(INDEX(ISIN!$B:$B,MATCH($R1017,ISIN!$C:$C,0))),)</f>
        <v/>
      </c>
      <c r="R1017" s="38" t="str">
        <f t="array" ref="R1017">IF($E1017&lt;&gt;""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7" t="str">
        <f t="shared" si="1"/>
        <v/>
      </c>
      <c r="T1017" s="39" t="str">
        <f t="shared" si="2"/>
        <v/>
      </c>
      <c r="U1017" s="40" t="str">
        <f t="shared" si="3"/>
        <v/>
      </c>
      <c r="V1017" s="34" t="str">
        <f t="shared" si="4"/>
        <v/>
      </c>
      <c r="W1017" s="41" t="str">
        <f>IFERROR(__xludf.DUMMYFUNCTION(" IF(Account!$F1017&lt;&gt;"""", SPLIT(Account!$F1017, "" ""), """")"),"")</f>
        <v/>
      </c>
      <c r="X1017" s="42"/>
      <c r="Y1017" s="42"/>
      <c r="Z1017" s="42"/>
      <c r="AA1017" s="42"/>
      <c r="AB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</row>
    <row r="1018">
      <c r="A1018" s="20"/>
      <c r="B1018" s="20"/>
      <c r="C1018" s="20"/>
      <c r="D1018" s="20"/>
      <c r="E1018" s="20"/>
      <c r="F1018" s="21"/>
      <c r="G1018" s="45"/>
      <c r="H1018" s="20"/>
      <c r="I1018" s="20"/>
      <c r="J1018" s="20"/>
      <c r="K1018" s="20"/>
      <c r="L1018" s="21"/>
      <c r="M1018" s="33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4" t="str">
        <f>IFERROR(__xludf.DUMMYFUNCTION("IF(Account!$F1018&lt;&gt;"""", VALUE(REGEXREPLACE($I1018, ""\,"", ""."")), """")"),"")</f>
        <v/>
      </c>
      <c r="O1018" s="35" t="str">
        <f>IF(Account!$F1018&lt;&gt;"", DATEVALUE(MID($A1018,4,3) &amp; LEFT($A1018,3) &amp; RIGHT($A1018,4)) + TIMEVALUE($B1018), "")</f>
        <v/>
      </c>
      <c r="P1018" s="36" t="str">
        <f>IF(Account!$F1018&lt;&gt;"", DATEVALUE(MID($C1018,4,3) &amp; LEFT($C1018,3) &amp; RIGHT($C1018,4)), "")</f>
        <v/>
      </c>
      <c r="Q1018" s="37" t="str">
        <f t="array" ref="Q1018">IF($R1018&lt;&gt;"",IFERROR(INDEX(ISIN!$B:$B,MATCH($R1018,ISIN!$C:$C,0))),)</f>
        <v/>
      </c>
      <c r="R1018" s="38" t="str">
        <f t="array" ref="R1018">IF($E1018&lt;&gt;""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7" t="str">
        <f t="shared" si="1"/>
        <v/>
      </c>
      <c r="T1018" s="39" t="str">
        <f t="shared" si="2"/>
        <v/>
      </c>
      <c r="U1018" s="40" t="str">
        <f t="shared" si="3"/>
        <v/>
      </c>
      <c r="V1018" s="34" t="str">
        <f t="shared" si="4"/>
        <v/>
      </c>
      <c r="W1018" s="41" t="str">
        <f>IFERROR(__xludf.DUMMYFUNCTION(" IF(Account!$F1018&lt;&gt;"""", SPLIT(Account!$F1018, "" ""), """")"),"")</f>
        <v/>
      </c>
      <c r="X1018" s="42"/>
      <c r="Y1018" s="42"/>
      <c r="Z1018" s="42"/>
      <c r="AA1018" s="42"/>
      <c r="AB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</row>
    <row r="1019">
      <c r="A1019" s="20"/>
      <c r="B1019" s="20"/>
      <c r="C1019" s="20"/>
      <c r="D1019" s="20"/>
      <c r="E1019" s="20"/>
      <c r="F1019" s="21"/>
      <c r="G1019" s="20"/>
      <c r="H1019" s="20"/>
      <c r="I1019" s="20"/>
      <c r="J1019" s="20"/>
      <c r="K1019" s="20"/>
      <c r="L1019" s="21"/>
      <c r="M1019" s="33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4" t="str">
        <f>IFERROR(__xludf.DUMMYFUNCTION("IF(Account!$F1019&lt;&gt;"""", VALUE(REGEXREPLACE($I1019, ""\,"", ""."")), """")"),"")</f>
        <v/>
      </c>
      <c r="O1019" s="35" t="str">
        <f>IF(Account!$F1019&lt;&gt;"", DATEVALUE(MID($A1019,4,3) &amp; LEFT($A1019,3) &amp; RIGHT($A1019,4)) + TIMEVALUE($B1019), "")</f>
        <v/>
      </c>
      <c r="P1019" s="36" t="str">
        <f>IF(Account!$F1019&lt;&gt;"", DATEVALUE(MID($C1019,4,3) &amp; LEFT($C1019,3) &amp; RIGHT($C1019,4)), "")</f>
        <v/>
      </c>
      <c r="Q1019" s="37" t="str">
        <f t="array" ref="Q1019">IF($R1019&lt;&gt;"",IFERROR(INDEX(ISIN!$B:$B,MATCH($R1019,ISIN!$C:$C,0))),)</f>
        <v/>
      </c>
      <c r="R1019" s="38" t="str">
        <f t="array" ref="R1019">IF($E1019&lt;&gt;""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7" t="str">
        <f t="shared" si="1"/>
        <v/>
      </c>
      <c r="T1019" s="39" t="str">
        <f t="shared" si="2"/>
        <v/>
      </c>
      <c r="U1019" s="40" t="str">
        <f t="shared" si="3"/>
        <v/>
      </c>
      <c r="V1019" s="34" t="str">
        <f t="shared" si="4"/>
        <v/>
      </c>
      <c r="W1019" s="41" t="str">
        <f>IFERROR(__xludf.DUMMYFUNCTION(" IF(Account!$F1019&lt;&gt;"""", SPLIT(Account!$F1019, "" ""), """")"),"")</f>
        <v/>
      </c>
      <c r="X1019" s="42"/>
      <c r="Y1019" s="42"/>
      <c r="Z1019" s="42"/>
      <c r="AA1019" s="42"/>
      <c r="AB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</row>
    <row r="1020">
      <c r="A1020" s="20"/>
      <c r="B1020" s="20"/>
      <c r="C1020" s="20"/>
      <c r="D1020" s="20"/>
      <c r="E1020" s="20"/>
      <c r="F1020" s="21"/>
      <c r="G1020" s="45"/>
      <c r="H1020" s="20"/>
      <c r="I1020" s="20"/>
      <c r="J1020" s="20"/>
      <c r="K1020" s="20"/>
      <c r="L1020" s="21"/>
      <c r="M1020" s="33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4" t="str">
        <f>IFERROR(__xludf.DUMMYFUNCTION("IF(Account!$F1020&lt;&gt;"""", VALUE(REGEXREPLACE($I1020, ""\,"", ""."")), """")"),"")</f>
        <v/>
      </c>
      <c r="O1020" s="35" t="str">
        <f>IF(Account!$F1020&lt;&gt;"", DATEVALUE(MID($A1020,4,3) &amp; LEFT($A1020,3) &amp; RIGHT($A1020,4)) + TIMEVALUE($B1020), "")</f>
        <v/>
      </c>
      <c r="P1020" s="36" t="str">
        <f>IF(Account!$F1020&lt;&gt;"", DATEVALUE(MID($C1020,4,3) &amp; LEFT($C1020,3) &amp; RIGHT($C1020,4)), "")</f>
        <v/>
      </c>
      <c r="Q1020" s="37" t="str">
        <f t="array" ref="Q1020">IF($R1020&lt;&gt;"",IFERROR(INDEX(ISIN!$B:$B,MATCH($R1020,ISIN!$C:$C,0))),)</f>
        <v/>
      </c>
      <c r="R1020" s="38" t="str">
        <f t="array" ref="R1020">IF($E1020&lt;&gt;""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7" t="str">
        <f t="shared" si="1"/>
        <v/>
      </c>
      <c r="T1020" s="39" t="str">
        <f t="shared" si="2"/>
        <v/>
      </c>
      <c r="U1020" s="40" t="str">
        <f t="shared" si="3"/>
        <v/>
      </c>
      <c r="V1020" s="34" t="str">
        <f t="shared" si="4"/>
        <v/>
      </c>
      <c r="W1020" s="41" t="str">
        <f>IFERROR(__xludf.DUMMYFUNCTION(" IF(Account!$F1020&lt;&gt;"""", SPLIT(Account!$F1020, "" ""), """")"),"")</f>
        <v/>
      </c>
      <c r="X1020" s="42"/>
      <c r="Y1020" s="42"/>
      <c r="Z1020" s="42"/>
      <c r="AA1020" s="42"/>
      <c r="AB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</row>
    <row r="1021">
      <c r="A1021" s="20"/>
      <c r="B1021" s="20"/>
      <c r="C1021" s="20"/>
      <c r="D1021" s="20"/>
      <c r="E1021" s="20"/>
      <c r="F1021" s="21"/>
      <c r="G1021" s="20"/>
      <c r="H1021" s="20"/>
      <c r="I1021" s="20"/>
      <c r="J1021" s="20"/>
      <c r="K1021" s="20"/>
      <c r="L1021" s="21"/>
      <c r="M1021" s="33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4" t="str">
        <f>IFERROR(__xludf.DUMMYFUNCTION("IF(Account!$F1021&lt;&gt;"""", VALUE(REGEXREPLACE($I1021, ""\,"", ""."")), """")"),"")</f>
        <v/>
      </c>
      <c r="O1021" s="35" t="str">
        <f>IF(Account!$F1021&lt;&gt;"", DATEVALUE(MID($A1021,4,3) &amp; LEFT($A1021,3) &amp; RIGHT($A1021,4)) + TIMEVALUE($B1021), "")</f>
        <v/>
      </c>
      <c r="P1021" s="36" t="str">
        <f>IF(Account!$F1021&lt;&gt;"", DATEVALUE(MID($C1021,4,3) &amp; LEFT($C1021,3) &amp; RIGHT($C1021,4)), "")</f>
        <v/>
      </c>
      <c r="Q1021" s="37" t="str">
        <f t="array" ref="Q1021">IF($R1021&lt;&gt;"",IFERROR(INDEX(ISIN!$B:$B,MATCH($R1021,ISIN!$C:$C,0))),)</f>
        <v/>
      </c>
      <c r="R1021" s="38" t="str">
        <f t="array" ref="R1021">IF($E1021&lt;&gt;""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7" t="str">
        <f t="shared" si="1"/>
        <v/>
      </c>
      <c r="T1021" s="39" t="str">
        <f t="shared" si="2"/>
        <v/>
      </c>
      <c r="U1021" s="40" t="str">
        <f t="shared" si="3"/>
        <v/>
      </c>
      <c r="V1021" s="34" t="str">
        <f t="shared" si="4"/>
        <v/>
      </c>
      <c r="W1021" s="41" t="str">
        <f>IFERROR(__xludf.DUMMYFUNCTION(" IF(Account!$F1021&lt;&gt;"""", SPLIT(Account!$F1021, "" ""), """")"),"")</f>
        <v/>
      </c>
      <c r="X1021" s="42"/>
      <c r="Y1021" s="42"/>
      <c r="Z1021" s="42"/>
      <c r="AA1021" s="42"/>
      <c r="AB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</row>
    <row r="1022">
      <c r="A1022" s="20"/>
      <c r="B1022" s="20"/>
      <c r="C1022" s="20"/>
      <c r="D1022" s="20"/>
      <c r="E1022" s="20"/>
      <c r="F1022" s="21"/>
      <c r="G1022" s="45"/>
      <c r="H1022" s="20"/>
      <c r="I1022" s="20"/>
      <c r="J1022" s="20"/>
      <c r="K1022" s="20"/>
      <c r="L1022" s="21"/>
      <c r="M1022" s="33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4" t="str">
        <f>IFERROR(__xludf.DUMMYFUNCTION("IF(Account!$F1022&lt;&gt;"""", VALUE(REGEXREPLACE($I1022, ""\,"", ""."")), """")"),"")</f>
        <v/>
      </c>
      <c r="O1022" s="35" t="str">
        <f>IF(Account!$F1022&lt;&gt;"", DATEVALUE(MID($A1022,4,3) &amp; LEFT($A1022,3) &amp; RIGHT($A1022,4)) + TIMEVALUE($B1022), "")</f>
        <v/>
      </c>
      <c r="P1022" s="36" t="str">
        <f>IF(Account!$F1022&lt;&gt;"", DATEVALUE(MID($C1022,4,3) &amp; LEFT($C1022,3) &amp; RIGHT($C1022,4)), "")</f>
        <v/>
      </c>
      <c r="Q1022" s="37" t="str">
        <f t="array" ref="Q1022">IF($R1022&lt;&gt;"",IFERROR(INDEX(ISIN!$B:$B,MATCH($R1022,ISIN!$C:$C,0))),)</f>
        <v/>
      </c>
      <c r="R1022" s="38" t="str">
        <f t="array" ref="R1022">IF($E1022&lt;&gt;""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7" t="str">
        <f t="shared" si="1"/>
        <v/>
      </c>
      <c r="T1022" s="39" t="str">
        <f t="shared" si="2"/>
        <v/>
      </c>
      <c r="U1022" s="40" t="str">
        <f t="shared" si="3"/>
        <v/>
      </c>
      <c r="V1022" s="34" t="str">
        <f t="shared" si="4"/>
        <v/>
      </c>
      <c r="W1022" s="41" t="str">
        <f>IFERROR(__xludf.DUMMYFUNCTION(" IF(Account!$F1022&lt;&gt;"""", SPLIT(Account!$F1022, "" ""), """")"),"")</f>
        <v/>
      </c>
      <c r="X1022" s="42"/>
      <c r="Y1022" s="42"/>
      <c r="Z1022" s="42"/>
      <c r="AA1022" s="42"/>
      <c r="AB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</row>
    <row r="1023">
      <c r="A1023" s="20"/>
      <c r="B1023" s="20"/>
      <c r="C1023" s="20"/>
      <c r="D1023" s="20"/>
      <c r="E1023" s="20"/>
      <c r="F1023" s="21"/>
      <c r="G1023" s="20"/>
      <c r="H1023" s="20"/>
      <c r="I1023" s="20"/>
      <c r="J1023" s="20"/>
      <c r="K1023" s="20"/>
      <c r="L1023" s="21"/>
      <c r="M1023" s="33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4" t="str">
        <f>IFERROR(__xludf.DUMMYFUNCTION("IF(Account!$F1023&lt;&gt;"""", VALUE(REGEXREPLACE($I1023, ""\,"", ""."")), """")"),"")</f>
        <v/>
      </c>
      <c r="O1023" s="35" t="str">
        <f>IF(Account!$F1023&lt;&gt;"", DATEVALUE(MID($A1023,4,3) &amp; LEFT($A1023,3) &amp; RIGHT($A1023,4)) + TIMEVALUE($B1023), "")</f>
        <v/>
      </c>
      <c r="P1023" s="36" t="str">
        <f>IF(Account!$F1023&lt;&gt;"", DATEVALUE(MID($C1023,4,3) &amp; LEFT($C1023,3) &amp; RIGHT($C1023,4)), "")</f>
        <v/>
      </c>
      <c r="Q1023" s="37" t="str">
        <f t="array" ref="Q1023">IF($R1023&lt;&gt;"",IFERROR(INDEX(ISIN!$B:$B,MATCH($R1023,ISIN!$C:$C,0))),)</f>
        <v/>
      </c>
      <c r="R1023" s="38" t="str">
        <f t="array" ref="R1023">IF($E1023&lt;&gt;""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7" t="str">
        <f t="shared" si="1"/>
        <v/>
      </c>
      <c r="T1023" s="39" t="str">
        <f t="shared" si="2"/>
        <v/>
      </c>
      <c r="U1023" s="40" t="str">
        <f t="shared" si="3"/>
        <v/>
      </c>
      <c r="V1023" s="34" t="str">
        <f t="shared" si="4"/>
        <v/>
      </c>
      <c r="W1023" s="41" t="str">
        <f>IFERROR(__xludf.DUMMYFUNCTION(" IF(Account!$F1023&lt;&gt;"""", SPLIT(Account!$F1023, "" ""), """")"),"")</f>
        <v/>
      </c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</row>
    <row r="1024">
      <c r="A1024" s="20"/>
      <c r="B1024" s="20"/>
      <c r="C1024" s="20"/>
      <c r="D1024" s="20"/>
      <c r="E1024" s="20"/>
      <c r="F1024" s="21"/>
      <c r="G1024" s="45"/>
      <c r="H1024" s="20"/>
      <c r="I1024" s="20"/>
      <c r="J1024" s="20"/>
      <c r="K1024" s="20"/>
      <c r="L1024" s="21"/>
      <c r="M1024" s="33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4" t="str">
        <f>IFERROR(__xludf.DUMMYFUNCTION("IF(Account!$F1024&lt;&gt;"""", VALUE(REGEXREPLACE($I1024, ""\,"", ""."")), """")"),"")</f>
        <v/>
      </c>
      <c r="O1024" s="35" t="str">
        <f>IF(Account!$F1024&lt;&gt;"", DATEVALUE(MID($A1024,4,3) &amp; LEFT($A1024,3) &amp; RIGHT($A1024,4)) + TIMEVALUE($B1024), "")</f>
        <v/>
      </c>
      <c r="P1024" s="36" t="str">
        <f>IF(Account!$F1024&lt;&gt;"", DATEVALUE(MID($C1024,4,3) &amp; LEFT($C1024,3) &amp; RIGHT($C1024,4)), "")</f>
        <v/>
      </c>
      <c r="Q1024" s="37" t="str">
        <f t="array" ref="Q1024">IF($R1024&lt;&gt;"",IFERROR(INDEX(ISIN!$B:$B,MATCH($R1024,ISIN!$C:$C,0))),)</f>
        <v/>
      </c>
      <c r="R1024" s="38" t="str">
        <f t="array" ref="R1024">IF($E1024&lt;&gt;""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7" t="str">
        <f t="shared" si="1"/>
        <v/>
      </c>
      <c r="T1024" s="39" t="str">
        <f t="shared" si="2"/>
        <v/>
      </c>
      <c r="U1024" s="40" t="str">
        <f t="shared" si="3"/>
        <v/>
      </c>
      <c r="V1024" s="34" t="str">
        <f t="shared" si="4"/>
        <v/>
      </c>
      <c r="W1024" s="41" t="str">
        <f>IFERROR(__xludf.DUMMYFUNCTION(" IF(Account!$F1024&lt;&gt;"""", SPLIT(Account!$F1024, "" ""), """")"),"")</f>
        <v/>
      </c>
      <c r="X1024" s="42"/>
      <c r="Y1024" s="42"/>
      <c r="Z1024" s="42"/>
      <c r="AA1024" s="42"/>
      <c r="AB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</row>
    <row r="1025">
      <c r="A1025" s="20"/>
      <c r="B1025" s="20"/>
      <c r="C1025" s="20"/>
      <c r="D1025" s="20"/>
      <c r="E1025" s="20"/>
      <c r="F1025" s="21"/>
      <c r="G1025" s="20"/>
      <c r="H1025" s="20"/>
      <c r="I1025" s="20"/>
      <c r="J1025" s="20"/>
      <c r="K1025" s="20"/>
      <c r="L1025" s="21"/>
      <c r="M1025" s="33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4" t="str">
        <f>IFERROR(__xludf.DUMMYFUNCTION("IF(Account!$F1025&lt;&gt;"""", VALUE(REGEXREPLACE($I1025, ""\,"", ""."")), """")"),"")</f>
        <v/>
      </c>
      <c r="O1025" s="35" t="str">
        <f>IF(Account!$F1025&lt;&gt;"", DATEVALUE(MID($A1025,4,3) &amp; LEFT($A1025,3) &amp; RIGHT($A1025,4)) + TIMEVALUE($B1025), "")</f>
        <v/>
      </c>
      <c r="P1025" s="36" t="str">
        <f>IF(Account!$F1025&lt;&gt;"", DATEVALUE(MID($C1025,4,3) &amp; LEFT($C1025,3) &amp; RIGHT($C1025,4)), "")</f>
        <v/>
      </c>
      <c r="Q1025" s="37" t="str">
        <f t="array" ref="Q1025">IF($R1025&lt;&gt;"",IFERROR(INDEX(ISIN!$B:$B,MATCH($R1025,ISIN!$C:$C,0))),)</f>
        <v/>
      </c>
      <c r="R1025" s="38" t="str">
        <f t="array" ref="R1025">IF($E1025&lt;&gt;""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7" t="str">
        <f t="shared" si="1"/>
        <v/>
      </c>
      <c r="T1025" s="39" t="str">
        <f t="shared" si="2"/>
        <v/>
      </c>
      <c r="U1025" s="40" t="str">
        <f t="shared" si="3"/>
        <v/>
      </c>
      <c r="V1025" s="34" t="str">
        <f t="shared" si="4"/>
        <v/>
      </c>
      <c r="W1025" s="41" t="str">
        <f>IFERROR(__xludf.DUMMYFUNCTION(" IF(Account!$F1025&lt;&gt;"""", SPLIT(Account!$F1025, "" ""), """")"),"")</f>
        <v/>
      </c>
      <c r="X1025" s="42"/>
      <c r="Y1025" s="42"/>
      <c r="Z1025" s="42"/>
      <c r="AA1025" s="42"/>
      <c r="AB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</row>
    <row r="1026">
      <c r="A1026" s="20"/>
      <c r="B1026" s="20"/>
      <c r="C1026" s="20"/>
      <c r="D1026" s="20"/>
      <c r="E1026" s="20"/>
      <c r="F1026" s="21"/>
      <c r="G1026" s="45"/>
      <c r="H1026" s="20"/>
      <c r="I1026" s="20"/>
      <c r="J1026" s="20"/>
      <c r="K1026" s="20"/>
      <c r="L1026" s="21"/>
      <c r="M1026" s="33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4" t="str">
        <f>IFERROR(__xludf.DUMMYFUNCTION("IF(Account!$F1026&lt;&gt;"""", VALUE(REGEXREPLACE($I1026, ""\,"", ""."")), """")"),"")</f>
        <v/>
      </c>
      <c r="O1026" s="35" t="str">
        <f>IF(Account!$F1026&lt;&gt;"", DATEVALUE(MID($A1026,4,3) &amp; LEFT($A1026,3) &amp; RIGHT($A1026,4)) + TIMEVALUE($B1026), "")</f>
        <v/>
      </c>
      <c r="P1026" s="36" t="str">
        <f>IF(Account!$F1026&lt;&gt;"", DATEVALUE(MID($C1026,4,3) &amp; LEFT($C1026,3) &amp; RIGHT($C1026,4)), "")</f>
        <v/>
      </c>
      <c r="Q1026" s="37" t="str">
        <f t="array" ref="Q1026">IF($R1026&lt;&gt;"",IFERROR(INDEX(ISIN!$B:$B,MATCH($R1026,ISIN!$C:$C,0))),)</f>
        <v/>
      </c>
      <c r="R1026" s="38" t="str">
        <f t="array" ref="R1026">IF($E1026&lt;&gt;""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7" t="str">
        <f t="shared" si="1"/>
        <v/>
      </c>
      <c r="T1026" s="39" t="str">
        <f t="shared" si="2"/>
        <v/>
      </c>
      <c r="U1026" s="40" t="str">
        <f t="shared" si="3"/>
        <v/>
      </c>
      <c r="V1026" s="34" t="str">
        <f t="shared" si="4"/>
        <v/>
      </c>
      <c r="W1026" s="41" t="str">
        <f>IFERROR(__xludf.DUMMYFUNCTION(" IF(Account!$F1026&lt;&gt;"""", SPLIT(Account!$F1026, "" ""), """")"),"")</f>
        <v/>
      </c>
      <c r="X1026" s="42"/>
      <c r="Y1026" s="42"/>
      <c r="Z1026" s="42"/>
      <c r="AA1026" s="42"/>
      <c r="AB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</row>
    <row r="1027">
      <c r="A1027" s="20"/>
      <c r="B1027" s="20"/>
      <c r="C1027" s="20"/>
      <c r="D1027" s="20"/>
      <c r="E1027" s="20"/>
      <c r="F1027" s="21"/>
      <c r="G1027" s="20"/>
      <c r="H1027" s="20"/>
      <c r="I1027" s="20"/>
      <c r="J1027" s="20"/>
      <c r="K1027" s="20"/>
      <c r="L1027" s="21"/>
      <c r="M1027" s="33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4" t="str">
        <f>IFERROR(__xludf.DUMMYFUNCTION("IF(Account!$F1027&lt;&gt;"""", VALUE(REGEXREPLACE($I1027, ""\,"", ""."")), """")"),"")</f>
        <v/>
      </c>
      <c r="O1027" s="35" t="str">
        <f>IF(Account!$F1027&lt;&gt;"", DATEVALUE(MID($A1027,4,3) &amp; LEFT($A1027,3) &amp; RIGHT($A1027,4)) + TIMEVALUE($B1027), "")</f>
        <v/>
      </c>
      <c r="P1027" s="36" t="str">
        <f>IF(Account!$F1027&lt;&gt;"", DATEVALUE(MID($C1027,4,3) &amp; LEFT($C1027,3) &amp; RIGHT($C1027,4)), "")</f>
        <v/>
      </c>
      <c r="Q1027" s="37" t="str">
        <f t="array" ref="Q1027">IF($R1027&lt;&gt;"",IFERROR(INDEX(ISIN!$B:$B,MATCH($R1027,ISIN!$C:$C,0))),)</f>
        <v/>
      </c>
      <c r="R1027" s="38" t="str">
        <f t="array" ref="R1027">IF($E1027&lt;&gt;""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7" t="str">
        <f t="shared" si="1"/>
        <v/>
      </c>
      <c r="T1027" s="39" t="str">
        <f t="shared" si="2"/>
        <v/>
      </c>
      <c r="U1027" s="40" t="str">
        <f t="shared" si="3"/>
        <v/>
      </c>
      <c r="V1027" s="34" t="str">
        <f t="shared" si="4"/>
        <v/>
      </c>
      <c r="W1027" s="41" t="str">
        <f>IFERROR(__xludf.DUMMYFUNCTION(" IF(Account!$F1027&lt;&gt;"""", SPLIT(Account!$F1027, "" ""), """")"),"")</f>
        <v/>
      </c>
      <c r="X1027" s="42"/>
      <c r="Y1027" s="42"/>
      <c r="Z1027" s="42"/>
      <c r="AA1027" s="42"/>
      <c r="AB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</row>
    <row r="1028">
      <c r="A1028" s="20"/>
      <c r="B1028" s="20"/>
      <c r="C1028" s="20"/>
      <c r="D1028" s="20"/>
      <c r="E1028" s="20"/>
      <c r="F1028" s="21"/>
      <c r="G1028" s="45"/>
      <c r="H1028" s="20"/>
      <c r="I1028" s="20"/>
      <c r="J1028" s="20"/>
      <c r="K1028" s="20"/>
      <c r="L1028" s="21"/>
      <c r="M1028" s="33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4" t="str">
        <f>IFERROR(__xludf.DUMMYFUNCTION("IF(Account!$F1028&lt;&gt;"""", VALUE(REGEXREPLACE($I1028, ""\,"", ""."")), """")"),"")</f>
        <v/>
      </c>
      <c r="O1028" s="35" t="str">
        <f>IF(Account!$F1028&lt;&gt;"", DATEVALUE(MID($A1028,4,3) &amp; LEFT($A1028,3) &amp; RIGHT($A1028,4)) + TIMEVALUE($B1028), "")</f>
        <v/>
      </c>
      <c r="P1028" s="36" t="str">
        <f>IF(Account!$F1028&lt;&gt;"", DATEVALUE(MID($C1028,4,3) &amp; LEFT($C1028,3) &amp; RIGHT($C1028,4)), "")</f>
        <v/>
      </c>
      <c r="Q1028" s="37" t="str">
        <f t="array" ref="Q1028">IF($R1028&lt;&gt;"",IFERROR(INDEX(ISIN!$B:$B,MATCH($R1028,ISIN!$C:$C,0))),)</f>
        <v/>
      </c>
      <c r="R1028" s="38" t="str">
        <f t="array" ref="R1028">IF($E1028&lt;&gt;""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7" t="str">
        <f t="shared" si="1"/>
        <v/>
      </c>
      <c r="T1028" s="39" t="str">
        <f t="shared" si="2"/>
        <v/>
      </c>
      <c r="U1028" s="40" t="str">
        <f t="shared" si="3"/>
        <v/>
      </c>
      <c r="V1028" s="34" t="str">
        <f t="shared" si="4"/>
        <v/>
      </c>
      <c r="W1028" s="41" t="str">
        <f>IFERROR(__xludf.DUMMYFUNCTION(" IF(Account!$F1028&lt;&gt;"""", SPLIT(Account!$F1028, "" ""), """")"),"")</f>
        <v/>
      </c>
      <c r="X1028" s="42"/>
      <c r="Y1028" s="42"/>
      <c r="Z1028" s="42"/>
      <c r="AA1028" s="42"/>
      <c r="AB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</row>
    <row r="1029">
      <c r="A1029" s="20"/>
      <c r="B1029" s="20"/>
      <c r="C1029" s="20"/>
      <c r="D1029" s="20"/>
      <c r="E1029" s="20"/>
      <c r="F1029" s="21"/>
      <c r="G1029" s="20"/>
      <c r="H1029" s="20"/>
      <c r="I1029" s="20"/>
      <c r="J1029" s="20"/>
      <c r="K1029" s="20"/>
      <c r="L1029" s="21"/>
      <c r="M1029" s="33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4" t="str">
        <f>IFERROR(__xludf.DUMMYFUNCTION("IF(Account!$F1029&lt;&gt;"""", VALUE(REGEXREPLACE($I1029, ""\,"", ""."")), """")"),"")</f>
        <v/>
      </c>
      <c r="O1029" s="35" t="str">
        <f>IF(Account!$F1029&lt;&gt;"", DATEVALUE(MID($A1029,4,3) &amp; LEFT($A1029,3) &amp; RIGHT($A1029,4)) + TIMEVALUE($B1029), "")</f>
        <v/>
      </c>
      <c r="P1029" s="36" t="str">
        <f>IF(Account!$F1029&lt;&gt;"", DATEVALUE(MID($C1029,4,3) &amp; LEFT($C1029,3) &amp; RIGHT($C1029,4)), "")</f>
        <v/>
      </c>
      <c r="Q1029" s="37" t="str">
        <f t="array" ref="Q1029">IF($R1029&lt;&gt;"",IFERROR(INDEX(ISIN!$B:$B,MATCH($R1029,ISIN!$C:$C,0))),)</f>
        <v/>
      </c>
      <c r="R1029" s="38" t="str">
        <f t="array" ref="R1029">IF($E1029&lt;&gt;""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7" t="str">
        <f t="shared" si="1"/>
        <v/>
      </c>
      <c r="T1029" s="39" t="str">
        <f t="shared" si="2"/>
        <v/>
      </c>
      <c r="U1029" s="40" t="str">
        <f t="shared" si="3"/>
        <v/>
      </c>
      <c r="V1029" s="34" t="str">
        <f t="shared" si="4"/>
        <v/>
      </c>
      <c r="W1029" s="41" t="str">
        <f>IFERROR(__xludf.DUMMYFUNCTION(" IF(Account!$F1029&lt;&gt;"""", SPLIT(Account!$F1029, "" ""), """")"),"")</f>
        <v/>
      </c>
      <c r="X1029" s="42"/>
      <c r="Y1029" s="42"/>
      <c r="Z1029" s="42"/>
      <c r="AA1029" s="42"/>
      <c r="AB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</row>
    <row r="1030">
      <c r="A1030" s="20"/>
      <c r="B1030" s="20"/>
      <c r="C1030" s="20"/>
      <c r="D1030" s="20"/>
      <c r="E1030" s="20"/>
      <c r="F1030" s="21"/>
      <c r="G1030" s="45"/>
      <c r="H1030" s="20"/>
      <c r="I1030" s="20"/>
      <c r="J1030" s="20"/>
      <c r="K1030" s="20"/>
      <c r="L1030" s="21"/>
      <c r="M1030" s="33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4" t="str">
        <f>IFERROR(__xludf.DUMMYFUNCTION("IF(Account!$F1030&lt;&gt;"""", VALUE(REGEXREPLACE($I1030, ""\,"", ""."")), """")"),"")</f>
        <v/>
      </c>
      <c r="O1030" s="35" t="str">
        <f>IF(Account!$F1030&lt;&gt;"", DATEVALUE(MID($A1030,4,3) &amp; LEFT($A1030,3) &amp; RIGHT($A1030,4)) + TIMEVALUE($B1030), "")</f>
        <v/>
      </c>
      <c r="P1030" s="36" t="str">
        <f>IF(Account!$F1030&lt;&gt;"", DATEVALUE(MID($C1030,4,3) &amp; LEFT($C1030,3) &amp; RIGHT($C1030,4)), "")</f>
        <v/>
      </c>
      <c r="Q1030" s="37" t="str">
        <f t="array" ref="Q1030">IF($R1030&lt;&gt;"",IFERROR(INDEX(ISIN!$B:$B,MATCH($R1030,ISIN!$C:$C,0))),)</f>
        <v/>
      </c>
      <c r="R1030" s="38" t="str">
        <f t="array" ref="R1030">IF($E1030&lt;&gt;""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7" t="str">
        <f t="shared" si="1"/>
        <v/>
      </c>
      <c r="T1030" s="39" t="str">
        <f t="shared" si="2"/>
        <v/>
      </c>
      <c r="U1030" s="40" t="str">
        <f t="shared" si="3"/>
        <v/>
      </c>
      <c r="V1030" s="34" t="str">
        <f t="shared" si="4"/>
        <v/>
      </c>
      <c r="W1030" s="41" t="str">
        <f>IFERROR(__xludf.DUMMYFUNCTION(" IF(Account!$F1030&lt;&gt;"""", SPLIT(Account!$F1030, "" ""), """")"),"")</f>
        <v/>
      </c>
      <c r="X1030" s="42"/>
      <c r="Y1030" s="42"/>
      <c r="Z1030" s="42"/>
      <c r="AA1030" s="42"/>
      <c r="AB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</row>
    <row r="1031">
      <c r="A1031" s="20"/>
      <c r="B1031" s="20"/>
      <c r="C1031" s="20"/>
      <c r="D1031" s="20"/>
      <c r="E1031" s="20"/>
      <c r="F1031" s="21"/>
      <c r="G1031" s="20"/>
      <c r="H1031" s="20"/>
      <c r="I1031" s="20"/>
      <c r="J1031" s="20"/>
      <c r="K1031" s="20"/>
      <c r="L1031" s="21"/>
      <c r="M1031" s="33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4" t="str">
        <f>IFERROR(__xludf.DUMMYFUNCTION("IF(Account!$F1031&lt;&gt;"""", VALUE(REGEXREPLACE($I1031, ""\,"", ""."")), """")"),"")</f>
        <v/>
      </c>
      <c r="O1031" s="35" t="str">
        <f>IF(Account!$F1031&lt;&gt;"", DATEVALUE(MID($A1031,4,3) &amp; LEFT($A1031,3) &amp; RIGHT($A1031,4)) + TIMEVALUE($B1031), "")</f>
        <v/>
      </c>
      <c r="P1031" s="36" t="str">
        <f>IF(Account!$F1031&lt;&gt;"", DATEVALUE(MID($C1031,4,3) &amp; LEFT($C1031,3) &amp; RIGHT($C1031,4)), "")</f>
        <v/>
      </c>
      <c r="Q1031" s="37" t="str">
        <f t="array" ref="Q1031">IF($R1031&lt;&gt;"",IFERROR(INDEX(ISIN!$B:$B,MATCH($R1031,ISIN!$C:$C,0))),)</f>
        <v/>
      </c>
      <c r="R1031" s="38" t="str">
        <f t="array" ref="R1031">IF($E1031&lt;&gt;""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7" t="str">
        <f t="shared" si="1"/>
        <v/>
      </c>
      <c r="T1031" s="39" t="str">
        <f t="shared" si="2"/>
        <v/>
      </c>
      <c r="U1031" s="40" t="str">
        <f t="shared" si="3"/>
        <v/>
      </c>
      <c r="V1031" s="34" t="str">
        <f t="shared" si="4"/>
        <v/>
      </c>
      <c r="W1031" s="41" t="str">
        <f>IFERROR(__xludf.DUMMYFUNCTION(" IF(Account!$F1031&lt;&gt;"""", SPLIT(Account!$F1031, "" ""), """")"),"")</f>
        <v/>
      </c>
      <c r="X1031" s="42"/>
      <c r="Y1031" s="42"/>
      <c r="Z1031" s="42"/>
      <c r="AA1031" s="42"/>
      <c r="AB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</row>
    <row r="1032">
      <c r="A1032" s="20"/>
      <c r="B1032" s="20"/>
      <c r="C1032" s="20"/>
      <c r="D1032" s="20"/>
      <c r="E1032" s="20"/>
      <c r="F1032" s="21"/>
      <c r="G1032" s="45"/>
      <c r="H1032" s="20"/>
      <c r="I1032" s="20"/>
      <c r="J1032" s="20"/>
      <c r="K1032" s="20"/>
      <c r="L1032" s="21"/>
      <c r="M1032" s="33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4" t="str">
        <f>IFERROR(__xludf.DUMMYFUNCTION("IF(Account!$F1032&lt;&gt;"""", VALUE(REGEXREPLACE($I1032, ""\,"", ""."")), """")"),"")</f>
        <v/>
      </c>
      <c r="O1032" s="35" t="str">
        <f>IF(Account!$F1032&lt;&gt;"", DATEVALUE(MID($A1032,4,3) &amp; LEFT($A1032,3) &amp; RIGHT($A1032,4)) + TIMEVALUE($B1032), "")</f>
        <v/>
      </c>
      <c r="P1032" s="36" t="str">
        <f>IF(Account!$F1032&lt;&gt;"", DATEVALUE(MID($C1032,4,3) &amp; LEFT($C1032,3) &amp; RIGHT($C1032,4)), "")</f>
        <v/>
      </c>
      <c r="Q1032" s="37" t="str">
        <f t="array" ref="Q1032">IF($R1032&lt;&gt;"",IFERROR(INDEX(ISIN!$B:$B,MATCH($R1032,ISIN!$C:$C,0))),)</f>
        <v/>
      </c>
      <c r="R1032" s="38" t="str">
        <f t="array" ref="R1032">IF($E1032&lt;&gt;""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7" t="str">
        <f t="shared" si="1"/>
        <v/>
      </c>
      <c r="T1032" s="39" t="str">
        <f t="shared" si="2"/>
        <v/>
      </c>
      <c r="U1032" s="40" t="str">
        <f t="shared" si="3"/>
        <v/>
      </c>
      <c r="V1032" s="34" t="str">
        <f t="shared" si="4"/>
        <v/>
      </c>
      <c r="W1032" s="41" t="str">
        <f>IFERROR(__xludf.DUMMYFUNCTION(" IF(Account!$F1032&lt;&gt;"""", SPLIT(Account!$F1032, "" ""), """")"),"")</f>
        <v/>
      </c>
      <c r="X1032" s="42"/>
      <c r="Y1032" s="42"/>
      <c r="Z1032" s="42"/>
      <c r="AA1032" s="42"/>
      <c r="AB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</row>
    <row r="1033">
      <c r="A1033" s="20"/>
      <c r="B1033" s="20"/>
      <c r="C1033" s="20"/>
      <c r="D1033" s="20"/>
      <c r="E1033" s="20"/>
      <c r="F1033" s="21"/>
      <c r="G1033" s="45"/>
      <c r="H1033" s="20"/>
      <c r="I1033" s="20"/>
      <c r="J1033" s="20"/>
      <c r="K1033" s="20"/>
      <c r="L1033" s="21"/>
      <c r="M1033" s="33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4" t="str">
        <f>IFERROR(__xludf.DUMMYFUNCTION("IF(Account!$F1033&lt;&gt;"""", VALUE(REGEXREPLACE($I1033, ""\,"", ""."")), """")"),"")</f>
        <v/>
      </c>
      <c r="O1033" s="35" t="str">
        <f>IF(Account!$F1033&lt;&gt;"", DATEVALUE(MID($A1033,4,3) &amp; LEFT($A1033,3) &amp; RIGHT($A1033,4)) + TIMEVALUE($B1033), "")</f>
        <v/>
      </c>
      <c r="P1033" s="36" t="str">
        <f>IF(Account!$F1033&lt;&gt;"", DATEVALUE(MID($C1033,4,3) &amp; LEFT($C1033,3) &amp; RIGHT($C1033,4)), "")</f>
        <v/>
      </c>
      <c r="Q1033" s="37" t="str">
        <f t="array" ref="Q1033">IF($R1033&lt;&gt;"",IFERROR(INDEX(ISIN!$B:$B,MATCH($R1033,ISIN!$C:$C,0))),)</f>
        <v/>
      </c>
      <c r="R1033" s="38" t="str">
        <f t="array" ref="R1033">IF($E1033&lt;&gt;""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7" t="str">
        <f t="shared" si="1"/>
        <v/>
      </c>
      <c r="T1033" s="39" t="str">
        <f t="shared" si="2"/>
        <v/>
      </c>
      <c r="U1033" s="40" t="str">
        <f t="shared" si="3"/>
        <v/>
      </c>
      <c r="V1033" s="34" t="str">
        <f t="shared" si="4"/>
        <v/>
      </c>
      <c r="W1033" s="41" t="str">
        <f>IFERROR(__xludf.DUMMYFUNCTION(" IF(Account!$F1033&lt;&gt;"""", SPLIT(Account!$F1033, "" ""), """")"),"")</f>
        <v/>
      </c>
      <c r="X1033" s="42"/>
      <c r="Y1033" s="42"/>
      <c r="Z1033" s="42"/>
      <c r="AA1033" s="42"/>
      <c r="AB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</row>
    <row r="1034">
      <c r="A1034" s="20"/>
      <c r="B1034" s="20"/>
      <c r="C1034" s="20"/>
      <c r="D1034" s="20"/>
      <c r="E1034" s="20"/>
      <c r="F1034" s="21"/>
      <c r="G1034" s="45"/>
      <c r="H1034" s="20"/>
      <c r="I1034" s="20"/>
      <c r="J1034" s="20"/>
      <c r="K1034" s="20"/>
      <c r="L1034" s="21"/>
      <c r="M1034" s="33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4" t="str">
        <f>IFERROR(__xludf.DUMMYFUNCTION("IF(Account!$F1034&lt;&gt;"""", VALUE(REGEXREPLACE($I1034, ""\,"", ""."")), """")"),"")</f>
        <v/>
      </c>
      <c r="O1034" s="35" t="str">
        <f>IF(Account!$F1034&lt;&gt;"", DATEVALUE(MID($A1034,4,3) &amp; LEFT($A1034,3) &amp; RIGHT($A1034,4)) + TIMEVALUE($B1034), "")</f>
        <v/>
      </c>
      <c r="P1034" s="36" t="str">
        <f>IF(Account!$F1034&lt;&gt;"", DATEVALUE(MID($C1034,4,3) &amp; LEFT($C1034,3) &amp; RIGHT($C1034,4)), "")</f>
        <v/>
      </c>
      <c r="Q1034" s="37" t="str">
        <f t="array" ref="Q1034">IF($R1034&lt;&gt;"",IFERROR(INDEX(ISIN!$B:$B,MATCH($R1034,ISIN!$C:$C,0))),)</f>
        <v/>
      </c>
      <c r="R1034" s="38" t="str">
        <f t="array" ref="R1034">IF($E1034&lt;&gt;""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7" t="str">
        <f t="shared" si="1"/>
        <v/>
      </c>
      <c r="T1034" s="39" t="str">
        <f t="shared" si="2"/>
        <v/>
      </c>
      <c r="U1034" s="40" t="str">
        <f t="shared" si="3"/>
        <v/>
      </c>
      <c r="V1034" s="34" t="str">
        <f t="shared" si="4"/>
        <v/>
      </c>
      <c r="W1034" s="41" t="str">
        <f>IFERROR(__xludf.DUMMYFUNCTION(" IF(Account!$F1034&lt;&gt;"""", SPLIT(Account!$F1034, "" ""), """")"),"")</f>
        <v/>
      </c>
      <c r="X1034" s="42"/>
      <c r="Y1034" s="42"/>
      <c r="Z1034" s="42"/>
      <c r="AA1034" s="42"/>
      <c r="AB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</row>
    <row r="1035">
      <c r="A1035" s="20"/>
      <c r="B1035" s="20"/>
      <c r="C1035" s="20"/>
      <c r="D1035" s="20"/>
      <c r="E1035" s="20"/>
      <c r="F1035" s="21"/>
      <c r="G1035" s="45"/>
      <c r="H1035" s="20"/>
      <c r="I1035" s="20"/>
      <c r="J1035" s="20"/>
      <c r="K1035" s="20"/>
      <c r="L1035" s="21"/>
      <c r="M1035" s="33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4" t="str">
        <f>IFERROR(__xludf.DUMMYFUNCTION("IF(Account!$F1035&lt;&gt;"""", VALUE(REGEXREPLACE($I1035, ""\,"", ""."")), """")"),"")</f>
        <v/>
      </c>
      <c r="O1035" s="35" t="str">
        <f>IF(Account!$F1035&lt;&gt;"", DATEVALUE(MID($A1035,4,3) &amp; LEFT($A1035,3) &amp; RIGHT($A1035,4)) + TIMEVALUE($B1035), "")</f>
        <v/>
      </c>
      <c r="P1035" s="36" t="str">
        <f>IF(Account!$F1035&lt;&gt;"", DATEVALUE(MID($C1035,4,3) &amp; LEFT($C1035,3) &amp; RIGHT($C1035,4)), "")</f>
        <v/>
      </c>
      <c r="Q1035" s="37" t="str">
        <f t="array" ref="Q1035">IF($R1035&lt;&gt;"",IFERROR(INDEX(ISIN!$B:$B,MATCH($R1035,ISIN!$C:$C,0))),)</f>
        <v/>
      </c>
      <c r="R1035" s="38" t="str">
        <f t="array" ref="R1035">IF($E1035&lt;&gt;""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7" t="str">
        <f t="shared" si="1"/>
        <v/>
      </c>
      <c r="T1035" s="39" t="str">
        <f t="shared" si="2"/>
        <v/>
      </c>
      <c r="U1035" s="40" t="str">
        <f t="shared" si="3"/>
        <v/>
      </c>
      <c r="V1035" s="34" t="str">
        <f t="shared" si="4"/>
        <v/>
      </c>
      <c r="W1035" s="41" t="str">
        <f>IFERROR(__xludf.DUMMYFUNCTION(" IF(Account!$F1035&lt;&gt;"""", SPLIT(Account!$F1035, "" ""), """")"),"")</f>
        <v/>
      </c>
      <c r="X1035" s="42"/>
      <c r="Y1035" s="42"/>
      <c r="Z1035" s="42"/>
      <c r="AA1035" s="42"/>
      <c r="AB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</row>
    <row r="1036">
      <c r="A1036" s="20"/>
      <c r="B1036" s="20"/>
      <c r="C1036" s="20"/>
      <c r="D1036" s="20"/>
      <c r="E1036" s="20"/>
      <c r="F1036" s="21"/>
      <c r="G1036" s="45"/>
      <c r="H1036" s="20"/>
      <c r="I1036" s="20"/>
      <c r="J1036" s="20"/>
      <c r="K1036" s="20"/>
      <c r="L1036" s="21"/>
      <c r="M1036" s="33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4" t="str">
        <f>IFERROR(__xludf.DUMMYFUNCTION("IF(Account!$F1036&lt;&gt;"""", VALUE(REGEXREPLACE($I1036, ""\,"", ""."")), """")"),"")</f>
        <v/>
      </c>
      <c r="O1036" s="35" t="str">
        <f>IF(Account!$F1036&lt;&gt;"", DATEVALUE(MID($A1036,4,3) &amp; LEFT($A1036,3) &amp; RIGHT($A1036,4)) + TIMEVALUE($B1036), "")</f>
        <v/>
      </c>
      <c r="P1036" s="36" t="str">
        <f>IF(Account!$F1036&lt;&gt;"", DATEVALUE(MID($C1036,4,3) &amp; LEFT($C1036,3) &amp; RIGHT($C1036,4)), "")</f>
        <v/>
      </c>
      <c r="Q1036" s="37" t="str">
        <f t="array" ref="Q1036">IF($R1036&lt;&gt;"",IFERROR(INDEX(ISIN!$B:$B,MATCH($R1036,ISIN!$C:$C,0))),)</f>
        <v/>
      </c>
      <c r="R1036" s="38" t="str">
        <f t="array" ref="R1036">IF($E1036&lt;&gt;""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7" t="str">
        <f t="shared" si="1"/>
        <v/>
      </c>
      <c r="T1036" s="39" t="str">
        <f t="shared" si="2"/>
        <v/>
      </c>
      <c r="U1036" s="40" t="str">
        <f t="shared" si="3"/>
        <v/>
      </c>
      <c r="V1036" s="34" t="str">
        <f t="shared" si="4"/>
        <v/>
      </c>
      <c r="W1036" s="41" t="str">
        <f>IFERROR(__xludf.DUMMYFUNCTION(" IF(Account!$F1036&lt;&gt;"""", SPLIT(Account!$F1036, "" ""), """")"),"")</f>
        <v/>
      </c>
      <c r="X1036" s="42"/>
      <c r="Y1036" s="42"/>
      <c r="Z1036" s="42"/>
      <c r="AA1036" s="42"/>
      <c r="AB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</row>
    <row r="1037">
      <c r="A1037" s="20"/>
      <c r="B1037" s="20"/>
      <c r="C1037" s="20"/>
      <c r="D1037" s="20"/>
      <c r="E1037" s="20"/>
      <c r="F1037" s="21"/>
      <c r="G1037" s="45"/>
      <c r="H1037" s="20"/>
      <c r="I1037" s="20"/>
      <c r="J1037" s="20"/>
      <c r="K1037" s="20"/>
      <c r="L1037" s="21"/>
      <c r="M1037" s="33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4" t="str">
        <f>IFERROR(__xludf.DUMMYFUNCTION("IF(Account!$F1037&lt;&gt;"""", VALUE(REGEXREPLACE($I1037, ""\,"", ""."")), """")"),"")</f>
        <v/>
      </c>
      <c r="O1037" s="35" t="str">
        <f>IF(Account!$F1037&lt;&gt;"", DATEVALUE(MID($A1037,4,3) &amp; LEFT($A1037,3) &amp; RIGHT($A1037,4)) + TIMEVALUE($B1037), "")</f>
        <v/>
      </c>
      <c r="P1037" s="36" t="str">
        <f>IF(Account!$F1037&lt;&gt;"", DATEVALUE(MID($C1037,4,3) &amp; LEFT($C1037,3) &amp; RIGHT($C1037,4)), "")</f>
        <v/>
      </c>
      <c r="Q1037" s="37" t="str">
        <f t="array" ref="Q1037">IF($R1037&lt;&gt;"",IFERROR(INDEX(ISIN!$B:$B,MATCH($R1037,ISIN!$C:$C,0))),)</f>
        <v/>
      </c>
      <c r="R1037" s="38" t="str">
        <f t="array" ref="R1037">IF($E1037&lt;&gt;""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7" t="str">
        <f t="shared" si="1"/>
        <v/>
      </c>
      <c r="T1037" s="39" t="str">
        <f t="shared" si="2"/>
        <v/>
      </c>
      <c r="U1037" s="40" t="str">
        <f t="shared" si="3"/>
        <v/>
      </c>
      <c r="V1037" s="34" t="str">
        <f t="shared" si="4"/>
        <v/>
      </c>
      <c r="W1037" s="41" t="str">
        <f>IFERROR(__xludf.DUMMYFUNCTION(" IF(Account!$F1037&lt;&gt;"""", SPLIT(Account!$F1037, "" ""), """")"),"")</f>
        <v/>
      </c>
      <c r="X1037" s="42"/>
      <c r="Y1037" s="42"/>
      <c r="Z1037" s="42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</row>
    <row r="1038">
      <c r="A1038" s="20"/>
      <c r="B1038" s="20"/>
      <c r="C1038" s="20"/>
      <c r="D1038" s="20"/>
      <c r="E1038" s="20"/>
      <c r="F1038" s="21"/>
      <c r="G1038" s="45"/>
      <c r="H1038" s="20"/>
      <c r="I1038" s="20"/>
      <c r="J1038" s="20"/>
      <c r="K1038" s="20"/>
      <c r="L1038" s="21"/>
      <c r="M1038" s="33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4" t="str">
        <f>IFERROR(__xludf.DUMMYFUNCTION("IF(Account!$F1038&lt;&gt;"""", VALUE(REGEXREPLACE($I1038, ""\,"", ""."")), """")"),"")</f>
        <v/>
      </c>
      <c r="O1038" s="35" t="str">
        <f>IF(Account!$F1038&lt;&gt;"", DATEVALUE(MID($A1038,4,3) &amp; LEFT($A1038,3) &amp; RIGHT($A1038,4)) + TIMEVALUE($B1038), "")</f>
        <v/>
      </c>
      <c r="P1038" s="36" t="str">
        <f>IF(Account!$F1038&lt;&gt;"", DATEVALUE(MID($C1038,4,3) &amp; LEFT($C1038,3) &amp; RIGHT($C1038,4)), "")</f>
        <v/>
      </c>
      <c r="Q1038" s="37" t="str">
        <f t="array" ref="Q1038">IF($R1038&lt;&gt;"",IFERROR(INDEX(ISIN!$B:$B,MATCH($R1038,ISIN!$C:$C,0))),)</f>
        <v/>
      </c>
      <c r="R1038" s="38" t="str">
        <f t="array" ref="R1038">IF($E1038&lt;&gt;""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7" t="str">
        <f t="shared" si="1"/>
        <v/>
      </c>
      <c r="T1038" s="39" t="str">
        <f t="shared" si="2"/>
        <v/>
      </c>
      <c r="U1038" s="40" t="str">
        <f t="shared" si="3"/>
        <v/>
      </c>
      <c r="V1038" s="34" t="str">
        <f t="shared" si="4"/>
        <v/>
      </c>
      <c r="W1038" s="41" t="str">
        <f>IFERROR(__xludf.DUMMYFUNCTION(" IF(Account!$F1038&lt;&gt;"""", SPLIT(Account!$F1038, "" ""), """")"),"")</f>
        <v/>
      </c>
      <c r="X1038" s="42"/>
      <c r="Y1038" s="42"/>
      <c r="Z1038" s="42"/>
      <c r="AA1038" s="42"/>
      <c r="AB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</row>
    <row r="1039">
      <c r="A1039" s="20"/>
      <c r="B1039" s="20"/>
      <c r="C1039" s="20"/>
      <c r="D1039" s="20"/>
      <c r="E1039" s="20"/>
      <c r="F1039" s="21"/>
      <c r="G1039" s="45"/>
      <c r="H1039" s="20"/>
      <c r="I1039" s="20"/>
      <c r="J1039" s="20"/>
      <c r="K1039" s="20"/>
      <c r="L1039" s="21"/>
      <c r="M1039" s="33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4" t="str">
        <f>IFERROR(__xludf.DUMMYFUNCTION("IF(Account!$F1039&lt;&gt;"""", VALUE(REGEXREPLACE($I1039, ""\,"", ""."")), """")"),"")</f>
        <v/>
      </c>
      <c r="O1039" s="35" t="str">
        <f>IF(Account!$F1039&lt;&gt;"", DATEVALUE(MID($A1039,4,3) &amp; LEFT($A1039,3) &amp; RIGHT($A1039,4)) + TIMEVALUE($B1039), "")</f>
        <v/>
      </c>
      <c r="P1039" s="36" t="str">
        <f>IF(Account!$F1039&lt;&gt;"", DATEVALUE(MID($C1039,4,3) &amp; LEFT($C1039,3) &amp; RIGHT($C1039,4)), "")</f>
        <v/>
      </c>
      <c r="Q1039" s="37" t="str">
        <f t="array" ref="Q1039">IF($R1039&lt;&gt;"",IFERROR(INDEX(ISIN!$B:$B,MATCH($R1039,ISIN!$C:$C,0))),)</f>
        <v/>
      </c>
      <c r="R1039" s="38" t="str">
        <f t="array" ref="R1039">IF($E1039&lt;&gt;""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7" t="str">
        <f t="shared" si="1"/>
        <v/>
      </c>
      <c r="T1039" s="39" t="str">
        <f t="shared" si="2"/>
        <v/>
      </c>
      <c r="U1039" s="40" t="str">
        <f t="shared" si="3"/>
        <v/>
      </c>
      <c r="V1039" s="34" t="str">
        <f t="shared" si="4"/>
        <v/>
      </c>
      <c r="W1039" s="41" t="str">
        <f>IFERROR(__xludf.DUMMYFUNCTION(" IF(Account!$F1039&lt;&gt;"""", SPLIT(Account!$F1039, "" ""), """")"),"")</f>
        <v/>
      </c>
      <c r="X1039" s="42"/>
      <c r="Y1039" s="42"/>
      <c r="Z1039" s="42"/>
      <c r="AA1039" s="42"/>
      <c r="AB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</row>
    <row r="1040">
      <c r="A1040" s="20"/>
      <c r="B1040" s="20"/>
      <c r="C1040" s="20"/>
      <c r="D1040" s="20"/>
      <c r="E1040" s="20"/>
      <c r="F1040" s="21"/>
      <c r="G1040" s="45"/>
      <c r="H1040" s="20"/>
      <c r="I1040" s="20"/>
      <c r="J1040" s="20"/>
      <c r="K1040" s="20"/>
      <c r="L1040" s="21"/>
      <c r="M1040" s="33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4" t="str">
        <f>IFERROR(__xludf.DUMMYFUNCTION("IF(Account!$F1040&lt;&gt;"""", VALUE(REGEXREPLACE($I1040, ""\,"", ""."")), """")"),"")</f>
        <v/>
      </c>
      <c r="O1040" s="35" t="str">
        <f>IF(Account!$F1040&lt;&gt;"", DATEVALUE(MID($A1040,4,3) &amp; LEFT($A1040,3) &amp; RIGHT($A1040,4)) + TIMEVALUE($B1040), "")</f>
        <v/>
      </c>
      <c r="P1040" s="36" t="str">
        <f>IF(Account!$F1040&lt;&gt;"", DATEVALUE(MID($C1040,4,3) &amp; LEFT($C1040,3) &amp; RIGHT($C1040,4)), "")</f>
        <v/>
      </c>
      <c r="Q1040" s="37" t="str">
        <f t="array" ref="Q1040">IF($R1040&lt;&gt;"",IFERROR(INDEX(ISIN!$B:$B,MATCH($R1040,ISIN!$C:$C,0))),)</f>
        <v/>
      </c>
      <c r="R1040" s="38" t="str">
        <f t="array" ref="R1040">IF($E1040&lt;&gt;""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7" t="str">
        <f t="shared" si="1"/>
        <v/>
      </c>
      <c r="T1040" s="39" t="str">
        <f t="shared" si="2"/>
        <v/>
      </c>
      <c r="U1040" s="40" t="str">
        <f t="shared" si="3"/>
        <v/>
      </c>
      <c r="V1040" s="34" t="str">
        <f t="shared" si="4"/>
        <v/>
      </c>
      <c r="W1040" s="41" t="str">
        <f>IFERROR(__xludf.DUMMYFUNCTION(" IF(Account!$F1040&lt;&gt;"""", SPLIT(Account!$F1040, "" ""), """")"),"")</f>
        <v/>
      </c>
      <c r="X1040" s="42"/>
      <c r="Y1040" s="42"/>
      <c r="Z1040" s="42"/>
      <c r="AA1040" s="42"/>
      <c r="AB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</row>
    <row r="1041">
      <c r="A1041" s="20"/>
      <c r="B1041" s="20"/>
      <c r="C1041" s="20"/>
      <c r="D1041" s="20"/>
      <c r="E1041" s="20"/>
      <c r="F1041" s="21"/>
      <c r="G1041" s="20"/>
      <c r="H1041" s="20"/>
      <c r="I1041" s="20"/>
      <c r="J1041" s="20"/>
      <c r="K1041" s="20"/>
      <c r="L1041" s="21"/>
      <c r="M1041" s="33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4" t="str">
        <f>IFERROR(__xludf.DUMMYFUNCTION("IF(Account!$F1041&lt;&gt;"""", VALUE(REGEXREPLACE($I1041, ""\,"", ""."")), """")"),"")</f>
        <v/>
      </c>
      <c r="O1041" s="35" t="str">
        <f>IF(Account!$F1041&lt;&gt;"", DATEVALUE(MID($A1041,4,3) &amp; LEFT($A1041,3) &amp; RIGHT($A1041,4)) + TIMEVALUE($B1041), "")</f>
        <v/>
      </c>
      <c r="P1041" s="36" t="str">
        <f>IF(Account!$F1041&lt;&gt;"", DATEVALUE(MID($C1041,4,3) &amp; LEFT($C1041,3) &amp; RIGHT($C1041,4)), "")</f>
        <v/>
      </c>
      <c r="Q1041" s="37" t="str">
        <f t="array" ref="Q1041">IF($R1041&lt;&gt;"",IFERROR(INDEX(ISIN!$B:$B,MATCH($R1041,ISIN!$C:$C,0))),)</f>
        <v/>
      </c>
      <c r="R1041" s="38" t="str">
        <f t="array" ref="R1041">IF($E1041&lt;&gt;""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7" t="str">
        <f t="shared" si="1"/>
        <v/>
      </c>
      <c r="T1041" s="39" t="str">
        <f t="shared" si="2"/>
        <v/>
      </c>
      <c r="U1041" s="40" t="str">
        <f t="shared" si="3"/>
        <v/>
      </c>
      <c r="V1041" s="34" t="str">
        <f t="shared" si="4"/>
        <v/>
      </c>
      <c r="W1041" s="41" t="str">
        <f>IFERROR(__xludf.DUMMYFUNCTION(" IF(Account!$F1041&lt;&gt;"""", SPLIT(Account!$F1041, "" ""), """")"),"")</f>
        <v/>
      </c>
      <c r="X1041" s="42"/>
      <c r="Y1041" s="42"/>
      <c r="Z1041" s="42"/>
      <c r="AA1041" s="42"/>
      <c r="AB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</row>
    <row r="1042">
      <c r="A1042" s="20"/>
      <c r="B1042" s="20"/>
      <c r="C1042" s="20"/>
      <c r="D1042" s="20"/>
      <c r="E1042" s="20"/>
      <c r="F1042" s="21"/>
      <c r="G1042" s="45"/>
      <c r="H1042" s="20"/>
      <c r="I1042" s="20"/>
      <c r="J1042" s="20"/>
      <c r="K1042" s="20"/>
      <c r="L1042" s="21"/>
      <c r="M1042" s="33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4" t="str">
        <f>IFERROR(__xludf.DUMMYFUNCTION("IF(Account!$F1042&lt;&gt;"""", VALUE(REGEXREPLACE($I1042, ""\,"", ""."")), """")"),"")</f>
        <v/>
      </c>
      <c r="O1042" s="35" t="str">
        <f>IF(Account!$F1042&lt;&gt;"", DATEVALUE(MID($A1042,4,3) &amp; LEFT($A1042,3) &amp; RIGHT($A1042,4)) + TIMEVALUE($B1042), "")</f>
        <v/>
      </c>
      <c r="P1042" s="36" t="str">
        <f>IF(Account!$F1042&lt;&gt;"", DATEVALUE(MID($C1042,4,3) &amp; LEFT($C1042,3) &amp; RIGHT($C1042,4)), "")</f>
        <v/>
      </c>
      <c r="Q1042" s="37" t="str">
        <f t="array" ref="Q1042">IF($R1042&lt;&gt;"",IFERROR(INDEX(ISIN!$B:$B,MATCH($R1042,ISIN!$C:$C,0))),)</f>
        <v/>
      </c>
      <c r="R1042" s="38" t="str">
        <f t="array" ref="R1042">IF($E1042&lt;&gt;""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7" t="str">
        <f t="shared" si="1"/>
        <v/>
      </c>
      <c r="T1042" s="39" t="str">
        <f t="shared" si="2"/>
        <v/>
      </c>
      <c r="U1042" s="40" t="str">
        <f t="shared" si="3"/>
        <v/>
      </c>
      <c r="V1042" s="34" t="str">
        <f t="shared" si="4"/>
        <v/>
      </c>
      <c r="W1042" s="41" t="str">
        <f>IFERROR(__xludf.DUMMYFUNCTION(" IF(Account!$F1042&lt;&gt;"""", SPLIT(Account!$F1042, "" ""), """")"),"")</f>
        <v/>
      </c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</row>
    <row r="1043">
      <c r="A1043" s="20"/>
      <c r="B1043" s="20"/>
      <c r="C1043" s="20"/>
      <c r="D1043" s="20"/>
      <c r="E1043" s="20"/>
      <c r="F1043" s="21"/>
      <c r="G1043" s="20"/>
      <c r="H1043" s="20"/>
      <c r="I1043" s="20"/>
      <c r="J1043" s="20"/>
      <c r="K1043" s="20"/>
      <c r="L1043" s="21"/>
      <c r="M1043" s="33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4" t="str">
        <f>IFERROR(__xludf.DUMMYFUNCTION("IF(Account!$F1043&lt;&gt;"""", VALUE(REGEXREPLACE($I1043, ""\,"", ""."")), """")"),"")</f>
        <v/>
      </c>
      <c r="O1043" s="35" t="str">
        <f>IF(Account!$F1043&lt;&gt;"", DATEVALUE(MID($A1043,4,3) &amp; LEFT($A1043,3) &amp; RIGHT($A1043,4)) + TIMEVALUE($B1043), "")</f>
        <v/>
      </c>
      <c r="P1043" s="36" t="str">
        <f>IF(Account!$F1043&lt;&gt;"", DATEVALUE(MID($C1043,4,3) &amp; LEFT($C1043,3) &amp; RIGHT($C1043,4)), "")</f>
        <v/>
      </c>
      <c r="Q1043" s="37" t="str">
        <f t="array" ref="Q1043">IF($R1043&lt;&gt;"",IFERROR(INDEX(ISIN!$B:$B,MATCH($R1043,ISIN!$C:$C,0))),)</f>
        <v/>
      </c>
      <c r="R1043" s="38" t="str">
        <f t="array" ref="R1043">IF($E1043&lt;&gt;""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7" t="str">
        <f t="shared" si="1"/>
        <v/>
      </c>
      <c r="T1043" s="39" t="str">
        <f t="shared" si="2"/>
        <v/>
      </c>
      <c r="U1043" s="40" t="str">
        <f t="shared" si="3"/>
        <v/>
      </c>
      <c r="V1043" s="34" t="str">
        <f t="shared" si="4"/>
        <v/>
      </c>
      <c r="W1043" s="41" t="str">
        <f>IFERROR(__xludf.DUMMYFUNCTION(" IF(Account!$F1043&lt;&gt;"""", SPLIT(Account!$F1043, "" ""), """")"),"")</f>
        <v/>
      </c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</row>
    <row r="1044">
      <c r="A1044" s="20"/>
      <c r="B1044" s="20"/>
      <c r="C1044" s="20"/>
      <c r="D1044" s="20"/>
      <c r="E1044" s="20"/>
      <c r="F1044" s="21"/>
      <c r="G1044" s="45"/>
      <c r="H1044" s="20"/>
      <c r="I1044" s="20"/>
      <c r="J1044" s="20"/>
      <c r="K1044" s="20"/>
      <c r="L1044" s="21"/>
      <c r="M1044" s="33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4" t="str">
        <f>IFERROR(__xludf.DUMMYFUNCTION("IF(Account!$F1044&lt;&gt;"""", VALUE(REGEXREPLACE($I1044, ""\,"", ""."")), """")"),"")</f>
        <v/>
      </c>
      <c r="O1044" s="35" t="str">
        <f>IF(Account!$F1044&lt;&gt;"", DATEVALUE(MID($A1044,4,3) &amp; LEFT($A1044,3) &amp; RIGHT($A1044,4)) + TIMEVALUE($B1044), "")</f>
        <v/>
      </c>
      <c r="P1044" s="36" t="str">
        <f>IF(Account!$F1044&lt;&gt;"", DATEVALUE(MID($C1044,4,3) &amp; LEFT($C1044,3) &amp; RIGHT($C1044,4)), "")</f>
        <v/>
      </c>
      <c r="Q1044" s="37" t="str">
        <f t="array" ref="Q1044">IF($R1044&lt;&gt;"",IFERROR(INDEX(ISIN!$B:$B,MATCH($R1044,ISIN!$C:$C,0))),)</f>
        <v/>
      </c>
      <c r="R1044" s="38" t="str">
        <f t="array" ref="R1044">IF($E1044&lt;&gt;""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7" t="str">
        <f t="shared" si="1"/>
        <v/>
      </c>
      <c r="T1044" s="39" t="str">
        <f t="shared" si="2"/>
        <v/>
      </c>
      <c r="U1044" s="40" t="str">
        <f t="shared" si="3"/>
        <v/>
      </c>
      <c r="V1044" s="34" t="str">
        <f t="shared" si="4"/>
        <v/>
      </c>
      <c r="W1044" s="41" t="str">
        <f>IFERROR(__xludf.DUMMYFUNCTION(" IF(Account!$F1044&lt;&gt;"""", SPLIT(Account!$F1044, "" ""), """")"),"")</f>
        <v/>
      </c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</row>
    <row r="1045">
      <c r="A1045" s="20"/>
      <c r="B1045" s="20"/>
      <c r="C1045" s="20"/>
      <c r="D1045" s="20"/>
      <c r="E1045" s="20"/>
      <c r="F1045" s="21"/>
      <c r="G1045" s="20"/>
      <c r="H1045" s="20"/>
      <c r="I1045" s="20"/>
      <c r="J1045" s="20"/>
      <c r="K1045" s="20"/>
      <c r="L1045" s="21"/>
      <c r="M1045" s="33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4" t="str">
        <f>IFERROR(__xludf.DUMMYFUNCTION("IF(Account!$F1045&lt;&gt;"""", VALUE(REGEXREPLACE($I1045, ""\,"", ""."")), """")"),"")</f>
        <v/>
      </c>
      <c r="O1045" s="35" t="str">
        <f>IF(Account!$F1045&lt;&gt;"", DATEVALUE(MID($A1045,4,3) &amp; LEFT($A1045,3) &amp; RIGHT($A1045,4)) + TIMEVALUE($B1045), "")</f>
        <v/>
      </c>
      <c r="P1045" s="36" t="str">
        <f>IF(Account!$F1045&lt;&gt;"", DATEVALUE(MID($C1045,4,3) &amp; LEFT($C1045,3) &amp; RIGHT($C1045,4)), "")</f>
        <v/>
      </c>
      <c r="Q1045" s="37" t="str">
        <f t="array" ref="Q1045">IF($R1045&lt;&gt;"",IFERROR(INDEX(ISIN!$B:$B,MATCH($R1045,ISIN!$C:$C,0))),)</f>
        <v/>
      </c>
      <c r="R1045" s="38" t="str">
        <f t="array" ref="R1045">IF($E1045&lt;&gt;""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7" t="str">
        <f t="shared" si="1"/>
        <v/>
      </c>
      <c r="T1045" s="39" t="str">
        <f t="shared" si="2"/>
        <v/>
      </c>
      <c r="U1045" s="40" t="str">
        <f t="shared" si="3"/>
        <v/>
      </c>
      <c r="V1045" s="34" t="str">
        <f t="shared" si="4"/>
        <v/>
      </c>
      <c r="W1045" s="41" t="str">
        <f>IFERROR(__xludf.DUMMYFUNCTION(" IF(Account!$F1045&lt;&gt;"""", SPLIT(Account!$F1045, "" ""), """")"),"")</f>
        <v/>
      </c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</row>
    <row r="1046">
      <c r="A1046" s="20"/>
      <c r="B1046" s="20"/>
      <c r="C1046" s="20"/>
      <c r="D1046" s="20"/>
      <c r="E1046" s="20"/>
      <c r="F1046" s="21"/>
      <c r="G1046" s="45"/>
      <c r="H1046" s="20"/>
      <c r="I1046" s="20"/>
      <c r="J1046" s="20"/>
      <c r="K1046" s="20"/>
      <c r="L1046" s="21"/>
      <c r="M1046" s="33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4" t="str">
        <f>IFERROR(__xludf.DUMMYFUNCTION("IF(Account!$F1046&lt;&gt;"""", VALUE(REGEXREPLACE($I1046, ""\,"", ""."")), """")"),"")</f>
        <v/>
      </c>
      <c r="O1046" s="35" t="str">
        <f>IF(Account!$F1046&lt;&gt;"", DATEVALUE(MID($A1046,4,3) &amp; LEFT($A1046,3) &amp; RIGHT($A1046,4)) + TIMEVALUE($B1046), "")</f>
        <v/>
      </c>
      <c r="P1046" s="36" t="str">
        <f>IF(Account!$F1046&lt;&gt;"", DATEVALUE(MID($C1046,4,3) &amp; LEFT($C1046,3) &amp; RIGHT($C1046,4)), "")</f>
        <v/>
      </c>
      <c r="Q1046" s="37" t="str">
        <f t="array" ref="Q1046">IF($R1046&lt;&gt;"",IFERROR(INDEX(ISIN!$B:$B,MATCH($R1046,ISIN!$C:$C,0))),)</f>
        <v/>
      </c>
      <c r="R1046" s="38" t="str">
        <f t="array" ref="R1046">IF($E1046&lt;&gt;""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7" t="str">
        <f t="shared" si="1"/>
        <v/>
      </c>
      <c r="T1046" s="39" t="str">
        <f t="shared" si="2"/>
        <v/>
      </c>
      <c r="U1046" s="40" t="str">
        <f t="shared" si="3"/>
        <v/>
      </c>
      <c r="V1046" s="34" t="str">
        <f t="shared" si="4"/>
        <v/>
      </c>
      <c r="W1046" s="41" t="str">
        <f>IFERROR(__xludf.DUMMYFUNCTION(" IF(Account!$F1046&lt;&gt;"""", SPLIT(Account!$F1046, "" ""), """")"),"")</f>
        <v/>
      </c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</row>
    <row r="1047">
      <c r="A1047" s="45"/>
      <c r="B1047" s="45"/>
      <c r="C1047" s="45"/>
      <c r="D1047" s="45"/>
      <c r="E1047" s="45"/>
      <c r="F1047" s="46"/>
      <c r="G1047" s="45"/>
      <c r="H1047" s="45"/>
      <c r="I1047" s="45"/>
      <c r="J1047" s="45"/>
      <c r="K1047" s="45"/>
      <c r="L1047" s="21"/>
      <c r="M1047" s="33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4" t="str">
        <f>IFERROR(__xludf.DUMMYFUNCTION("IF(Account!$F1047&lt;&gt;"""", VALUE(REGEXREPLACE($I1047, ""\,"", ""."")), """")"),"")</f>
        <v/>
      </c>
      <c r="O1047" s="35" t="str">
        <f>IF(Account!$F1047&lt;&gt;"", DATEVALUE(MID($A1047,4,3) &amp; LEFT($A1047,3) &amp; RIGHT($A1047,4)) + TIMEVALUE($B1047), "")</f>
        <v/>
      </c>
      <c r="P1047" s="36" t="str">
        <f>IF(Account!$F1047&lt;&gt;"", DATEVALUE(MID($C1047,4,3) &amp; LEFT($C1047,3) &amp; RIGHT($C1047,4)), "")</f>
        <v/>
      </c>
      <c r="Q1047" s="37" t="str">
        <f t="array" ref="Q1047">IF($R1047&lt;&gt;"",IFERROR(INDEX(ISIN!$B:$B,MATCH($R1047,ISIN!$C:$C,0))),)</f>
        <v/>
      </c>
      <c r="R1047" s="38" t="str">
        <f t="array" ref="R1047">IF($E1047&lt;&gt;""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7" t="str">
        <f t="shared" si="1"/>
        <v/>
      </c>
      <c r="T1047" s="39" t="str">
        <f t="shared" si="2"/>
        <v/>
      </c>
      <c r="U1047" s="40" t="str">
        <f t="shared" si="3"/>
        <v/>
      </c>
      <c r="V1047" s="34" t="str">
        <f t="shared" si="4"/>
        <v/>
      </c>
      <c r="W1047" s="41" t="str">
        <f>IFERROR(__xludf.DUMMYFUNCTION(" IF(Account!$F1047&lt;&gt;"""", SPLIT(Account!$F1047, "" ""), """")"),"")</f>
        <v/>
      </c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</row>
    <row r="1048">
      <c r="A1048" s="20"/>
      <c r="B1048" s="20"/>
      <c r="C1048" s="20"/>
      <c r="D1048" s="20"/>
      <c r="E1048" s="20"/>
      <c r="F1048" s="21"/>
      <c r="G1048" s="20"/>
      <c r="H1048" s="20"/>
      <c r="I1048" s="20"/>
      <c r="J1048" s="20"/>
      <c r="K1048" s="20"/>
      <c r="L1048" s="21"/>
      <c r="M1048" s="33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4" t="str">
        <f>IFERROR(__xludf.DUMMYFUNCTION("IF(Account!$F1048&lt;&gt;"""", VALUE(REGEXREPLACE($I1048, ""\,"", ""."")), """")"),"")</f>
        <v/>
      </c>
      <c r="O1048" s="35" t="str">
        <f>IF(Account!$F1048&lt;&gt;"", DATEVALUE(MID($A1048,4,3) &amp; LEFT($A1048,3) &amp; RIGHT($A1048,4)) + TIMEVALUE($B1048), "")</f>
        <v/>
      </c>
      <c r="P1048" s="36" t="str">
        <f>IF(Account!$F1048&lt;&gt;"", DATEVALUE(MID($C1048,4,3) &amp; LEFT($C1048,3) &amp; RIGHT($C1048,4)), "")</f>
        <v/>
      </c>
      <c r="Q1048" s="37" t="str">
        <f t="array" ref="Q1048">IF($R1048&lt;&gt;"",IFERROR(INDEX(ISIN!$B:$B,MATCH($R1048,ISIN!$C:$C,0))),)</f>
        <v/>
      </c>
      <c r="R1048" s="38" t="str">
        <f t="array" ref="R1048">IF($E1048&lt;&gt;""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7" t="str">
        <f t="shared" si="1"/>
        <v/>
      </c>
      <c r="T1048" s="39" t="str">
        <f t="shared" si="2"/>
        <v/>
      </c>
      <c r="U1048" s="40" t="str">
        <f t="shared" si="3"/>
        <v/>
      </c>
      <c r="V1048" s="34" t="str">
        <f t="shared" si="4"/>
        <v/>
      </c>
      <c r="W1048" s="41" t="str">
        <f>IFERROR(__xludf.DUMMYFUNCTION(" IF(Account!$F1048&lt;&gt;"""", SPLIT(Account!$F1048, "" ""), """")"),"")</f>
        <v/>
      </c>
      <c r="X1048" s="42"/>
      <c r="Y1048" s="42"/>
      <c r="Z1048" s="42"/>
      <c r="AA1048" s="42"/>
      <c r="AB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</row>
    <row r="1049">
      <c r="A1049" s="20"/>
      <c r="B1049" s="20"/>
      <c r="C1049" s="20"/>
      <c r="D1049" s="20"/>
      <c r="E1049" s="20"/>
      <c r="F1049" s="21"/>
      <c r="G1049" s="45"/>
      <c r="H1049" s="20"/>
      <c r="I1049" s="20"/>
      <c r="J1049" s="20"/>
      <c r="K1049" s="20"/>
      <c r="L1049" s="21"/>
      <c r="M1049" s="33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4" t="str">
        <f>IFERROR(__xludf.DUMMYFUNCTION("IF(Account!$F1049&lt;&gt;"""", VALUE(REGEXREPLACE($I1049, ""\,"", ""."")), """")"),"")</f>
        <v/>
      </c>
      <c r="O1049" s="35" t="str">
        <f>IF(Account!$F1049&lt;&gt;"", DATEVALUE(MID($A1049,4,3) &amp; LEFT($A1049,3) &amp; RIGHT($A1049,4)) + TIMEVALUE($B1049), "")</f>
        <v/>
      </c>
      <c r="P1049" s="36" t="str">
        <f>IF(Account!$F1049&lt;&gt;"", DATEVALUE(MID($C1049,4,3) &amp; LEFT($C1049,3) &amp; RIGHT($C1049,4)), "")</f>
        <v/>
      </c>
      <c r="Q1049" s="37" t="str">
        <f t="array" ref="Q1049">IF($R1049&lt;&gt;"",IFERROR(INDEX(ISIN!$B:$B,MATCH($R1049,ISIN!$C:$C,0))),)</f>
        <v/>
      </c>
      <c r="R1049" s="38" t="str">
        <f t="array" ref="R1049">IF($E1049&lt;&gt;""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7" t="str">
        <f t="shared" si="1"/>
        <v/>
      </c>
      <c r="T1049" s="39" t="str">
        <f t="shared" si="2"/>
        <v/>
      </c>
      <c r="U1049" s="40" t="str">
        <f t="shared" si="3"/>
        <v/>
      </c>
      <c r="V1049" s="34" t="str">
        <f t="shared" si="4"/>
        <v/>
      </c>
      <c r="W1049" s="41" t="str">
        <f>IFERROR(__xludf.DUMMYFUNCTION(" IF(Account!$F1049&lt;&gt;"""", SPLIT(Account!$F1049, "" ""), """")"),"")</f>
        <v/>
      </c>
      <c r="X1049" s="42"/>
      <c r="Y1049" s="42"/>
      <c r="Z1049" s="42"/>
      <c r="AA1049" s="42"/>
      <c r="AB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</row>
    <row r="1050">
      <c r="A1050" s="20"/>
      <c r="B1050" s="20"/>
      <c r="C1050" s="20"/>
      <c r="D1050" s="20"/>
      <c r="E1050" s="20"/>
      <c r="F1050" s="21"/>
      <c r="G1050" s="20"/>
      <c r="H1050" s="20"/>
      <c r="I1050" s="20"/>
      <c r="J1050" s="20"/>
      <c r="K1050" s="20"/>
      <c r="L1050" s="21"/>
      <c r="M1050" s="33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4" t="str">
        <f>IFERROR(__xludf.DUMMYFUNCTION("IF(Account!$F1050&lt;&gt;"""", VALUE(REGEXREPLACE($I1050, ""\,"", ""."")), """")"),"")</f>
        <v/>
      </c>
      <c r="O1050" s="35" t="str">
        <f>IF(Account!$F1050&lt;&gt;"", DATEVALUE(MID($A1050,4,3) &amp; LEFT($A1050,3) &amp; RIGHT($A1050,4)) + TIMEVALUE($B1050), "")</f>
        <v/>
      </c>
      <c r="P1050" s="36" t="str">
        <f>IF(Account!$F1050&lt;&gt;"", DATEVALUE(MID($C1050,4,3) &amp; LEFT($C1050,3) &amp; RIGHT($C1050,4)), "")</f>
        <v/>
      </c>
      <c r="Q1050" s="37" t="str">
        <f t="array" ref="Q1050">IF($R1050&lt;&gt;"",IFERROR(INDEX(ISIN!$B:$B,MATCH($R1050,ISIN!$C:$C,0))),)</f>
        <v/>
      </c>
      <c r="R1050" s="38" t="str">
        <f t="array" ref="R1050">IF($E1050&lt;&gt;""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7" t="str">
        <f t="shared" si="1"/>
        <v/>
      </c>
      <c r="T1050" s="39" t="str">
        <f t="shared" si="2"/>
        <v/>
      </c>
      <c r="U1050" s="40" t="str">
        <f t="shared" si="3"/>
        <v/>
      </c>
      <c r="V1050" s="34" t="str">
        <f t="shared" si="4"/>
        <v/>
      </c>
      <c r="W1050" s="41" t="str">
        <f>IFERROR(__xludf.DUMMYFUNCTION(" IF(Account!$F1050&lt;&gt;"""", SPLIT(Account!$F1050, "" ""), """")"),"")</f>
        <v/>
      </c>
      <c r="X1050" s="42"/>
      <c r="Y1050" s="42"/>
      <c r="Z1050" s="42"/>
      <c r="AA1050" s="42"/>
      <c r="AB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</row>
    <row r="1051">
      <c r="A1051" s="20"/>
      <c r="B1051" s="20"/>
      <c r="C1051" s="20"/>
      <c r="D1051" s="20"/>
      <c r="E1051" s="20"/>
      <c r="F1051" s="21"/>
      <c r="G1051" s="45"/>
      <c r="H1051" s="20"/>
      <c r="I1051" s="20"/>
      <c r="J1051" s="20"/>
      <c r="K1051" s="20"/>
      <c r="L1051" s="21"/>
      <c r="M1051" s="33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4" t="str">
        <f>IFERROR(__xludf.DUMMYFUNCTION("IF(Account!$F1051&lt;&gt;"""", VALUE(REGEXREPLACE($I1051, ""\,"", ""."")), """")"),"")</f>
        <v/>
      </c>
      <c r="O1051" s="35" t="str">
        <f>IF(Account!$F1051&lt;&gt;"", DATEVALUE(MID($A1051,4,3) &amp; LEFT($A1051,3) &amp; RIGHT($A1051,4)) + TIMEVALUE($B1051), "")</f>
        <v/>
      </c>
      <c r="P1051" s="36" t="str">
        <f>IF(Account!$F1051&lt;&gt;"", DATEVALUE(MID($C1051,4,3) &amp; LEFT($C1051,3) &amp; RIGHT($C1051,4)), "")</f>
        <v/>
      </c>
      <c r="Q1051" s="37" t="str">
        <f t="array" ref="Q1051">IF($R1051&lt;&gt;"",IFERROR(INDEX(ISIN!$B:$B,MATCH($R1051,ISIN!$C:$C,0))),)</f>
        <v/>
      </c>
      <c r="R1051" s="38" t="str">
        <f t="array" ref="R1051">IF($E1051&lt;&gt;""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7" t="str">
        <f t="shared" si="1"/>
        <v/>
      </c>
      <c r="T1051" s="39" t="str">
        <f t="shared" si="2"/>
        <v/>
      </c>
      <c r="U1051" s="40" t="str">
        <f t="shared" si="3"/>
        <v/>
      </c>
      <c r="V1051" s="34" t="str">
        <f t="shared" si="4"/>
        <v/>
      </c>
      <c r="W1051" s="41" t="str">
        <f>IFERROR(__xludf.DUMMYFUNCTION(" IF(Account!$F1051&lt;&gt;"""", SPLIT(Account!$F1051, "" ""), """")"),"")</f>
        <v/>
      </c>
      <c r="X1051" s="42"/>
      <c r="Y1051" s="42"/>
      <c r="Z1051" s="42"/>
      <c r="AA1051" s="42"/>
      <c r="AB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</row>
    <row r="1052">
      <c r="A1052" s="20"/>
      <c r="B1052" s="20"/>
      <c r="C1052" s="20"/>
      <c r="D1052" s="20"/>
      <c r="E1052" s="20"/>
      <c r="F1052" s="21"/>
      <c r="G1052" s="45"/>
      <c r="H1052" s="20"/>
      <c r="I1052" s="20"/>
      <c r="J1052" s="20"/>
      <c r="K1052" s="20"/>
      <c r="L1052" s="21"/>
      <c r="M1052" s="33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4" t="str">
        <f>IFERROR(__xludf.DUMMYFUNCTION("IF(Account!$F1052&lt;&gt;"""", VALUE(REGEXREPLACE($I1052, ""\,"", ""."")), """")"),"")</f>
        <v/>
      </c>
      <c r="O1052" s="35" t="str">
        <f>IF(Account!$F1052&lt;&gt;"", DATEVALUE(MID($A1052,4,3) &amp; LEFT($A1052,3) &amp; RIGHT($A1052,4)) + TIMEVALUE($B1052), "")</f>
        <v/>
      </c>
      <c r="P1052" s="36" t="str">
        <f>IF(Account!$F1052&lt;&gt;"", DATEVALUE(MID($C1052,4,3) &amp; LEFT($C1052,3) &amp; RIGHT($C1052,4)), "")</f>
        <v/>
      </c>
      <c r="Q1052" s="37" t="str">
        <f t="array" ref="Q1052">IF($R1052&lt;&gt;"",IFERROR(INDEX(ISIN!$B:$B,MATCH($R1052,ISIN!$C:$C,0))),)</f>
        <v/>
      </c>
      <c r="R1052" s="38" t="str">
        <f t="array" ref="R1052">IF($E1052&lt;&gt;""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7" t="str">
        <f t="shared" si="1"/>
        <v/>
      </c>
      <c r="T1052" s="39" t="str">
        <f t="shared" si="2"/>
        <v/>
      </c>
      <c r="U1052" s="40" t="str">
        <f t="shared" si="3"/>
        <v/>
      </c>
      <c r="V1052" s="34" t="str">
        <f t="shared" si="4"/>
        <v/>
      </c>
      <c r="W1052" s="41" t="str">
        <f>IFERROR(__xludf.DUMMYFUNCTION(" IF(Account!$F1052&lt;&gt;"""", SPLIT(Account!$F1052, "" ""), """")"),"")</f>
        <v/>
      </c>
      <c r="X1052" s="42"/>
      <c r="Y1052" s="42"/>
      <c r="Z1052" s="42"/>
      <c r="AA1052" s="42"/>
      <c r="AB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</row>
    <row r="1053">
      <c r="A1053" s="20"/>
      <c r="B1053" s="20"/>
      <c r="C1053" s="20"/>
      <c r="D1053" s="20"/>
      <c r="E1053" s="20"/>
      <c r="F1053" s="21"/>
      <c r="G1053" s="45"/>
      <c r="H1053" s="20"/>
      <c r="I1053" s="20"/>
      <c r="J1053" s="20"/>
      <c r="K1053" s="20"/>
      <c r="L1053" s="21"/>
      <c r="M1053" s="33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4" t="str">
        <f>IFERROR(__xludf.DUMMYFUNCTION("IF(Account!$F1053&lt;&gt;"""", VALUE(REGEXREPLACE($I1053, ""\,"", ""."")), """")"),"")</f>
        <v/>
      </c>
      <c r="O1053" s="35" t="str">
        <f>IF(Account!$F1053&lt;&gt;"", DATEVALUE(MID($A1053,4,3) &amp; LEFT($A1053,3) &amp; RIGHT($A1053,4)) + TIMEVALUE($B1053), "")</f>
        <v/>
      </c>
      <c r="P1053" s="36" t="str">
        <f>IF(Account!$F1053&lt;&gt;"", DATEVALUE(MID($C1053,4,3) &amp; LEFT($C1053,3) &amp; RIGHT($C1053,4)), "")</f>
        <v/>
      </c>
      <c r="Q1053" s="37" t="str">
        <f t="array" ref="Q1053">IF($R1053&lt;&gt;"",IFERROR(INDEX(ISIN!$B:$B,MATCH($R1053,ISIN!$C:$C,0))),)</f>
        <v/>
      </c>
      <c r="R1053" s="38" t="str">
        <f t="array" ref="R1053">IF($E1053&lt;&gt;""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7" t="str">
        <f t="shared" si="1"/>
        <v/>
      </c>
      <c r="T1053" s="39" t="str">
        <f t="shared" si="2"/>
        <v/>
      </c>
      <c r="U1053" s="40" t="str">
        <f t="shared" si="3"/>
        <v/>
      </c>
      <c r="V1053" s="34" t="str">
        <f t="shared" si="4"/>
        <v/>
      </c>
      <c r="W1053" s="41" t="str">
        <f>IFERROR(__xludf.DUMMYFUNCTION(" IF(Account!$F1053&lt;&gt;"""", SPLIT(Account!$F1053, "" ""), """")"),"")</f>
        <v/>
      </c>
      <c r="X1053" s="42"/>
      <c r="Y1053" s="42"/>
      <c r="Z1053" s="42"/>
      <c r="AA1053" s="42"/>
      <c r="AB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</row>
    <row r="1054">
      <c r="A1054" s="20"/>
      <c r="B1054" s="20"/>
      <c r="C1054" s="20"/>
      <c r="D1054" s="20"/>
      <c r="E1054" s="20"/>
      <c r="F1054" s="21"/>
      <c r="G1054" s="45"/>
      <c r="H1054" s="20"/>
      <c r="I1054" s="20"/>
      <c r="J1054" s="20"/>
      <c r="K1054" s="20"/>
      <c r="L1054" s="21"/>
      <c r="M1054" s="33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4" t="str">
        <f>IFERROR(__xludf.DUMMYFUNCTION("IF(Account!$F1054&lt;&gt;"""", VALUE(REGEXREPLACE($I1054, ""\,"", ""."")), """")"),"")</f>
        <v/>
      </c>
      <c r="O1054" s="35" t="str">
        <f>IF(Account!$F1054&lt;&gt;"", DATEVALUE(MID($A1054,4,3) &amp; LEFT($A1054,3) &amp; RIGHT($A1054,4)) + TIMEVALUE($B1054), "")</f>
        <v/>
      </c>
      <c r="P1054" s="36" t="str">
        <f>IF(Account!$F1054&lt;&gt;"", DATEVALUE(MID($C1054,4,3) &amp; LEFT($C1054,3) &amp; RIGHT($C1054,4)), "")</f>
        <v/>
      </c>
      <c r="Q1054" s="37" t="str">
        <f t="array" ref="Q1054">IF($R1054&lt;&gt;"",IFERROR(INDEX(ISIN!$B:$B,MATCH($R1054,ISIN!$C:$C,0))),)</f>
        <v/>
      </c>
      <c r="R1054" s="38" t="str">
        <f t="array" ref="R1054">IF($E1054&lt;&gt;""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7" t="str">
        <f t="shared" si="1"/>
        <v/>
      </c>
      <c r="T1054" s="39" t="str">
        <f t="shared" si="2"/>
        <v/>
      </c>
      <c r="U1054" s="40" t="str">
        <f t="shared" si="3"/>
        <v/>
      </c>
      <c r="V1054" s="34" t="str">
        <f t="shared" si="4"/>
        <v/>
      </c>
      <c r="W1054" s="41" t="str">
        <f>IFERROR(__xludf.DUMMYFUNCTION(" IF(Account!$F1054&lt;&gt;"""", SPLIT(Account!$F1054, "" ""), """")"),"")</f>
        <v/>
      </c>
      <c r="X1054" s="42"/>
      <c r="Y1054" s="42"/>
      <c r="Z1054" s="42"/>
      <c r="AA1054" s="42"/>
      <c r="AB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</row>
    <row r="1055">
      <c r="A1055" s="20"/>
      <c r="B1055" s="20"/>
      <c r="C1055" s="20"/>
      <c r="D1055" s="20"/>
      <c r="E1055" s="20"/>
      <c r="F1055" s="21"/>
      <c r="G1055" s="45"/>
      <c r="H1055" s="20"/>
      <c r="I1055" s="20"/>
      <c r="J1055" s="20"/>
      <c r="K1055" s="20"/>
      <c r="L1055" s="21"/>
      <c r="M1055" s="33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4" t="str">
        <f>IFERROR(__xludf.DUMMYFUNCTION("IF(Account!$F1055&lt;&gt;"""", VALUE(REGEXREPLACE($I1055, ""\,"", ""."")), """")"),"")</f>
        <v/>
      </c>
      <c r="O1055" s="35" t="str">
        <f>IF(Account!$F1055&lt;&gt;"", DATEVALUE(MID($A1055,4,3) &amp; LEFT($A1055,3) &amp; RIGHT($A1055,4)) + TIMEVALUE($B1055), "")</f>
        <v/>
      </c>
      <c r="P1055" s="36" t="str">
        <f>IF(Account!$F1055&lt;&gt;"", DATEVALUE(MID($C1055,4,3) &amp; LEFT($C1055,3) &amp; RIGHT($C1055,4)), "")</f>
        <v/>
      </c>
      <c r="Q1055" s="37" t="str">
        <f t="array" ref="Q1055">IF($R1055&lt;&gt;"",IFERROR(INDEX(ISIN!$B:$B,MATCH($R1055,ISIN!$C:$C,0))),)</f>
        <v/>
      </c>
      <c r="R1055" s="38" t="str">
        <f t="array" ref="R1055">IF($E1055&lt;&gt;""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7" t="str">
        <f t="shared" si="1"/>
        <v/>
      </c>
      <c r="T1055" s="39" t="str">
        <f t="shared" si="2"/>
        <v/>
      </c>
      <c r="U1055" s="40" t="str">
        <f t="shared" si="3"/>
        <v/>
      </c>
      <c r="V1055" s="34" t="str">
        <f t="shared" si="4"/>
        <v/>
      </c>
      <c r="W1055" s="41" t="str">
        <f>IFERROR(__xludf.DUMMYFUNCTION(" IF(Account!$F1055&lt;&gt;"""", SPLIT(Account!$F1055, "" ""), """")"),"")</f>
        <v/>
      </c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</row>
    <row r="1056">
      <c r="A1056" s="20"/>
      <c r="B1056" s="20"/>
      <c r="C1056" s="20"/>
      <c r="D1056" s="20"/>
      <c r="E1056" s="20"/>
      <c r="F1056" s="21"/>
      <c r="G1056" s="45"/>
      <c r="H1056" s="20"/>
      <c r="I1056" s="20"/>
      <c r="J1056" s="20"/>
      <c r="K1056" s="20"/>
      <c r="L1056" s="21"/>
      <c r="M1056" s="33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4" t="str">
        <f>IFERROR(__xludf.DUMMYFUNCTION("IF(Account!$F1056&lt;&gt;"""", VALUE(REGEXREPLACE($I1056, ""\,"", ""."")), """")"),"")</f>
        <v/>
      </c>
      <c r="O1056" s="35" t="str">
        <f>IF(Account!$F1056&lt;&gt;"", DATEVALUE(MID($A1056,4,3) &amp; LEFT($A1056,3) &amp; RIGHT($A1056,4)) + TIMEVALUE($B1056), "")</f>
        <v/>
      </c>
      <c r="P1056" s="36" t="str">
        <f>IF(Account!$F1056&lt;&gt;"", DATEVALUE(MID($C1056,4,3) &amp; LEFT($C1056,3) &amp; RIGHT($C1056,4)), "")</f>
        <v/>
      </c>
      <c r="Q1056" s="37" t="str">
        <f t="array" ref="Q1056">IF($R1056&lt;&gt;"",IFERROR(INDEX(ISIN!$B:$B,MATCH($R1056,ISIN!$C:$C,0))),)</f>
        <v/>
      </c>
      <c r="R1056" s="38" t="str">
        <f t="array" ref="R1056">IF($E1056&lt;&gt;""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7" t="str">
        <f t="shared" si="1"/>
        <v/>
      </c>
      <c r="T1056" s="39" t="str">
        <f t="shared" si="2"/>
        <v/>
      </c>
      <c r="U1056" s="40" t="str">
        <f t="shared" si="3"/>
        <v/>
      </c>
      <c r="V1056" s="34" t="str">
        <f t="shared" si="4"/>
        <v/>
      </c>
      <c r="W1056" s="41" t="str">
        <f>IFERROR(__xludf.DUMMYFUNCTION(" IF(Account!$F1056&lt;&gt;"""", SPLIT(Account!$F1056, "" ""), """")"),"")</f>
        <v/>
      </c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</row>
    <row r="1057">
      <c r="A1057" s="20"/>
      <c r="B1057" s="20"/>
      <c r="C1057" s="20"/>
      <c r="D1057" s="20"/>
      <c r="E1057" s="20"/>
      <c r="F1057" s="21"/>
      <c r="G1057" s="20"/>
      <c r="H1057" s="20"/>
      <c r="I1057" s="20"/>
      <c r="J1057" s="20"/>
      <c r="K1057" s="20"/>
      <c r="L1057" s="21"/>
      <c r="M1057" s="33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4" t="str">
        <f>IFERROR(__xludf.DUMMYFUNCTION("IF(Account!$F1057&lt;&gt;"""", VALUE(REGEXREPLACE($I1057, ""\,"", ""."")), """")"),"")</f>
        <v/>
      </c>
      <c r="O1057" s="35" t="str">
        <f>IF(Account!$F1057&lt;&gt;"", DATEVALUE(MID($A1057,4,3) &amp; LEFT($A1057,3) &amp; RIGHT($A1057,4)) + TIMEVALUE($B1057), "")</f>
        <v/>
      </c>
      <c r="P1057" s="36" t="str">
        <f>IF(Account!$F1057&lt;&gt;"", DATEVALUE(MID($C1057,4,3) &amp; LEFT($C1057,3) &amp; RIGHT($C1057,4)), "")</f>
        <v/>
      </c>
      <c r="Q1057" s="37" t="str">
        <f t="array" ref="Q1057">IF($R1057&lt;&gt;"",IFERROR(INDEX(ISIN!$B:$B,MATCH($R1057,ISIN!$C:$C,0))),)</f>
        <v/>
      </c>
      <c r="R1057" s="38" t="str">
        <f t="array" ref="R1057">IF($E1057&lt;&gt;""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7" t="str">
        <f t="shared" si="1"/>
        <v/>
      </c>
      <c r="T1057" s="39" t="str">
        <f t="shared" si="2"/>
        <v/>
      </c>
      <c r="U1057" s="40" t="str">
        <f t="shared" si="3"/>
        <v/>
      </c>
      <c r="V1057" s="34" t="str">
        <f t="shared" si="4"/>
        <v/>
      </c>
      <c r="W1057" s="41" t="str">
        <f>IFERROR(__xludf.DUMMYFUNCTION(" IF(Account!$F1057&lt;&gt;"""", SPLIT(Account!$F1057, "" ""), """")"),"")</f>
        <v/>
      </c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</row>
    <row r="1058">
      <c r="A1058" s="20"/>
      <c r="B1058" s="20"/>
      <c r="C1058" s="20"/>
      <c r="D1058" s="20"/>
      <c r="E1058" s="20"/>
      <c r="F1058" s="21"/>
      <c r="G1058" s="45"/>
      <c r="H1058" s="20"/>
      <c r="I1058" s="20"/>
      <c r="J1058" s="20"/>
      <c r="K1058" s="20"/>
      <c r="L1058" s="21"/>
      <c r="M1058" s="33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4" t="str">
        <f>IFERROR(__xludf.DUMMYFUNCTION("IF(Account!$F1058&lt;&gt;"""", VALUE(REGEXREPLACE($I1058, ""\,"", ""."")), """")"),"")</f>
        <v/>
      </c>
      <c r="O1058" s="35" t="str">
        <f>IF(Account!$F1058&lt;&gt;"", DATEVALUE(MID($A1058,4,3) &amp; LEFT($A1058,3) &amp; RIGHT($A1058,4)) + TIMEVALUE($B1058), "")</f>
        <v/>
      </c>
      <c r="P1058" s="36" t="str">
        <f>IF(Account!$F1058&lt;&gt;"", DATEVALUE(MID($C1058,4,3) &amp; LEFT($C1058,3) &amp; RIGHT($C1058,4)), "")</f>
        <v/>
      </c>
      <c r="Q1058" s="37" t="str">
        <f t="array" ref="Q1058">IF($R1058&lt;&gt;"",IFERROR(INDEX(ISIN!$B:$B,MATCH($R1058,ISIN!$C:$C,0))),)</f>
        <v/>
      </c>
      <c r="R1058" s="38" t="str">
        <f t="array" ref="R1058">IF($E1058&lt;&gt;""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7" t="str">
        <f t="shared" si="1"/>
        <v/>
      </c>
      <c r="T1058" s="39" t="str">
        <f t="shared" si="2"/>
        <v/>
      </c>
      <c r="U1058" s="40" t="str">
        <f t="shared" si="3"/>
        <v/>
      </c>
      <c r="V1058" s="34" t="str">
        <f t="shared" si="4"/>
        <v/>
      </c>
      <c r="W1058" s="41" t="str">
        <f>IFERROR(__xludf.DUMMYFUNCTION(" IF(Account!$F1058&lt;&gt;"""", SPLIT(Account!$F1058, "" ""), """")"),"")</f>
        <v/>
      </c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</row>
    <row r="1059">
      <c r="A1059" s="20"/>
      <c r="B1059" s="20"/>
      <c r="C1059" s="20"/>
      <c r="D1059" s="20"/>
      <c r="E1059" s="20"/>
      <c r="F1059" s="21"/>
      <c r="G1059" s="45"/>
      <c r="H1059" s="20"/>
      <c r="I1059" s="20"/>
      <c r="J1059" s="20"/>
      <c r="K1059" s="20"/>
      <c r="L1059" s="21"/>
      <c r="M1059" s="33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4" t="str">
        <f>IFERROR(__xludf.DUMMYFUNCTION("IF(Account!$F1059&lt;&gt;"""", VALUE(REGEXREPLACE($I1059, ""\,"", ""."")), """")"),"")</f>
        <v/>
      </c>
      <c r="O1059" s="35" t="str">
        <f>IF(Account!$F1059&lt;&gt;"", DATEVALUE(MID($A1059,4,3) &amp; LEFT($A1059,3) &amp; RIGHT($A1059,4)) + TIMEVALUE($B1059), "")</f>
        <v/>
      </c>
      <c r="P1059" s="36" t="str">
        <f>IF(Account!$F1059&lt;&gt;"", DATEVALUE(MID($C1059,4,3) &amp; LEFT($C1059,3) &amp; RIGHT($C1059,4)), "")</f>
        <v/>
      </c>
      <c r="Q1059" s="37" t="str">
        <f t="array" ref="Q1059">IF($R1059&lt;&gt;"",IFERROR(INDEX(ISIN!$B:$B,MATCH($R1059,ISIN!$C:$C,0))),)</f>
        <v/>
      </c>
      <c r="R1059" s="38" t="str">
        <f t="array" ref="R1059">IF($E1059&lt;&gt;""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7" t="str">
        <f t="shared" si="1"/>
        <v/>
      </c>
      <c r="T1059" s="39" t="str">
        <f t="shared" si="2"/>
        <v/>
      </c>
      <c r="U1059" s="40" t="str">
        <f t="shared" si="3"/>
        <v/>
      </c>
      <c r="V1059" s="34" t="str">
        <f t="shared" si="4"/>
        <v/>
      </c>
      <c r="W1059" s="41" t="str">
        <f>IFERROR(__xludf.DUMMYFUNCTION(" IF(Account!$F1059&lt;&gt;"""", SPLIT(Account!$F1059, "" ""), """")"),"")</f>
        <v/>
      </c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</row>
    <row r="1060">
      <c r="A1060" s="20"/>
      <c r="B1060" s="20"/>
      <c r="C1060" s="20"/>
      <c r="D1060" s="20"/>
      <c r="E1060" s="20"/>
      <c r="F1060" s="21"/>
      <c r="G1060" s="45"/>
      <c r="H1060" s="20"/>
      <c r="I1060" s="20"/>
      <c r="J1060" s="20"/>
      <c r="K1060" s="20"/>
      <c r="L1060" s="21"/>
      <c r="M1060" s="33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4" t="str">
        <f>IFERROR(__xludf.DUMMYFUNCTION("IF(Account!$F1060&lt;&gt;"""", VALUE(REGEXREPLACE($I1060, ""\,"", ""."")), """")"),"")</f>
        <v/>
      </c>
      <c r="O1060" s="35" t="str">
        <f>IF(Account!$F1060&lt;&gt;"", DATEVALUE(MID($A1060,4,3) &amp; LEFT($A1060,3) &amp; RIGHT($A1060,4)) + TIMEVALUE($B1060), "")</f>
        <v/>
      </c>
      <c r="P1060" s="36" t="str">
        <f>IF(Account!$F1060&lt;&gt;"", DATEVALUE(MID($C1060,4,3) &amp; LEFT($C1060,3) &amp; RIGHT($C1060,4)), "")</f>
        <v/>
      </c>
      <c r="Q1060" s="37" t="str">
        <f t="array" ref="Q1060">IF($R1060&lt;&gt;"",IFERROR(INDEX(ISIN!$B:$B,MATCH($R1060,ISIN!$C:$C,0))),)</f>
        <v/>
      </c>
      <c r="R1060" s="38" t="str">
        <f t="array" ref="R1060">IF($E1060&lt;&gt;""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7" t="str">
        <f t="shared" si="1"/>
        <v/>
      </c>
      <c r="T1060" s="39" t="str">
        <f t="shared" si="2"/>
        <v/>
      </c>
      <c r="U1060" s="40" t="str">
        <f t="shared" si="3"/>
        <v/>
      </c>
      <c r="V1060" s="34" t="str">
        <f t="shared" si="4"/>
        <v/>
      </c>
      <c r="W1060" s="41" t="str">
        <f>IFERROR(__xludf.DUMMYFUNCTION(" IF(Account!$F1060&lt;&gt;"""", SPLIT(Account!$F1060, "" ""), """")"),"")</f>
        <v/>
      </c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</row>
    <row r="1061">
      <c r="A1061" s="20"/>
      <c r="B1061" s="20"/>
      <c r="C1061" s="20"/>
      <c r="D1061" s="20"/>
      <c r="E1061" s="20"/>
      <c r="F1061" s="21"/>
      <c r="G1061" s="45"/>
      <c r="H1061" s="20"/>
      <c r="I1061" s="20"/>
      <c r="J1061" s="20"/>
      <c r="K1061" s="20"/>
      <c r="L1061" s="21"/>
      <c r="M1061" s="33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4" t="str">
        <f>IFERROR(__xludf.DUMMYFUNCTION("IF(Account!$F1061&lt;&gt;"""", VALUE(REGEXREPLACE($I1061, ""\,"", ""."")), """")"),"")</f>
        <v/>
      </c>
      <c r="O1061" s="35" t="str">
        <f>IF(Account!$F1061&lt;&gt;"", DATEVALUE(MID($A1061,4,3) &amp; LEFT($A1061,3) &amp; RIGHT($A1061,4)) + TIMEVALUE($B1061), "")</f>
        <v/>
      </c>
      <c r="P1061" s="36" t="str">
        <f>IF(Account!$F1061&lt;&gt;"", DATEVALUE(MID($C1061,4,3) &amp; LEFT($C1061,3) &amp; RIGHT($C1061,4)), "")</f>
        <v/>
      </c>
      <c r="Q1061" s="37" t="str">
        <f t="array" ref="Q1061">IF($R1061&lt;&gt;"",IFERROR(INDEX(ISIN!$B:$B,MATCH($R1061,ISIN!$C:$C,0))),)</f>
        <v/>
      </c>
      <c r="R1061" s="38" t="str">
        <f t="array" ref="R1061">IF($E1061&lt;&gt;""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7" t="str">
        <f t="shared" si="1"/>
        <v/>
      </c>
      <c r="T1061" s="39" t="str">
        <f t="shared" si="2"/>
        <v/>
      </c>
      <c r="U1061" s="40" t="str">
        <f t="shared" si="3"/>
        <v/>
      </c>
      <c r="V1061" s="34" t="str">
        <f t="shared" si="4"/>
        <v/>
      </c>
      <c r="W1061" s="41" t="str">
        <f>IFERROR(__xludf.DUMMYFUNCTION(" IF(Account!$F1061&lt;&gt;"""", SPLIT(Account!$F1061, "" ""), """")"),"")</f>
        <v/>
      </c>
      <c r="X1061" s="42"/>
      <c r="Y1061" s="42"/>
      <c r="Z1061" s="42"/>
      <c r="AA1061" s="42"/>
      <c r="AB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</row>
    <row r="1062">
      <c r="A1062" s="20"/>
      <c r="B1062" s="20"/>
      <c r="C1062" s="20"/>
      <c r="D1062" s="20"/>
      <c r="E1062" s="20"/>
      <c r="F1062" s="21"/>
      <c r="G1062" s="45"/>
      <c r="H1062" s="20"/>
      <c r="I1062" s="20"/>
      <c r="J1062" s="20"/>
      <c r="K1062" s="20"/>
      <c r="L1062" s="21"/>
      <c r="M1062" s="33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4" t="str">
        <f>IFERROR(__xludf.DUMMYFUNCTION("IF(Account!$F1062&lt;&gt;"""", VALUE(REGEXREPLACE($I1062, ""\,"", ""."")), """")"),"")</f>
        <v/>
      </c>
      <c r="O1062" s="35" t="str">
        <f>IF(Account!$F1062&lt;&gt;"", DATEVALUE(MID($A1062,4,3) &amp; LEFT($A1062,3) &amp; RIGHT($A1062,4)) + TIMEVALUE($B1062), "")</f>
        <v/>
      </c>
      <c r="P1062" s="36" t="str">
        <f>IF(Account!$F1062&lt;&gt;"", DATEVALUE(MID($C1062,4,3) &amp; LEFT($C1062,3) &amp; RIGHT($C1062,4)), "")</f>
        <v/>
      </c>
      <c r="Q1062" s="37" t="str">
        <f t="array" ref="Q1062">IF($R1062&lt;&gt;"",IFERROR(INDEX(ISIN!$B:$B,MATCH($R1062,ISIN!$C:$C,0))),)</f>
        <v/>
      </c>
      <c r="R1062" s="38" t="str">
        <f t="array" ref="R1062">IF($E1062&lt;&gt;""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7" t="str">
        <f t="shared" si="1"/>
        <v/>
      </c>
      <c r="T1062" s="39" t="str">
        <f t="shared" si="2"/>
        <v/>
      </c>
      <c r="U1062" s="40" t="str">
        <f t="shared" si="3"/>
        <v/>
      </c>
      <c r="V1062" s="34" t="str">
        <f t="shared" si="4"/>
        <v/>
      </c>
      <c r="W1062" s="41" t="str">
        <f>IFERROR(__xludf.DUMMYFUNCTION(" IF(Account!$F1062&lt;&gt;"""", SPLIT(Account!$F1062, "" ""), """")"),"")</f>
        <v/>
      </c>
      <c r="X1062" s="42"/>
      <c r="Y1062" s="42"/>
      <c r="Z1062" s="42"/>
      <c r="AA1062" s="42"/>
      <c r="AB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</row>
    <row r="1063">
      <c r="A1063" s="20"/>
      <c r="B1063" s="20"/>
      <c r="C1063" s="20"/>
      <c r="D1063" s="20"/>
      <c r="E1063" s="20"/>
      <c r="F1063" s="21"/>
      <c r="G1063" s="45"/>
      <c r="H1063" s="20"/>
      <c r="I1063" s="20"/>
      <c r="J1063" s="20"/>
      <c r="K1063" s="20"/>
      <c r="L1063" s="21"/>
      <c r="M1063" s="33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4" t="str">
        <f>IFERROR(__xludf.DUMMYFUNCTION("IF(Account!$F1063&lt;&gt;"""", VALUE(REGEXREPLACE($I1063, ""\,"", ""."")), """")"),"")</f>
        <v/>
      </c>
      <c r="O1063" s="35" t="str">
        <f>IF(Account!$F1063&lt;&gt;"", DATEVALUE(MID($A1063,4,3) &amp; LEFT($A1063,3) &amp; RIGHT($A1063,4)) + TIMEVALUE($B1063), "")</f>
        <v/>
      </c>
      <c r="P1063" s="36" t="str">
        <f>IF(Account!$F1063&lt;&gt;"", DATEVALUE(MID($C1063,4,3) &amp; LEFT($C1063,3) &amp; RIGHT($C1063,4)), "")</f>
        <v/>
      </c>
      <c r="Q1063" s="37" t="str">
        <f t="array" ref="Q1063">IF($R1063&lt;&gt;"",IFERROR(INDEX(ISIN!$B:$B,MATCH($R1063,ISIN!$C:$C,0))),)</f>
        <v/>
      </c>
      <c r="R1063" s="38" t="str">
        <f t="array" ref="R1063">IF($E1063&lt;&gt;""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7" t="str">
        <f t="shared" si="1"/>
        <v/>
      </c>
      <c r="T1063" s="39" t="str">
        <f t="shared" si="2"/>
        <v/>
      </c>
      <c r="U1063" s="40" t="str">
        <f t="shared" si="3"/>
        <v/>
      </c>
      <c r="V1063" s="34" t="str">
        <f t="shared" si="4"/>
        <v/>
      </c>
      <c r="W1063" s="41" t="str">
        <f>IFERROR(__xludf.DUMMYFUNCTION(" IF(Account!$F1063&lt;&gt;"""", SPLIT(Account!$F1063, "" ""), """")"),"")</f>
        <v/>
      </c>
      <c r="X1063" s="42"/>
      <c r="Y1063" s="42"/>
      <c r="Z1063" s="42"/>
      <c r="AA1063" s="42"/>
      <c r="AB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</row>
    <row r="1064">
      <c r="A1064" s="20"/>
      <c r="B1064" s="20"/>
      <c r="C1064" s="20"/>
      <c r="D1064" s="20"/>
      <c r="E1064" s="20"/>
      <c r="F1064" s="21"/>
      <c r="G1064" s="45"/>
      <c r="H1064" s="45"/>
      <c r="I1064" s="45"/>
      <c r="J1064" s="20"/>
      <c r="K1064" s="20"/>
      <c r="L1064" s="46"/>
      <c r="M1064" s="33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4" t="str">
        <f>IFERROR(__xludf.DUMMYFUNCTION("IF(Account!$F1064&lt;&gt;"""", VALUE(REGEXREPLACE($I1064, ""\,"", ""."")), """")"),"")</f>
        <v/>
      </c>
      <c r="O1064" s="35" t="str">
        <f>IF(Account!$F1064&lt;&gt;"", DATEVALUE(MID($A1064,4,3) &amp; LEFT($A1064,3) &amp; RIGHT($A1064,4)) + TIMEVALUE($B1064), "")</f>
        <v/>
      </c>
      <c r="P1064" s="36" t="str">
        <f>IF(Account!$F1064&lt;&gt;"", DATEVALUE(MID($C1064,4,3) &amp; LEFT($C1064,3) &amp; RIGHT($C1064,4)), "")</f>
        <v/>
      </c>
      <c r="Q1064" s="37" t="str">
        <f t="array" ref="Q1064">IF($R1064&lt;&gt;"",IFERROR(INDEX(ISIN!$B:$B,MATCH($R1064,ISIN!$C:$C,0))),)</f>
        <v/>
      </c>
      <c r="R1064" s="38" t="str">
        <f t="array" ref="R1064">IF($E1064&lt;&gt;""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7" t="str">
        <f t="shared" si="1"/>
        <v/>
      </c>
      <c r="T1064" s="39" t="str">
        <f t="shared" si="2"/>
        <v/>
      </c>
      <c r="U1064" s="40" t="str">
        <f t="shared" si="3"/>
        <v/>
      </c>
      <c r="V1064" s="34" t="str">
        <f t="shared" si="4"/>
        <v/>
      </c>
      <c r="W1064" s="41" t="str">
        <f>IFERROR(__xludf.DUMMYFUNCTION(" IF(Account!$F1064&lt;&gt;"""", SPLIT(Account!$F1064, "" ""), """")"),"")</f>
        <v/>
      </c>
      <c r="X1064" s="42"/>
      <c r="Y1064" s="42"/>
      <c r="Z1064" s="42"/>
      <c r="AA1064" s="42"/>
      <c r="AB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</row>
    <row r="1065">
      <c r="A1065" s="20"/>
      <c r="B1065" s="20"/>
      <c r="C1065" s="20"/>
      <c r="D1065" s="45"/>
      <c r="E1065" s="45"/>
      <c r="F1065" s="21"/>
      <c r="G1065" s="20"/>
      <c r="H1065" s="20"/>
      <c r="I1065" s="20"/>
      <c r="J1065" s="20"/>
      <c r="K1065" s="20"/>
      <c r="L1065" s="46"/>
      <c r="M1065" s="33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4" t="str">
        <f>IFERROR(__xludf.DUMMYFUNCTION("IF(Account!$F1065&lt;&gt;"""", VALUE(REGEXREPLACE($I1065, ""\,"", ""."")), """")"),"")</f>
        <v/>
      </c>
      <c r="O1065" s="35" t="str">
        <f>IF(Account!$F1065&lt;&gt;"", DATEVALUE(MID($A1065,4,3) &amp; LEFT($A1065,3) &amp; RIGHT($A1065,4)) + TIMEVALUE($B1065), "")</f>
        <v/>
      </c>
      <c r="P1065" s="36" t="str">
        <f>IF(Account!$F1065&lt;&gt;"", DATEVALUE(MID($C1065,4,3) &amp; LEFT($C1065,3) &amp; RIGHT($C1065,4)), "")</f>
        <v/>
      </c>
      <c r="Q1065" s="37" t="str">
        <f t="array" ref="Q1065">IF($R1065&lt;&gt;"",IFERROR(INDEX(ISIN!$B:$B,MATCH($R1065,ISIN!$C:$C,0))),)</f>
        <v/>
      </c>
      <c r="R1065" s="38" t="str">
        <f t="array" ref="R1065">IF($E1065&lt;&gt;""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7" t="str">
        <f t="shared" si="1"/>
        <v/>
      </c>
      <c r="T1065" s="39" t="str">
        <f t="shared" si="2"/>
        <v/>
      </c>
      <c r="U1065" s="40" t="str">
        <f t="shared" si="3"/>
        <v/>
      </c>
      <c r="V1065" s="34" t="str">
        <f t="shared" si="4"/>
        <v/>
      </c>
      <c r="W1065" s="41" t="str">
        <f>IFERROR(__xludf.DUMMYFUNCTION(" IF(Account!$F1065&lt;&gt;"""", SPLIT(Account!$F1065, "" ""), """")"),"")</f>
        <v/>
      </c>
      <c r="X1065" s="42"/>
      <c r="Y1065" s="42"/>
      <c r="Z1065" s="42"/>
      <c r="AA1065" s="42"/>
      <c r="AB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</row>
    <row r="1066">
      <c r="A1066" s="20"/>
      <c r="B1066" s="20"/>
      <c r="C1066" s="20"/>
      <c r="D1066" s="45"/>
      <c r="E1066" s="45"/>
      <c r="F1066" s="21"/>
      <c r="G1066" s="45"/>
      <c r="H1066" s="20"/>
      <c r="I1066" s="20"/>
      <c r="J1066" s="20"/>
      <c r="K1066" s="20"/>
      <c r="L1066" s="46"/>
      <c r="M1066" s="33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4" t="str">
        <f>IFERROR(__xludf.DUMMYFUNCTION("IF(Account!$F1066&lt;&gt;"""", VALUE(REGEXREPLACE($I1066, ""\,"", ""."")), """")"),"")</f>
        <v/>
      </c>
      <c r="O1066" s="35" t="str">
        <f>IF(Account!$F1066&lt;&gt;"", DATEVALUE(MID($A1066,4,3) &amp; LEFT($A1066,3) &amp; RIGHT($A1066,4)) + TIMEVALUE($B1066), "")</f>
        <v/>
      </c>
      <c r="P1066" s="36" t="str">
        <f>IF(Account!$F1066&lt;&gt;"", DATEVALUE(MID($C1066,4,3) &amp; LEFT($C1066,3) &amp; RIGHT($C1066,4)), "")</f>
        <v/>
      </c>
      <c r="Q1066" s="37" t="str">
        <f t="array" ref="Q1066">IF($R1066&lt;&gt;"",IFERROR(INDEX(ISIN!$B:$B,MATCH($R1066,ISIN!$C:$C,0))),)</f>
        <v/>
      </c>
      <c r="R1066" s="38" t="str">
        <f t="array" ref="R1066">IF($E1066&lt;&gt;""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7" t="str">
        <f t="shared" si="1"/>
        <v/>
      </c>
      <c r="T1066" s="39" t="str">
        <f t="shared" si="2"/>
        <v/>
      </c>
      <c r="U1066" s="40" t="str">
        <f t="shared" si="3"/>
        <v/>
      </c>
      <c r="V1066" s="34" t="str">
        <f t="shared" si="4"/>
        <v/>
      </c>
      <c r="W1066" s="41" t="str">
        <f>IFERROR(__xludf.DUMMYFUNCTION(" IF(Account!$F1066&lt;&gt;"""", SPLIT(Account!$F1066, "" ""), """")"),"")</f>
        <v/>
      </c>
      <c r="X1066" s="42"/>
      <c r="Y1066" s="42"/>
      <c r="Z1066" s="42"/>
      <c r="AA1066" s="42"/>
      <c r="AB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</row>
    <row r="1067">
      <c r="A1067" s="20"/>
      <c r="B1067" s="20"/>
      <c r="C1067" s="20"/>
      <c r="D1067" s="20"/>
      <c r="E1067" s="20"/>
      <c r="F1067" s="21"/>
      <c r="G1067" s="45"/>
      <c r="H1067" s="45"/>
      <c r="I1067" s="45"/>
      <c r="J1067" s="20"/>
      <c r="K1067" s="20"/>
      <c r="L1067" s="46"/>
      <c r="M1067" s="33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4" t="str">
        <f>IFERROR(__xludf.DUMMYFUNCTION("IF(Account!$F1067&lt;&gt;"""", VALUE(REGEXREPLACE($I1067, ""\,"", ""."")), """")"),"")</f>
        <v/>
      </c>
      <c r="O1067" s="35" t="str">
        <f>IF(Account!$F1067&lt;&gt;"", DATEVALUE(MID($A1067,4,3) &amp; LEFT($A1067,3) &amp; RIGHT($A1067,4)) + TIMEVALUE($B1067), "")</f>
        <v/>
      </c>
      <c r="P1067" s="36" t="str">
        <f>IF(Account!$F1067&lt;&gt;"", DATEVALUE(MID($C1067,4,3) &amp; LEFT($C1067,3) &amp; RIGHT($C1067,4)), "")</f>
        <v/>
      </c>
      <c r="Q1067" s="37" t="str">
        <f t="array" ref="Q1067">IF($R1067&lt;&gt;"",IFERROR(INDEX(ISIN!$B:$B,MATCH($R1067,ISIN!$C:$C,0))),)</f>
        <v/>
      </c>
      <c r="R1067" s="38" t="str">
        <f t="array" ref="R1067">IF($E1067&lt;&gt;""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7" t="str">
        <f t="shared" si="1"/>
        <v/>
      </c>
      <c r="T1067" s="39" t="str">
        <f t="shared" si="2"/>
        <v/>
      </c>
      <c r="U1067" s="40" t="str">
        <f t="shared" si="3"/>
        <v/>
      </c>
      <c r="V1067" s="34" t="str">
        <f t="shared" si="4"/>
        <v/>
      </c>
      <c r="W1067" s="41" t="str">
        <f>IFERROR(__xludf.DUMMYFUNCTION(" IF(Account!$F1067&lt;&gt;"""", SPLIT(Account!$F1067, "" ""), """")"),"")</f>
        <v/>
      </c>
      <c r="X1067" s="42"/>
      <c r="Y1067" s="42"/>
      <c r="Z1067" s="42"/>
      <c r="AA1067" s="42"/>
      <c r="AB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</row>
    <row r="1068">
      <c r="A1068" s="20"/>
      <c r="B1068" s="20"/>
      <c r="C1068" s="20"/>
      <c r="D1068" s="20"/>
      <c r="E1068" s="20"/>
      <c r="F1068" s="21"/>
      <c r="G1068" s="45"/>
      <c r="H1068" s="20"/>
      <c r="I1068" s="20"/>
      <c r="J1068" s="20"/>
      <c r="K1068" s="20"/>
      <c r="L1068" s="46"/>
      <c r="M1068" s="33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4" t="str">
        <f>IFERROR(__xludf.DUMMYFUNCTION("IF(Account!$F1068&lt;&gt;"""", VALUE(REGEXREPLACE($I1068, ""\,"", ""."")), """")"),"")</f>
        <v/>
      </c>
      <c r="O1068" s="35" t="str">
        <f>IF(Account!$F1068&lt;&gt;"", DATEVALUE(MID($A1068,4,3) &amp; LEFT($A1068,3) &amp; RIGHT($A1068,4)) + TIMEVALUE($B1068), "")</f>
        <v/>
      </c>
      <c r="P1068" s="36" t="str">
        <f>IF(Account!$F1068&lt;&gt;"", DATEVALUE(MID($C1068,4,3) &amp; LEFT($C1068,3) &amp; RIGHT($C1068,4)), "")</f>
        <v/>
      </c>
      <c r="Q1068" s="37" t="str">
        <f t="array" ref="Q1068">IF($R1068&lt;&gt;"",IFERROR(INDEX(ISIN!$B:$B,MATCH($R1068,ISIN!$C:$C,0))),)</f>
        <v/>
      </c>
      <c r="R1068" s="38" t="str">
        <f t="array" ref="R1068">IF($E1068&lt;&gt;""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7" t="str">
        <f t="shared" si="1"/>
        <v/>
      </c>
      <c r="T1068" s="39" t="str">
        <f t="shared" si="2"/>
        <v/>
      </c>
      <c r="U1068" s="40" t="str">
        <f t="shared" si="3"/>
        <v/>
      </c>
      <c r="V1068" s="34" t="str">
        <f t="shared" si="4"/>
        <v/>
      </c>
      <c r="W1068" s="41" t="str">
        <f>IFERROR(__xludf.DUMMYFUNCTION(" IF(Account!$F1068&lt;&gt;"""", SPLIT(Account!$F1068, "" ""), """")"),"")</f>
        <v/>
      </c>
      <c r="X1068" s="42"/>
      <c r="Y1068" s="42"/>
      <c r="Z1068" s="42"/>
      <c r="AA1068" s="42"/>
      <c r="AB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</row>
    <row r="1069">
      <c r="A1069" s="20"/>
      <c r="B1069" s="20"/>
      <c r="C1069" s="20"/>
      <c r="D1069" s="20"/>
      <c r="E1069" s="20"/>
      <c r="F1069" s="21"/>
      <c r="G1069" s="45"/>
      <c r="H1069" s="20"/>
      <c r="I1069" s="20"/>
      <c r="J1069" s="20"/>
      <c r="K1069" s="20"/>
      <c r="L1069" s="46"/>
      <c r="M1069" s="33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4" t="str">
        <f>IFERROR(__xludf.DUMMYFUNCTION("IF(Account!$F1069&lt;&gt;"""", VALUE(REGEXREPLACE($I1069, ""\,"", ""."")), """")"),"")</f>
        <v/>
      </c>
      <c r="O1069" s="35" t="str">
        <f>IF(Account!$F1069&lt;&gt;"", DATEVALUE(MID($A1069,4,3) &amp; LEFT($A1069,3) &amp; RIGHT($A1069,4)) + TIMEVALUE($B1069), "")</f>
        <v/>
      </c>
      <c r="P1069" s="36" t="str">
        <f>IF(Account!$F1069&lt;&gt;"", DATEVALUE(MID($C1069,4,3) &amp; LEFT($C1069,3) &amp; RIGHT($C1069,4)), "")</f>
        <v/>
      </c>
      <c r="Q1069" s="37" t="str">
        <f t="array" ref="Q1069">IF($R1069&lt;&gt;"",IFERROR(INDEX(ISIN!$B:$B,MATCH($R1069,ISIN!$C:$C,0))),)</f>
        <v/>
      </c>
      <c r="R1069" s="38" t="str">
        <f t="array" ref="R1069">IF($E1069&lt;&gt;""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7" t="str">
        <f t="shared" si="1"/>
        <v/>
      </c>
      <c r="T1069" s="39" t="str">
        <f t="shared" si="2"/>
        <v/>
      </c>
      <c r="U1069" s="40" t="str">
        <f t="shared" si="3"/>
        <v/>
      </c>
      <c r="V1069" s="34" t="str">
        <f t="shared" si="4"/>
        <v/>
      </c>
      <c r="W1069" s="41" t="str">
        <f>IFERROR(__xludf.DUMMYFUNCTION(" IF(Account!$F1069&lt;&gt;"""", SPLIT(Account!$F1069, "" ""), """")"),"")</f>
        <v/>
      </c>
      <c r="X1069" s="42"/>
      <c r="Y1069" s="42"/>
      <c r="Z1069" s="42"/>
      <c r="AA1069" s="42"/>
      <c r="AB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</row>
    <row r="1070">
      <c r="A1070" s="20"/>
      <c r="B1070" s="20"/>
      <c r="C1070" s="20"/>
      <c r="D1070" s="20"/>
      <c r="E1070" s="20"/>
      <c r="F1070" s="21"/>
      <c r="G1070" s="20"/>
      <c r="H1070" s="20"/>
      <c r="I1070" s="20"/>
      <c r="J1070" s="20"/>
      <c r="K1070" s="20"/>
      <c r="L1070" s="21"/>
      <c r="M1070" s="33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4" t="str">
        <f>IFERROR(__xludf.DUMMYFUNCTION("IF(Account!$F1070&lt;&gt;"""", VALUE(REGEXREPLACE($I1070, ""\,"", ""."")), """")"),"")</f>
        <v/>
      </c>
      <c r="O1070" s="35" t="str">
        <f>IF(Account!$F1070&lt;&gt;"", DATEVALUE(MID($A1070,4,3) &amp; LEFT($A1070,3) &amp; RIGHT($A1070,4)) + TIMEVALUE($B1070), "")</f>
        <v/>
      </c>
      <c r="P1070" s="36" t="str">
        <f>IF(Account!$F1070&lt;&gt;"", DATEVALUE(MID($C1070,4,3) &amp; LEFT($C1070,3) &amp; RIGHT($C1070,4)), "")</f>
        <v/>
      </c>
      <c r="Q1070" s="37" t="str">
        <f t="array" ref="Q1070">IF($R1070&lt;&gt;"",IFERROR(INDEX(ISIN!$B:$B,MATCH($R1070,ISIN!$C:$C,0))),)</f>
        <v/>
      </c>
      <c r="R1070" s="38" t="str">
        <f t="array" ref="R1070">IF($E1070&lt;&gt;""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7" t="str">
        <f t="shared" si="1"/>
        <v/>
      </c>
      <c r="T1070" s="39" t="str">
        <f t="shared" si="2"/>
        <v/>
      </c>
      <c r="U1070" s="40" t="str">
        <f t="shared" si="3"/>
        <v/>
      </c>
      <c r="V1070" s="34" t="str">
        <f t="shared" si="4"/>
        <v/>
      </c>
      <c r="W1070" s="41" t="str">
        <f>IFERROR(__xludf.DUMMYFUNCTION(" IF(Account!$F1070&lt;&gt;"""", SPLIT(Account!$F1070, "" ""), """")"),"")</f>
        <v/>
      </c>
      <c r="X1070" s="42"/>
      <c r="Y1070" s="42"/>
      <c r="Z1070" s="42"/>
      <c r="AA1070" s="42"/>
      <c r="AB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</row>
    <row r="1071">
      <c r="A1071" s="20"/>
      <c r="B1071" s="20"/>
      <c r="C1071" s="20"/>
      <c r="D1071" s="20"/>
      <c r="E1071" s="20"/>
      <c r="F1071" s="21"/>
      <c r="G1071" s="45"/>
      <c r="H1071" s="20"/>
      <c r="I1071" s="20"/>
      <c r="J1071" s="20"/>
      <c r="K1071" s="20"/>
      <c r="L1071" s="21"/>
      <c r="M1071" s="33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4" t="str">
        <f>IFERROR(__xludf.DUMMYFUNCTION("IF(Account!$F1071&lt;&gt;"""", VALUE(REGEXREPLACE($I1071, ""\,"", ""."")), """")"),"")</f>
        <v/>
      </c>
      <c r="O1071" s="35" t="str">
        <f>IF(Account!$F1071&lt;&gt;"", DATEVALUE(MID($A1071,4,3) &amp; LEFT($A1071,3) &amp; RIGHT($A1071,4)) + TIMEVALUE($B1071), "")</f>
        <v/>
      </c>
      <c r="P1071" s="36" t="str">
        <f>IF(Account!$F1071&lt;&gt;"", DATEVALUE(MID($C1071,4,3) &amp; LEFT($C1071,3) &amp; RIGHT($C1071,4)), "")</f>
        <v/>
      </c>
      <c r="Q1071" s="37" t="str">
        <f t="array" ref="Q1071">IF($R1071&lt;&gt;"",IFERROR(INDEX(ISIN!$B:$B,MATCH($R1071,ISIN!$C:$C,0))),)</f>
        <v/>
      </c>
      <c r="R1071" s="38" t="str">
        <f t="array" ref="R1071">IF($E1071&lt;&gt;""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7" t="str">
        <f t="shared" si="1"/>
        <v/>
      </c>
      <c r="T1071" s="39" t="str">
        <f t="shared" si="2"/>
        <v/>
      </c>
      <c r="U1071" s="40" t="str">
        <f t="shared" si="3"/>
        <v/>
      </c>
      <c r="V1071" s="34" t="str">
        <f t="shared" si="4"/>
        <v/>
      </c>
      <c r="W1071" s="41" t="str">
        <f>IFERROR(__xludf.DUMMYFUNCTION(" IF(Account!$F1071&lt;&gt;"""", SPLIT(Account!$F1071, "" ""), """")"),"")</f>
        <v/>
      </c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</row>
    <row r="1072">
      <c r="A1072" s="20"/>
      <c r="B1072" s="20"/>
      <c r="C1072" s="20"/>
      <c r="D1072" s="20"/>
      <c r="E1072" s="20"/>
      <c r="F1072" s="21"/>
      <c r="G1072" s="20"/>
      <c r="H1072" s="20"/>
      <c r="I1072" s="20"/>
      <c r="J1072" s="20"/>
      <c r="K1072" s="20"/>
      <c r="L1072" s="21"/>
      <c r="M1072" s="33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4" t="str">
        <f>IFERROR(__xludf.DUMMYFUNCTION("IF(Account!$F1072&lt;&gt;"""", VALUE(REGEXREPLACE($I1072, ""\,"", ""."")), """")"),"")</f>
        <v/>
      </c>
      <c r="O1072" s="35" t="str">
        <f>IF(Account!$F1072&lt;&gt;"", DATEVALUE(MID($A1072,4,3) &amp; LEFT($A1072,3) &amp; RIGHT($A1072,4)) + TIMEVALUE($B1072), "")</f>
        <v/>
      </c>
      <c r="P1072" s="36" t="str">
        <f>IF(Account!$F1072&lt;&gt;"", DATEVALUE(MID($C1072,4,3) &amp; LEFT($C1072,3) &amp; RIGHT($C1072,4)), "")</f>
        <v/>
      </c>
      <c r="Q1072" s="37" t="str">
        <f t="array" ref="Q1072">IF($R1072&lt;&gt;"",IFERROR(INDEX(ISIN!$B:$B,MATCH($R1072,ISIN!$C:$C,0))),)</f>
        <v/>
      </c>
      <c r="R1072" s="38" t="str">
        <f t="array" ref="R1072">IF($E1072&lt;&gt;""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7" t="str">
        <f t="shared" si="1"/>
        <v/>
      </c>
      <c r="T1072" s="39" t="str">
        <f t="shared" si="2"/>
        <v/>
      </c>
      <c r="U1072" s="40" t="str">
        <f t="shared" si="3"/>
        <v/>
      </c>
      <c r="V1072" s="34" t="str">
        <f t="shared" si="4"/>
        <v/>
      </c>
      <c r="W1072" s="41" t="str">
        <f>IFERROR(__xludf.DUMMYFUNCTION(" IF(Account!$F1072&lt;&gt;"""", SPLIT(Account!$F1072, "" ""), """")"),"")</f>
        <v/>
      </c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</row>
    <row r="1073">
      <c r="A1073" s="20"/>
      <c r="B1073" s="20"/>
      <c r="C1073" s="20"/>
      <c r="D1073" s="20"/>
      <c r="E1073" s="20"/>
      <c r="F1073" s="21"/>
      <c r="G1073" s="45"/>
      <c r="H1073" s="20"/>
      <c r="I1073" s="20"/>
      <c r="J1073" s="20"/>
      <c r="K1073" s="20"/>
      <c r="L1073" s="21"/>
      <c r="M1073" s="33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4" t="str">
        <f>IFERROR(__xludf.DUMMYFUNCTION("IF(Account!$F1073&lt;&gt;"""", VALUE(REGEXREPLACE($I1073, ""\,"", ""."")), """")"),"")</f>
        <v/>
      </c>
      <c r="O1073" s="35" t="str">
        <f>IF(Account!$F1073&lt;&gt;"", DATEVALUE(MID($A1073,4,3) &amp; LEFT($A1073,3) &amp; RIGHT($A1073,4)) + TIMEVALUE($B1073), "")</f>
        <v/>
      </c>
      <c r="P1073" s="36" t="str">
        <f>IF(Account!$F1073&lt;&gt;"", DATEVALUE(MID($C1073,4,3) &amp; LEFT($C1073,3) &amp; RIGHT($C1073,4)), "")</f>
        <v/>
      </c>
      <c r="Q1073" s="37" t="str">
        <f t="array" ref="Q1073">IF($R1073&lt;&gt;"",IFERROR(INDEX(ISIN!$B:$B,MATCH($R1073,ISIN!$C:$C,0))),)</f>
        <v/>
      </c>
      <c r="R1073" s="38" t="str">
        <f t="array" ref="R1073">IF($E1073&lt;&gt;""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7" t="str">
        <f t="shared" si="1"/>
        <v/>
      </c>
      <c r="T1073" s="39" t="str">
        <f t="shared" si="2"/>
        <v/>
      </c>
      <c r="U1073" s="40" t="str">
        <f t="shared" si="3"/>
        <v/>
      </c>
      <c r="V1073" s="34" t="str">
        <f t="shared" si="4"/>
        <v/>
      </c>
      <c r="W1073" s="41" t="str">
        <f>IFERROR(__xludf.DUMMYFUNCTION(" IF(Account!$F1073&lt;&gt;"""", SPLIT(Account!$F1073, "" ""), """")"),"")</f>
        <v/>
      </c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</row>
    <row r="1074">
      <c r="A1074" s="20"/>
      <c r="B1074" s="20"/>
      <c r="C1074" s="20"/>
      <c r="D1074" s="20"/>
      <c r="E1074" s="20"/>
      <c r="F1074" s="21"/>
      <c r="G1074" s="20"/>
      <c r="H1074" s="20"/>
      <c r="I1074" s="20"/>
      <c r="J1074" s="20"/>
      <c r="K1074" s="20"/>
      <c r="L1074" s="21"/>
      <c r="M1074" s="33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4" t="str">
        <f>IFERROR(__xludf.DUMMYFUNCTION("IF(Account!$F1074&lt;&gt;"""", VALUE(REGEXREPLACE($I1074, ""\,"", ""."")), """")"),"")</f>
        <v/>
      </c>
      <c r="O1074" s="35" t="str">
        <f>IF(Account!$F1074&lt;&gt;"", DATEVALUE(MID($A1074,4,3) &amp; LEFT($A1074,3) &amp; RIGHT($A1074,4)) + TIMEVALUE($B1074), "")</f>
        <v/>
      </c>
      <c r="P1074" s="36" t="str">
        <f>IF(Account!$F1074&lt;&gt;"", DATEVALUE(MID($C1074,4,3) &amp; LEFT($C1074,3) &amp; RIGHT($C1074,4)), "")</f>
        <v/>
      </c>
      <c r="Q1074" s="37" t="str">
        <f t="array" ref="Q1074">IF($R1074&lt;&gt;"",IFERROR(INDEX(ISIN!$B:$B,MATCH($R1074,ISIN!$C:$C,0))),)</f>
        <v/>
      </c>
      <c r="R1074" s="38" t="str">
        <f t="array" ref="R1074">IF($E1074&lt;&gt;""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7" t="str">
        <f t="shared" si="1"/>
        <v/>
      </c>
      <c r="T1074" s="39" t="str">
        <f t="shared" si="2"/>
        <v/>
      </c>
      <c r="U1074" s="40" t="str">
        <f t="shared" si="3"/>
        <v/>
      </c>
      <c r="V1074" s="34" t="str">
        <f t="shared" si="4"/>
        <v/>
      </c>
      <c r="W1074" s="41" t="str">
        <f>IFERROR(__xludf.DUMMYFUNCTION(" IF(Account!$F1074&lt;&gt;"""", SPLIT(Account!$F1074, "" ""), """")"),"")</f>
        <v/>
      </c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</row>
    <row r="1075">
      <c r="A1075" s="20"/>
      <c r="B1075" s="20"/>
      <c r="C1075" s="20"/>
      <c r="D1075" s="20"/>
      <c r="E1075" s="20"/>
      <c r="F1075" s="21"/>
      <c r="G1075" s="45"/>
      <c r="H1075" s="20"/>
      <c r="I1075" s="20"/>
      <c r="J1075" s="20"/>
      <c r="K1075" s="20"/>
      <c r="L1075" s="21"/>
      <c r="M1075" s="33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4" t="str">
        <f>IFERROR(__xludf.DUMMYFUNCTION("IF(Account!$F1075&lt;&gt;"""", VALUE(REGEXREPLACE($I1075, ""\,"", ""."")), """")"),"")</f>
        <v/>
      </c>
      <c r="O1075" s="35" t="str">
        <f>IF(Account!$F1075&lt;&gt;"", DATEVALUE(MID($A1075,4,3) &amp; LEFT($A1075,3) &amp; RIGHT($A1075,4)) + TIMEVALUE($B1075), "")</f>
        <v/>
      </c>
      <c r="P1075" s="36" t="str">
        <f>IF(Account!$F1075&lt;&gt;"", DATEVALUE(MID($C1075,4,3) &amp; LEFT($C1075,3) &amp; RIGHT($C1075,4)), "")</f>
        <v/>
      </c>
      <c r="Q1075" s="37" t="str">
        <f t="array" ref="Q1075">IF($R1075&lt;&gt;"",IFERROR(INDEX(ISIN!$B:$B,MATCH($R1075,ISIN!$C:$C,0))),)</f>
        <v/>
      </c>
      <c r="R1075" s="38" t="str">
        <f t="array" ref="R1075">IF($E1075&lt;&gt;""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7" t="str">
        <f t="shared" si="1"/>
        <v/>
      </c>
      <c r="T1075" s="39" t="str">
        <f t="shared" si="2"/>
        <v/>
      </c>
      <c r="U1075" s="40" t="str">
        <f t="shared" si="3"/>
        <v/>
      </c>
      <c r="V1075" s="34" t="str">
        <f t="shared" si="4"/>
        <v/>
      </c>
      <c r="W1075" s="41" t="str">
        <f>IFERROR(__xludf.DUMMYFUNCTION(" IF(Account!$F1075&lt;&gt;"""", SPLIT(Account!$F1075, "" ""), """")"),"")</f>
        <v/>
      </c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</row>
    <row r="1076">
      <c r="A1076" s="20"/>
      <c r="B1076" s="20"/>
      <c r="C1076" s="20"/>
      <c r="D1076" s="20"/>
      <c r="E1076" s="20"/>
      <c r="F1076" s="21"/>
      <c r="G1076" s="45"/>
      <c r="H1076" s="20"/>
      <c r="I1076" s="20"/>
      <c r="J1076" s="20"/>
      <c r="K1076" s="20"/>
      <c r="L1076" s="21"/>
      <c r="M1076" s="33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4" t="str">
        <f>IFERROR(__xludf.DUMMYFUNCTION("IF(Account!$F1076&lt;&gt;"""", VALUE(REGEXREPLACE($I1076, ""\,"", ""."")), """")"),"")</f>
        <v/>
      </c>
      <c r="O1076" s="35" t="str">
        <f>IF(Account!$F1076&lt;&gt;"", DATEVALUE(MID($A1076,4,3) &amp; LEFT($A1076,3) &amp; RIGHT($A1076,4)) + TIMEVALUE($B1076), "")</f>
        <v/>
      </c>
      <c r="P1076" s="36" t="str">
        <f>IF(Account!$F1076&lt;&gt;"", DATEVALUE(MID($C1076,4,3) &amp; LEFT($C1076,3) &amp; RIGHT($C1076,4)), "")</f>
        <v/>
      </c>
      <c r="Q1076" s="37" t="str">
        <f t="array" ref="Q1076">IF($R1076&lt;&gt;"",IFERROR(INDEX(ISIN!$B:$B,MATCH($R1076,ISIN!$C:$C,0))),)</f>
        <v/>
      </c>
      <c r="R1076" s="38" t="str">
        <f t="array" ref="R1076">IF($E1076&lt;&gt;""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7" t="str">
        <f t="shared" si="1"/>
        <v/>
      </c>
      <c r="T1076" s="39" t="str">
        <f t="shared" si="2"/>
        <v/>
      </c>
      <c r="U1076" s="40" t="str">
        <f t="shared" si="3"/>
        <v/>
      </c>
      <c r="V1076" s="34" t="str">
        <f t="shared" si="4"/>
        <v/>
      </c>
      <c r="W1076" s="41" t="str">
        <f>IFERROR(__xludf.DUMMYFUNCTION(" IF(Account!$F1076&lt;&gt;"""", SPLIT(Account!$F1076, "" ""), """")"),"")</f>
        <v/>
      </c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</row>
    <row r="1077">
      <c r="A1077" s="20"/>
      <c r="B1077" s="20"/>
      <c r="C1077" s="20"/>
      <c r="D1077" s="20"/>
      <c r="E1077" s="20"/>
      <c r="F1077" s="21"/>
      <c r="G1077" s="45"/>
      <c r="H1077" s="20"/>
      <c r="I1077" s="20"/>
      <c r="J1077" s="20"/>
      <c r="K1077" s="20"/>
      <c r="L1077" s="21"/>
      <c r="M1077" s="33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4" t="str">
        <f>IFERROR(__xludf.DUMMYFUNCTION("IF(Account!$F1077&lt;&gt;"""", VALUE(REGEXREPLACE($I1077, ""\,"", ""."")), """")"),"")</f>
        <v/>
      </c>
      <c r="O1077" s="35" t="str">
        <f>IF(Account!$F1077&lt;&gt;"", DATEVALUE(MID($A1077,4,3) &amp; LEFT($A1077,3) &amp; RIGHT($A1077,4)) + TIMEVALUE($B1077), "")</f>
        <v/>
      </c>
      <c r="P1077" s="36" t="str">
        <f>IF(Account!$F1077&lt;&gt;"", DATEVALUE(MID($C1077,4,3) &amp; LEFT($C1077,3) &amp; RIGHT($C1077,4)), "")</f>
        <v/>
      </c>
      <c r="Q1077" s="37" t="str">
        <f t="array" ref="Q1077">IF($R1077&lt;&gt;"",IFERROR(INDEX(ISIN!$B:$B,MATCH($R1077,ISIN!$C:$C,0))),)</f>
        <v/>
      </c>
      <c r="R1077" s="38" t="str">
        <f t="array" ref="R1077">IF($E1077&lt;&gt;""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7" t="str">
        <f t="shared" si="1"/>
        <v/>
      </c>
      <c r="T1077" s="39" t="str">
        <f t="shared" si="2"/>
        <v/>
      </c>
      <c r="U1077" s="40" t="str">
        <f t="shared" si="3"/>
        <v/>
      </c>
      <c r="V1077" s="34" t="str">
        <f t="shared" si="4"/>
        <v/>
      </c>
      <c r="W1077" s="41" t="str">
        <f>IFERROR(__xludf.DUMMYFUNCTION(" IF(Account!$F1077&lt;&gt;"""", SPLIT(Account!$F1077, "" ""), """")"),"")</f>
        <v/>
      </c>
      <c r="X1077" s="42"/>
      <c r="Y1077" s="42"/>
      <c r="Z1077" s="42"/>
      <c r="AA1077" s="42"/>
      <c r="AB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</row>
    <row r="1078">
      <c r="A1078" s="20"/>
      <c r="B1078" s="20"/>
      <c r="C1078" s="20"/>
      <c r="D1078" s="20"/>
      <c r="E1078" s="20"/>
      <c r="F1078" s="21"/>
      <c r="G1078" s="45"/>
      <c r="H1078" s="20"/>
      <c r="I1078" s="20"/>
      <c r="J1078" s="20"/>
      <c r="K1078" s="20"/>
      <c r="L1078" s="21"/>
      <c r="M1078" s="33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4" t="str">
        <f>IFERROR(__xludf.DUMMYFUNCTION("IF(Account!$F1078&lt;&gt;"""", VALUE(REGEXREPLACE($I1078, ""\,"", ""."")), """")"),"")</f>
        <v/>
      </c>
      <c r="O1078" s="35" t="str">
        <f>IF(Account!$F1078&lt;&gt;"", DATEVALUE(MID($A1078,4,3) &amp; LEFT($A1078,3) &amp; RIGHT($A1078,4)) + TIMEVALUE($B1078), "")</f>
        <v/>
      </c>
      <c r="P1078" s="36" t="str">
        <f>IF(Account!$F1078&lt;&gt;"", DATEVALUE(MID($C1078,4,3) &amp; LEFT($C1078,3) &amp; RIGHT($C1078,4)), "")</f>
        <v/>
      </c>
      <c r="Q1078" s="37" t="str">
        <f t="array" ref="Q1078">IF($R1078&lt;&gt;"",IFERROR(INDEX(ISIN!$B:$B,MATCH($R1078,ISIN!$C:$C,0))),)</f>
        <v/>
      </c>
      <c r="R1078" s="38" t="str">
        <f t="array" ref="R1078">IF($E1078&lt;&gt;""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7" t="str">
        <f t="shared" si="1"/>
        <v/>
      </c>
      <c r="T1078" s="39" t="str">
        <f t="shared" si="2"/>
        <v/>
      </c>
      <c r="U1078" s="40" t="str">
        <f t="shared" si="3"/>
        <v/>
      </c>
      <c r="V1078" s="34" t="str">
        <f t="shared" si="4"/>
        <v/>
      </c>
      <c r="W1078" s="41" t="str">
        <f>IFERROR(__xludf.DUMMYFUNCTION(" IF(Account!$F1078&lt;&gt;"""", SPLIT(Account!$F1078, "" ""), """")"),"")</f>
        <v/>
      </c>
      <c r="X1078" s="42"/>
      <c r="Y1078" s="42"/>
      <c r="Z1078" s="42"/>
      <c r="AA1078" s="42"/>
      <c r="AB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</row>
    <row r="1079">
      <c r="A1079" s="20"/>
      <c r="B1079" s="20"/>
      <c r="C1079" s="20"/>
      <c r="D1079" s="20"/>
      <c r="E1079" s="20"/>
      <c r="F1079" s="21"/>
      <c r="G1079" s="20"/>
      <c r="H1079" s="20"/>
      <c r="I1079" s="20"/>
      <c r="J1079" s="20"/>
      <c r="K1079" s="20"/>
      <c r="L1079" s="21"/>
      <c r="M1079" s="33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4" t="str">
        <f>IFERROR(__xludf.DUMMYFUNCTION("IF(Account!$F1079&lt;&gt;"""", VALUE(REGEXREPLACE($I1079, ""\,"", ""."")), """")"),"")</f>
        <v/>
      </c>
      <c r="O1079" s="35" t="str">
        <f>IF(Account!$F1079&lt;&gt;"", DATEVALUE(MID($A1079,4,3) &amp; LEFT($A1079,3) &amp; RIGHT($A1079,4)) + TIMEVALUE($B1079), "")</f>
        <v/>
      </c>
      <c r="P1079" s="36" t="str">
        <f>IF(Account!$F1079&lt;&gt;"", DATEVALUE(MID($C1079,4,3) &amp; LEFT($C1079,3) &amp; RIGHT($C1079,4)), "")</f>
        <v/>
      </c>
      <c r="Q1079" s="37" t="str">
        <f t="array" ref="Q1079">IF($R1079&lt;&gt;"",IFERROR(INDEX(ISIN!$B:$B,MATCH($R1079,ISIN!$C:$C,0))),)</f>
        <v/>
      </c>
      <c r="R1079" s="38" t="str">
        <f t="array" ref="R1079">IF($E1079&lt;&gt;""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7" t="str">
        <f t="shared" si="1"/>
        <v/>
      </c>
      <c r="T1079" s="39" t="str">
        <f t="shared" si="2"/>
        <v/>
      </c>
      <c r="U1079" s="40" t="str">
        <f t="shared" si="3"/>
        <v/>
      </c>
      <c r="V1079" s="34" t="str">
        <f t="shared" si="4"/>
        <v/>
      </c>
      <c r="W1079" s="41" t="str">
        <f>IFERROR(__xludf.DUMMYFUNCTION(" IF(Account!$F1079&lt;&gt;"""", SPLIT(Account!$F1079, "" ""), """")"),"")</f>
        <v/>
      </c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</row>
    <row r="1080">
      <c r="A1080" s="20"/>
      <c r="B1080" s="20"/>
      <c r="C1080" s="20"/>
      <c r="D1080" s="20"/>
      <c r="E1080" s="20"/>
      <c r="F1080" s="21"/>
      <c r="G1080" s="45"/>
      <c r="H1080" s="20"/>
      <c r="I1080" s="20"/>
      <c r="J1080" s="20"/>
      <c r="K1080" s="20"/>
      <c r="L1080" s="21"/>
      <c r="M1080" s="33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4" t="str">
        <f>IFERROR(__xludf.DUMMYFUNCTION("IF(Account!$F1080&lt;&gt;"""", VALUE(REGEXREPLACE($I1080, ""\,"", ""."")), """")"),"")</f>
        <v/>
      </c>
      <c r="O1080" s="35" t="str">
        <f>IF(Account!$F1080&lt;&gt;"", DATEVALUE(MID($A1080,4,3) &amp; LEFT($A1080,3) &amp; RIGHT($A1080,4)) + TIMEVALUE($B1080), "")</f>
        <v/>
      </c>
      <c r="P1080" s="36" t="str">
        <f>IF(Account!$F1080&lt;&gt;"", DATEVALUE(MID($C1080,4,3) &amp; LEFT($C1080,3) &amp; RIGHT($C1080,4)), "")</f>
        <v/>
      </c>
      <c r="Q1080" s="37" t="str">
        <f t="array" ref="Q1080">IF($R1080&lt;&gt;"",IFERROR(INDEX(ISIN!$B:$B,MATCH($R1080,ISIN!$C:$C,0))),)</f>
        <v/>
      </c>
      <c r="R1080" s="38" t="str">
        <f t="array" ref="R1080">IF($E1080&lt;&gt;""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7" t="str">
        <f t="shared" si="1"/>
        <v/>
      </c>
      <c r="T1080" s="39" t="str">
        <f t="shared" si="2"/>
        <v/>
      </c>
      <c r="U1080" s="40" t="str">
        <f t="shared" si="3"/>
        <v/>
      </c>
      <c r="V1080" s="34" t="str">
        <f t="shared" si="4"/>
        <v/>
      </c>
      <c r="W1080" s="41" t="str">
        <f>IFERROR(__xludf.DUMMYFUNCTION(" IF(Account!$F1080&lt;&gt;"""", SPLIT(Account!$F1080, "" ""), """")"),"")</f>
        <v/>
      </c>
      <c r="X1080" s="42"/>
      <c r="Y1080" s="42"/>
      <c r="Z1080" s="42"/>
      <c r="AA1080" s="42"/>
      <c r="AB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</row>
    <row r="1081">
      <c r="A1081" s="20"/>
      <c r="B1081" s="20"/>
      <c r="C1081" s="20"/>
      <c r="D1081" s="20"/>
      <c r="E1081" s="20"/>
      <c r="F1081" s="21"/>
      <c r="G1081" s="20"/>
      <c r="H1081" s="20"/>
      <c r="I1081" s="20"/>
      <c r="J1081" s="20"/>
      <c r="K1081" s="20"/>
      <c r="L1081" s="21"/>
      <c r="M1081" s="33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4" t="str">
        <f>IFERROR(__xludf.DUMMYFUNCTION("IF(Account!$F1081&lt;&gt;"""", VALUE(REGEXREPLACE($I1081, ""\,"", ""."")), """")"),"")</f>
        <v/>
      </c>
      <c r="O1081" s="35" t="str">
        <f>IF(Account!$F1081&lt;&gt;"", DATEVALUE(MID($A1081,4,3) &amp; LEFT($A1081,3) &amp; RIGHT($A1081,4)) + TIMEVALUE($B1081), "")</f>
        <v/>
      </c>
      <c r="P1081" s="36" t="str">
        <f>IF(Account!$F1081&lt;&gt;"", DATEVALUE(MID($C1081,4,3) &amp; LEFT($C1081,3) &amp; RIGHT($C1081,4)), "")</f>
        <v/>
      </c>
      <c r="Q1081" s="37" t="str">
        <f t="array" ref="Q1081">IF($R1081&lt;&gt;"",IFERROR(INDEX(ISIN!$B:$B,MATCH($R1081,ISIN!$C:$C,0))),)</f>
        <v/>
      </c>
      <c r="R1081" s="38" t="str">
        <f t="array" ref="R1081">IF($E1081&lt;&gt;""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7" t="str">
        <f t="shared" si="1"/>
        <v/>
      </c>
      <c r="T1081" s="39" t="str">
        <f t="shared" si="2"/>
        <v/>
      </c>
      <c r="U1081" s="40" t="str">
        <f t="shared" si="3"/>
        <v/>
      </c>
      <c r="V1081" s="34" t="str">
        <f t="shared" si="4"/>
        <v/>
      </c>
      <c r="W1081" s="41" t="str">
        <f>IFERROR(__xludf.DUMMYFUNCTION(" IF(Account!$F1081&lt;&gt;"""", SPLIT(Account!$F1081, "" ""), """")"),"")</f>
        <v/>
      </c>
      <c r="X1081" s="42"/>
      <c r="Y1081" s="42"/>
      <c r="Z1081" s="42"/>
      <c r="AA1081" s="42"/>
      <c r="AB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</row>
    <row r="1082">
      <c r="A1082" s="20"/>
      <c r="B1082" s="20"/>
      <c r="C1082" s="20"/>
      <c r="D1082" s="20"/>
      <c r="E1082" s="20"/>
      <c r="F1082" s="21"/>
      <c r="G1082" s="45"/>
      <c r="H1082" s="20"/>
      <c r="I1082" s="20"/>
      <c r="J1082" s="20"/>
      <c r="K1082" s="20"/>
      <c r="L1082" s="21"/>
      <c r="M1082" s="33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4" t="str">
        <f>IFERROR(__xludf.DUMMYFUNCTION("IF(Account!$F1082&lt;&gt;"""", VALUE(REGEXREPLACE($I1082, ""\,"", ""."")), """")"),"")</f>
        <v/>
      </c>
      <c r="O1082" s="35" t="str">
        <f>IF(Account!$F1082&lt;&gt;"", DATEVALUE(MID($A1082,4,3) &amp; LEFT($A1082,3) &amp; RIGHT($A1082,4)) + TIMEVALUE($B1082), "")</f>
        <v/>
      </c>
      <c r="P1082" s="36" t="str">
        <f>IF(Account!$F1082&lt;&gt;"", DATEVALUE(MID($C1082,4,3) &amp; LEFT($C1082,3) &amp; RIGHT($C1082,4)), "")</f>
        <v/>
      </c>
      <c r="Q1082" s="37" t="str">
        <f t="array" ref="Q1082">IF($R1082&lt;&gt;"",IFERROR(INDEX(ISIN!$B:$B,MATCH($R1082,ISIN!$C:$C,0))),)</f>
        <v/>
      </c>
      <c r="R1082" s="38" t="str">
        <f t="array" ref="R1082">IF($E1082&lt;&gt;""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7" t="str">
        <f t="shared" si="1"/>
        <v/>
      </c>
      <c r="T1082" s="39" t="str">
        <f t="shared" si="2"/>
        <v/>
      </c>
      <c r="U1082" s="40" t="str">
        <f t="shared" si="3"/>
        <v/>
      </c>
      <c r="V1082" s="34" t="str">
        <f t="shared" si="4"/>
        <v/>
      </c>
      <c r="W1082" s="41" t="str">
        <f>IFERROR(__xludf.DUMMYFUNCTION(" IF(Account!$F1082&lt;&gt;"""", SPLIT(Account!$F1082, "" ""), """")"),"")</f>
        <v/>
      </c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</row>
    <row r="1083">
      <c r="A1083" s="20"/>
      <c r="B1083" s="20"/>
      <c r="C1083" s="20"/>
      <c r="D1083" s="20"/>
      <c r="E1083" s="20"/>
      <c r="F1083" s="21"/>
      <c r="G1083" s="45"/>
      <c r="H1083" s="20"/>
      <c r="I1083" s="20"/>
      <c r="J1083" s="20"/>
      <c r="K1083" s="20"/>
      <c r="L1083" s="21"/>
      <c r="M1083" s="33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4" t="str">
        <f>IFERROR(__xludf.DUMMYFUNCTION("IF(Account!$F1083&lt;&gt;"""", VALUE(REGEXREPLACE($I1083, ""\,"", ""."")), """")"),"")</f>
        <v/>
      </c>
      <c r="O1083" s="35" t="str">
        <f>IF(Account!$F1083&lt;&gt;"", DATEVALUE(MID($A1083,4,3) &amp; LEFT($A1083,3) &amp; RIGHT($A1083,4)) + TIMEVALUE($B1083), "")</f>
        <v/>
      </c>
      <c r="P1083" s="36" t="str">
        <f>IF(Account!$F1083&lt;&gt;"", DATEVALUE(MID($C1083,4,3) &amp; LEFT($C1083,3) &amp; RIGHT($C1083,4)), "")</f>
        <v/>
      </c>
      <c r="Q1083" s="37" t="str">
        <f t="array" ref="Q1083">IF($R1083&lt;&gt;"",IFERROR(INDEX(ISIN!$B:$B,MATCH($R1083,ISIN!$C:$C,0))),)</f>
        <v/>
      </c>
      <c r="R1083" s="38" t="str">
        <f t="array" ref="R1083">IF($E1083&lt;&gt;""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7" t="str">
        <f t="shared" si="1"/>
        <v/>
      </c>
      <c r="T1083" s="39" t="str">
        <f t="shared" si="2"/>
        <v/>
      </c>
      <c r="U1083" s="40" t="str">
        <f t="shared" si="3"/>
        <v/>
      </c>
      <c r="V1083" s="34" t="str">
        <f t="shared" si="4"/>
        <v/>
      </c>
      <c r="W1083" s="41" t="str">
        <f>IFERROR(__xludf.DUMMYFUNCTION(" IF(Account!$F1083&lt;&gt;"""", SPLIT(Account!$F1083, "" ""), """")"),"")</f>
        <v/>
      </c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</row>
    <row r="1084">
      <c r="A1084" s="20"/>
      <c r="B1084" s="20"/>
      <c r="C1084" s="20"/>
      <c r="D1084" s="20"/>
      <c r="E1084" s="20"/>
      <c r="F1084" s="21"/>
      <c r="G1084" s="45"/>
      <c r="H1084" s="20"/>
      <c r="I1084" s="20"/>
      <c r="J1084" s="20"/>
      <c r="K1084" s="20"/>
      <c r="L1084" s="21"/>
      <c r="M1084" s="33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4" t="str">
        <f>IFERROR(__xludf.DUMMYFUNCTION("IF(Account!$F1084&lt;&gt;"""", VALUE(REGEXREPLACE($I1084, ""\,"", ""."")), """")"),"")</f>
        <v/>
      </c>
      <c r="O1084" s="35" t="str">
        <f>IF(Account!$F1084&lt;&gt;"", DATEVALUE(MID($A1084,4,3) &amp; LEFT($A1084,3) &amp; RIGHT($A1084,4)) + TIMEVALUE($B1084), "")</f>
        <v/>
      </c>
      <c r="P1084" s="36" t="str">
        <f>IF(Account!$F1084&lt;&gt;"", DATEVALUE(MID($C1084,4,3) &amp; LEFT($C1084,3) &amp; RIGHT($C1084,4)), "")</f>
        <v/>
      </c>
      <c r="Q1084" s="37" t="str">
        <f t="array" ref="Q1084">IF($R1084&lt;&gt;"",IFERROR(INDEX(ISIN!$B:$B,MATCH($R1084,ISIN!$C:$C,0))),)</f>
        <v/>
      </c>
      <c r="R1084" s="38" t="str">
        <f t="array" ref="R1084">IF($E1084&lt;&gt;""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7" t="str">
        <f t="shared" si="1"/>
        <v/>
      </c>
      <c r="T1084" s="39" t="str">
        <f t="shared" si="2"/>
        <v/>
      </c>
      <c r="U1084" s="40" t="str">
        <f t="shared" si="3"/>
        <v/>
      </c>
      <c r="V1084" s="34" t="str">
        <f t="shared" si="4"/>
        <v/>
      </c>
      <c r="W1084" s="41" t="str">
        <f>IFERROR(__xludf.DUMMYFUNCTION(" IF(Account!$F1084&lt;&gt;"""", SPLIT(Account!$F1084, "" ""), """")"),"")</f>
        <v/>
      </c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</row>
    <row r="1085">
      <c r="A1085" s="20"/>
      <c r="B1085" s="20"/>
      <c r="C1085" s="20"/>
      <c r="D1085" s="20"/>
      <c r="E1085" s="20"/>
      <c r="F1085" s="21"/>
      <c r="G1085" s="20"/>
      <c r="H1085" s="20"/>
      <c r="I1085" s="20"/>
      <c r="J1085" s="20"/>
      <c r="K1085" s="20"/>
      <c r="L1085" s="21"/>
      <c r="M1085" s="33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4" t="str">
        <f>IFERROR(__xludf.DUMMYFUNCTION("IF(Account!$F1085&lt;&gt;"""", VALUE(REGEXREPLACE($I1085, ""\,"", ""."")), """")"),"")</f>
        <v/>
      </c>
      <c r="O1085" s="35" t="str">
        <f>IF(Account!$F1085&lt;&gt;"", DATEVALUE(MID($A1085,4,3) &amp; LEFT($A1085,3) &amp; RIGHT($A1085,4)) + TIMEVALUE($B1085), "")</f>
        <v/>
      </c>
      <c r="P1085" s="36" t="str">
        <f>IF(Account!$F1085&lt;&gt;"", DATEVALUE(MID($C1085,4,3) &amp; LEFT($C1085,3) &amp; RIGHT($C1085,4)), "")</f>
        <v/>
      </c>
      <c r="Q1085" s="37" t="str">
        <f t="array" ref="Q1085">IF($R1085&lt;&gt;"",IFERROR(INDEX(ISIN!$B:$B,MATCH($R1085,ISIN!$C:$C,0))),)</f>
        <v/>
      </c>
      <c r="R1085" s="38" t="str">
        <f t="array" ref="R1085">IF($E1085&lt;&gt;""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7" t="str">
        <f t="shared" si="1"/>
        <v/>
      </c>
      <c r="T1085" s="39" t="str">
        <f t="shared" si="2"/>
        <v/>
      </c>
      <c r="U1085" s="40" t="str">
        <f t="shared" si="3"/>
        <v/>
      </c>
      <c r="V1085" s="34" t="str">
        <f t="shared" si="4"/>
        <v/>
      </c>
      <c r="W1085" s="41" t="str">
        <f>IFERROR(__xludf.DUMMYFUNCTION(" IF(Account!$F1085&lt;&gt;"""", SPLIT(Account!$F1085, "" ""), """")"),"")</f>
        <v/>
      </c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</row>
    <row r="1086">
      <c r="A1086" s="20"/>
      <c r="B1086" s="20"/>
      <c r="C1086" s="20"/>
      <c r="D1086" s="20"/>
      <c r="E1086" s="20"/>
      <c r="F1086" s="21"/>
      <c r="G1086" s="45"/>
      <c r="H1086" s="20"/>
      <c r="I1086" s="20"/>
      <c r="J1086" s="20"/>
      <c r="K1086" s="20"/>
      <c r="L1086" s="21"/>
      <c r="M1086" s="33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4" t="str">
        <f>IFERROR(__xludf.DUMMYFUNCTION("IF(Account!$F1086&lt;&gt;"""", VALUE(REGEXREPLACE($I1086, ""\,"", ""."")), """")"),"")</f>
        <v/>
      </c>
      <c r="O1086" s="35" t="str">
        <f>IF(Account!$F1086&lt;&gt;"", DATEVALUE(MID($A1086,4,3) &amp; LEFT($A1086,3) &amp; RIGHT($A1086,4)) + TIMEVALUE($B1086), "")</f>
        <v/>
      </c>
      <c r="P1086" s="36" t="str">
        <f>IF(Account!$F1086&lt;&gt;"", DATEVALUE(MID($C1086,4,3) &amp; LEFT($C1086,3) &amp; RIGHT($C1086,4)), "")</f>
        <v/>
      </c>
      <c r="Q1086" s="37" t="str">
        <f t="array" ref="Q1086">IF($R1086&lt;&gt;"",IFERROR(INDEX(ISIN!$B:$B,MATCH($R1086,ISIN!$C:$C,0))),)</f>
        <v/>
      </c>
      <c r="R1086" s="38" t="str">
        <f t="array" ref="R1086">IF($E1086&lt;&gt;""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7" t="str">
        <f t="shared" si="1"/>
        <v/>
      </c>
      <c r="T1086" s="39" t="str">
        <f t="shared" si="2"/>
        <v/>
      </c>
      <c r="U1086" s="40" t="str">
        <f t="shared" si="3"/>
        <v/>
      </c>
      <c r="V1086" s="34" t="str">
        <f t="shared" si="4"/>
        <v/>
      </c>
      <c r="W1086" s="41" t="str">
        <f>IFERROR(__xludf.DUMMYFUNCTION(" IF(Account!$F1086&lt;&gt;"""", SPLIT(Account!$F1086, "" ""), """")"),"")</f>
        <v/>
      </c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</row>
    <row r="1087">
      <c r="A1087" s="20"/>
      <c r="B1087" s="20"/>
      <c r="C1087" s="20"/>
      <c r="D1087" s="20"/>
      <c r="E1087" s="20"/>
      <c r="F1087" s="21"/>
      <c r="G1087" s="20"/>
      <c r="H1087" s="20"/>
      <c r="I1087" s="20"/>
      <c r="J1087" s="20"/>
      <c r="K1087" s="20"/>
      <c r="L1087" s="21"/>
      <c r="M1087" s="33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4" t="str">
        <f>IFERROR(__xludf.DUMMYFUNCTION("IF(Account!$F1087&lt;&gt;"""", VALUE(REGEXREPLACE($I1087, ""\,"", ""."")), """")"),"")</f>
        <v/>
      </c>
      <c r="O1087" s="35" t="str">
        <f>IF(Account!$F1087&lt;&gt;"", DATEVALUE(MID($A1087,4,3) &amp; LEFT($A1087,3) &amp; RIGHT($A1087,4)) + TIMEVALUE($B1087), "")</f>
        <v/>
      </c>
      <c r="P1087" s="36" t="str">
        <f>IF(Account!$F1087&lt;&gt;"", DATEVALUE(MID($C1087,4,3) &amp; LEFT($C1087,3) &amp; RIGHT($C1087,4)), "")</f>
        <v/>
      </c>
      <c r="Q1087" s="37" t="str">
        <f t="array" ref="Q1087">IF($R1087&lt;&gt;"",IFERROR(INDEX(ISIN!$B:$B,MATCH($R1087,ISIN!$C:$C,0))),)</f>
        <v/>
      </c>
      <c r="R1087" s="38" t="str">
        <f t="array" ref="R1087">IF($E1087&lt;&gt;""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7" t="str">
        <f t="shared" si="1"/>
        <v/>
      </c>
      <c r="T1087" s="39" t="str">
        <f t="shared" si="2"/>
        <v/>
      </c>
      <c r="U1087" s="40" t="str">
        <f t="shared" si="3"/>
        <v/>
      </c>
      <c r="V1087" s="34" t="str">
        <f t="shared" si="4"/>
        <v/>
      </c>
      <c r="W1087" s="41" t="str">
        <f>IFERROR(__xludf.DUMMYFUNCTION(" IF(Account!$F1087&lt;&gt;"""", SPLIT(Account!$F1087, "" ""), """")"),"")</f>
        <v/>
      </c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</row>
    <row r="1088">
      <c r="A1088" s="20"/>
      <c r="B1088" s="20"/>
      <c r="C1088" s="20"/>
      <c r="D1088" s="20"/>
      <c r="E1088" s="20"/>
      <c r="F1088" s="21"/>
      <c r="G1088" s="45"/>
      <c r="H1088" s="20"/>
      <c r="I1088" s="20"/>
      <c r="J1088" s="20"/>
      <c r="K1088" s="20"/>
      <c r="L1088" s="21"/>
      <c r="M1088" s="33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4" t="str">
        <f>IFERROR(__xludf.DUMMYFUNCTION("IF(Account!$F1088&lt;&gt;"""", VALUE(REGEXREPLACE($I1088, ""\,"", ""."")), """")"),"")</f>
        <v/>
      </c>
      <c r="O1088" s="35" t="str">
        <f>IF(Account!$F1088&lt;&gt;"", DATEVALUE(MID($A1088,4,3) &amp; LEFT($A1088,3) &amp; RIGHT($A1088,4)) + TIMEVALUE($B1088), "")</f>
        <v/>
      </c>
      <c r="P1088" s="36" t="str">
        <f>IF(Account!$F1088&lt;&gt;"", DATEVALUE(MID($C1088,4,3) &amp; LEFT($C1088,3) &amp; RIGHT($C1088,4)), "")</f>
        <v/>
      </c>
      <c r="Q1088" s="37" t="str">
        <f t="array" ref="Q1088">IF($R1088&lt;&gt;"",IFERROR(INDEX(ISIN!$B:$B,MATCH($R1088,ISIN!$C:$C,0))),)</f>
        <v/>
      </c>
      <c r="R1088" s="38" t="str">
        <f t="array" ref="R1088">IF($E1088&lt;&gt;""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7" t="str">
        <f t="shared" si="1"/>
        <v/>
      </c>
      <c r="T1088" s="39" t="str">
        <f t="shared" si="2"/>
        <v/>
      </c>
      <c r="U1088" s="40" t="str">
        <f t="shared" si="3"/>
        <v/>
      </c>
      <c r="V1088" s="34" t="str">
        <f t="shared" si="4"/>
        <v/>
      </c>
      <c r="W1088" s="41" t="str">
        <f>IFERROR(__xludf.DUMMYFUNCTION(" IF(Account!$F1088&lt;&gt;"""", SPLIT(Account!$F1088, "" ""), """")"),"")</f>
        <v/>
      </c>
      <c r="X1088" s="42"/>
      <c r="Y1088" s="42"/>
      <c r="Z1088" s="42"/>
      <c r="AA1088" s="42"/>
      <c r="AB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</row>
    <row r="1089">
      <c r="A1089" s="20"/>
      <c r="B1089" s="20"/>
      <c r="C1089" s="20"/>
      <c r="D1089" s="20"/>
      <c r="E1089" s="20"/>
      <c r="F1089" s="21"/>
      <c r="G1089" s="20"/>
      <c r="H1089" s="20"/>
      <c r="I1089" s="20"/>
      <c r="J1089" s="20"/>
      <c r="K1089" s="20"/>
      <c r="L1089" s="21"/>
      <c r="M1089" s="33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4" t="str">
        <f>IFERROR(__xludf.DUMMYFUNCTION("IF(Account!$F1089&lt;&gt;"""", VALUE(REGEXREPLACE($I1089, ""\,"", ""."")), """")"),"")</f>
        <v/>
      </c>
      <c r="O1089" s="35" t="str">
        <f>IF(Account!$F1089&lt;&gt;"", DATEVALUE(MID($A1089,4,3) &amp; LEFT($A1089,3) &amp; RIGHT($A1089,4)) + TIMEVALUE($B1089), "")</f>
        <v/>
      </c>
      <c r="P1089" s="36" t="str">
        <f>IF(Account!$F1089&lt;&gt;"", DATEVALUE(MID($C1089,4,3) &amp; LEFT($C1089,3) &amp; RIGHT($C1089,4)), "")</f>
        <v/>
      </c>
      <c r="Q1089" s="37" t="str">
        <f t="array" ref="Q1089">IF($R1089&lt;&gt;"",IFERROR(INDEX(ISIN!$B:$B,MATCH($R1089,ISIN!$C:$C,0))),)</f>
        <v/>
      </c>
      <c r="R1089" s="38" t="str">
        <f t="array" ref="R1089">IF($E1089&lt;&gt;""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7" t="str">
        <f t="shared" si="1"/>
        <v/>
      </c>
      <c r="T1089" s="39" t="str">
        <f t="shared" si="2"/>
        <v/>
      </c>
      <c r="U1089" s="40" t="str">
        <f t="shared" si="3"/>
        <v/>
      </c>
      <c r="V1089" s="34" t="str">
        <f t="shared" si="4"/>
        <v/>
      </c>
      <c r="W1089" s="41" t="str">
        <f>IFERROR(__xludf.DUMMYFUNCTION(" IF(Account!$F1089&lt;&gt;"""", SPLIT(Account!$F1089, "" ""), """")"),"")</f>
        <v/>
      </c>
      <c r="X1089" s="42"/>
      <c r="Y1089" s="42"/>
      <c r="Z1089" s="42"/>
      <c r="AA1089" s="42"/>
      <c r="AB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</row>
    <row r="1090">
      <c r="A1090" s="20"/>
      <c r="B1090" s="20"/>
      <c r="C1090" s="20"/>
      <c r="D1090" s="20"/>
      <c r="E1090" s="20"/>
      <c r="F1090" s="21"/>
      <c r="G1090" s="45"/>
      <c r="H1090" s="20"/>
      <c r="I1090" s="20"/>
      <c r="J1090" s="20"/>
      <c r="K1090" s="20"/>
      <c r="L1090" s="21"/>
      <c r="M1090" s="33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4" t="str">
        <f>IFERROR(__xludf.DUMMYFUNCTION("IF(Account!$F1090&lt;&gt;"""", VALUE(REGEXREPLACE($I1090, ""\,"", ""."")), """")"),"")</f>
        <v/>
      </c>
      <c r="O1090" s="35" t="str">
        <f>IF(Account!$F1090&lt;&gt;"", DATEVALUE(MID($A1090,4,3) &amp; LEFT($A1090,3) &amp; RIGHT($A1090,4)) + TIMEVALUE($B1090), "")</f>
        <v/>
      </c>
      <c r="P1090" s="36" t="str">
        <f>IF(Account!$F1090&lt;&gt;"", DATEVALUE(MID($C1090,4,3) &amp; LEFT($C1090,3) &amp; RIGHT($C1090,4)), "")</f>
        <v/>
      </c>
      <c r="Q1090" s="37" t="str">
        <f t="array" ref="Q1090">IF($R1090&lt;&gt;"",IFERROR(INDEX(ISIN!$B:$B,MATCH($R1090,ISIN!$C:$C,0))),)</f>
        <v/>
      </c>
      <c r="R1090" s="38" t="str">
        <f t="array" ref="R1090">IF($E1090&lt;&gt;""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7" t="str">
        <f t="shared" si="1"/>
        <v/>
      </c>
      <c r="T1090" s="39" t="str">
        <f t="shared" si="2"/>
        <v/>
      </c>
      <c r="U1090" s="40" t="str">
        <f t="shared" si="3"/>
        <v/>
      </c>
      <c r="V1090" s="34" t="str">
        <f t="shared" si="4"/>
        <v/>
      </c>
      <c r="W1090" s="41" t="str">
        <f>IFERROR(__xludf.DUMMYFUNCTION(" IF(Account!$F1090&lt;&gt;"""", SPLIT(Account!$F1090, "" ""), """")"),"")</f>
        <v/>
      </c>
      <c r="X1090" s="42"/>
      <c r="Y1090" s="42"/>
      <c r="Z1090" s="42"/>
      <c r="AA1090" s="42"/>
      <c r="AB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</row>
    <row r="1091">
      <c r="A1091" s="20"/>
      <c r="B1091" s="20"/>
      <c r="C1091" s="20"/>
      <c r="D1091" s="20"/>
      <c r="E1091" s="20"/>
      <c r="F1091" s="21"/>
      <c r="G1091" s="45"/>
      <c r="H1091" s="20"/>
      <c r="I1091" s="20"/>
      <c r="J1091" s="20"/>
      <c r="K1091" s="20"/>
      <c r="L1091" s="21"/>
      <c r="M1091" s="33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4" t="str">
        <f>IFERROR(__xludf.DUMMYFUNCTION("IF(Account!$F1091&lt;&gt;"""", VALUE(REGEXREPLACE($I1091, ""\,"", ""."")), """")"),"")</f>
        <v/>
      </c>
      <c r="O1091" s="35" t="str">
        <f>IF(Account!$F1091&lt;&gt;"", DATEVALUE(MID($A1091,4,3) &amp; LEFT($A1091,3) &amp; RIGHT($A1091,4)) + TIMEVALUE($B1091), "")</f>
        <v/>
      </c>
      <c r="P1091" s="36" t="str">
        <f>IF(Account!$F1091&lt;&gt;"", DATEVALUE(MID($C1091,4,3) &amp; LEFT($C1091,3) &amp; RIGHT($C1091,4)), "")</f>
        <v/>
      </c>
      <c r="Q1091" s="37" t="str">
        <f t="array" ref="Q1091">IF($R1091&lt;&gt;"",IFERROR(INDEX(ISIN!$B:$B,MATCH($R1091,ISIN!$C:$C,0))),)</f>
        <v/>
      </c>
      <c r="R1091" s="38" t="str">
        <f t="array" ref="R1091">IF($E1091&lt;&gt;""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7" t="str">
        <f t="shared" si="1"/>
        <v/>
      </c>
      <c r="T1091" s="39" t="str">
        <f t="shared" si="2"/>
        <v/>
      </c>
      <c r="U1091" s="40" t="str">
        <f t="shared" si="3"/>
        <v/>
      </c>
      <c r="V1091" s="34" t="str">
        <f t="shared" si="4"/>
        <v/>
      </c>
      <c r="W1091" s="41" t="str">
        <f>IFERROR(__xludf.DUMMYFUNCTION(" IF(Account!$F1091&lt;&gt;"""", SPLIT(Account!$F1091, "" ""), """")"),"")</f>
        <v/>
      </c>
      <c r="X1091" s="42"/>
      <c r="Y1091" s="42"/>
      <c r="Z1091" s="42"/>
      <c r="AA1091" s="42"/>
      <c r="AB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</row>
    <row r="1092">
      <c r="A1092" s="20"/>
      <c r="B1092" s="20"/>
      <c r="C1092" s="20"/>
      <c r="D1092" s="20"/>
      <c r="E1092" s="20"/>
      <c r="F1092" s="21"/>
      <c r="G1092" s="45"/>
      <c r="H1092" s="20"/>
      <c r="I1092" s="20"/>
      <c r="J1092" s="20"/>
      <c r="K1092" s="20"/>
      <c r="L1092" s="21"/>
      <c r="M1092" s="33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4" t="str">
        <f>IFERROR(__xludf.DUMMYFUNCTION("IF(Account!$F1092&lt;&gt;"""", VALUE(REGEXREPLACE($I1092, ""\,"", ""."")), """")"),"")</f>
        <v/>
      </c>
      <c r="O1092" s="35" t="str">
        <f>IF(Account!$F1092&lt;&gt;"", DATEVALUE(MID($A1092,4,3) &amp; LEFT($A1092,3) &amp; RIGHT($A1092,4)) + TIMEVALUE($B1092), "")</f>
        <v/>
      </c>
      <c r="P1092" s="36" t="str">
        <f>IF(Account!$F1092&lt;&gt;"", DATEVALUE(MID($C1092,4,3) &amp; LEFT($C1092,3) &amp; RIGHT($C1092,4)), "")</f>
        <v/>
      </c>
      <c r="Q1092" s="37" t="str">
        <f t="array" ref="Q1092">IF($R1092&lt;&gt;"",IFERROR(INDEX(ISIN!$B:$B,MATCH($R1092,ISIN!$C:$C,0))),)</f>
        <v/>
      </c>
      <c r="R1092" s="38" t="str">
        <f t="array" ref="R1092">IF($E1092&lt;&gt;""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7" t="str">
        <f t="shared" si="1"/>
        <v/>
      </c>
      <c r="T1092" s="39" t="str">
        <f t="shared" si="2"/>
        <v/>
      </c>
      <c r="U1092" s="40" t="str">
        <f t="shared" si="3"/>
        <v/>
      </c>
      <c r="V1092" s="34" t="str">
        <f t="shared" si="4"/>
        <v/>
      </c>
      <c r="W1092" s="41" t="str">
        <f>IFERROR(__xludf.DUMMYFUNCTION(" IF(Account!$F1092&lt;&gt;"""", SPLIT(Account!$F1092, "" ""), """")"),"")</f>
        <v/>
      </c>
      <c r="X1092" s="42"/>
      <c r="Y1092" s="42"/>
      <c r="Z1092" s="42"/>
      <c r="AA1092" s="42"/>
      <c r="AB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</row>
    <row r="1093">
      <c r="A1093" s="20"/>
      <c r="B1093" s="20"/>
      <c r="C1093" s="20"/>
      <c r="D1093" s="20"/>
      <c r="E1093" s="20"/>
      <c r="F1093" s="21"/>
      <c r="G1093" s="45"/>
      <c r="H1093" s="20"/>
      <c r="I1093" s="20"/>
      <c r="J1093" s="20"/>
      <c r="K1093" s="20"/>
      <c r="L1093" s="21"/>
      <c r="M1093" s="33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4" t="str">
        <f>IFERROR(__xludf.DUMMYFUNCTION("IF(Account!$F1093&lt;&gt;"""", VALUE(REGEXREPLACE($I1093, ""\,"", ""."")), """")"),"")</f>
        <v/>
      </c>
      <c r="O1093" s="35" t="str">
        <f>IF(Account!$F1093&lt;&gt;"", DATEVALUE(MID($A1093,4,3) &amp; LEFT($A1093,3) &amp; RIGHT($A1093,4)) + TIMEVALUE($B1093), "")</f>
        <v/>
      </c>
      <c r="P1093" s="36" t="str">
        <f>IF(Account!$F1093&lt;&gt;"", DATEVALUE(MID($C1093,4,3) &amp; LEFT($C1093,3) &amp; RIGHT($C1093,4)), "")</f>
        <v/>
      </c>
      <c r="Q1093" s="37" t="str">
        <f t="array" ref="Q1093">IF($R1093&lt;&gt;"",IFERROR(INDEX(ISIN!$B:$B,MATCH($R1093,ISIN!$C:$C,0))),)</f>
        <v/>
      </c>
      <c r="R1093" s="38" t="str">
        <f t="array" ref="R1093">IF($E1093&lt;&gt;""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7" t="str">
        <f t="shared" si="1"/>
        <v/>
      </c>
      <c r="T1093" s="39" t="str">
        <f t="shared" si="2"/>
        <v/>
      </c>
      <c r="U1093" s="40" t="str">
        <f t="shared" si="3"/>
        <v/>
      </c>
      <c r="V1093" s="34" t="str">
        <f t="shared" si="4"/>
        <v/>
      </c>
      <c r="W1093" s="41" t="str">
        <f>IFERROR(__xludf.DUMMYFUNCTION(" IF(Account!$F1093&lt;&gt;"""", SPLIT(Account!$F1093, "" ""), """")"),"")</f>
        <v/>
      </c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</row>
    <row r="1094">
      <c r="A1094" s="20"/>
      <c r="B1094" s="20"/>
      <c r="C1094" s="20"/>
      <c r="D1094" s="20"/>
      <c r="E1094" s="20"/>
      <c r="F1094" s="21"/>
      <c r="G1094" s="20"/>
      <c r="H1094" s="20"/>
      <c r="I1094" s="20"/>
      <c r="J1094" s="20"/>
      <c r="K1094" s="20"/>
      <c r="L1094" s="21"/>
      <c r="M1094" s="33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4" t="str">
        <f>IFERROR(__xludf.DUMMYFUNCTION("IF(Account!$F1094&lt;&gt;"""", VALUE(REGEXREPLACE($I1094, ""\,"", ""."")), """")"),"")</f>
        <v/>
      </c>
      <c r="O1094" s="35" t="str">
        <f>IF(Account!$F1094&lt;&gt;"", DATEVALUE(MID($A1094,4,3) &amp; LEFT($A1094,3) &amp; RIGHT($A1094,4)) + TIMEVALUE($B1094), "")</f>
        <v/>
      </c>
      <c r="P1094" s="36" t="str">
        <f>IF(Account!$F1094&lt;&gt;"", DATEVALUE(MID($C1094,4,3) &amp; LEFT($C1094,3) &amp; RIGHT($C1094,4)), "")</f>
        <v/>
      </c>
      <c r="Q1094" s="37" t="str">
        <f t="array" ref="Q1094">IF($R1094&lt;&gt;"",IFERROR(INDEX(ISIN!$B:$B,MATCH($R1094,ISIN!$C:$C,0))),)</f>
        <v/>
      </c>
      <c r="R1094" s="38" t="str">
        <f t="array" ref="R1094">IF($E1094&lt;&gt;""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7" t="str">
        <f t="shared" si="1"/>
        <v/>
      </c>
      <c r="T1094" s="39" t="str">
        <f t="shared" si="2"/>
        <v/>
      </c>
      <c r="U1094" s="40" t="str">
        <f t="shared" si="3"/>
        <v/>
      </c>
      <c r="V1094" s="34" t="str">
        <f t="shared" si="4"/>
        <v/>
      </c>
      <c r="W1094" s="41" t="str">
        <f>IFERROR(__xludf.DUMMYFUNCTION(" IF(Account!$F1094&lt;&gt;"""", SPLIT(Account!$F1094, "" ""), """")"),"")</f>
        <v/>
      </c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</row>
    <row r="1095">
      <c r="A1095" s="20"/>
      <c r="B1095" s="20"/>
      <c r="C1095" s="20"/>
      <c r="D1095" s="20"/>
      <c r="E1095" s="20"/>
      <c r="F1095" s="21"/>
      <c r="G1095" s="45"/>
      <c r="H1095" s="20"/>
      <c r="I1095" s="20"/>
      <c r="J1095" s="20"/>
      <c r="K1095" s="20"/>
      <c r="L1095" s="21"/>
      <c r="M1095" s="33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4" t="str">
        <f>IFERROR(__xludf.DUMMYFUNCTION("IF(Account!$F1095&lt;&gt;"""", VALUE(REGEXREPLACE($I1095, ""\,"", ""."")), """")"),"")</f>
        <v/>
      </c>
      <c r="O1095" s="35" t="str">
        <f>IF(Account!$F1095&lt;&gt;"", DATEVALUE(MID($A1095,4,3) &amp; LEFT($A1095,3) &amp; RIGHT($A1095,4)) + TIMEVALUE($B1095), "")</f>
        <v/>
      </c>
      <c r="P1095" s="36" t="str">
        <f>IF(Account!$F1095&lt;&gt;"", DATEVALUE(MID($C1095,4,3) &amp; LEFT($C1095,3) &amp; RIGHT($C1095,4)), "")</f>
        <v/>
      </c>
      <c r="Q1095" s="37" t="str">
        <f t="array" ref="Q1095">IF($R1095&lt;&gt;"",IFERROR(INDEX(ISIN!$B:$B,MATCH($R1095,ISIN!$C:$C,0))),)</f>
        <v/>
      </c>
      <c r="R1095" s="38" t="str">
        <f t="array" ref="R1095">IF($E1095&lt;&gt;""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7" t="str">
        <f t="shared" si="1"/>
        <v/>
      </c>
      <c r="T1095" s="39" t="str">
        <f t="shared" si="2"/>
        <v/>
      </c>
      <c r="U1095" s="40" t="str">
        <f t="shared" si="3"/>
        <v/>
      </c>
      <c r="V1095" s="34" t="str">
        <f t="shared" si="4"/>
        <v/>
      </c>
      <c r="W1095" s="41" t="str">
        <f>IFERROR(__xludf.DUMMYFUNCTION(" IF(Account!$F1095&lt;&gt;"""", SPLIT(Account!$F1095, "" ""), """")"),"")</f>
        <v/>
      </c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</row>
    <row r="1096">
      <c r="A1096" s="20"/>
      <c r="B1096" s="20"/>
      <c r="C1096" s="20"/>
      <c r="D1096" s="20"/>
      <c r="E1096" s="20"/>
      <c r="F1096" s="21"/>
      <c r="G1096" s="45"/>
      <c r="H1096" s="20"/>
      <c r="I1096" s="20"/>
      <c r="J1096" s="20"/>
      <c r="K1096" s="20"/>
      <c r="L1096" s="21"/>
      <c r="M1096" s="33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4" t="str">
        <f>IFERROR(__xludf.DUMMYFUNCTION("IF(Account!$F1096&lt;&gt;"""", VALUE(REGEXREPLACE($I1096, ""\,"", ""."")), """")"),"")</f>
        <v/>
      </c>
      <c r="O1096" s="35" t="str">
        <f>IF(Account!$F1096&lt;&gt;"", DATEVALUE(MID($A1096,4,3) &amp; LEFT($A1096,3) &amp; RIGHT($A1096,4)) + TIMEVALUE($B1096), "")</f>
        <v/>
      </c>
      <c r="P1096" s="36" t="str">
        <f>IF(Account!$F1096&lt;&gt;"", DATEVALUE(MID($C1096,4,3) &amp; LEFT($C1096,3) &amp; RIGHT($C1096,4)), "")</f>
        <v/>
      </c>
      <c r="Q1096" s="37" t="str">
        <f t="array" ref="Q1096">IF($R1096&lt;&gt;"",IFERROR(INDEX(ISIN!$B:$B,MATCH($R1096,ISIN!$C:$C,0))),)</f>
        <v/>
      </c>
      <c r="R1096" s="38" t="str">
        <f t="array" ref="R1096">IF($E1096&lt;&gt;""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7" t="str">
        <f t="shared" si="1"/>
        <v/>
      </c>
      <c r="T1096" s="39" t="str">
        <f t="shared" si="2"/>
        <v/>
      </c>
      <c r="U1096" s="40" t="str">
        <f t="shared" si="3"/>
        <v/>
      </c>
      <c r="V1096" s="34" t="str">
        <f t="shared" si="4"/>
        <v/>
      </c>
      <c r="W1096" s="41" t="str">
        <f>IFERROR(__xludf.DUMMYFUNCTION(" IF(Account!$F1096&lt;&gt;"""", SPLIT(Account!$F1096, "" ""), """")"),"")</f>
        <v/>
      </c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</row>
    <row r="1097">
      <c r="A1097" s="20"/>
      <c r="B1097" s="20"/>
      <c r="C1097" s="20"/>
      <c r="D1097" s="20"/>
      <c r="E1097" s="20"/>
      <c r="F1097" s="21"/>
      <c r="G1097" s="20"/>
      <c r="H1097" s="20"/>
      <c r="I1097" s="20"/>
      <c r="J1097" s="20"/>
      <c r="K1097" s="20"/>
      <c r="L1097" s="21"/>
      <c r="M1097" s="33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4" t="str">
        <f>IFERROR(__xludf.DUMMYFUNCTION("IF(Account!$F1097&lt;&gt;"""", VALUE(REGEXREPLACE($I1097, ""\,"", ""."")), """")"),"")</f>
        <v/>
      </c>
      <c r="O1097" s="35" t="str">
        <f>IF(Account!$F1097&lt;&gt;"", DATEVALUE(MID($A1097,4,3) &amp; LEFT($A1097,3) &amp; RIGHT($A1097,4)) + TIMEVALUE($B1097), "")</f>
        <v/>
      </c>
      <c r="P1097" s="36" t="str">
        <f>IF(Account!$F1097&lt;&gt;"", DATEVALUE(MID($C1097,4,3) &amp; LEFT($C1097,3) &amp; RIGHT($C1097,4)), "")</f>
        <v/>
      </c>
      <c r="Q1097" s="37" t="str">
        <f t="array" ref="Q1097">IF($R1097&lt;&gt;"",IFERROR(INDEX(ISIN!$B:$B,MATCH($R1097,ISIN!$C:$C,0))),)</f>
        <v/>
      </c>
      <c r="R1097" s="38" t="str">
        <f t="array" ref="R1097">IF($E1097&lt;&gt;""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7" t="str">
        <f t="shared" si="1"/>
        <v/>
      </c>
      <c r="T1097" s="39" t="str">
        <f t="shared" si="2"/>
        <v/>
      </c>
      <c r="U1097" s="40" t="str">
        <f t="shared" si="3"/>
        <v/>
      </c>
      <c r="V1097" s="34" t="str">
        <f t="shared" si="4"/>
        <v/>
      </c>
      <c r="W1097" s="41" t="str">
        <f>IFERROR(__xludf.DUMMYFUNCTION(" IF(Account!$F1097&lt;&gt;"""", SPLIT(Account!$F1097, "" ""), """")"),"")</f>
        <v/>
      </c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</row>
    <row r="1098">
      <c r="A1098" s="45"/>
      <c r="B1098" s="45"/>
      <c r="C1098" s="45"/>
      <c r="D1098" s="45"/>
      <c r="E1098" s="45"/>
      <c r="F1098" s="46"/>
      <c r="G1098" s="45"/>
      <c r="H1098" s="45"/>
      <c r="I1098" s="45"/>
      <c r="J1098" s="45"/>
      <c r="K1098" s="45"/>
      <c r="L1098" s="21"/>
      <c r="M1098" s="33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4" t="str">
        <f>IFERROR(__xludf.DUMMYFUNCTION("IF(Account!$F1098&lt;&gt;"""", VALUE(REGEXREPLACE($I1098, ""\,"", ""."")), """")"),"")</f>
        <v/>
      </c>
      <c r="O1098" s="35" t="str">
        <f>IF(Account!$F1098&lt;&gt;"", DATEVALUE(MID($A1098,4,3) &amp; LEFT($A1098,3) &amp; RIGHT($A1098,4)) + TIMEVALUE($B1098), "")</f>
        <v/>
      </c>
      <c r="P1098" s="36" t="str">
        <f>IF(Account!$F1098&lt;&gt;"", DATEVALUE(MID($C1098,4,3) &amp; LEFT($C1098,3) &amp; RIGHT($C1098,4)), "")</f>
        <v/>
      </c>
      <c r="Q1098" s="37" t="str">
        <f t="array" ref="Q1098">IF($R1098&lt;&gt;"",IFERROR(INDEX(ISIN!$B:$B,MATCH($R1098,ISIN!$C:$C,0))),)</f>
        <v/>
      </c>
      <c r="R1098" s="38" t="str">
        <f t="array" ref="R1098">IF($E1098&lt;&gt;""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7" t="str">
        <f t="shared" si="1"/>
        <v/>
      </c>
      <c r="T1098" s="39" t="str">
        <f t="shared" si="2"/>
        <v/>
      </c>
      <c r="U1098" s="40" t="str">
        <f t="shared" si="3"/>
        <v/>
      </c>
      <c r="V1098" s="34" t="str">
        <f t="shared" si="4"/>
        <v/>
      </c>
      <c r="W1098" s="41" t="str">
        <f>IFERROR(__xludf.DUMMYFUNCTION(" IF(Account!$F1098&lt;&gt;"""", SPLIT(Account!$F1098, "" ""), """")"),"")</f>
        <v/>
      </c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</row>
    <row r="1099">
      <c r="A1099" s="20"/>
      <c r="B1099" s="20"/>
      <c r="C1099" s="20"/>
      <c r="D1099" s="20"/>
      <c r="E1099" s="20"/>
      <c r="F1099" s="21"/>
      <c r="G1099" s="45"/>
      <c r="H1099" s="20"/>
      <c r="I1099" s="20"/>
      <c r="J1099" s="20"/>
      <c r="K1099" s="20"/>
      <c r="L1099" s="21"/>
      <c r="M1099" s="33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4" t="str">
        <f>IFERROR(__xludf.DUMMYFUNCTION("IF(Account!$F1099&lt;&gt;"""", VALUE(REGEXREPLACE($I1099, ""\,"", ""."")), """")"),"")</f>
        <v/>
      </c>
      <c r="O1099" s="35" t="str">
        <f>IF(Account!$F1099&lt;&gt;"", DATEVALUE(MID($A1099,4,3) &amp; LEFT($A1099,3) &amp; RIGHT($A1099,4)) + TIMEVALUE($B1099), "")</f>
        <v/>
      </c>
      <c r="P1099" s="36" t="str">
        <f>IF(Account!$F1099&lt;&gt;"", DATEVALUE(MID($C1099,4,3) &amp; LEFT($C1099,3) &amp; RIGHT($C1099,4)), "")</f>
        <v/>
      </c>
      <c r="Q1099" s="37" t="str">
        <f t="array" ref="Q1099">IF($R1099&lt;&gt;"",IFERROR(INDEX(ISIN!$B:$B,MATCH($R1099,ISIN!$C:$C,0))),)</f>
        <v/>
      </c>
      <c r="R1099" s="38" t="str">
        <f t="array" ref="R1099">IF($E1099&lt;&gt;""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7" t="str">
        <f t="shared" si="1"/>
        <v/>
      </c>
      <c r="T1099" s="39" t="str">
        <f t="shared" si="2"/>
        <v/>
      </c>
      <c r="U1099" s="40" t="str">
        <f t="shared" si="3"/>
        <v/>
      </c>
      <c r="V1099" s="34" t="str">
        <f t="shared" si="4"/>
        <v/>
      </c>
      <c r="W1099" s="41" t="str">
        <f>IFERROR(__xludf.DUMMYFUNCTION(" IF(Account!$F1099&lt;&gt;"""", SPLIT(Account!$F1099, "" ""), """")"),"")</f>
        <v/>
      </c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</row>
    <row r="1100">
      <c r="A1100" s="20"/>
      <c r="B1100" s="20"/>
      <c r="C1100" s="20"/>
      <c r="D1100" s="20"/>
      <c r="E1100" s="20"/>
      <c r="F1100" s="21"/>
      <c r="G1100" s="45"/>
      <c r="H1100" s="20"/>
      <c r="I1100" s="20"/>
      <c r="J1100" s="20"/>
      <c r="K1100" s="20"/>
      <c r="L1100" s="21"/>
      <c r="M1100" s="33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4" t="str">
        <f>IFERROR(__xludf.DUMMYFUNCTION("IF(Account!$F1100&lt;&gt;"""", VALUE(REGEXREPLACE($I1100, ""\,"", ""."")), """")"),"")</f>
        <v/>
      </c>
      <c r="O1100" s="35" t="str">
        <f>IF(Account!$F1100&lt;&gt;"", DATEVALUE(MID($A1100,4,3) &amp; LEFT($A1100,3) &amp; RIGHT($A1100,4)) + TIMEVALUE($B1100), "")</f>
        <v/>
      </c>
      <c r="P1100" s="36" t="str">
        <f>IF(Account!$F1100&lt;&gt;"", DATEVALUE(MID($C1100,4,3) &amp; LEFT($C1100,3) &amp; RIGHT($C1100,4)), "")</f>
        <v/>
      </c>
      <c r="Q1100" s="37" t="str">
        <f t="array" ref="Q1100">IF($R1100&lt;&gt;"",IFERROR(INDEX(ISIN!$B:$B,MATCH($R1100,ISIN!$C:$C,0))),)</f>
        <v/>
      </c>
      <c r="R1100" s="38" t="str">
        <f t="array" ref="R1100">IF($E1100&lt;&gt;""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7" t="str">
        <f t="shared" si="1"/>
        <v/>
      </c>
      <c r="T1100" s="39" t="str">
        <f t="shared" si="2"/>
        <v/>
      </c>
      <c r="U1100" s="40" t="str">
        <f t="shared" si="3"/>
        <v/>
      </c>
      <c r="V1100" s="34" t="str">
        <f t="shared" si="4"/>
        <v/>
      </c>
      <c r="W1100" s="41" t="str">
        <f>IFERROR(__xludf.DUMMYFUNCTION(" IF(Account!$F1100&lt;&gt;"""", SPLIT(Account!$F1100, "" ""), """")"),"")</f>
        <v/>
      </c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</row>
    <row r="1101">
      <c r="A1101" s="20"/>
      <c r="B1101" s="20"/>
      <c r="C1101" s="20"/>
      <c r="D1101" s="20"/>
      <c r="E1101" s="20"/>
      <c r="F1101" s="21"/>
      <c r="G1101" s="45"/>
      <c r="H1101" s="20"/>
      <c r="I1101" s="20"/>
      <c r="J1101" s="20"/>
      <c r="K1101" s="20"/>
      <c r="L1101" s="21"/>
      <c r="M1101" s="33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4" t="str">
        <f>IFERROR(__xludf.DUMMYFUNCTION("IF(Account!$F1101&lt;&gt;"""", VALUE(REGEXREPLACE($I1101, ""\,"", ""."")), """")"),"")</f>
        <v/>
      </c>
      <c r="O1101" s="35" t="str">
        <f>IF(Account!$F1101&lt;&gt;"", DATEVALUE(MID($A1101,4,3) &amp; LEFT($A1101,3) &amp; RIGHT($A1101,4)) + TIMEVALUE($B1101), "")</f>
        <v/>
      </c>
      <c r="P1101" s="36" t="str">
        <f>IF(Account!$F1101&lt;&gt;"", DATEVALUE(MID($C1101,4,3) &amp; LEFT($C1101,3) &amp; RIGHT($C1101,4)), "")</f>
        <v/>
      </c>
      <c r="Q1101" s="37" t="str">
        <f t="array" ref="Q1101">IF($R1101&lt;&gt;"",IFERROR(INDEX(ISIN!$B:$B,MATCH($R1101,ISIN!$C:$C,0))),)</f>
        <v/>
      </c>
      <c r="R1101" s="38" t="str">
        <f t="array" ref="R1101">IF($E1101&lt;&gt;""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7" t="str">
        <f t="shared" si="1"/>
        <v/>
      </c>
      <c r="T1101" s="39" t="str">
        <f t="shared" si="2"/>
        <v/>
      </c>
      <c r="U1101" s="40" t="str">
        <f t="shared" si="3"/>
        <v/>
      </c>
      <c r="V1101" s="34" t="str">
        <f t="shared" si="4"/>
        <v/>
      </c>
      <c r="W1101" s="41" t="str">
        <f>IFERROR(__xludf.DUMMYFUNCTION(" IF(Account!$F1101&lt;&gt;"""", SPLIT(Account!$F1101, "" ""), """")"),"")</f>
        <v/>
      </c>
      <c r="X1101" s="42"/>
      <c r="Y1101" s="42"/>
      <c r="Z1101" s="42"/>
      <c r="AA1101" s="42"/>
      <c r="AB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</row>
    <row r="1102">
      <c r="A1102" s="20"/>
      <c r="B1102" s="20"/>
      <c r="C1102" s="20"/>
      <c r="D1102" s="20"/>
      <c r="E1102" s="20"/>
      <c r="F1102" s="21"/>
      <c r="G1102" s="45"/>
      <c r="H1102" s="45"/>
      <c r="I1102" s="45"/>
      <c r="J1102" s="20"/>
      <c r="K1102" s="20"/>
      <c r="L1102" s="46"/>
      <c r="M1102" s="33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4" t="str">
        <f>IFERROR(__xludf.DUMMYFUNCTION("IF(Account!$F1102&lt;&gt;"""", VALUE(REGEXREPLACE($I1102, ""\,"", ""."")), """")"),"")</f>
        <v/>
      </c>
      <c r="O1102" s="35" t="str">
        <f>IF(Account!$F1102&lt;&gt;"", DATEVALUE(MID($A1102,4,3) &amp; LEFT($A1102,3) &amp; RIGHT($A1102,4)) + TIMEVALUE($B1102), "")</f>
        <v/>
      </c>
      <c r="P1102" s="36" t="str">
        <f>IF(Account!$F1102&lt;&gt;"", DATEVALUE(MID($C1102,4,3) &amp; LEFT($C1102,3) &amp; RIGHT($C1102,4)), "")</f>
        <v/>
      </c>
      <c r="Q1102" s="37" t="str">
        <f t="array" ref="Q1102">IF($R1102&lt;&gt;"",IFERROR(INDEX(ISIN!$B:$B,MATCH($R1102,ISIN!$C:$C,0))),)</f>
        <v/>
      </c>
      <c r="R1102" s="38" t="str">
        <f t="array" ref="R1102">IF($E1102&lt;&gt;""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7" t="str">
        <f t="shared" si="1"/>
        <v/>
      </c>
      <c r="T1102" s="39" t="str">
        <f t="shared" si="2"/>
        <v/>
      </c>
      <c r="U1102" s="40" t="str">
        <f t="shared" si="3"/>
        <v/>
      </c>
      <c r="V1102" s="34" t="str">
        <f t="shared" si="4"/>
        <v/>
      </c>
      <c r="W1102" s="41" t="str">
        <f>IFERROR(__xludf.DUMMYFUNCTION(" IF(Account!$F1102&lt;&gt;"""", SPLIT(Account!$F1102, "" ""), """")"),"")</f>
        <v/>
      </c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</row>
    <row r="1103">
      <c r="A1103" s="20"/>
      <c r="B1103" s="20"/>
      <c r="C1103" s="20"/>
      <c r="D1103" s="45"/>
      <c r="E1103" s="45"/>
      <c r="F1103" s="21"/>
      <c r="G1103" s="20"/>
      <c r="H1103" s="20"/>
      <c r="I1103" s="20"/>
      <c r="J1103" s="20"/>
      <c r="K1103" s="20"/>
      <c r="L1103" s="46"/>
      <c r="M1103" s="33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4" t="str">
        <f>IFERROR(__xludf.DUMMYFUNCTION("IF(Account!$F1103&lt;&gt;"""", VALUE(REGEXREPLACE($I1103, ""\,"", ""."")), """")"),"")</f>
        <v/>
      </c>
      <c r="O1103" s="35" t="str">
        <f>IF(Account!$F1103&lt;&gt;"", DATEVALUE(MID($A1103,4,3) &amp; LEFT($A1103,3) &amp; RIGHT($A1103,4)) + TIMEVALUE($B1103), "")</f>
        <v/>
      </c>
      <c r="P1103" s="36" t="str">
        <f>IF(Account!$F1103&lt;&gt;"", DATEVALUE(MID($C1103,4,3) &amp; LEFT($C1103,3) &amp; RIGHT($C1103,4)), "")</f>
        <v/>
      </c>
      <c r="Q1103" s="37" t="str">
        <f t="array" ref="Q1103">IF($R1103&lt;&gt;"",IFERROR(INDEX(ISIN!$B:$B,MATCH($R1103,ISIN!$C:$C,0))),)</f>
        <v/>
      </c>
      <c r="R1103" s="38" t="str">
        <f t="array" ref="R1103">IF($E1103&lt;&gt;""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7" t="str">
        <f t="shared" si="1"/>
        <v/>
      </c>
      <c r="T1103" s="39" t="str">
        <f t="shared" si="2"/>
        <v/>
      </c>
      <c r="U1103" s="40" t="str">
        <f t="shared" si="3"/>
        <v/>
      </c>
      <c r="V1103" s="34" t="str">
        <f t="shared" si="4"/>
        <v/>
      </c>
      <c r="W1103" s="41" t="str">
        <f>IFERROR(__xludf.DUMMYFUNCTION(" IF(Account!$F1103&lt;&gt;"""", SPLIT(Account!$F1103, "" ""), """")"),"")</f>
        <v/>
      </c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</row>
    <row r="1104">
      <c r="A1104" s="20"/>
      <c r="B1104" s="20"/>
      <c r="C1104" s="20"/>
      <c r="D1104" s="45"/>
      <c r="E1104" s="45"/>
      <c r="F1104" s="21"/>
      <c r="G1104" s="45"/>
      <c r="H1104" s="20"/>
      <c r="I1104" s="20"/>
      <c r="J1104" s="20"/>
      <c r="K1104" s="20"/>
      <c r="L1104" s="46"/>
      <c r="M1104" s="33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4" t="str">
        <f>IFERROR(__xludf.DUMMYFUNCTION("IF(Account!$F1104&lt;&gt;"""", VALUE(REGEXREPLACE($I1104, ""\,"", ""."")), """")"),"")</f>
        <v/>
      </c>
      <c r="O1104" s="35" t="str">
        <f>IF(Account!$F1104&lt;&gt;"", DATEVALUE(MID($A1104,4,3) &amp; LEFT($A1104,3) &amp; RIGHT($A1104,4)) + TIMEVALUE($B1104), "")</f>
        <v/>
      </c>
      <c r="P1104" s="36" t="str">
        <f>IF(Account!$F1104&lt;&gt;"", DATEVALUE(MID($C1104,4,3) &amp; LEFT($C1104,3) &amp; RIGHT($C1104,4)), "")</f>
        <v/>
      </c>
      <c r="Q1104" s="37" t="str">
        <f t="array" ref="Q1104">IF($R1104&lt;&gt;"",IFERROR(INDEX(ISIN!$B:$B,MATCH($R1104,ISIN!$C:$C,0))),)</f>
        <v/>
      </c>
      <c r="R1104" s="38" t="str">
        <f t="array" ref="R1104">IF($E1104&lt;&gt;""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7" t="str">
        <f t="shared" si="1"/>
        <v/>
      </c>
      <c r="T1104" s="39" t="str">
        <f t="shared" si="2"/>
        <v/>
      </c>
      <c r="U1104" s="40" t="str">
        <f t="shared" si="3"/>
        <v/>
      </c>
      <c r="V1104" s="34" t="str">
        <f t="shared" si="4"/>
        <v/>
      </c>
      <c r="W1104" s="41" t="str">
        <f>IFERROR(__xludf.DUMMYFUNCTION(" IF(Account!$F1104&lt;&gt;"""", SPLIT(Account!$F1104, "" ""), """")"),"")</f>
        <v/>
      </c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</row>
    <row r="1105">
      <c r="A1105" s="20"/>
      <c r="B1105" s="20"/>
      <c r="C1105" s="20"/>
      <c r="D1105" s="20"/>
      <c r="E1105" s="20"/>
      <c r="F1105" s="21"/>
      <c r="G1105" s="45"/>
      <c r="H1105" s="45"/>
      <c r="I1105" s="45"/>
      <c r="J1105" s="20"/>
      <c r="K1105" s="20"/>
      <c r="L1105" s="46"/>
      <c r="M1105" s="33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4" t="str">
        <f>IFERROR(__xludf.DUMMYFUNCTION("IF(Account!$F1105&lt;&gt;"""", VALUE(REGEXREPLACE($I1105, ""\,"", ""."")), """")"),"")</f>
        <v/>
      </c>
      <c r="O1105" s="35" t="str">
        <f>IF(Account!$F1105&lt;&gt;"", DATEVALUE(MID($A1105,4,3) &amp; LEFT($A1105,3) &amp; RIGHT($A1105,4)) + TIMEVALUE($B1105), "")</f>
        <v/>
      </c>
      <c r="P1105" s="36" t="str">
        <f>IF(Account!$F1105&lt;&gt;"", DATEVALUE(MID($C1105,4,3) &amp; LEFT($C1105,3) &amp; RIGHT($C1105,4)), "")</f>
        <v/>
      </c>
      <c r="Q1105" s="37" t="str">
        <f t="array" ref="Q1105">IF($R1105&lt;&gt;"",IFERROR(INDEX(ISIN!$B:$B,MATCH($R1105,ISIN!$C:$C,0))),)</f>
        <v/>
      </c>
      <c r="R1105" s="38" t="str">
        <f t="array" ref="R1105">IF($E1105&lt;&gt;""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7" t="str">
        <f t="shared" si="1"/>
        <v/>
      </c>
      <c r="T1105" s="39" t="str">
        <f t="shared" si="2"/>
        <v/>
      </c>
      <c r="U1105" s="40" t="str">
        <f t="shared" si="3"/>
        <v/>
      </c>
      <c r="V1105" s="34" t="str">
        <f t="shared" si="4"/>
        <v/>
      </c>
      <c r="W1105" s="41" t="str">
        <f>IFERROR(__xludf.DUMMYFUNCTION(" IF(Account!$F1105&lt;&gt;"""", SPLIT(Account!$F1105, "" ""), """")"),"")</f>
        <v/>
      </c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</row>
    <row r="1106">
      <c r="A1106" s="20"/>
      <c r="B1106" s="20"/>
      <c r="C1106" s="20"/>
      <c r="D1106" s="20"/>
      <c r="E1106" s="20"/>
      <c r="F1106" s="21"/>
      <c r="G1106" s="45"/>
      <c r="H1106" s="20"/>
      <c r="I1106" s="20"/>
      <c r="J1106" s="20"/>
      <c r="K1106" s="20"/>
      <c r="L1106" s="46"/>
      <c r="M1106" s="33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4" t="str">
        <f>IFERROR(__xludf.DUMMYFUNCTION("IF(Account!$F1106&lt;&gt;"""", VALUE(REGEXREPLACE($I1106, ""\,"", ""."")), """")"),"")</f>
        <v/>
      </c>
      <c r="O1106" s="35" t="str">
        <f>IF(Account!$F1106&lt;&gt;"", DATEVALUE(MID($A1106,4,3) &amp; LEFT($A1106,3) &amp; RIGHT($A1106,4)) + TIMEVALUE($B1106), "")</f>
        <v/>
      </c>
      <c r="P1106" s="36" t="str">
        <f>IF(Account!$F1106&lt;&gt;"", DATEVALUE(MID($C1106,4,3) &amp; LEFT($C1106,3) &amp; RIGHT($C1106,4)), "")</f>
        <v/>
      </c>
      <c r="Q1106" s="37" t="str">
        <f t="array" ref="Q1106">IF($R1106&lt;&gt;"",IFERROR(INDEX(ISIN!$B:$B,MATCH($R1106,ISIN!$C:$C,0))),)</f>
        <v/>
      </c>
      <c r="R1106" s="38" t="str">
        <f t="array" ref="R1106">IF($E1106&lt;&gt;""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7" t="str">
        <f t="shared" si="1"/>
        <v/>
      </c>
      <c r="T1106" s="39" t="str">
        <f t="shared" si="2"/>
        <v/>
      </c>
      <c r="U1106" s="40" t="str">
        <f t="shared" si="3"/>
        <v/>
      </c>
      <c r="V1106" s="34" t="str">
        <f t="shared" si="4"/>
        <v/>
      </c>
      <c r="W1106" s="41" t="str">
        <f>IFERROR(__xludf.DUMMYFUNCTION(" IF(Account!$F1106&lt;&gt;"""", SPLIT(Account!$F1106, "" ""), """")"),"")</f>
        <v/>
      </c>
      <c r="X1106" s="42"/>
      <c r="Y1106" s="42"/>
      <c r="Z1106" s="42"/>
      <c r="AA1106" s="42"/>
      <c r="AB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</row>
    <row r="1107">
      <c r="A1107" s="20"/>
      <c r="B1107" s="20"/>
      <c r="C1107" s="20"/>
      <c r="D1107" s="20"/>
      <c r="E1107" s="20"/>
      <c r="F1107" s="21"/>
      <c r="G1107" s="45"/>
      <c r="H1107" s="20"/>
      <c r="I1107" s="20"/>
      <c r="J1107" s="20"/>
      <c r="K1107" s="20"/>
      <c r="L1107" s="46"/>
      <c r="M1107" s="33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4" t="str">
        <f>IFERROR(__xludf.DUMMYFUNCTION("IF(Account!$F1107&lt;&gt;"""", VALUE(REGEXREPLACE($I1107, ""\,"", ""."")), """")"),"")</f>
        <v/>
      </c>
      <c r="O1107" s="35" t="str">
        <f>IF(Account!$F1107&lt;&gt;"", DATEVALUE(MID($A1107,4,3) &amp; LEFT($A1107,3) &amp; RIGHT($A1107,4)) + TIMEVALUE($B1107), "")</f>
        <v/>
      </c>
      <c r="P1107" s="36" t="str">
        <f>IF(Account!$F1107&lt;&gt;"", DATEVALUE(MID($C1107,4,3) &amp; LEFT($C1107,3) &amp; RIGHT($C1107,4)), "")</f>
        <v/>
      </c>
      <c r="Q1107" s="37" t="str">
        <f t="array" ref="Q1107">IF($R1107&lt;&gt;"",IFERROR(INDEX(ISIN!$B:$B,MATCH($R1107,ISIN!$C:$C,0))),)</f>
        <v/>
      </c>
      <c r="R1107" s="38" t="str">
        <f t="array" ref="R1107">IF($E1107&lt;&gt;""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7" t="str">
        <f t="shared" si="1"/>
        <v/>
      </c>
      <c r="T1107" s="39" t="str">
        <f t="shared" si="2"/>
        <v/>
      </c>
      <c r="U1107" s="40" t="str">
        <f t="shared" si="3"/>
        <v/>
      </c>
      <c r="V1107" s="34" t="str">
        <f t="shared" si="4"/>
        <v/>
      </c>
      <c r="W1107" s="41" t="str">
        <f>IFERROR(__xludf.DUMMYFUNCTION(" IF(Account!$F1107&lt;&gt;"""", SPLIT(Account!$F1107, "" ""), """")"),"")</f>
        <v/>
      </c>
      <c r="X1107" s="42"/>
      <c r="Y1107" s="42"/>
      <c r="Z1107" s="42"/>
      <c r="AA1107" s="42"/>
      <c r="AB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</row>
    <row r="1108">
      <c r="A1108" s="20"/>
      <c r="B1108" s="20"/>
      <c r="C1108" s="20"/>
      <c r="D1108" s="45"/>
      <c r="E1108" s="45"/>
      <c r="F1108" s="21"/>
      <c r="G1108" s="45"/>
      <c r="H1108" s="20"/>
      <c r="I1108" s="20"/>
      <c r="J1108" s="20"/>
      <c r="K1108" s="20"/>
      <c r="L1108" s="46"/>
      <c r="M1108" s="33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4" t="str">
        <f>IFERROR(__xludf.DUMMYFUNCTION("IF(Account!$F1108&lt;&gt;"""", VALUE(REGEXREPLACE($I1108, ""\,"", ""."")), """")"),"")</f>
        <v/>
      </c>
      <c r="O1108" s="35" t="str">
        <f>IF(Account!$F1108&lt;&gt;"", DATEVALUE(MID($A1108,4,3) &amp; LEFT($A1108,3) &amp; RIGHT($A1108,4)) + TIMEVALUE($B1108), "")</f>
        <v/>
      </c>
      <c r="P1108" s="36" t="str">
        <f>IF(Account!$F1108&lt;&gt;"", DATEVALUE(MID($C1108,4,3) &amp; LEFT($C1108,3) &amp; RIGHT($C1108,4)), "")</f>
        <v/>
      </c>
      <c r="Q1108" s="37" t="str">
        <f t="array" ref="Q1108">IF($R1108&lt;&gt;"",IFERROR(INDEX(ISIN!$B:$B,MATCH($R1108,ISIN!$C:$C,0))),)</f>
        <v/>
      </c>
      <c r="R1108" s="38" t="str">
        <f t="array" ref="R1108">IF($E1108&lt;&gt;""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7" t="str">
        <f t="shared" si="1"/>
        <v/>
      </c>
      <c r="T1108" s="39" t="str">
        <f t="shared" si="2"/>
        <v/>
      </c>
      <c r="U1108" s="40" t="str">
        <f t="shared" si="3"/>
        <v/>
      </c>
      <c r="V1108" s="34" t="str">
        <f t="shared" si="4"/>
        <v/>
      </c>
      <c r="W1108" s="41" t="str">
        <f>IFERROR(__xludf.DUMMYFUNCTION(" IF(Account!$F1108&lt;&gt;"""", SPLIT(Account!$F1108, "" ""), """")"),"")</f>
        <v/>
      </c>
      <c r="X1108" s="42"/>
      <c r="Y1108" s="42"/>
      <c r="Z1108" s="42"/>
      <c r="AA1108" s="42"/>
      <c r="AB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</row>
    <row r="1109">
      <c r="A1109" s="20"/>
      <c r="B1109" s="20"/>
      <c r="C1109" s="20"/>
      <c r="D1109" s="45"/>
      <c r="E1109" s="45"/>
      <c r="F1109" s="21"/>
      <c r="G1109" s="45"/>
      <c r="H1109" s="20"/>
      <c r="I1109" s="20"/>
      <c r="J1109" s="20"/>
      <c r="K1109" s="20"/>
      <c r="L1109" s="46"/>
      <c r="M1109" s="33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4" t="str">
        <f>IFERROR(__xludf.DUMMYFUNCTION("IF(Account!$F1109&lt;&gt;"""", VALUE(REGEXREPLACE($I1109, ""\,"", ""."")), """")"),"")</f>
        <v/>
      </c>
      <c r="O1109" s="35" t="str">
        <f>IF(Account!$F1109&lt;&gt;"", DATEVALUE(MID($A1109,4,3) &amp; LEFT($A1109,3) &amp; RIGHT($A1109,4)) + TIMEVALUE($B1109), "")</f>
        <v/>
      </c>
      <c r="P1109" s="36" t="str">
        <f>IF(Account!$F1109&lt;&gt;"", DATEVALUE(MID($C1109,4,3) &amp; LEFT($C1109,3) &amp; RIGHT($C1109,4)), "")</f>
        <v/>
      </c>
      <c r="Q1109" s="37" t="str">
        <f t="array" ref="Q1109">IF($R1109&lt;&gt;"",IFERROR(INDEX(ISIN!$B:$B,MATCH($R1109,ISIN!$C:$C,0))),)</f>
        <v/>
      </c>
      <c r="R1109" s="38" t="str">
        <f t="array" ref="R1109">IF($E1109&lt;&gt;""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7" t="str">
        <f t="shared" si="1"/>
        <v/>
      </c>
      <c r="T1109" s="39" t="str">
        <f t="shared" si="2"/>
        <v/>
      </c>
      <c r="U1109" s="40" t="str">
        <f t="shared" si="3"/>
        <v/>
      </c>
      <c r="V1109" s="34" t="str">
        <f t="shared" si="4"/>
        <v/>
      </c>
      <c r="W1109" s="41" t="str">
        <f>IFERROR(__xludf.DUMMYFUNCTION(" IF(Account!$F1109&lt;&gt;"""", SPLIT(Account!$F1109, "" ""), """")"),"")</f>
        <v/>
      </c>
      <c r="X1109" s="42"/>
      <c r="Y1109" s="42"/>
      <c r="Z1109" s="42"/>
      <c r="AA1109" s="42"/>
      <c r="AB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</row>
    <row r="1110">
      <c r="A1110" s="20"/>
      <c r="B1110" s="20"/>
      <c r="C1110" s="20"/>
      <c r="D1110" s="45"/>
      <c r="E1110" s="45"/>
      <c r="F1110" s="21"/>
      <c r="G1110" s="45"/>
      <c r="H1110" s="20"/>
      <c r="I1110" s="20"/>
      <c r="J1110" s="20"/>
      <c r="K1110" s="20"/>
      <c r="L1110" s="46"/>
      <c r="M1110" s="33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4" t="str">
        <f>IFERROR(__xludf.DUMMYFUNCTION("IF(Account!$F1110&lt;&gt;"""", VALUE(REGEXREPLACE($I1110, ""\,"", ""."")), """")"),"")</f>
        <v/>
      </c>
      <c r="O1110" s="35" t="str">
        <f>IF(Account!$F1110&lt;&gt;"", DATEVALUE(MID($A1110,4,3) &amp; LEFT($A1110,3) &amp; RIGHT($A1110,4)) + TIMEVALUE($B1110), "")</f>
        <v/>
      </c>
      <c r="P1110" s="36" t="str">
        <f>IF(Account!$F1110&lt;&gt;"", DATEVALUE(MID($C1110,4,3) &amp; LEFT($C1110,3) &amp; RIGHT($C1110,4)), "")</f>
        <v/>
      </c>
      <c r="Q1110" s="37" t="str">
        <f t="array" ref="Q1110">IF($R1110&lt;&gt;"",IFERROR(INDEX(ISIN!$B:$B,MATCH($R1110,ISIN!$C:$C,0))),)</f>
        <v/>
      </c>
      <c r="R1110" s="38" t="str">
        <f t="array" ref="R1110">IF($E1110&lt;&gt;""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7" t="str">
        <f t="shared" si="1"/>
        <v/>
      </c>
      <c r="T1110" s="39" t="str">
        <f t="shared" si="2"/>
        <v/>
      </c>
      <c r="U1110" s="40" t="str">
        <f t="shared" si="3"/>
        <v/>
      </c>
      <c r="V1110" s="34" t="str">
        <f t="shared" si="4"/>
        <v/>
      </c>
      <c r="W1110" s="41" t="str">
        <f>IFERROR(__xludf.DUMMYFUNCTION(" IF(Account!$F1110&lt;&gt;"""", SPLIT(Account!$F1110, "" ""), """")"),"")</f>
        <v/>
      </c>
      <c r="X1110" s="42"/>
      <c r="Y1110" s="42"/>
      <c r="Z1110" s="42"/>
      <c r="AA1110" s="42"/>
      <c r="AB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</row>
    <row r="1111">
      <c r="A1111" s="20"/>
      <c r="B1111" s="20"/>
      <c r="C1111" s="20"/>
      <c r="D1111" s="20"/>
      <c r="E1111" s="20"/>
      <c r="F1111" s="21"/>
      <c r="G1111" s="20"/>
      <c r="H1111" s="20"/>
      <c r="I1111" s="20"/>
      <c r="J1111" s="20"/>
      <c r="K1111" s="20"/>
      <c r="L1111" s="21"/>
      <c r="M1111" s="33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4" t="str">
        <f>IFERROR(__xludf.DUMMYFUNCTION("IF(Account!$F1111&lt;&gt;"""", VALUE(REGEXREPLACE($I1111, ""\,"", ""."")), """")"),"")</f>
        <v/>
      </c>
      <c r="O1111" s="35" t="str">
        <f>IF(Account!$F1111&lt;&gt;"", DATEVALUE(MID($A1111,4,3) &amp; LEFT($A1111,3) &amp; RIGHT($A1111,4)) + TIMEVALUE($B1111), "")</f>
        <v/>
      </c>
      <c r="P1111" s="36" t="str">
        <f>IF(Account!$F1111&lt;&gt;"", DATEVALUE(MID($C1111,4,3) &amp; LEFT($C1111,3) &amp; RIGHT($C1111,4)), "")</f>
        <v/>
      </c>
      <c r="Q1111" s="37" t="str">
        <f t="array" ref="Q1111">IF($R1111&lt;&gt;"",IFERROR(INDEX(ISIN!$B:$B,MATCH($R1111,ISIN!$C:$C,0))),)</f>
        <v/>
      </c>
      <c r="R1111" s="38" t="str">
        <f t="array" ref="R1111">IF($E1111&lt;&gt;""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7" t="str">
        <f t="shared" si="1"/>
        <v/>
      </c>
      <c r="T1111" s="39" t="str">
        <f t="shared" si="2"/>
        <v/>
      </c>
      <c r="U1111" s="40" t="str">
        <f t="shared" si="3"/>
        <v/>
      </c>
      <c r="V1111" s="34" t="str">
        <f t="shared" si="4"/>
        <v/>
      </c>
      <c r="W1111" s="41" t="str">
        <f>IFERROR(__xludf.DUMMYFUNCTION(" IF(Account!$F1111&lt;&gt;"""", SPLIT(Account!$F1111, "" ""), """")"),"")</f>
        <v/>
      </c>
      <c r="X1111" s="42"/>
      <c r="Y1111" s="42"/>
      <c r="Z1111" s="42"/>
      <c r="AA1111" s="42"/>
      <c r="AB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</row>
    <row r="1112">
      <c r="A1112" s="20"/>
      <c r="B1112" s="20"/>
      <c r="C1112" s="20"/>
      <c r="D1112" s="20"/>
      <c r="E1112" s="20"/>
      <c r="F1112" s="21"/>
      <c r="G1112" s="45"/>
      <c r="H1112" s="20"/>
      <c r="I1112" s="20"/>
      <c r="J1112" s="20"/>
      <c r="K1112" s="20"/>
      <c r="L1112" s="21"/>
      <c r="M1112" s="33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4" t="str">
        <f>IFERROR(__xludf.DUMMYFUNCTION("IF(Account!$F1112&lt;&gt;"""", VALUE(REGEXREPLACE($I1112, ""\,"", ""."")), """")"),"")</f>
        <v/>
      </c>
      <c r="O1112" s="35" t="str">
        <f>IF(Account!$F1112&lt;&gt;"", DATEVALUE(MID($A1112,4,3) &amp; LEFT($A1112,3) &amp; RIGHT($A1112,4)) + TIMEVALUE($B1112), "")</f>
        <v/>
      </c>
      <c r="P1112" s="36" t="str">
        <f>IF(Account!$F1112&lt;&gt;"", DATEVALUE(MID($C1112,4,3) &amp; LEFT($C1112,3) &amp; RIGHT($C1112,4)), "")</f>
        <v/>
      </c>
      <c r="Q1112" s="37" t="str">
        <f t="array" ref="Q1112">IF($R1112&lt;&gt;"",IFERROR(INDEX(ISIN!$B:$B,MATCH($R1112,ISIN!$C:$C,0))),)</f>
        <v/>
      </c>
      <c r="R1112" s="38" t="str">
        <f t="array" ref="R1112">IF($E1112&lt;&gt;""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7" t="str">
        <f t="shared" si="1"/>
        <v/>
      </c>
      <c r="T1112" s="39" t="str">
        <f t="shared" si="2"/>
        <v/>
      </c>
      <c r="U1112" s="40" t="str">
        <f t="shared" si="3"/>
        <v/>
      </c>
      <c r="V1112" s="34" t="str">
        <f t="shared" si="4"/>
        <v/>
      </c>
      <c r="W1112" s="41" t="str">
        <f>IFERROR(__xludf.DUMMYFUNCTION(" IF(Account!$F1112&lt;&gt;"""", SPLIT(Account!$F1112, "" ""), """")"),"")</f>
        <v/>
      </c>
      <c r="X1112" s="42"/>
      <c r="Y1112" s="42"/>
      <c r="Z1112" s="42"/>
      <c r="AA1112" s="42"/>
      <c r="AB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</row>
    <row r="1113">
      <c r="A1113" s="20"/>
      <c r="B1113" s="20"/>
      <c r="C1113" s="20"/>
      <c r="D1113" s="20"/>
      <c r="E1113" s="20"/>
      <c r="F1113" s="21"/>
      <c r="G1113" s="20"/>
      <c r="H1113" s="20"/>
      <c r="I1113" s="20"/>
      <c r="J1113" s="20"/>
      <c r="K1113" s="20"/>
      <c r="L1113" s="21"/>
      <c r="M1113" s="33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4" t="str">
        <f>IFERROR(__xludf.DUMMYFUNCTION("IF(Account!$F1113&lt;&gt;"""", VALUE(REGEXREPLACE($I1113, ""\,"", ""."")), """")"),"")</f>
        <v/>
      </c>
      <c r="O1113" s="35" t="str">
        <f>IF(Account!$F1113&lt;&gt;"", DATEVALUE(MID($A1113,4,3) &amp; LEFT($A1113,3) &amp; RIGHT($A1113,4)) + TIMEVALUE($B1113), "")</f>
        <v/>
      </c>
      <c r="P1113" s="36" t="str">
        <f>IF(Account!$F1113&lt;&gt;"", DATEVALUE(MID($C1113,4,3) &amp; LEFT($C1113,3) &amp; RIGHT($C1113,4)), "")</f>
        <v/>
      </c>
      <c r="Q1113" s="37" t="str">
        <f t="array" ref="Q1113">IF($R1113&lt;&gt;"",IFERROR(INDEX(ISIN!$B:$B,MATCH($R1113,ISIN!$C:$C,0))),)</f>
        <v/>
      </c>
      <c r="R1113" s="38" t="str">
        <f t="array" ref="R1113">IF($E1113&lt;&gt;""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7" t="str">
        <f t="shared" si="1"/>
        <v/>
      </c>
      <c r="T1113" s="39" t="str">
        <f t="shared" si="2"/>
        <v/>
      </c>
      <c r="U1113" s="40" t="str">
        <f t="shared" si="3"/>
        <v/>
      </c>
      <c r="V1113" s="34" t="str">
        <f t="shared" si="4"/>
        <v/>
      </c>
      <c r="W1113" s="41" t="str">
        <f>IFERROR(__xludf.DUMMYFUNCTION(" IF(Account!$F1113&lt;&gt;"""", SPLIT(Account!$F1113, "" ""), """")"),"")</f>
        <v/>
      </c>
      <c r="X1113" s="42"/>
      <c r="Y1113" s="42"/>
      <c r="Z1113" s="42"/>
      <c r="AA1113" s="42"/>
      <c r="AB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</row>
    <row r="1114">
      <c r="A1114" s="20"/>
      <c r="B1114" s="20"/>
      <c r="C1114" s="20"/>
      <c r="D1114" s="20"/>
      <c r="E1114" s="20"/>
      <c r="F1114" s="21"/>
      <c r="G1114" s="45"/>
      <c r="H1114" s="20"/>
      <c r="I1114" s="20"/>
      <c r="J1114" s="20"/>
      <c r="K1114" s="20"/>
      <c r="L1114" s="21"/>
      <c r="M1114" s="33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4" t="str">
        <f>IFERROR(__xludf.DUMMYFUNCTION("IF(Account!$F1114&lt;&gt;"""", VALUE(REGEXREPLACE($I1114, ""\,"", ""."")), """")"),"")</f>
        <v/>
      </c>
      <c r="O1114" s="35" t="str">
        <f>IF(Account!$F1114&lt;&gt;"", DATEVALUE(MID($A1114,4,3) &amp; LEFT($A1114,3) &amp; RIGHT($A1114,4)) + TIMEVALUE($B1114), "")</f>
        <v/>
      </c>
      <c r="P1114" s="36" t="str">
        <f>IF(Account!$F1114&lt;&gt;"", DATEVALUE(MID($C1114,4,3) &amp; LEFT($C1114,3) &amp; RIGHT($C1114,4)), "")</f>
        <v/>
      </c>
      <c r="Q1114" s="37" t="str">
        <f t="array" ref="Q1114">IF($R1114&lt;&gt;"",IFERROR(INDEX(ISIN!$B:$B,MATCH($R1114,ISIN!$C:$C,0))),)</f>
        <v/>
      </c>
      <c r="R1114" s="38" t="str">
        <f t="array" ref="R1114">IF($E1114&lt;&gt;""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7" t="str">
        <f t="shared" si="1"/>
        <v/>
      </c>
      <c r="T1114" s="39" t="str">
        <f t="shared" si="2"/>
        <v/>
      </c>
      <c r="U1114" s="40" t="str">
        <f t="shared" si="3"/>
        <v/>
      </c>
      <c r="V1114" s="34" t="str">
        <f t="shared" si="4"/>
        <v/>
      </c>
      <c r="W1114" s="41" t="str">
        <f>IFERROR(__xludf.DUMMYFUNCTION(" IF(Account!$F1114&lt;&gt;"""", SPLIT(Account!$F1114, "" ""), """")"),"")</f>
        <v/>
      </c>
      <c r="X1114" s="42"/>
      <c r="Y1114" s="42"/>
      <c r="Z1114" s="42"/>
      <c r="AA1114" s="42"/>
      <c r="AB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</row>
    <row r="1115">
      <c r="A1115" s="20"/>
      <c r="B1115" s="20"/>
      <c r="C1115" s="20"/>
      <c r="D1115" s="20"/>
      <c r="E1115" s="20"/>
      <c r="F1115" s="21"/>
      <c r="G1115" s="45"/>
      <c r="H1115" s="20"/>
      <c r="I1115" s="20"/>
      <c r="J1115" s="20"/>
      <c r="K1115" s="20"/>
      <c r="L1115" s="21"/>
      <c r="M1115" s="33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4" t="str">
        <f>IFERROR(__xludf.DUMMYFUNCTION("IF(Account!$F1115&lt;&gt;"""", VALUE(REGEXREPLACE($I1115, ""\,"", ""."")), """")"),"")</f>
        <v/>
      </c>
      <c r="O1115" s="35" t="str">
        <f>IF(Account!$F1115&lt;&gt;"", DATEVALUE(MID($A1115,4,3) &amp; LEFT($A1115,3) &amp; RIGHT($A1115,4)) + TIMEVALUE($B1115), "")</f>
        <v/>
      </c>
      <c r="P1115" s="36" t="str">
        <f>IF(Account!$F1115&lt;&gt;"", DATEVALUE(MID($C1115,4,3) &amp; LEFT($C1115,3) &amp; RIGHT($C1115,4)), "")</f>
        <v/>
      </c>
      <c r="Q1115" s="37" t="str">
        <f t="array" ref="Q1115">IF($R1115&lt;&gt;"",IFERROR(INDEX(ISIN!$B:$B,MATCH($R1115,ISIN!$C:$C,0))),)</f>
        <v/>
      </c>
      <c r="R1115" s="38" t="str">
        <f t="array" ref="R1115">IF($E1115&lt;&gt;""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7" t="str">
        <f t="shared" si="1"/>
        <v/>
      </c>
      <c r="T1115" s="39" t="str">
        <f t="shared" si="2"/>
        <v/>
      </c>
      <c r="U1115" s="40" t="str">
        <f t="shared" si="3"/>
        <v/>
      </c>
      <c r="V1115" s="34" t="str">
        <f t="shared" si="4"/>
        <v/>
      </c>
      <c r="W1115" s="41" t="str">
        <f>IFERROR(__xludf.DUMMYFUNCTION(" IF(Account!$F1115&lt;&gt;"""", SPLIT(Account!$F1115, "" ""), """")"),"")</f>
        <v/>
      </c>
      <c r="X1115" s="42"/>
      <c r="Y1115" s="42"/>
      <c r="Z1115" s="42"/>
      <c r="AA1115" s="42"/>
      <c r="AB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</row>
    <row r="1116">
      <c r="A1116" s="20"/>
      <c r="B1116" s="20"/>
      <c r="C1116" s="20"/>
      <c r="D1116" s="20"/>
      <c r="E1116" s="20"/>
      <c r="F1116" s="21"/>
      <c r="G1116" s="45"/>
      <c r="H1116" s="20"/>
      <c r="I1116" s="20"/>
      <c r="J1116" s="20"/>
      <c r="K1116" s="20"/>
      <c r="L1116" s="21"/>
      <c r="M1116" s="33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4" t="str">
        <f>IFERROR(__xludf.DUMMYFUNCTION("IF(Account!$F1116&lt;&gt;"""", VALUE(REGEXREPLACE($I1116, ""\,"", ""."")), """")"),"")</f>
        <v/>
      </c>
      <c r="O1116" s="35" t="str">
        <f>IF(Account!$F1116&lt;&gt;"", DATEVALUE(MID($A1116,4,3) &amp; LEFT($A1116,3) &amp; RIGHT($A1116,4)) + TIMEVALUE($B1116), "")</f>
        <v/>
      </c>
      <c r="P1116" s="36" t="str">
        <f>IF(Account!$F1116&lt;&gt;"", DATEVALUE(MID($C1116,4,3) &amp; LEFT($C1116,3) &amp; RIGHT($C1116,4)), "")</f>
        <v/>
      </c>
      <c r="Q1116" s="37" t="str">
        <f t="array" ref="Q1116">IF($R1116&lt;&gt;"",IFERROR(INDEX(ISIN!$B:$B,MATCH($R1116,ISIN!$C:$C,0))),)</f>
        <v/>
      </c>
      <c r="R1116" s="38" t="str">
        <f t="array" ref="R1116">IF($E1116&lt;&gt;""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7" t="str">
        <f t="shared" si="1"/>
        <v/>
      </c>
      <c r="T1116" s="39" t="str">
        <f t="shared" si="2"/>
        <v/>
      </c>
      <c r="U1116" s="40" t="str">
        <f t="shared" si="3"/>
        <v/>
      </c>
      <c r="V1116" s="34" t="str">
        <f t="shared" si="4"/>
        <v/>
      </c>
      <c r="W1116" s="41" t="str">
        <f>IFERROR(__xludf.DUMMYFUNCTION(" IF(Account!$F1116&lt;&gt;"""", SPLIT(Account!$F1116, "" ""), """")"),"")</f>
        <v/>
      </c>
      <c r="X1116" s="42"/>
      <c r="Y1116" s="42"/>
      <c r="Z1116" s="42"/>
      <c r="AA1116" s="42"/>
      <c r="AB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</row>
    <row r="1117">
      <c r="A1117" s="20"/>
      <c r="B1117" s="20"/>
      <c r="C1117" s="20"/>
      <c r="D1117" s="45"/>
      <c r="E1117" s="45"/>
      <c r="F1117" s="21"/>
      <c r="G1117" s="45"/>
      <c r="H1117" s="20"/>
      <c r="I1117" s="20"/>
      <c r="J1117" s="20"/>
      <c r="K1117" s="20"/>
      <c r="L1117" s="46"/>
      <c r="M1117" s="33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4" t="str">
        <f>IFERROR(__xludf.DUMMYFUNCTION("IF(Account!$F1117&lt;&gt;"""", VALUE(REGEXREPLACE($I1117, ""\,"", ""."")), """")"),"")</f>
        <v/>
      </c>
      <c r="O1117" s="35" t="str">
        <f>IF(Account!$F1117&lt;&gt;"", DATEVALUE(MID($A1117,4,3) &amp; LEFT($A1117,3) &amp; RIGHT($A1117,4)) + TIMEVALUE($B1117), "")</f>
        <v/>
      </c>
      <c r="P1117" s="36" t="str">
        <f>IF(Account!$F1117&lt;&gt;"", DATEVALUE(MID($C1117,4,3) &amp; LEFT($C1117,3) &amp; RIGHT($C1117,4)), "")</f>
        <v/>
      </c>
      <c r="Q1117" s="37" t="str">
        <f t="array" ref="Q1117">IF($R1117&lt;&gt;"",IFERROR(INDEX(ISIN!$B:$B,MATCH($R1117,ISIN!$C:$C,0))),)</f>
        <v/>
      </c>
      <c r="R1117" s="38" t="str">
        <f t="array" ref="R1117">IF($E1117&lt;&gt;""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7" t="str">
        <f t="shared" si="1"/>
        <v/>
      </c>
      <c r="T1117" s="39" t="str">
        <f t="shared" si="2"/>
        <v/>
      </c>
      <c r="U1117" s="40" t="str">
        <f t="shared" si="3"/>
        <v/>
      </c>
      <c r="V1117" s="34" t="str">
        <f t="shared" si="4"/>
        <v/>
      </c>
      <c r="W1117" s="41" t="str">
        <f>IFERROR(__xludf.DUMMYFUNCTION(" IF(Account!$F1117&lt;&gt;"""", SPLIT(Account!$F1117, "" ""), """")"),"")</f>
        <v/>
      </c>
      <c r="X1117" s="42"/>
      <c r="Y1117" s="42"/>
      <c r="Z1117" s="42"/>
      <c r="AA1117" s="42"/>
      <c r="AB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</row>
    <row r="1118">
      <c r="A1118" s="20"/>
      <c r="B1118" s="20"/>
      <c r="C1118" s="20"/>
      <c r="D1118" s="45"/>
      <c r="E1118" s="45"/>
      <c r="F1118" s="21"/>
      <c r="G1118" s="45"/>
      <c r="H1118" s="20"/>
      <c r="I1118" s="20"/>
      <c r="J1118" s="20"/>
      <c r="K1118" s="20"/>
      <c r="L1118" s="46"/>
      <c r="M1118" s="33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4" t="str">
        <f>IFERROR(__xludf.DUMMYFUNCTION("IF(Account!$F1118&lt;&gt;"""", VALUE(REGEXREPLACE($I1118, ""\,"", ""."")), """")"),"")</f>
        <v/>
      </c>
      <c r="O1118" s="35" t="str">
        <f>IF(Account!$F1118&lt;&gt;"", DATEVALUE(MID($A1118,4,3) &amp; LEFT($A1118,3) &amp; RIGHT($A1118,4)) + TIMEVALUE($B1118), "")</f>
        <v/>
      </c>
      <c r="P1118" s="36" t="str">
        <f>IF(Account!$F1118&lt;&gt;"", DATEVALUE(MID($C1118,4,3) &amp; LEFT($C1118,3) &amp; RIGHT($C1118,4)), "")</f>
        <v/>
      </c>
      <c r="Q1118" s="37" t="str">
        <f t="array" ref="Q1118">IF($R1118&lt;&gt;"",IFERROR(INDEX(ISIN!$B:$B,MATCH($R1118,ISIN!$C:$C,0))),)</f>
        <v/>
      </c>
      <c r="R1118" s="38" t="str">
        <f t="array" ref="R1118">IF($E1118&lt;&gt;""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7" t="str">
        <f t="shared" si="1"/>
        <v/>
      </c>
      <c r="T1118" s="39" t="str">
        <f t="shared" si="2"/>
        <v/>
      </c>
      <c r="U1118" s="40" t="str">
        <f t="shared" si="3"/>
        <v/>
      </c>
      <c r="V1118" s="34" t="str">
        <f t="shared" si="4"/>
        <v/>
      </c>
      <c r="W1118" s="41" t="str">
        <f>IFERROR(__xludf.DUMMYFUNCTION(" IF(Account!$F1118&lt;&gt;"""", SPLIT(Account!$F1118, "" ""), """")"),"")</f>
        <v/>
      </c>
      <c r="X1118" s="42"/>
      <c r="Y1118" s="42"/>
      <c r="Z1118" s="42"/>
      <c r="AA1118" s="42"/>
      <c r="AB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</row>
    <row r="1119">
      <c r="A1119" s="20"/>
      <c r="B1119" s="20"/>
      <c r="C1119" s="20"/>
      <c r="D1119" s="45"/>
      <c r="E1119" s="45"/>
      <c r="F1119" s="21"/>
      <c r="G1119" s="45"/>
      <c r="H1119" s="20"/>
      <c r="I1119" s="20"/>
      <c r="J1119" s="20"/>
      <c r="K1119" s="20"/>
      <c r="L1119" s="46"/>
      <c r="M1119" s="33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4" t="str">
        <f>IFERROR(__xludf.DUMMYFUNCTION("IF(Account!$F1119&lt;&gt;"""", VALUE(REGEXREPLACE($I1119, ""\,"", ""."")), """")"),"")</f>
        <v/>
      </c>
      <c r="O1119" s="35" t="str">
        <f>IF(Account!$F1119&lt;&gt;"", DATEVALUE(MID($A1119,4,3) &amp; LEFT($A1119,3) &amp; RIGHT($A1119,4)) + TIMEVALUE($B1119), "")</f>
        <v/>
      </c>
      <c r="P1119" s="36" t="str">
        <f>IF(Account!$F1119&lt;&gt;"", DATEVALUE(MID($C1119,4,3) &amp; LEFT($C1119,3) &amp; RIGHT($C1119,4)), "")</f>
        <v/>
      </c>
      <c r="Q1119" s="37" t="str">
        <f t="array" ref="Q1119">IF($R1119&lt;&gt;"",IFERROR(INDEX(ISIN!$B:$B,MATCH($R1119,ISIN!$C:$C,0))),)</f>
        <v/>
      </c>
      <c r="R1119" s="38" t="str">
        <f t="array" ref="R1119">IF($E1119&lt;&gt;""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7" t="str">
        <f t="shared" si="1"/>
        <v/>
      </c>
      <c r="T1119" s="39" t="str">
        <f t="shared" si="2"/>
        <v/>
      </c>
      <c r="U1119" s="40" t="str">
        <f t="shared" si="3"/>
        <v/>
      </c>
      <c r="V1119" s="34" t="str">
        <f t="shared" si="4"/>
        <v/>
      </c>
      <c r="W1119" s="41" t="str">
        <f>IFERROR(__xludf.DUMMYFUNCTION(" IF(Account!$F1119&lt;&gt;"""", SPLIT(Account!$F1119, "" ""), """")"),"")</f>
        <v/>
      </c>
      <c r="X1119" s="42"/>
      <c r="Y1119" s="42"/>
      <c r="Z1119" s="42"/>
      <c r="AA1119" s="42"/>
      <c r="AB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</row>
    <row r="1120">
      <c r="A1120" s="47"/>
      <c r="B1120" s="48"/>
      <c r="C1120" s="47"/>
      <c r="F1120" s="49"/>
      <c r="G1120" s="45"/>
      <c r="H1120" s="45"/>
      <c r="I1120" s="45"/>
      <c r="L1120" s="46"/>
      <c r="M1120" s="33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4" t="str">
        <f>IFERROR(__xludf.DUMMYFUNCTION("IF(Account!$F1120&lt;&gt;"""", VALUE(REGEXREPLACE($I1120, ""\,"", ""."")), """")"),"")</f>
        <v/>
      </c>
      <c r="O1120" s="35" t="str">
        <f>IF(Account!$F1120&lt;&gt;"", DATEVALUE(MID($A1120,4,3) &amp; LEFT($A1120,3) &amp; RIGHT($A1120,4)) + TIMEVALUE($B1120), "")</f>
        <v/>
      </c>
      <c r="P1120" s="36" t="str">
        <f>IF(Account!$F1120&lt;&gt;"", DATEVALUE(MID($C1120,4,3) &amp; LEFT($C1120,3) &amp; RIGHT($C1120,4)), "")</f>
        <v/>
      </c>
      <c r="Q1120" s="37" t="str">
        <f t="array" ref="Q1120">IF($R1120&lt;&gt;"",IFERROR(INDEX(ISIN!$B:$B,MATCH($R1120,ISIN!$C:$C,0))),)</f>
        <v/>
      </c>
      <c r="R1120" s="38" t="str">
        <f t="array" ref="R1120">IF($E1120&lt;&gt;""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7" t="str">
        <f t="shared" si="1"/>
        <v/>
      </c>
      <c r="T1120" s="39" t="str">
        <f t="shared" si="2"/>
        <v/>
      </c>
      <c r="U1120" s="40" t="str">
        <f t="shared" si="3"/>
        <v/>
      </c>
      <c r="V1120" s="34" t="str">
        <f t="shared" si="4"/>
        <v/>
      </c>
      <c r="W1120" s="41" t="str">
        <f>IFERROR(__xludf.DUMMYFUNCTION(" IF(Account!$F1120&lt;&gt;"""", SPLIT(Account!$F1120, "" ""), """")"),"")</f>
        <v/>
      </c>
      <c r="X1120" s="42"/>
      <c r="Y1120" s="42"/>
      <c r="Z1120" s="42"/>
      <c r="AA1120" s="42"/>
      <c r="AB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</row>
    <row r="1121">
      <c r="A1121" s="47"/>
      <c r="B1121" s="48"/>
      <c r="C1121" s="47"/>
      <c r="F1121" s="49"/>
      <c r="G1121" s="50"/>
      <c r="L1121" s="49"/>
      <c r="M1121" s="33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4" t="str">
        <f>IFERROR(__xludf.DUMMYFUNCTION("IF(Account!$F1121&lt;&gt;"""", VALUE(REGEXREPLACE($I1121, ""\,"", ""."")), """")"),"")</f>
        <v/>
      </c>
      <c r="O1121" s="35" t="str">
        <f>IF(Account!$F1121&lt;&gt;"", DATEVALUE(MID($A1121,4,3) &amp; LEFT($A1121,3) &amp; RIGHT($A1121,4)) + TIMEVALUE($B1121), "")</f>
        <v/>
      </c>
      <c r="P1121" s="36" t="str">
        <f>IF(Account!$F1121&lt;&gt;"", DATEVALUE(MID($C1121,4,3) &amp; LEFT($C1121,3) &amp; RIGHT($C1121,4)), "")</f>
        <v/>
      </c>
      <c r="Q1121" s="37" t="str">
        <f t="array" ref="Q1121">IF($R1121&lt;&gt;"",IFERROR(INDEX(ISIN!$B:$B,MATCH($R1121,ISIN!$C:$C,0))),)</f>
        <v/>
      </c>
      <c r="R1121" s="38" t="str">
        <f t="array" ref="R1121">IF($E1121&lt;&gt;""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7" t="str">
        <f t="shared" si="1"/>
        <v/>
      </c>
      <c r="T1121" s="39" t="str">
        <f t="shared" si="2"/>
        <v/>
      </c>
      <c r="U1121" s="40" t="str">
        <f t="shared" si="3"/>
        <v/>
      </c>
      <c r="V1121" s="34" t="str">
        <f t="shared" si="4"/>
        <v/>
      </c>
      <c r="W1121" s="41" t="str">
        <f>IFERROR(__xludf.DUMMYFUNCTION(" IF(Account!$F1121&lt;&gt;"""", SPLIT(Account!$F1121, "" ""), """")"),"")</f>
        <v/>
      </c>
      <c r="X1121" s="42"/>
      <c r="Y1121" s="42"/>
      <c r="Z1121" s="42"/>
      <c r="AA1121" s="42"/>
      <c r="AB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</row>
    <row r="1122">
      <c r="A1122" s="47"/>
      <c r="B1122" s="48"/>
      <c r="C1122" s="47"/>
      <c r="F1122" s="49"/>
      <c r="G1122" s="45"/>
      <c r="L1122" s="49"/>
      <c r="M1122" s="33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4" t="str">
        <f>IFERROR(__xludf.DUMMYFUNCTION("IF(Account!$F1122&lt;&gt;"""", VALUE(REGEXREPLACE($I1122, ""\,"", ""."")), """")"),"")</f>
        <v/>
      </c>
      <c r="O1122" s="35" t="str">
        <f>IF(Account!$F1122&lt;&gt;"", DATEVALUE(MID($A1122,4,3) &amp; LEFT($A1122,3) &amp; RIGHT($A1122,4)) + TIMEVALUE($B1122), "")</f>
        <v/>
      </c>
      <c r="P1122" s="36" t="str">
        <f>IF(Account!$F1122&lt;&gt;"", DATEVALUE(MID($C1122,4,3) &amp; LEFT($C1122,3) &amp; RIGHT($C1122,4)), "")</f>
        <v/>
      </c>
      <c r="Q1122" s="37" t="str">
        <f t="array" ref="Q1122">IF($R1122&lt;&gt;"",IFERROR(INDEX(ISIN!$B:$B,MATCH($R1122,ISIN!$C:$C,0))),)</f>
        <v/>
      </c>
      <c r="R1122" s="38" t="str">
        <f t="array" ref="R1122">IF($E1122&lt;&gt;""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7" t="str">
        <f t="shared" si="1"/>
        <v/>
      </c>
      <c r="T1122" s="39" t="str">
        <f t="shared" si="2"/>
        <v/>
      </c>
      <c r="U1122" s="40" t="str">
        <f t="shared" si="3"/>
        <v/>
      </c>
      <c r="V1122" s="34" t="str">
        <f t="shared" si="4"/>
        <v/>
      </c>
      <c r="W1122" s="41" t="str">
        <f>IFERROR(__xludf.DUMMYFUNCTION(" IF(Account!$F1122&lt;&gt;"""", SPLIT(Account!$F1122, "" ""), """")"),"")</f>
        <v/>
      </c>
      <c r="X1122" s="42"/>
      <c r="Y1122" s="42"/>
      <c r="Z1122" s="42"/>
      <c r="AA1122" s="42"/>
      <c r="AB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</row>
    <row r="1123">
      <c r="A1123" s="47"/>
      <c r="B1123" s="48"/>
      <c r="C1123" s="47"/>
      <c r="F1123" s="49"/>
      <c r="G1123" s="50"/>
      <c r="L1123" s="49"/>
      <c r="M1123" s="33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4" t="str">
        <f>IFERROR(__xludf.DUMMYFUNCTION("IF(Account!$F1123&lt;&gt;"""", VALUE(REGEXREPLACE($I1123, ""\,"", ""."")), """")"),"")</f>
        <v/>
      </c>
      <c r="O1123" s="35" t="str">
        <f>IF(Account!$F1123&lt;&gt;"", DATEVALUE(MID($A1123,4,3) &amp; LEFT($A1123,3) &amp; RIGHT($A1123,4)) + TIMEVALUE($B1123), "")</f>
        <v/>
      </c>
      <c r="P1123" s="36" t="str">
        <f>IF(Account!$F1123&lt;&gt;"", DATEVALUE(MID($C1123,4,3) &amp; LEFT($C1123,3) &amp; RIGHT($C1123,4)), "")</f>
        <v/>
      </c>
      <c r="Q1123" s="37" t="str">
        <f t="array" ref="Q1123">IF($R1123&lt;&gt;"",IFERROR(INDEX(ISIN!$B:$B,MATCH($R1123,ISIN!$C:$C,0))),)</f>
        <v/>
      </c>
      <c r="R1123" s="38" t="str">
        <f t="array" ref="R1123">IF($E1123&lt;&gt;""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7" t="str">
        <f t="shared" si="1"/>
        <v/>
      </c>
      <c r="T1123" s="39" t="str">
        <f t="shared" si="2"/>
        <v/>
      </c>
      <c r="U1123" s="40" t="str">
        <f t="shared" si="3"/>
        <v/>
      </c>
      <c r="V1123" s="34" t="str">
        <f t="shared" si="4"/>
        <v/>
      </c>
      <c r="W1123" s="41" t="str">
        <f>IFERROR(__xludf.DUMMYFUNCTION(" IF(Account!$F1123&lt;&gt;"""", SPLIT(Account!$F1123, "" ""), """")"),"")</f>
        <v/>
      </c>
      <c r="X1123" s="42"/>
      <c r="Y1123" s="42"/>
      <c r="Z1123" s="42"/>
      <c r="AA1123" s="42"/>
      <c r="AB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</row>
    <row r="1124">
      <c r="A1124" s="47"/>
      <c r="B1124" s="48"/>
      <c r="C1124" s="47"/>
      <c r="F1124" s="49"/>
      <c r="G1124" s="45"/>
      <c r="L1124" s="49"/>
      <c r="M1124" s="33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4" t="str">
        <f>IFERROR(__xludf.DUMMYFUNCTION("IF(Account!$F1124&lt;&gt;"""", VALUE(REGEXREPLACE($I1124, ""\,"", ""."")), """")"),"")</f>
        <v/>
      </c>
      <c r="O1124" s="35" t="str">
        <f>IF(Account!$F1124&lt;&gt;"", DATEVALUE(MID($A1124,4,3) &amp; LEFT($A1124,3) &amp; RIGHT($A1124,4)) + TIMEVALUE($B1124), "")</f>
        <v/>
      </c>
      <c r="P1124" s="36" t="str">
        <f>IF(Account!$F1124&lt;&gt;"", DATEVALUE(MID($C1124,4,3) &amp; LEFT($C1124,3) &amp; RIGHT($C1124,4)), "")</f>
        <v/>
      </c>
      <c r="Q1124" s="37" t="str">
        <f t="array" ref="Q1124">IF($R1124&lt;&gt;"",IFERROR(INDEX(ISIN!$B:$B,MATCH($R1124,ISIN!$C:$C,0))),)</f>
        <v/>
      </c>
      <c r="R1124" s="38" t="str">
        <f t="array" ref="R1124">IF($E1124&lt;&gt;""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7" t="str">
        <f t="shared" si="1"/>
        <v/>
      </c>
      <c r="T1124" s="39" t="str">
        <f t="shared" si="2"/>
        <v/>
      </c>
      <c r="U1124" s="40" t="str">
        <f t="shared" si="3"/>
        <v/>
      </c>
      <c r="V1124" s="34" t="str">
        <f t="shared" si="4"/>
        <v/>
      </c>
      <c r="W1124" s="41" t="str">
        <f>IFERROR(__xludf.DUMMYFUNCTION(" IF(Account!$F1124&lt;&gt;"""", SPLIT(Account!$F1124, "" ""), """")"),"")</f>
        <v/>
      </c>
      <c r="X1124" s="42"/>
      <c r="Y1124" s="42"/>
      <c r="Z1124" s="42"/>
      <c r="AA1124" s="42"/>
      <c r="AB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</row>
    <row r="1125">
      <c r="A1125" s="47"/>
      <c r="B1125" s="48"/>
      <c r="C1125" s="47"/>
      <c r="F1125" s="49"/>
      <c r="G1125" s="45"/>
      <c r="L1125" s="49"/>
      <c r="M1125" s="33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4" t="str">
        <f>IFERROR(__xludf.DUMMYFUNCTION("IF(Account!$F1125&lt;&gt;"""", VALUE(REGEXREPLACE($I1125, ""\,"", ""."")), """")"),"")</f>
        <v/>
      </c>
      <c r="O1125" s="35" t="str">
        <f>IF(Account!$F1125&lt;&gt;"", DATEVALUE(MID($A1125,4,3) &amp; LEFT($A1125,3) &amp; RIGHT($A1125,4)) + TIMEVALUE($B1125), "")</f>
        <v/>
      </c>
      <c r="P1125" s="36" t="str">
        <f>IF(Account!$F1125&lt;&gt;"", DATEVALUE(MID($C1125,4,3) &amp; LEFT($C1125,3) &amp; RIGHT($C1125,4)), "")</f>
        <v/>
      </c>
      <c r="Q1125" s="37" t="str">
        <f t="array" ref="Q1125">IF($R1125&lt;&gt;"",IFERROR(INDEX(ISIN!$B:$B,MATCH($R1125,ISIN!$C:$C,0))),)</f>
        <v/>
      </c>
      <c r="R1125" s="38" t="str">
        <f t="array" ref="R1125">IF($E1125&lt;&gt;""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7" t="str">
        <f t="shared" si="1"/>
        <v/>
      </c>
      <c r="T1125" s="39" t="str">
        <f t="shared" si="2"/>
        <v/>
      </c>
      <c r="U1125" s="40" t="str">
        <f t="shared" si="3"/>
        <v/>
      </c>
      <c r="V1125" s="34" t="str">
        <f t="shared" si="4"/>
        <v/>
      </c>
      <c r="W1125" s="41" t="str">
        <f>IFERROR(__xludf.DUMMYFUNCTION(" IF(Account!$F1125&lt;&gt;"""", SPLIT(Account!$F1125, "" ""), """")"),"")</f>
        <v/>
      </c>
      <c r="X1125" s="42"/>
      <c r="Y1125" s="42"/>
      <c r="Z1125" s="42"/>
      <c r="AA1125" s="42"/>
      <c r="AB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</row>
    <row r="1126">
      <c r="A1126" s="47"/>
      <c r="B1126" s="48"/>
      <c r="C1126" s="47"/>
      <c r="F1126" s="49"/>
      <c r="G1126" s="45"/>
      <c r="L1126" s="49"/>
      <c r="M1126" s="33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4" t="str">
        <f>IFERROR(__xludf.DUMMYFUNCTION("IF(Account!$F1126&lt;&gt;"""", VALUE(REGEXREPLACE($I1126, ""\,"", ""."")), """")"),"")</f>
        <v/>
      </c>
      <c r="O1126" s="35" t="str">
        <f>IF(Account!$F1126&lt;&gt;"", DATEVALUE(MID($A1126,4,3) &amp; LEFT($A1126,3) &amp; RIGHT($A1126,4)) + TIMEVALUE($B1126), "")</f>
        <v/>
      </c>
      <c r="P1126" s="36" t="str">
        <f>IF(Account!$F1126&lt;&gt;"", DATEVALUE(MID($C1126,4,3) &amp; LEFT($C1126,3) &amp; RIGHT($C1126,4)), "")</f>
        <v/>
      </c>
      <c r="Q1126" s="37" t="str">
        <f t="array" ref="Q1126">IF($R1126&lt;&gt;"",IFERROR(INDEX(ISIN!$B:$B,MATCH($R1126,ISIN!$C:$C,0))),)</f>
        <v/>
      </c>
      <c r="R1126" s="38" t="str">
        <f t="array" ref="R1126">IF($E1126&lt;&gt;""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7" t="str">
        <f t="shared" si="1"/>
        <v/>
      </c>
      <c r="T1126" s="39" t="str">
        <f t="shared" si="2"/>
        <v/>
      </c>
      <c r="U1126" s="40" t="str">
        <f t="shared" si="3"/>
        <v/>
      </c>
      <c r="V1126" s="34" t="str">
        <f t="shared" si="4"/>
        <v/>
      </c>
      <c r="W1126" s="41" t="str">
        <f>IFERROR(__xludf.DUMMYFUNCTION(" IF(Account!$F1126&lt;&gt;"""", SPLIT(Account!$F1126, "" ""), """")"),"")</f>
        <v/>
      </c>
      <c r="X1126" s="42"/>
      <c r="Y1126" s="42"/>
      <c r="Z1126" s="42"/>
      <c r="AA1126" s="42"/>
      <c r="AB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</row>
    <row r="1127">
      <c r="A1127" s="47"/>
      <c r="B1127" s="48"/>
      <c r="C1127" s="47"/>
      <c r="F1127" s="49"/>
      <c r="G1127" s="50"/>
      <c r="L1127" s="49"/>
      <c r="M1127" s="33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4" t="str">
        <f>IFERROR(__xludf.DUMMYFUNCTION("IF(Account!$F1127&lt;&gt;"""", VALUE(REGEXREPLACE($I1127, ""\,"", ""."")), """")"),"")</f>
        <v/>
      </c>
      <c r="O1127" s="35" t="str">
        <f>IF(Account!$F1127&lt;&gt;"", DATEVALUE(MID($A1127,4,3) &amp; LEFT($A1127,3) &amp; RIGHT($A1127,4)) + TIMEVALUE($B1127), "")</f>
        <v/>
      </c>
      <c r="P1127" s="36" t="str">
        <f>IF(Account!$F1127&lt;&gt;"", DATEVALUE(MID($C1127,4,3) &amp; LEFT($C1127,3) &amp; RIGHT($C1127,4)), "")</f>
        <v/>
      </c>
      <c r="Q1127" s="37" t="str">
        <f t="array" ref="Q1127">IF($R1127&lt;&gt;"",IFERROR(INDEX(ISIN!$B:$B,MATCH($R1127,ISIN!$C:$C,0))),)</f>
        <v/>
      </c>
      <c r="R1127" s="38" t="str">
        <f t="array" ref="R1127">IF($E1127&lt;&gt;""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7" t="str">
        <f t="shared" si="1"/>
        <v/>
      </c>
      <c r="T1127" s="39" t="str">
        <f t="shared" si="2"/>
        <v/>
      </c>
      <c r="U1127" s="40" t="str">
        <f t="shared" si="3"/>
        <v/>
      </c>
      <c r="V1127" s="34" t="str">
        <f t="shared" si="4"/>
        <v/>
      </c>
      <c r="W1127" s="41" t="str">
        <f>IFERROR(__xludf.DUMMYFUNCTION(" IF(Account!$F1127&lt;&gt;"""", SPLIT(Account!$F1127, "" ""), """")"),"")</f>
        <v/>
      </c>
      <c r="X1127" s="42"/>
      <c r="Y1127" s="42"/>
      <c r="Z1127" s="42"/>
      <c r="AA1127" s="42"/>
      <c r="AB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</row>
    <row r="1128">
      <c r="A1128" s="47"/>
      <c r="B1128" s="48"/>
      <c r="C1128" s="47"/>
      <c r="F1128" s="49"/>
      <c r="G1128" s="45"/>
      <c r="L1128" s="49"/>
      <c r="M1128" s="33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4" t="str">
        <f>IFERROR(__xludf.DUMMYFUNCTION("IF(Account!$F1128&lt;&gt;"""", VALUE(REGEXREPLACE($I1128, ""\,"", ""."")), """")"),"")</f>
        <v/>
      </c>
      <c r="O1128" s="35" t="str">
        <f>IF(Account!$F1128&lt;&gt;"", DATEVALUE(MID($A1128,4,3) &amp; LEFT($A1128,3) &amp; RIGHT($A1128,4)) + TIMEVALUE($B1128), "")</f>
        <v/>
      </c>
      <c r="P1128" s="36" t="str">
        <f>IF(Account!$F1128&lt;&gt;"", DATEVALUE(MID($C1128,4,3) &amp; LEFT($C1128,3) &amp; RIGHT($C1128,4)), "")</f>
        <v/>
      </c>
      <c r="Q1128" s="37" t="str">
        <f t="array" ref="Q1128">IF($R1128&lt;&gt;"",IFERROR(INDEX(ISIN!$B:$B,MATCH($R1128,ISIN!$C:$C,0))),)</f>
        <v/>
      </c>
      <c r="R1128" s="38" t="str">
        <f t="array" ref="R1128">IF($E1128&lt;&gt;""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7" t="str">
        <f t="shared" si="1"/>
        <v/>
      </c>
      <c r="T1128" s="39" t="str">
        <f t="shared" si="2"/>
        <v/>
      </c>
      <c r="U1128" s="40" t="str">
        <f t="shared" si="3"/>
        <v/>
      </c>
      <c r="V1128" s="34" t="str">
        <f t="shared" si="4"/>
        <v/>
      </c>
      <c r="W1128" s="41" t="str">
        <f>IFERROR(__xludf.DUMMYFUNCTION(" IF(Account!$F1128&lt;&gt;"""", SPLIT(Account!$F1128, "" ""), """")"),"")</f>
        <v/>
      </c>
      <c r="X1128" s="42"/>
      <c r="Y1128" s="42"/>
      <c r="Z1128" s="42"/>
      <c r="AA1128" s="42"/>
      <c r="AB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</row>
    <row r="1129">
      <c r="A1129" s="47"/>
      <c r="B1129" s="48"/>
      <c r="C1129" s="47"/>
      <c r="F1129" s="49"/>
      <c r="G1129" s="50"/>
      <c r="L1129" s="49"/>
      <c r="M1129" s="33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4" t="str">
        <f>IFERROR(__xludf.DUMMYFUNCTION("IF(Account!$F1129&lt;&gt;"""", VALUE(REGEXREPLACE($I1129, ""\,"", ""."")), """")"),"")</f>
        <v/>
      </c>
      <c r="O1129" s="35" t="str">
        <f>IF(Account!$F1129&lt;&gt;"", DATEVALUE(MID($A1129,4,3) &amp; LEFT($A1129,3) &amp; RIGHT($A1129,4)) + TIMEVALUE($B1129), "")</f>
        <v/>
      </c>
      <c r="P1129" s="36" t="str">
        <f>IF(Account!$F1129&lt;&gt;"", DATEVALUE(MID($C1129,4,3) &amp; LEFT($C1129,3) &amp; RIGHT($C1129,4)), "")</f>
        <v/>
      </c>
      <c r="Q1129" s="37" t="str">
        <f t="array" ref="Q1129">IF($R1129&lt;&gt;"",IFERROR(INDEX(ISIN!$B:$B,MATCH($R1129,ISIN!$C:$C,0))),)</f>
        <v/>
      </c>
      <c r="R1129" s="38" t="str">
        <f t="array" ref="R1129">IF($E1129&lt;&gt;""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7" t="str">
        <f t="shared" si="1"/>
        <v/>
      </c>
      <c r="T1129" s="39" t="str">
        <f t="shared" si="2"/>
        <v/>
      </c>
      <c r="U1129" s="40" t="str">
        <f t="shared" si="3"/>
        <v/>
      </c>
      <c r="V1129" s="34" t="str">
        <f t="shared" si="4"/>
        <v/>
      </c>
      <c r="W1129" s="41" t="str">
        <f>IFERROR(__xludf.DUMMYFUNCTION(" IF(Account!$F1129&lt;&gt;"""", SPLIT(Account!$F1129, "" ""), """")"),"")</f>
        <v/>
      </c>
      <c r="X1129" s="42"/>
      <c r="Y1129" s="42"/>
      <c r="Z1129" s="42"/>
      <c r="AA1129" s="42"/>
      <c r="AB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</row>
    <row r="1130">
      <c r="A1130" s="47"/>
      <c r="B1130" s="48"/>
      <c r="C1130" s="47"/>
      <c r="F1130" s="49"/>
      <c r="G1130" s="45"/>
      <c r="L1130" s="49"/>
      <c r="M1130" s="33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4" t="str">
        <f>IFERROR(__xludf.DUMMYFUNCTION("IF(Account!$F1130&lt;&gt;"""", VALUE(REGEXREPLACE($I1130, ""\,"", ""."")), """")"),"")</f>
        <v/>
      </c>
      <c r="O1130" s="35" t="str">
        <f>IF(Account!$F1130&lt;&gt;"", DATEVALUE(MID($A1130,4,3) &amp; LEFT($A1130,3) &amp; RIGHT($A1130,4)) + TIMEVALUE($B1130), "")</f>
        <v/>
      </c>
      <c r="P1130" s="36" t="str">
        <f>IF(Account!$F1130&lt;&gt;"", DATEVALUE(MID($C1130,4,3) &amp; LEFT($C1130,3) &amp; RIGHT($C1130,4)), "")</f>
        <v/>
      </c>
      <c r="Q1130" s="37" t="str">
        <f t="array" ref="Q1130">IF($R1130&lt;&gt;"",IFERROR(INDEX(ISIN!$B:$B,MATCH($R1130,ISIN!$C:$C,0))),)</f>
        <v/>
      </c>
      <c r="R1130" s="38" t="str">
        <f t="array" ref="R1130">IF($E1130&lt;&gt;""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7" t="str">
        <f t="shared" si="1"/>
        <v/>
      </c>
      <c r="T1130" s="39" t="str">
        <f t="shared" si="2"/>
        <v/>
      </c>
      <c r="U1130" s="40" t="str">
        <f t="shared" si="3"/>
        <v/>
      </c>
      <c r="V1130" s="34" t="str">
        <f t="shared" si="4"/>
        <v/>
      </c>
      <c r="W1130" s="41" t="str">
        <f>IFERROR(__xludf.DUMMYFUNCTION(" IF(Account!$F1130&lt;&gt;"""", SPLIT(Account!$F1130, "" ""), """")"),"")</f>
        <v/>
      </c>
      <c r="X1130" s="42"/>
      <c r="Y1130" s="42"/>
      <c r="Z1130" s="42"/>
      <c r="AA1130" s="42"/>
      <c r="AB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</row>
    <row r="1131">
      <c r="A1131" s="47"/>
      <c r="B1131" s="48"/>
      <c r="C1131" s="47"/>
      <c r="F1131" s="49"/>
      <c r="G1131" s="45"/>
      <c r="L1131" s="49"/>
      <c r="M1131" s="33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4" t="str">
        <f>IFERROR(__xludf.DUMMYFUNCTION("IF(Account!$F1131&lt;&gt;"""", VALUE(REGEXREPLACE($I1131, ""\,"", ""."")), """")"),"")</f>
        <v/>
      </c>
      <c r="O1131" s="35" t="str">
        <f>IF(Account!$F1131&lt;&gt;"", DATEVALUE(MID($A1131,4,3) &amp; LEFT($A1131,3) &amp; RIGHT($A1131,4)) + TIMEVALUE($B1131), "")</f>
        <v/>
      </c>
      <c r="P1131" s="36" t="str">
        <f>IF(Account!$F1131&lt;&gt;"", DATEVALUE(MID($C1131,4,3) &amp; LEFT($C1131,3) &amp; RIGHT($C1131,4)), "")</f>
        <v/>
      </c>
      <c r="Q1131" s="37" t="str">
        <f t="array" ref="Q1131">IF($R1131&lt;&gt;"",IFERROR(INDEX(ISIN!$B:$B,MATCH($R1131,ISIN!$C:$C,0))),)</f>
        <v/>
      </c>
      <c r="R1131" s="38" t="str">
        <f t="array" ref="R1131">IF($E1131&lt;&gt;""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7" t="str">
        <f t="shared" si="1"/>
        <v/>
      </c>
      <c r="T1131" s="39" t="str">
        <f t="shared" si="2"/>
        <v/>
      </c>
      <c r="U1131" s="40" t="str">
        <f t="shared" si="3"/>
        <v/>
      </c>
      <c r="V1131" s="34" t="str">
        <f t="shared" si="4"/>
        <v/>
      </c>
      <c r="W1131" s="41" t="str">
        <f>IFERROR(__xludf.DUMMYFUNCTION(" IF(Account!$F1131&lt;&gt;"""", SPLIT(Account!$F1131, "" ""), """")"),"")</f>
        <v/>
      </c>
      <c r="X1131" s="42"/>
      <c r="Y1131" s="42"/>
      <c r="Z1131" s="42"/>
      <c r="AA1131" s="42"/>
      <c r="AB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</row>
    <row r="1132">
      <c r="A1132" s="47"/>
      <c r="B1132" s="48"/>
      <c r="C1132" s="47"/>
      <c r="F1132" s="49"/>
      <c r="G1132" s="45"/>
      <c r="L1132" s="49"/>
      <c r="M1132" s="33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4" t="str">
        <f>IFERROR(__xludf.DUMMYFUNCTION("IF(Account!$F1132&lt;&gt;"""", VALUE(REGEXREPLACE($I1132, ""\,"", ""."")), """")"),"")</f>
        <v/>
      </c>
      <c r="O1132" s="35" t="str">
        <f>IF(Account!$F1132&lt;&gt;"", DATEVALUE(MID($A1132,4,3) &amp; LEFT($A1132,3) &amp; RIGHT($A1132,4)) + TIMEVALUE($B1132), "")</f>
        <v/>
      </c>
      <c r="P1132" s="36" t="str">
        <f>IF(Account!$F1132&lt;&gt;"", DATEVALUE(MID($C1132,4,3) &amp; LEFT($C1132,3) &amp; RIGHT($C1132,4)), "")</f>
        <v/>
      </c>
      <c r="Q1132" s="37" t="str">
        <f t="array" ref="Q1132">IF($R1132&lt;&gt;"",IFERROR(INDEX(ISIN!$B:$B,MATCH($R1132,ISIN!$C:$C,0))),)</f>
        <v/>
      </c>
      <c r="R1132" s="38" t="str">
        <f t="array" ref="R1132">IF($E1132&lt;&gt;""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7" t="str">
        <f t="shared" si="1"/>
        <v/>
      </c>
      <c r="T1132" s="39" t="str">
        <f t="shared" si="2"/>
        <v/>
      </c>
      <c r="U1132" s="40" t="str">
        <f t="shared" si="3"/>
        <v/>
      </c>
      <c r="V1132" s="34" t="str">
        <f t="shared" si="4"/>
        <v/>
      </c>
      <c r="W1132" s="41" t="str">
        <f>IFERROR(__xludf.DUMMYFUNCTION(" IF(Account!$F1132&lt;&gt;"""", SPLIT(Account!$F1132, "" ""), """")"),"")</f>
        <v/>
      </c>
      <c r="X1132" s="42"/>
      <c r="Y1132" s="42"/>
      <c r="Z1132" s="42"/>
      <c r="AA1132" s="42"/>
      <c r="AB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</row>
    <row r="1133">
      <c r="A1133" s="47"/>
      <c r="B1133" s="48"/>
      <c r="C1133" s="47"/>
      <c r="F1133" s="49"/>
      <c r="G1133" s="50"/>
      <c r="L1133" s="49"/>
      <c r="M1133" s="33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4" t="str">
        <f>IFERROR(__xludf.DUMMYFUNCTION("IF(Account!$F1133&lt;&gt;"""", VALUE(REGEXREPLACE($I1133, ""\,"", ""."")), """")"),"")</f>
        <v/>
      </c>
      <c r="O1133" s="35" t="str">
        <f>IF(Account!$F1133&lt;&gt;"", DATEVALUE(MID($A1133,4,3) &amp; LEFT($A1133,3) &amp; RIGHT($A1133,4)) + TIMEVALUE($B1133), "")</f>
        <v/>
      </c>
      <c r="P1133" s="36" t="str">
        <f>IF(Account!$F1133&lt;&gt;"", DATEVALUE(MID($C1133,4,3) &amp; LEFT($C1133,3) &amp; RIGHT($C1133,4)), "")</f>
        <v/>
      </c>
      <c r="Q1133" s="37" t="str">
        <f t="array" ref="Q1133">IF($R1133&lt;&gt;"",IFERROR(INDEX(ISIN!$B:$B,MATCH($R1133,ISIN!$C:$C,0))),)</f>
        <v/>
      </c>
      <c r="R1133" s="38" t="str">
        <f t="array" ref="R1133">IF($E1133&lt;&gt;""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7" t="str">
        <f t="shared" si="1"/>
        <v/>
      </c>
      <c r="T1133" s="39" t="str">
        <f t="shared" si="2"/>
        <v/>
      </c>
      <c r="U1133" s="40" t="str">
        <f t="shared" si="3"/>
        <v/>
      </c>
      <c r="V1133" s="34" t="str">
        <f t="shared" si="4"/>
        <v/>
      </c>
      <c r="W1133" s="41" t="str">
        <f>IFERROR(__xludf.DUMMYFUNCTION(" IF(Account!$F1133&lt;&gt;"""", SPLIT(Account!$F1133, "" ""), """")"),"")</f>
        <v/>
      </c>
      <c r="X1133" s="42"/>
      <c r="Y1133" s="42"/>
      <c r="Z1133" s="42"/>
      <c r="AA1133" s="42"/>
      <c r="AB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</row>
    <row r="1134">
      <c r="A1134" s="47"/>
      <c r="B1134" s="48"/>
      <c r="C1134" s="47"/>
      <c r="F1134" s="49"/>
      <c r="G1134" s="45"/>
      <c r="L1134" s="49"/>
      <c r="M1134" s="33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4" t="str">
        <f>IFERROR(__xludf.DUMMYFUNCTION("IF(Account!$F1134&lt;&gt;"""", VALUE(REGEXREPLACE($I1134, ""\,"", ""."")), """")"),"")</f>
        <v/>
      </c>
      <c r="O1134" s="35" t="str">
        <f>IF(Account!$F1134&lt;&gt;"", DATEVALUE(MID($A1134,4,3) &amp; LEFT($A1134,3) &amp; RIGHT($A1134,4)) + TIMEVALUE($B1134), "")</f>
        <v/>
      </c>
      <c r="P1134" s="36" t="str">
        <f>IF(Account!$F1134&lt;&gt;"", DATEVALUE(MID($C1134,4,3) &amp; LEFT($C1134,3) &amp; RIGHT($C1134,4)), "")</f>
        <v/>
      </c>
      <c r="Q1134" s="37" t="str">
        <f t="array" ref="Q1134">IF($R1134&lt;&gt;"",IFERROR(INDEX(ISIN!$B:$B,MATCH($R1134,ISIN!$C:$C,0))),)</f>
        <v/>
      </c>
      <c r="R1134" s="38" t="str">
        <f t="array" ref="R1134">IF($E1134&lt;&gt;""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7" t="str">
        <f t="shared" si="1"/>
        <v/>
      </c>
      <c r="T1134" s="39" t="str">
        <f t="shared" si="2"/>
        <v/>
      </c>
      <c r="U1134" s="40" t="str">
        <f t="shared" si="3"/>
        <v/>
      </c>
      <c r="V1134" s="34" t="str">
        <f t="shared" si="4"/>
        <v/>
      </c>
      <c r="W1134" s="41" t="str">
        <f>IFERROR(__xludf.DUMMYFUNCTION(" IF(Account!$F1134&lt;&gt;"""", SPLIT(Account!$F1134, "" ""), """")"),"")</f>
        <v/>
      </c>
      <c r="X1134" s="42"/>
      <c r="Y1134" s="42"/>
      <c r="Z1134" s="42"/>
      <c r="AA1134" s="42"/>
      <c r="AB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</row>
    <row r="1135">
      <c r="A1135" s="47"/>
      <c r="B1135" s="48"/>
      <c r="C1135" s="47"/>
      <c r="F1135" s="49"/>
      <c r="G1135" s="50"/>
      <c r="L1135" s="49"/>
      <c r="M1135" s="33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4" t="str">
        <f>IFERROR(__xludf.DUMMYFUNCTION("IF(Account!$F1135&lt;&gt;"""", VALUE(REGEXREPLACE($I1135, ""\,"", ""."")), """")"),"")</f>
        <v/>
      </c>
      <c r="O1135" s="35" t="str">
        <f>IF(Account!$F1135&lt;&gt;"", DATEVALUE(MID($A1135,4,3) &amp; LEFT($A1135,3) &amp; RIGHT($A1135,4)) + TIMEVALUE($B1135), "")</f>
        <v/>
      </c>
      <c r="P1135" s="36" t="str">
        <f>IF(Account!$F1135&lt;&gt;"", DATEVALUE(MID($C1135,4,3) &amp; LEFT($C1135,3) &amp; RIGHT($C1135,4)), "")</f>
        <v/>
      </c>
      <c r="Q1135" s="37" t="str">
        <f t="array" ref="Q1135">IF($R1135&lt;&gt;"",IFERROR(INDEX(ISIN!$B:$B,MATCH($R1135,ISIN!$C:$C,0))),)</f>
        <v/>
      </c>
      <c r="R1135" s="38" t="str">
        <f t="array" ref="R1135">IF($E1135&lt;&gt;""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7" t="str">
        <f t="shared" si="1"/>
        <v/>
      </c>
      <c r="T1135" s="39" t="str">
        <f t="shared" si="2"/>
        <v/>
      </c>
      <c r="U1135" s="40" t="str">
        <f t="shared" si="3"/>
        <v/>
      </c>
      <c r="V1135" s="34" t="str">
        <f t="shared" si="4"/>
        <v/>
      </c>
      <c r="W1135" s="41" t="str">
        <f>IFERROR(__xludf.DUMMYFUNCTION(" IF(Account!$F1135&lt;&gt;"""", SPLIT(Account!$F1135, "" ""), """")"),"")</f>
        <v/>
      </c>
      <c r="X1135" s="42"/>
      <c r="Y1135" s="42"/>
      <c r="Z1135" s="42"/>
      <c r="AA1135" s="42"/>
      <c r="AB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</row>
    <row r="1136">
      <c r="A1136" s="47"/>
      <c r="B1136" s="48"/>
      <c r="C1136" s="47"/>
      <c r="F1136" s="49"/>
      <c r="G1136" s="45"/>
      <c r="L1136" s="49"/>
      <c r="M1136" s="33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4" t="str">
        <f>IFERROR(__xludf.DUMMYFUNCTION("IF(Account!$F1136&lt;&gt;"""", VALUE(REGEXREPLACE($I1136, ""\,"", ""."")), """")"),"")</f>
        <v/>
      </c>
      <c r="O1136" s="35" t="str">
        <f>IF(Account!$F1136&lt;&gt;"", DATEVALUE(MID($A1136,4,3) &amp; LEFT($A1136,3) &amp; RIGHT($A1136,4)) + TIMEVALUE($B1136), "")</f>
        <v/>
      </c>
      <c r="P1136" s="36" t="str">
        <f>IF(Account!$F1136&lt;&gt;"", DATEVALUE(MID($C1136,4,3) &amp; LEFT($C1136,3) &amp; RIGHT($C1136,4)), "")</f>
        <v/>
      </c>
      <c r="Q1136" s="37" t="str">
        <f t="array" ref="Q1136">IF($R1136&lt;&gt;"",IFERROR(INDEX(ISIN!$B:$B,MATCH($R1136,ISIN!$C:$C,0))),)</f>
        <v/>
      </c>
      <c r="R1136" s="38" t="str">
        <f t="array" ref="R1136">IF($E1136&lt;&gt;""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7" t="str">
        <f t="shared" si="1"/>
        <v/>
      </c>
      <c r="T1136" s="39" t="str">
        <f t="shared" si="2"/>
        <v/>
      </c>
      <c r="U1136" s="40" t="str">
        <f t="shared" si="3"/>
        <v/>
      </c>
      <c r="V1136" s="34" t="str">
        <f t="shared" si="4"/>
        <v/>
      </c>
      <c r="W1136" s="41" t="str">
        <f>IFERROR(__xludf.DUMMYFUNCTION(" IF(Account!$F1136&lt;&gt;"""", SPLIT(Account!$F1136, "" ""), """")"),"")</f>
        <v/>
      </c>
      <c r="X1136" s="42"/>
      <c r="Y1136" s="42"/>
      <c r="Z1136" s="42"/>
      <c r="AA1136" s="42"/>
      <c r="AB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</row>
    <row r="1137">
      <c r="A1137" s="47"/>
      <c r="B1137" s="48"/>
      <c r="C1137" s="47"/>
      <c r="F1137" s="49"/>
      <c r="G1137" s="50"/>
      <c r="L1137" s="49"/>
      <c r="M1137" s="33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4" t="str">
        <f>IFERROR(__xludf.DUMMYFUNCTION("IF(Account!$F1137&lt;&gt;"""", VALUE(REGEXREPLACE($I1137, ""\,"", ""."")), """")"),"")</f>
        <v/>
      </c>
      <c r="O1137" s="35" t="str">
        <f>IF(Account!$F1137&lt;&gt;"", DATEVALUE(MID($A1137,4,3) &amp; LEFT($A1137,3) &amp; RIGHT($A1137,4)) + TIMEVALUE($B1137), "")</f>
        <v/>
      </c>
      <c r="P1137" s="36" t="str">
        <f>IF(Account!$F1137&lt;&gt;"", DATEVALUE(MID($C1137,4,3) &amp; LEFT($C1137,3) &amp; RIGHT($C1137,4)), "")</f>
        <v/>
      </c>
      <c r="Q1137" s="37" t="str">
        <f t="array" ref="Q1137">IF($R1137&lt;&gt;"",IFERROR(INDEX(ISIN!$B:$B,MATCH($R1137,ISIN!$C:$C,0))),)</f>
        <v/>
      </c>
      <c r="R1137" s="38" t="str">
        <f t="array" ref="R1137">IF($E1137&lt;&gt;""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7" t="str">
        <f t="shared" si="1"/>
        <v/>
      </c>
      <c r="T1137" s="39" t="str">
        <f t="shared" si="2"/>
        <v/>
      </c>
      <c r="U1137" s="40" t="str">
        <f t="shared" si="3"/>
        <v/>
      </c>
      <c r="V1137" s="34" t="str">
        <f t="shared" si="4"/>
        <v/>
      </c>
      <c r="W1137" s="41" t="str">
        <f>IFERROR(__xludf.DUMMYFUNCTION(" IF(Account!$F1137&lt;&gt;"""", SPLIT(Account!$F1137, "" ""), """")"),"")</f>
        <v/>
      </c>
      <c r="X1137" s="42"/>
      <c r="Y1137" s="42"/>
      <c r="Z1137" s="42"/>
      <c r="AA1137" s="42"/>
      <c r="AB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</row>
    <row r="1138">
      <c r="A1138" s="47"/>
      <c r="B1138" s="48"/>
      <c r="C1138" s="47"/>
      <c r="F1138" s="49"/>
      <c r="G1138" s="45"/>
      <c r="L1138" s="49"/>
      <c r="M1138" s="33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4" t="str">
        <f>IFERROR(__xludf.DUMMYFUNCTION("IF(Account!$F1138&lt;&gt;"""", VALUE(REGEXREPLACE($I1138, ""\,"", ""."")), """")"),"")</f>
        <v/>
      </c>
      <c r="O1138" s="35" t="str">
        <f>IF(Account!$F1138&lt;&gt;"", DATEVALUE(MID($A1138,4,3) &amp; LEFT($A1138,3) &amp; RIGHT($A1138,4)) + TIMEVALUE($B1138), "")</f>
        <v/>
      </c>
      <c r="P1138" s="36" t="str">
        <f>IF(Account!$F1138&lt;&gt;"", DATEVALUE(MID($C1138,4,3) &amp; LEFT($C1138,3) &amp; RIGHT($C1138,4)), "")</f>
        <v/>
      </c>
      <c r="Q1138" s="37" t="str">
        <f t="array" ref="Q1138">IF($R1138&lt;&gt;"",IFERROR(INDEX(ISIN!$B:$B,MATCH($R1138,ISIN!$C:$C,0))),)</f>
        <v/>
      </c>
      <c r="R1138" s="38" t="str">
        <f t="array" ref="R1138">IF($E1138&lt;&gt;""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7" t="str">
        <f t="shared" si="1"/>
        <v/>
      </c>
      <c r="T1138" s="39" t="str">
        <f t="shared" si="2"/>
        <v/>
      </c>
      <c r="U1138" s="40" t="str">
        <f t="shared" si="3"/>
        <v/>
      </c>
      <c r="V1138" s="34" t="str">
        <f t="shared" si="4"/>
        <v/>
      </c>
      <c r="W1138" s="41" t="str">
        <f>IFERROR(__xludf.DUMMYFUNCTION(" IF(Account!$F1138&lt;&gt;"""", SPLIT(Account!$F1138, "" ""), """")"),"")</f>
        <v/>
      </c>
      <c r="X1138" s="42"/>
      <c r="Y1138" s="42"/>
      <c r="Z1138" s="42"/>
      <c r="AA1138" s="42"/>
      <c r="AB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</row>
    <row r="1139">
      <c r="A1139" s="47"/>
      <c r="B1139" s="48"/>
      <c r="C1139" s="47"/>
      <c r="F1139" s="49"/>
      <c r="G1139" s="50"/>
      <c r="L1139" s="49"/>
      <c r="M1139" s="33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4" t="str">
        <f>IFERROR(__xludf.DUMMYFUNCTION("IF(Account!$F1139&lt;&gt;"""", VALUE(REGEXREPLACE($I1139, ""\,"", ""."")), """")"),"")</f>
        <v/>
      </c>
      <c r="O1139" s="35" t="str">
        <f>IF(Account!$F1139&lt;&gt;"", DATEVALUE(MID($A1139,4,3) &amp; LEFT($A1139,3) &amp; RIGHT($A1139,4)) + TIMEVALUE($B1139), "")</f>
        <v/>
      </c>
      <c r="P1139" s="36" t="str">
        <f>IF(Account!$F1139&lt;&gt;"", DATEVALUE(MID($C1139,4,3) &amp; LEFT($C1139,3) &amp; RIGHT($C1139,4)), "")</f>
        <v/>
      </c>
      <c r="Q1139" s="37" t="str">
        <f t="array" ref="Q1139">IF($R1139&lt;&gt;"",IFERROR(INDEX(ISIN!$B:$B,MATCH($R1139,ISIN!$C:$C,0))),)</f>
        <v/>
      </c>
      <c r="R1139" s="38" t="str">
        <f t="array" ref="R1139">IF($E1139&lt;&gt;""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7" t="str">
        <f t="shared" si="1"/>
        <v/>
      </c>
      <c r="T1139" s="39" t="str">
        <f t="shared" si="2"/>
        <v/>
      </c>
      <c r="U1139" s="40" t="str">
        <f t="shared" si="3"/>
        <v/>
      </c>
      <c r="V1139" s="34" t="str">
        <f t="shared" si="4"/>
        <v/>
      </c>
      <c r="W1139" s="41" t="str">
        <f>IFERROR(__xludf.DUMMYFUNCTION(" IF(Account!$F1139&lt;&gt;"""", SPLIT(Account!$F1139, "" ""), """")"),"")</f>
        <v/>
      </c>
      <c r="X1139" s="42"/>
      <c r="Y1139" s="42"/>
      <c r="Z1139" s="42"/>
      <c r="AA1139" s="42"/>
      <c r="AB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</row>
    <row r="1140">
      <c r="A1140" s="47"/>
      <c r="B1140" s="48"/>
      <c r="C1140" s="47"/>
      <c r="F1140" s="49"/>
      <c r="G1140" s="45"/>
      <c r="L1140" s="49"/>
      <c r="M1140" s="33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4" t="str">
        <f>IFERROR(__xludf.DUMMYFUNCTION("IF(Account!$F1140&lt;&gt;"""", VALUE(REGEXREPLACE($I1140, ""\,"", ""."")), """")"),"")</f>
        <v/>
      </c>
      <c r="O1140" s="35" t="str">
        <f>IF(Account!$F1140&lt;&gt;"", DATEVALUE(MID($A1140,4,3) &amp; LEFT($A1140,3) &amp; RIGHT($A1140,4)) + TIMEVALUE($B1140), "")</f>
        <v/>
      </c>
      <c r="P1140" s="36" t="str">
        <f>IF(Account!$F1140&lt;&gt;"", DATEVALUE(MID($C1140,4,3) &amp; LEFT($C1140,3) &amp; RIGHT($C1140,4)), "")</f>
        <v/>
      </c>
      <c r="Q1140" s="37" t="str">
        <f t="array" ref="Q1140">IF($R1140&lt;&gt;"",IFERROR(INDEX(ISIN!$B:$B,MATCH($R1140,ISIN!$C:$C,0))),)</f>
        <v/>
      </c>
      <c r="R1140" s="38" t="str">
        <f t="array" ref="R1140">IF($E1140&lt;&gt;""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7" t="str">
        <f t="shared" si="1"/>
        <v/>
      </c>
      <c r="T1140" s="39" t="str">
        <f t="shared" si="2"/>
        <v/>
      </c>
      <c r="U1140" s="40" t="str">
        <f t="shared" si="3"/>
        <v/>
      </c>
      <c r="V1140" s="34" t="str">
        <f t="shared" si="4"/>
        <v/>
      </c>
      <c r="W1140" s="41" t="str">
        <f>IFERROR(__xludf.DUMMYFUNCTION(" IF(Account!$F1140&lt;&gt;"""", SPLIT(Account!$F1140, "" ""), """")"),"")</f>
        <v/>
      </c>
      <c r="X1140" s="42"/>
      <c r="Y1140" s="42"/>
      <c r="Z1140" s="42"/>
      <c r="AA1140" s="42"/>
      <c r="AB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</row>
    <row r="1141">
      <c r="A1141" s="47"/>
      <c r="B1141" s="48"/>
      <c r="C1141" s="47"/>
      <c r="F1141" s="49"/>
      <c r="G1141" s="45"/>
      <c r="L1141" s="49"/>
      <c r="M1141" s="33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4" t="str">
        <f>IFERROR(__xludf.DUMMYFUNCTION("IF(Account!$F1141&lt;&gt;"""", VALUE(REGEXREPLACE($I1141, ""\,"", ""."")), """")"),"")</f>
        <v/>
      </c>
      <c r="O1141" s="35" t="str">
        <f>IF(Account!$F1141&lt;&gt;"", DATEVALUE(MID($A1141,4,3) &amp; LEFT($A1141,3) &amp; RIGHT($A1141,4)) + TIMEVALUE($B1141), "")</f>
        <v/>
      </c>
      <c r="P1141" s="36" t="str">
        <f>IF(Account!$F1141&lt;&gt;"", DATEVALUE(MID($C1141,4,3) &amp; LEFT($C1141,3) &amp; RIGHT($C1141,4)), "")</f>
        <v/>
      </c>
      <c r="Q1141" s="37" t="str">
        <f t="array" ref="Q1141">IF($R1141&lt;&gt;"",IFERROR(INDEX(ISIN!$B:$B,MATCH($R1141,ISIN!$C:$C,0))),)</f>
        <v/>
      </c>
      <c r="R1141" s="38" t="str">
        <f t="array" ref="R1141">IF($E1141&lt;&gt;""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7" t="str">
        <f t="shared" si="1"/>
        <v/>
      </c>
      <c r="T1141" s="39" t="str">
        <f t="shared" si="2"/>
        <v/>
      </c>
      <c r="U1141" s="40" t="str">
        <f t="shared" si="3"/>
        <v/>
      </c>
      <c r="V1141" s="34" t="str">
        <f t="shared" si="4"/>
        <v/>
      </c>
      <c r="W1141" s="41" t="str">
        <f>IFERROR(__xludf.DUMMYFUNCTION(" IF(Account!$F1141&lt;&gt;"""", SPLIT(Account!$F1141, "" ""), """")"),"")</f>
        <v/>
      </c>
      <c r="X1141" s="42"/>
      <c r="Y1141" s="42"/>
      <c r="Z1141" s="42"/>
      <c r="AA1141" s="42"/>
      <c r="AB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</row>
    <row r="1142">
      <c r="A1142" s="47"/>
      <c r="B1142" s="48"/>
      <c r="C1142" s="47"/>
      <c r="F1142" s="49"/>
      <c r="G1142" s="45"/>
      <c r="L1142" s="49"/>
      <c r="M1142" s="33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4" t="str">
        <f>IFERROR(__xludf.DUMMYFUNCTION("IF(Account!$F1142&lt;&gt;"""", VALUE(REGEXREPLACE($I1142, ""\,"", ""."")), """")"),"")</f>
        <v/>
      </c>
      <c r="O1142" s="35" t="str">
        <f>IF(Account!$F1142&lt;&gt;"", DATEVALUE(MID($A1142,4,3) &amp; LEFT($A1142,3) &amp; RIGHT($A1142,4)) + TIMEVALUE($B1142), "")</f>
        <v/>
      </c>
      <c r="P1142" s="36" t="str">
        <f>IF(Account!$F1142&lt;&gt;"", DATEVALUE(MID($C1142,4,3) &amp; LEFT($C1142,3) &amp; RIGHT($C1142,4)), "")</f>
        <v/>
      </c>
      <c r="Q1142" s="37" t="str">
        <f t="array" ref="Q1142">IF($R1142&lt;&gt;"",IFERROR(INDEX(ISIN!$B:$B,MATCH($R1142,ISIN!$C:$C,0))),)</f>
        <v/>
      </c>
      <c r="R1142" s="38" t="str">
        <f t="array" ref="R1142">IF($E1142&lt;&gt;""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7" t="str">
        <f t="shared" si="1"/>
        <v/>
      </c>
      <c r="T1142" s="39" t="str">
        <f t="shared" si="2"/>
        <v/>
      </c>
      <c r="U1142" s="40" t="str">
        <f t="shared" si="3"/>
        <v/>
      </c>
      <c r="V1142" s="34" t="str">
        <f t="shared" si="4"/>
        <v/>
      </c>
      <c r="W1142" s="41" t="str">
        <f>IFERROR(__xludf.DUMMYFUNCTION(" IF(Account!$F1142&lt;&gt;"""", SPLIT(Account!$F1142, "" ""), """")"),"")</f>
        <v/>
      </c>
      <c r="X1142" s="42"/>
      <c r="Y1142" s="42"/>
      <c r="Z1142" s="42"/>
      <c r="AA1142" s="42"/>
      <c r="AB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</row>
    <row r="1143">
      <c r="A1143" s="47"/>
      <c r="B1143" s="48"/>
      <c r="C1143" s="47"/>
      <c r="F1143" s="49"/>
      <c r="G1143" s="45"/>
      <c r="L1143" s="49"/>
      <c r="M1143" s="33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4" t="str">
        <f>IFERROR(__xludf.DUMMYFUNCTION("IF(Account!$F1143&lt;&gt;"""", VALUE(REGEXREPLACE($I1143, ""\,"", ""."")), """")"),"")</f>
        <v/>
      </c>
      <c r="O1143" s="35" t="str">
        <f>IF(Account!$F1143&lt;&gt;"", DATEVALUE(MID($A1143,4,3) &amp; LEFT($A1143,3) &amp; RIGHT($A1143,4)) + TIMEVALUE($B1143), "")</f>
        <v/>
      </c>
      <c r="P1143" s="36" t="str">
        <f>IF(Account!$F1143&lt;&gt;"", DATEVALUE(MID($C1143,4,3) &amp; LEFT($C1143,3) &amp; RIGHT($C1143,4)), "")</f>
        <v/>
      </c>
      <c r="Q1143" s="37" t="str">
        <f t="array" ref="Q1143">IF($R1143&lt;&gt;"",IFERROR(INDEX(ISIN!$B:$B,MATCH($R1143,ISIN!$C:$C,0))),)</f>
        <v/>
      </c>
      <c r="R1143" s="38" t="str">
        <f t="array" ref="R1143">IF($E1143&lt;&gt;""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7" t="str">
        <f t="shared" si="1"/>
        <v/>
      </c>
      <c r="T1143" s="39" t="str">
        <f t="shared" si="2"/>
        <v/>
      </c>
      <c r="U1143" s="40" t="str">
        <f t="shared" si="3"/>
        <v/>
      </c>
      <c r="V1143" s="34" t="str">
        <f t="shared" si="4"/>
        <v/>
      </c>
      <c r="W1143" s="41" t="str">
        <f>IFERROR(__xludf.DUMMYFUNCTION(" IF(Account!$F1143&lt;&gt;"""", SPLIT(Account!$F1143, "" ""), """")"),"")</f>
        <v/>
      </c>
      <c r="X1143" s="42"/>
      <c r="Y1143" s="42"/>
      <c r="Z1143" s="42"/>
      <c r="AA1143" s="42"/>
      <c r="AB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</row>
    <row r="1144">
      <c r="A1144" s="47"/>
      <c r="B1144" s="48"/>
      <c r="C1144" s="47"/>
      <c r="F1144" s="49"/>
      <c r="G1144" s="45"/>
      <c r="L1144" s="49"/>
      <c r="M1144" s="33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4" t="str">
        <f>IFERROR(__xludf.DUMMYFUNCTION("IF(Account!$F1144&lt;&gt;"""", VALUE(REGEXREPLACE($I1144, ""\,"", ""."")), """")"),"")</f>
        <v/>
      </c>
      <c r="O1144" s="35" t="str">
        <f>IF(Account!$F1144&lt;&gt;"", DATEVALUE(MID($A1144,4,3) &amp; LEFT($A1144,3) &amp; RIGHT($A1144,4)) + TIMEVALUE($B1144), "")</f>
        <v/>
      </c>
      <c r="P1144" s="36" t="str">
        <f>IF(Account!$F1144&lt;&gt;"", DATEVALUE(MID($C1144,4,3) &amp; LEFT($C1144,3) &amp; RIGHT($C1144,4)), "")</f>
        <v/>
      </c>
      <c r="Q1144" s="37" t="str">
        <f t="array" ref="Q1144">IF($R1144&lt;&gt;"",IFERROR(INDEX(ISIN!$B:$B,MATCH($R1144,ISIN!$C:$C,0))),)</f>
        <v/>
      </c>
      <c r="R1144" s="38" t="str">
        <f t="array" ref="R1144">IF($E1144&lt;&gt;""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7" t="str">
        <f t="shared" si="1"/>
        <v/>
      </c>
      <c r="T1144" s="39" t="str">
        <f t="shared" si="2"/>
        <v/>
      </c>
      <c r="U1144" s="40" t="str">
        <f t="shared" si="3"/>
        <v/>
      </c>
      <c r="V1144" s="34" t="str">
        <f t="shared" si="4"/>
        <v/>
      </c>
      <c r="W1144" s="41" t="str">
        <f>IFERROR(__xludf.DUMMYFUNCTION(" IF(Account!$F1144&lt;&gt;"""", SPLIT(Account!$F1144, "" ""), """")"),"")</f>
        <v/>
      </c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</row>
    <row r="1145">
      <c r="A1145" s="47"/>
      <c r="B1145" s="48"/>
      <c r="C1145" s="47"/>
      <c r="F1145" s="49"/>
      <c r="G1145" s="50"/>
      <c r="L1145" s="49"/>
      <c r="M1145" s="33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4" t="str">
        <f>IFERROR(__xludf.DUMMYFUNCTION("IF(Account!$F1145&lt;&gt;"""", VALUE(REGEXREPLACE($I1145, ""\,"", ""."")), """")"),"")</f>
        <v/>
      </c>
      <c r="O1145" s="35" t="str">
        <f>IF(Account!$F1145&lt;&gt;"", DATEVALUE(MID($A1145,4,3) &amp; LEFT($A1145,3) &amp; RIGHT($A1145,4)) + TIMEVALUE($B1145), "")</f>
        <v/>
      </c>
      <c r="P1145" s="36" t="str">
        <f>IF(Account!$F1145&lt;&gt;"", DATEVALUE(MID($C1145,4,3) &amp; LEFT($C1145,3) &amp; RIGHT($C1145,4)), "")</f>
        <v/>
      </c>
      <c r="Q1145" s="37" t="str">
        <f t="array" ref="Q1145">IF($R1145&lt;&gt;"",IFERROR(INDEX(ISIN!$B:$B,MATCH($R1145,ISIN!$C:$C,0))),)</f>
        <v/>
      </c>
      <c r="R1145" s="38" t="str">
        <f t="array" ref="R1145">IF($E1145&lt;&gt;""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7" t="str">
        <f t="shared" si="1"/>
        <v/>
      </c>
      <c r="T1145" s="39" t="str">
        <f t="shared" si="2"/>
        <v/>
      </c>
      <c r="U1145" s="40" t="str">
        <f t="shared" si="3"/>
        <v/>
      </c>
      <c r="V1145" s="34" t="str">
        <f t="shared" si="4"/>
        <v/>
      </c>
      <c r="W1145" s="41" t="str">
        <f>IFERROR(__xludf.DUMMYFUNCTION(" IF(Account!$F1145&lt;&gt;"""", SPLIT(Account!$F1145, "" ""), """")"),"")</f>
        <v/>
      </c>
      <c r="X1145" s="42"/>
      <c r="Y1145" s="42"/>
      <c r="Z1145" s="42"/>
      <c r="AA1145" s="42"/>
      <c r="AB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</row>
    <row r="1146">
      <c r="A1146" s="47"/>
      <c r="B1146" s="48"/>
      <c r="C1146" s="47"/>
      <c r="F1146" s="49"/>
      <c r="G1146" s="45"/>
      <c r="L1146" s="49"/>
      <c r="M1146" s="33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4" t="str">
        <f>IFERROR(__xludf.DUMMYFUNCTION("IF(Account!$F1146&lt;&gt;"""", VALUE(REGEXREPLACE($I1146, ""\,"", ""."")), """")"),"")</f>
        <v/>
      </c>
      <c r="O1146" s="35" t="str">
        <f>IF(Account!$F1146&lt;&gt;"", DATEVALUE(MID($A1146,4,3) &amp; LEFT($A1146,3) &amp; RIGHT($A1146,4)) + TIMEVALUE($B1146), "")</f>
        <v/>
      </c>
      <c r="P1146" s="36" t="str">
        <f>IF(Account!$F1146&lt;&gt;"", DATEVALUE(MID($C1146,4,3) &amp; LEFT($C1146,3) &amp; RIGHT($C1146,4)), "")</f>
        <v/>
      </c>
      <c r="Q1146" s="37" t="str">
        <f t="array" ref="Q1146">IF($R1146&lt;&gt;"",IFERROR(INDEX(ISIN!$B:$B,MATCH($R1146,ISIN!$C:$C,0))),)</f>
        <v/>
      </c>
      <c r="R1146" s="38" t="str">
        <f t="array" ref="R1146">IF($E1146&lt;&gt;""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7" t="str">
        <f t="shared" si="1"/>
        <v/>
      </c>
      <c r="T1146" s="39" t="str">
        <f t="shared" si="2"/>
        <v/>
      </c>
      <c r="U1146" s="40" t="str">
        <f t="shared" si="3"/>
        <v/>
      </c>
      <c r="V1146" s="34" t="str">
        <f t="shared" si="4"/>
        <v/>
      </c>
      <c r="W1146" s="41" t="str">
        <f>IFERROR(__xludf.DUMMYFUNCTION(" IF(Account!$F1146&lt;&gt;"""", SPLIT(Account!$F1146, "" ""), """")"),"")</f>
        <v/>
      </c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</row>
    <row r="1147">
      <c r="A1147" s="47"/>
      <c r="B1147" s="48"/>
      <c r="C1147" s="47"/>
      <c r="F1147" s="49"/>
      <c r="G1147" s="45"/>
      <c r="L1147" s="49"/>
      <c r="M1147" s="33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4" t="str">
        <f>IFERROR(__xludf.DUMMYFUNCTION("IF(Account!$F1147&lt;&gt;"""", VALUE(REGEXREPLACE($I1147, ""\,"", ""."")), """")"),"")</f>
        <v/>
      </c>
      <c r="O1147" s="35" t="str">
        <f>IF(Account!$F1147&lt;&gt;"", DATEVALUE(MID($A1147,4,3) &amp; LEFT($A1147,3) &amp; RIGHT($A1147,4)) + TIMEVALUE($B1147), "")</f>
        <v/>
      </c>
      <c r="P1147" s="36" t="str">
        <f>IF(Account!$F1147&lt;&gt;"", DATEVALUE(MID($C1147,4,3) &amp; LEFT($C1147,3) &amp; RIGHT($C1147,4)), "")</f>
        <v/>
      </c>
      <c r="Q1147" s="37" t="str">
        <f t="array" ref="Q1147">IF($R1147&lt;&gt;"",IFERROR(INDEX(ISIN!$B:$B,MATCH($R1147,ISIN!$C:$C,0))),)</f>
        <v/>
      </c>
      <c r="R1147" s="38" t="str">
        <f t="array" ref="R1147">IF($E1147&lt;&gt;""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7" t="str">
        <f t="shared" si="1"/>
        <v/>
      </c>
      <c r="T1147" s="39" t="str">
        <f t="shared" si="2"/>
        <v/>
      </c>
      <c r="U1147" s="40" t="str">
        <f t="shared" si="3"/>
        <v/>
      </c>
      <c r="V1147" s="34" t="str">
        <f t="shared" si="4"/>
        <v/>
      </c>
      <c r="W1147" s="41" t="str">
        <f>IFERROR(__xludf.DUMMYFUNCTION(" IF(Account!$F1147&lt;&gt;"""", SPLIT(Account!$F1147, "" ""), """")"),"")</f>
        <v/>
      </c>
      <c r="X1147" s="42"/>
      <c r="Y1147" s="42"/>
      <c r="Z1147" s="42"/>
      <c r="AA1147" s="42"/>
      <c r="AB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</row>
    <row r="1148">
      <c r="A1148" s="47"/>
      <c r="B1148" s="48"/>
      <c r="C1148" s="47"/>
      <c r="F1148" s="49"/>
      <c r="G1148" s="50"/>
      <c r="L1148" s="49"/>
      <c r="M1148" s="33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4" t="str">
        <f>IFERROR(__xludf.DUMMYFUNCTION("IF(Account!$F1148&lt;&gt;"""", VALUE(REGEXREPLACE($I1148, ""\,"", ""."")), """")"),"")</f>
        <v/>
      </c>
      <c r="O1148" s="35" t="str">
        <f>IF(Account!$F1148&lt;&gt;"", DATEVALUE(MID($A1148,4,3) &amp; LEFT($A1148,3) &amp; RIGHT($A1148,4)) + TIMEVALUE($B1148), "")</f>
        <v/>
      </c>
      <c r="P1148" s="36" t="str">
        <f>IF(Account!$F1148&lt;&gt;"", DATEVALUE(MID($C1148,4,3) &amp; LEFT($C1148,3) &amp; RIGHT($C1148,4)), "")</f>
        <v/>
      </c>
      <c r="Q1148" s="37" t="str">
        <f t="array" ref="Q1148">IF($R1148&lt;&gt;"",IFERROR(INDEX(ISIN!$B:$B,MATCH($R1148,ISIN!$C:$C,0))),)</f>
        <v/>
      </c>
      <c r="R1148" s="38" t="str">
        <f t="array" ref="R1148">IF($E1148&lt;&gt;""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7" t="str">
        <f t="shared" si="1"/>
        <v/>
      </c>
      <c r="T1148" s="39" t="str">
        <f t="shared" si="2"/>
        <v/>
      </c>
      <c r="U1148" s="40" t="str">
        <f t="shared" si="3"/>
        <v/>
      </c>
      <c r="V1148" s="34" t="str">
        <f t="shared" si="4"/>
        <v/>
      </c>
      <c r="W1148" s="41" t="str">
        <f>IFERROR(__xludf.DUMMYFUNCTION(" IF(Account!$F1148&lt;&gt;"""", SPLIT(Account!$F1148, "" ""), """")"),"")</f>
        <v/>
      </c>
      <c r="X1148" s="42"/>
      <c r="Y1148" s="42"/>
      <c r="Z1148" s="42"/>
      <c r="AA1148" s="42"/>
      <c r="AB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</row>
    <row r="1149">
      <c r="A1149" s="47"/>
      <c r="B1149" s="48"/>
      <c r="C1149" s="47"/>
      <c r="F1149" s="49"/>
      <c r="G1149" s="45"/>
      <c r="L1149" s="49"/>
      <c r="M1149" s="33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4" t="str">
        <f>IFERROR(__xludf.DUMMYFUNCTION("IF(Account!$F1149&lt;&gt;"""", VALUE(REGEXREPLACE($I1149, ""\,"", ""."")), """")"),"")</f>
        <v/>
      </c>
      <c r="O1149" s="35" t="str">
        <f>IF(Account!$F1149&lt;&gt;"", DATEVALUE(MID($A1149,4,3) &amp; LEFT($A1149,3) &amp; RIGHT($A1149,4)) + TIMEVALUE($B1149), "")</f>
        <v/>
      </c>
      <c r="P1149" s="36" t="str">
        <f>IF(Account!$F1149&lt;&gt;"", DATEVALUE(MID($C1149,4,3) &amp; LEFT($C1149,3) &amp; RIGHT($C1149,4)), "")</f>
        <v/>
      </c>
      <c r="Q1149" s="37" t="str">
        <f t="array" ref="Q1149">IF($R1149&lt;&gt;"",IFERROR(INDEX(ISIN!$B:$B,MATCH($R1149,ISIN!$C:$C,0))),)</f>
        <v/>
      </c>
      <c r="R1149" s="38" t="str">
        <f t="array" ref="R1149">IF($E1149&lt;&gt;""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7" t="str">
        <f t="shared" si="1"/>
        <v/>
      </c>
      <c r="T1149" s="39" t="str">
        <f t="shared" si="2"/>
        <v/>
      </c>
      <c r="U1149" s="40" t="str">
        <f t="shared" si="3"/>
        <v/>
      </c>
      <c r="V1149" s="34" t="str">
        <f t="shared" si="4"/>
        <v/>
      </c>
      <c r="W1149" s="41" t="str">
        <f>IFERROR(__xludf.DUMMYFUNCTION(" IF(Account!$F1149&lt;&gt;"""", SPLIT(Account!$F1149, "" ""), """")"),"")</f>
        <v/>
      </c>
      <c r="X1149" s="42"/>
      <c r="Y1149" s="42"/>
      <c r="Z1149" s="42"/>
      <c r="AA1149" s="42"/>
      <c r="AB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</row>
    <row r="1150">
      <c r="A1150" s="45"/>
      <c r="B1150" s="45"/>
      <c r="C1150" s="45"/>
      <c r="D1150" s="45"/>
      <c r="E1150" s="45"/>
      <c r="F1150" s="46"/>
      <c r="G1150" s="45"/>
      <c r="H1150" s="45"/>
      <c r="I1150" s="45"/>
      <c r="J1150" s="45"/>
      <c r="K1150" s="45"/>
      <c r="L1150" s="49"/>
      <c r="M1150" s="33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4" t="str">
        <f>IFERROR(__xludf.DUMMYFUNCTION("IF(Account!$F1150&lt;&gt;"""", VALUE(REGEXREPLACE($I1150, ""\,"", ""."")), """")"),"")</f>
        <v/>
      </c>
      <c r="O1150" s="35" t="str">
        <f>IF(Account!$F1150&lt;&gt;"", DATEVALUE(MID($A1150,4,3) &amp; LEFT($A1150,3) &amp; RIGHT($A1150,4)) + TIMEVALUE($B1150), "")</f>
        <v/>
      </c>
      <c r="P1150" s="36" t="str">
        <f>IF(Account!$F1150&lt;&gt;"", DATEVALUE(MID($C1150,4,3) &amp; LEFT($C1150,3) &amp; RIGHT($C1150,4)), "")</f>
        <v/>
      </c>
      <c r="Q1150" s="37" t="str">
        <f t="array" ref="Q1150">IF($R1150&lt;&gt;"",IFERROR(INDEX(ISIN!$B:$B,MATCH($R1150,ISIN!$C:$C,0))),)</f>
        <v/>
      </c>
      <c r="R1150" s="38" t="str">
        <f t="array" ref="R1150">IF($E1150&lt;&gt;""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7" t="str">
        <f t="shared" si="1"/>
        <v/>
      </c>
      <c r="T1150" s="39" t="str">
        <f t="shared" si="2"/>
        <v/>
      </c>
      <c r="U1150" s="40" t="str">
        <f t="shared" si="3"/>
        <v/>
      </c>
      <c r="V1150" s="34" t="str">
        <f t="shared" si="4"/>
        <v/>
      </c>
      <c r="W1150" s="41" t="str">
        <f>IFERROR(__xludf.DUMMYFUNCTION(" IF(Account!$F1150&lt;&gt;"""", SPLIT(Account!$F1150, "" ""), """")"),"")</f>
        <v/>
      </c>
      <c r="X1150" s="42"/>
      <c r="Y1150" s="42"/>
      <c r="Z1150" s="42"/>
      <c r="AA1150" s="42"/>
      <c r="AB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</row>
    <row r="1151">
      <c r="A1151" s="47"/>
      <c r="B1151" s="48"/>
      <c r="C1151" s="47"/>
      <c r="F1151" s="49"/>
      <c r="G1151" s="45"/>
      <c r="L1151" s="49"/>
      <c r="M1151" s="33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4" t="str">
        <f>IFERROR(__xludf.DUMMYFUNCTION("IF(Account!$F1151&lt;&gt;"""", VALUE(REGEXREPLACE($I1151, ""\,"", ""."")), """")"),"")</f>
        <v/>
      </c>
      <c r="O1151" s="35" t="str">
        <f>IF(Account!$F1151&lt;&gt;"", DATEVALUE(MID($A1151,4,3) &amp; LEFT($A1151,3) &amp; RIGHT($A1151,4)) + TIMEVALUE($B1151), "")</f>
        <v/>
      </c>
      <c r="P1151" s="36" t="str">
        <f>IF(Account!$F1151&lt;&gt;"", DATEVALUE(MID($C1151,4,3) &amp; LEFT($C1151,3) &amp; RIGHT($C1151,4)), "")</f>
        <v/>
      </c>
      <c r="Q1151" s="37" t="str">
        <f t="array" ref="Q1151">IF($R1151&lt;&gt;"",IFERROR(INDEX(ISIN!$B:$B,MATCH($R1151,ISIN!$C:$C,0))),)</f>
        <v/>
      </c>
      <c r="R1151" s="38" t="str">
        <f t="array" ref="R1151">IF($E1151&lt;&gt;""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7" t="str">
        <f t="shared" si="1"/>
        <v/>
      </c>
      <c r="T1151" s="39" t="str">
        <f t="shared" si="2"/>
        <v/>
      </c>
      <c r="U1151" s="40" t="str">
        <f t="shared" si="3"/>
        <v/>
      </c>
      <c r="V1151" s="34" t="str">
        <f t="shared" si="4"/>
        <v/>
      </c>
      <c r="W1151" s="41" t="str">
        <f>IFERROR(__xludf.DUMMYFUNCTION(" IF(Account!$F1151&lt;&gt;"""", SPLIT(Account!$F1151, "" ""), """")"),"")</f>
        <v/>
      </c>
      <c r="X1151" s="42"/>
      <c r="Y1151" s="42"/>
      <c r="Z1151" s="42"/>
      <c r="AA1151" s="42"/>
      <c r="AB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</row>
    <row r="1152">
      <c r="A1152" s="47"/>
      <c r="B1152" s="48"/>
      <c r="C1152" s="47"/>
      <c r="F1152" s="49"/>
      <c r="G1152" s="50"/>
      <c r="L1152" s="49"/>
      <c r="M1152" s="33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4" t="str">
        <f>IFERROR(__xludf.DUMMYFUNCTION("IF(Account!$F1152&lt;&gt;"""", VALUE(REGEXREPLACE($I1152, ""\,"", ""."")), """")"),"")</f>
        <v/>
      </c>
      <c r="O1152" s="35" t="str">
        <f>IF(Account!$F1152&lt;&gt;"", DATEVALUE(MID($A1152,4,3) &amp; LEFT($A1152,3) &amp; RIGHT($A1152,4)) + TIMEVALUE($B1152), "")</f>
        <v/>
      </c>
      <c r="P1152" s="36" t="str">
        <f>IF(Account!$F1152&lt;&gt;"", DATEVALUE(MID($C1152,4,3) &amp; LEFT($C1152,3) &amp; RIGHT($C1152,4)), "")</f>
        <v/>
      </c>
      <c r="Q1152" s="37" t="str">
        <f t="array" ref="Q1152">IF($R1152&lt;&gt;"",IFERROR(INDEX(ISIN!$B:$B,MATCH($R1152,ISIN!$C:$C,0))),)</f>
        <v/>
      </c>
      <c r="R1152" s="38" t="str">
        <f t="array" ref="R1152">IF($E1152&lt;&gt;""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7" t="str">
        <f t="shared" si="1"/>
        <v/>
      </c>
      <c r="T1152" s="39" t="str">
        <f t="shared" si="2"/>
        <v/>
      </c>
      <c r="U1152" s="40" t="str">
        <f t="shared" si="3"/>
        <v/>
      </c>
      <c r="V1152" s="34" t="str">
        <f t="shared" si="4"/>
        <v/>
      </c>
      <c r="W1152" s="41" t="str">
        <f>IFERROR(__xludf.DUMMYFUNCTION(" IF(Account!$F1152&lt;&gt;"""", SPLIT(Account!$F1152, "" ""), """")"),"")</f>
        <v/>
      </c>
      <c r="X1152" s="42"/>
      <c r="Y1152" s="42"/>
      <c r="Z1152" s="42"/>
      <c r="AA1152" s="42"/>
      <c r="AB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</row>
    <row r="1153">
      <c r="A1153" s="47"/>
      <c r="B1153" s="48"/>
      <c r="C1153" s="47"/>
      <c r="F1153" s="49"/>
      <c r="G1153" s="45"/>
      <c r="L1153" s="49"/>
      <c r="M1153" s="33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4" t="str">
        <f>IFERROR(__xludf.DUMMYFUNCTION("IF(Account!$F1153&lt;&gt;"""", VALUE(REGEXREPLACE($I1153, ""\,"", ""."")), """")"),"")</f>
        <v/>
      </c>
      <c r="O1153" s="35" t="str">
        <f>IF(Account!$F1153&lt;&gt;"", DATEVALUE(MID($A1153,4,3) &amp; LEFT($A1153,3) &amp; RIGHT($A1153,4)) + TIMEVALUE($B1153), "")</f>
        <v/>
      </c>
      <c r="P1153" s="36" t="str">
        <f>IF(Account!$F1153&lt;&gt;"", DATEVALUE(MID($C1153,4,3) &amp; LEFT($C1153,3) &amp; RIGHT($C1153,4)), "")</f>
        <v/>
      </c>
      <c r="Q1153" s="37" t="str">
        <f t="array" ref="Q1153">IF($R1153&lt;&gt;"",IFERROR(INDEX(ISIN!$B:$B,MATCH($R1153,ISIN!$C:$C,0))),)</f>
        <v/>
      </c>
      <c r="R1153" s="38" t="str">
        <f t="array" ref="R1153">IF($E1153&lt;&gt;""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7" t="str">
        <f t="shared" si="1"/>
        <v/>
      </c>
      <c r="T1153" s="39" t="str">
        <f t="shared" si="2"/>
        <v/>
      </c>
      <c r="U1153" s="40" t="str">
        <f t="shared" si="3"/>
        <v/>
      </c>
      <c r="V1153" s="34" t="str">
        <f t="shared" si="4"/>
        <v/>
      </c>
      <c r="W1153" s="41" t="str">
        <f>IFERROR(__xludf.DUMMYFUNCTION(" IF(Account!$F1153&lt;&gt;"""", SPLIT(Account!$F1153, "" ""), """")"),"")</f>
        <v/>
      </c>
      <c r="X1153" s="42"/>
      <c r="Y1153" s="42"/>
      <c r="Z1153" s="42"/>
      <c r="AA1153" s="42"/>
      <c r="AB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</row>
    <row r="1154">
      <c r="A1154" s="47"/>
      <c r="B1154" s="48"/>
      <c r="C1154" s="47"/>
      <c r="F1154" s="49"/>
      <c r="G1154" s="45"/>
      <c r="L1154" s="49"/>
      <c r="M1154" s="33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4" t="str">
        <f>IFERROR(__xludf.DUMMYFUNCTION("IF(Account!$F1154&lt;&gt;"""", VALUE(REGEXREPLACE($I1154, ""\,"", ""."")), """")"),"")</f>
        <v/>
      </c>
      <c r="O1154" s="35" t="str">
        <f>IF(Account!$F1154&lt;&gt;"", DATEVALUE(MID($A1154,4,3) &amp; LEFT($A1154,3) &amp; RIGHT($A1154,4)) + TIMEVALUE($B1154), "")</f>
        <v/>
      </c>
      <c r="P1154" s="36" t="str">
        <f>IF(Account!$F1154&lt;&gt;"", DATEVALUE(MID($C1154,4,3) &amp; LEFT($C1154,3) &amp; RIGHT($C1154,4)), "")</f>
        <v/>
      </c>
      <c r="Q1154" s="37" t="str">
        <f t="array" ref="Q1154">IF($R1154&lt;&gt;"",IFERROR(INDEX(ISIN!$B:$B,MATCH($R1154,ISIN!$C:$C,0))),)</f>
        <v/>
      </c>
      <c r="R1154" s="38" t="str">
        <f t="array" ref="R1154">IF($E1154&lt;&gt;""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7" t="str">
        <f t="shared" si="1"/>
        <v/>
      </c>
      <c r="T1154" s="39" t="str">
        <f t="shared" si="2"/>
        <v/>
      </c>
      <c r="U1154" s="40" t="str">
        <f t="shared" si="3"/>
        <v/>
      </c>
      <c r="V1154" s="34" t="str">
        <f t="shared" si="4"/>
        <v/>
      </c>
      <c r="W1154" s="41" t="str">
        <f>IFERROR(__xludf.DUMMYFUNCTION(" IF(Account!$F1154&lt;&gt;"""", SPLIT(Account!$F1154, "" ""), """")"),"")</f>
        <v/>
      </c>
      <c r="X1154" s="42"/>
      <c r="Y1154" s="42"/>
      <c r="Z1154" s="42"/>
      <c r="AA1154" s="42"/>
      <c r="AB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</row>
    <row r="1155">
      <c r="A1155" s="47"/>
      <c r="B1155" s="48"/>
      <c r="C1155" s="47"/>
      <c r="F1155" s="49"/>
      <c r="G1155" s="50"/>
      <c r="L1155" s="49"/>
      <c r="M1155" s="33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4" t="str">
        <f>IFERROR(__xludf.DUMMYFUNCTION("IF(Account!$F1155&lt;&gt;"""", VALUE(REGEXREPLACE($I1155, ""\,"", ""."")), """")"),"")</f>
        <v/>
      </c>
      <c r="O1155" s="35" t="str">
        <f>IF(Account!$F1155&lt;&gt;"", DATEVALUE(MID($A1155,4,3) &amp; LEFT($A1155,3) &amp; RIGHT($A1155,4)) + TIMEVALUE($B1155), "")</f>
        <v/>
      </c>
      <c r="P1155" s="36" t="str">
        <f>IF(Account!$F1155&lt;&gt;"", DATEVALUE(MID($C1155,4,3) &amp; LEFT($C1155,3) &amp; RIGHT($C1155,4)), "")</f>
        <v/>
      </c>
      <c r="Q1155" s="37" t="str">
        <f t="array" ref="Q1155">IF($R1155&lt;&gt;"",IFERROR(INDEX(ISIN!$B:$B,MATCH($R1155,ISIN!$C:$C,0))),)</f>
        <v/>
      </c>
      <c r="R1155" s="38" t="str">
        <f t="array" ref="R1155">IF($E1155&lt;&gt;""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7" t="str">
        <f t="shared" si="1"/>
        <v/>
      </c>
      <c r="T1155" s="39" t="str">
        <f t="shared" si="2"/>
        <v/>
      </c>
      <c r="U1155" s="40" t="str">
        <f t="shared" si="3"/>
        <v/>
      </c>
      <c r="V1155" s="34" t="str">
        <f t="shared" si="4"/>
        <v/>
      </c>
      <c r="W1155" s="41" t="str">
        <f>IFERROR(__xludf.DUMMYFUNCTION(" IF(Account!$F1155&lt;&gt;"""", SPLIT(Account!$F1155, "" ""), """")"),"")</f>
        <v/>
      </c>
      <c r="X1155" s="42"/>
      <c r="Y1155" s="42"/>
      <c r="Z1155" s="42"/>
      <c r="AA1155" s="42"/>
      <c r="AB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</row>
    <row r="1156">
      <c r="A1156" s="47"/>
      <c r="B1156" s="48"/>
      <c r="C1156" s="47"/>
      <c r="F1156" s="49"/>
      <c r="G1156" s="45"/>
      <c r="L1156" s="49"/>
      <c r="M1156" s="33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4" t="str">
        <f>IFERROR(__xludf.DUMMYFUNCTION("IF(Account!$F1156&lt;&gt;"""", VALUE(REGEXREPLACE($I1156, ""\,"", ""."")), """")"),"")</f>
        <v/>
      </c>
      <c r="O1156" s="35" t="str">
        <f>IF(Account!$F1156&lt;&gt;"", DATEVALUE(MID($A1156,4,3) &amp; LEFT($A1156,3) &amp; RIGHT($A1156,4)) + TIMEVALUE($B1156), "")</f>
        <v/>
      </c>
      <c r="P1156" s="36" t="str">
        <f>IF(Account!$F1156&lt;&gt;"", DATEVALUE(MID($C1156,4,3) &amp; LEFT($C1156,3) &amp; RIGHT($C1156,4)), "")</f>
        <v/>
      </c>
      <c r="Q1156" s="37" t="str">
        <f t="array" ref="Q1156">IF($R1156&lt;&gt;"",IFERROR(INDEX(ISIN!$B:$B,MATCH($R1156,ISIN!$C:$C,0))),)</f>
        <v/>
      </c>
      <c r="R1156" s="38" t="str">
        <f t="array" ref="R1156">IF($E1156&lt;&gt;""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7" t="str">
        <f t="shared" si="1"/>
        <v/>
      </c>
      <c r="T1156" s="39" t="str">
        <f t="shared" si="2"/>
        <v/>
      </c>
      <c r="U1156" s="40" t="str">
        <f t="shared" si="3"/>
        <v/>
      </c>
      <c r="V1156" s="34" t="str">
        <f t="shared" si="4"/>
        <v/>
      </c>
      <c r="W1156" s="41" t="str">
        <f>IFERROR(__xludf.DUMMYFUNCTION(" IF(Account!$F1156&lt;&gt;"""", SPLIT(Account!$F1156, "" ""), """")"),"")</f>
        <v/>
      </c>
      <c r="X1156" s="42"/>
      <c r="Y1156" s="42"/>
      <c r="Z1156" s="42"/>
      <c r="AA1156" s="42"/>
      <c r="AB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</row>
    <row r="1157">
      <c r="A1157" s="47"/>
      <c r="B1157" s="48"/>
      <c r="C1157" s="47"/>
      <c r="F1157" s="49"/>
      <c r="G1157" s="45"/>
      <c r="L1157" s="49"/>
      <c r="M1157" s="33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4" t="str">
        <f>IFERROR(__xludf.DUMMYFUNCTION("IF(Account!$F1157&lt;&gt;"""", VALUE(REGEXREPLACE($I1157, ""\,"", ""."")), """")"),"")</f>
        <v/>
      </c>
      <c r="O1157" s="35" t="str">
        <f>IF(Account!$F1157&lt;&gt;"", DATEVALUE(MID($A1157,4,3) &amp; LEFT($A1157,3) &amp; RIGHT($A1157,4)) + TIMEVALUE($B1157), "")</f>
        <v/>
      </c>
      <c r="P1157" s="36" t="str">
        <f>IF(Account!$F1157&lt;&gt;"", DATEVALUE(MID($C1157,4,3) &amp; LEFT($C1157,3) &amp; RIGHT($C1157,4)), "")</f>
        <v/>
      </c>
      <c r="Q1157" s="37" t="str">
        <f t="array" ref="Q1157">IF($R1157&lt;&gt;"",IFERROR(INDEX(ISIN!$B:$B,MATCH($R1157,ISIN!$C:$C,0))),)</f>
        <v/>
      </c>
      <c r="R1157" s="38" t="str">
        <f t="array" ref="R1157">IF($E1157&lt;&gt;""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7" t="str">
        <f t="shared" si="1"/>
        <v/>
      </c>
      <c r="T1157" s="39" t="str">
        <f t="shared" si="2"/>
        <v/>
      </c>
      <c r="U1157" s="40" t="str">
        <f t="shared" si="3"/>
        <v/>
      </c>
      <c r="V1157" s="34" t="str">
        <f t="shared" si="4"/>
        <v/>
      </c>
      <c r="W1157" s="41" t="str">
        <f>IFERROR(__xludf.DUMMYFUNCTION(" IF(Account!$F1157&lt;&gt;"""", SPLIT(Account!$F1157, "" ""), """")"),"")</f>
        <v/>
      </c>
      <c r="X1157" s="42"/>
      <c r="Y1157" s="42"/>
      <c r="Z1157" s="42"/>
      <c r="AA1157" s="42"/>
      <c r="AB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</row>
    <row r="1158">
      <c r="A1158" s="47"/>
      <c r="B1158" s="48"/>
      <c r="C1158" s="47"/>
      <c r="F1158" s="49"/>
      <c r="G1158" s="45"/>
      <c r="H1158" s="45"/>
      <c r="I1158" s="45"/>
      <c r="L1158" s="46"/>
      <c r="M1158" s="33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4" t="str">
        <f>IFERROR(__xludf.DUMMYFUNCTION("IF(Account!$F1158&lt;&gt;"""", VALUE(REGEXREPLACE($I1158, ""\,"", ""."")), """")"),"")</f>
        <v/>
      </c>
      <c r="O1158" s="35" t="str">
        <f>IF(Account!$F1158&lt;&gt;"", DATEVALUE(MID($A1158,4,3) &amp; LEFT($A1158,3) &amp; RIGHT($A1158,4)) + TIMEVALUE($B1158), "")</f>
        <v/>
      </c>
      <c r="P1158" s="36" t="str">
        <f>IF(Account!$F1158&lt;&gt;"", DATEVALUE(MID($C1158,4,3) &amp; LEFT($C1158,3) &amp; RIGHT($C1158,4)), "")</f>
        <v/>
      </c>
      <c r="Q1158" s="37" t="str">
        <f t="array" ref="Q1158">IF($R1158&lt;&gt;"",IFERROR(INDEX(ISIN!$B:$B,MATCH($R1158,ISIN!$C:$C,0))),)</f>
        <v/>
      </c>
      <c r="R1158" s="38" t="str">
        <f t="array" ref="R1158">IF($E1158&lt;&gt;""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7" t="str">
        <f t="shared" si="1"/>
        <v/>
      </c>
      <c r="T1158" s="39" t="str">
        <f t="shared" si="2"/>
        <v/>
      </c>
      <c r="U1158" s="40" t="str">
        <f t="shared" si="3"/>
        <v/>
      </c>
      <c r="V1158" s="34" t="str">
        <f t="shared" si="4"/>
        <v/>
      </c>
      <c r="W1158" s="41" t="str">
        <f>IFERROR(__xludf.DUMMYFUNCTION(" IF(Account!$F1158&lt;&gt;"""", SPLIT(Account!$F1158, "" ""), """")"),"")</f>
        <v/>
      </c>
      <c r="X1158" s="42"/>
      <c r="Y1158" s="42"/>
      <c r="Z1158" s="42"/>
      <c r="AA1158" s="42"/>
      <c r="AB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</row>
    <row r="1159">
      <c r="A1159" s="47"/>
      <c r="B1159" s="48"/>
      <c r="C1159" s="47"/>
      <c r="F1159" s="49"/>
      <c r="G1159" s="45"/>
      <c r="L1159" s="49"/>
      <c r="M1159" s="33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4" t="str">
        <f>IFERROR(__xludf.DUMMYFUNCTION("IF(Account!$F1159&lt;&gt;"""", VALUE(REGEXREPLACE($I1159, ""\,"", ""."")), """")"),"")</f>
        <v/>
      </c>
      <c r="O1159" s="35" t="str">
        <f>IF(Account!$F1159&lt;&gt;"", DATEVALUE(MID($A1159,4,3) &amp; LEFT($A1159,3) &amp; RIGHT($A1159,4)) + TIMEVALUE($B1159), "")</f>
        <v/>
      </c>
      <c r="P1159" s="36" t="str">
        <f>IF(Account!$F1159&lt;&gt;"", DATEVALUE(MID($C1159,4,3) &amp; LEFT($C1159,3) &amp; RIGHT($C1159,4)), "")</f>
        <v/>
      </c>
      <c r="Q1159" s="37" t="str">
        <f t="array" ref="Q1159">IF($R1159&lt;&gt;"",IFERROR(INDEX(ISIN!$B:$B,MATCH($R1159,ISIN!$C:$C,0))),)</f>
        <v/>
      </c>
      <c r="R1159" s="38" t="str">
        <f t="array" ref="R1159">IF($E1159&lt;&gt;""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7" t="str">
        <f t="shared" si="1"/>
        <v/>
      </c>
      <c r="T1159" s="39" t="str">
        <f t="shared" si="2"/>
        <v/>
      </c>
      <c r="U1159" s="40" t="str">
        <f t="shared" si="3"/>
        <v/>
      </c>
      <c r="V1159" s="34" t="str">
        <f t="shared" si="4"/>
        <v/>
      </c>
      <c r="W1159" s="41" t="str">
        <f>IFERROR(__xludf.DUMMYFUNCTION(" IF(Account!$F1159&lt;&gt;"""", SPLIT(Account!$F1159, "" ""), """")"),"")</f>
        <v/>
      </c>
      <c r="X1159" s="42"/>
      <c r="Y1159" s="42"/>
      <c r="Z1159" s="42"/>
      <c r="AA1159" s="42"/>
      <c r="AB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</row>
    <row r="1160">
      <c r="A1160" s="47"/>
      <c r="B1160" s="48"/>
      <c r="F1160" s="49"/>
      <c r="G1160" s="45"/>
      <c r="H1160" s="45"/>
      <c r="I1160" s="45"/>
      <c r="L1160" s="46"/>
      <c r="M1160" s="33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4" t="str">
        <f>IFERROR(__xludf.DUMMYFUNCTION("IF(Account!$F1160&lt;&gt;"""", VALUE(REGEXREPLACE($I1160, ""\,"", ""."")), """")"),"")</f>
        <v/>
      </c>
      <c r="O1160" s="35" t="str">
        <f>IF(Account!$F1160&lt;&gt;"", DATEVALUE(MID($A1160,4,3) &amp; LEFT($A1160,3) &amp; RIGHT($A1160,4)) + TIMEVALUE($B1160), "")</f>
        <v/>
      </c>
      <c r="P1160" s="36" t="str">
        <f>IF(Account!$F1160&lt;&gt;"", DATEVALUE(MID($C1160,4,3) &amp; LEFT($C1160,3) &amp; RIGHT($C1160,4)), "")</f>
        <v/>
      </c>
      <c r="Q1160" s="37" t="str">
        <f t="array" ref="Q1160">IF($R1160&lt;&gt;"",IFERROR(INDEX(ISIN!$B:$B,MATCH($R1160,ISIN!$C:$C,0))),)</f>
        <v/>
      </c>
      <c r="R1160" s="38" t="str">
        <f t="array" ref="R1160">IF($E1160&lt;&gt;""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7" t="str">
        <f t="shared" si="1"/>
        <v/>
      </c>
      <c r="T1160" s="39" t="str">
        <f t="shared" si="2"/>
        <v/>
      </c>
      <c r="U1160" s="40" t="str">
        <f t="shared" si="3"/>
        <v/>
      </c>
      <c r="V1160" s="34" t="str">
        <f t="shared" si="4"/>
        <v/>
      </c>
      <c r="W1160" s="41" t="str">
        <f>IFERROR(__xludf.DUMMYFUNCTION(" IF(Account!$F1160&lt;&gt;"""", SPLIT(Account!$F1160, "" ""), """")"),"")</f>
        <v/>
      </c>
      <c r="X1160" s="42"/>
      <c r="Y1160" s="42"/>
      <c r="Z1160" s="42"/>
      <c r="AA1160" s="42"/>
      <c r="AB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</row>
    <row r="1161">
      <c r="A1161" s="47"/>
      <c r="B1161" s="48"/>
      <c r="C1161" s="47"/>
      <c r="F1161" s="49"/>
      <c r="G1161" s="45"/>
      <c r="L1161" s="49"/>
      <c r="M1161" s="33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4" t="str">
        <f>IFERROR(__xludf.DUMMYFUNCTION("IF(Account!$F1161&lt;&gt;"""", VALUE(REGEXREPLACE($I1161, ""\,"", ""."")), """")"),"")</f>
        <v/>
      </c>
      <c r="O1161" s="35" t="str">
        <f>IF(Account!$F1161&lt;&gt;"", DATEVALUE(MID($A1161,4,3) &amp; LEFT($A1161,3) &amp; RIGHT($A1161,4)) + TIMEVALUE($B1161), "")</f>
        <v/>
      </c>
      <c r="P1161" s="36" t="str">
        <f>IF(Account!$F1161&lt;&gt;"", DATEVALUE(MID($C1161,4,3) &amp; LEFT($C1161,3) &amp; RIGHT($C1161,4)), "")</f>
        <v/>
      </c>
      <c r="Q1161" s="37" t="str">
        <f t="array" ref="Q1161">IF($R1161&lt;&gt;"",IFERROR(INDEX(ISIN!$B:$B,MATCH($R1161,ISIN!$C:$C,0))),)</f>
        <v/>
      </c>
      <c r="R1161" s="38" t="str">
        <f t="array" ref="R1161">IF($E1161&lt;&gt;""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7" t="str">
        <f t="shared" si="1"/>
        <v/>
      </c>
      <c r="T1161" s="39" t="str">
        <f t="shared" si="2"/>
        <v/>
      </c>
      <c r="U1161" s="40" t="str">
        <f t="shared" si="3"/>
        <v/>
      </c>
      <c r="V1161" s="34" t="str">
        <f t="shared" si="4"/>
        <v/>
      </c>
      <c r="W1161" s="41" t="str">
        <f>IFERROR(__xludf.DUMMYFUNCTION(" IF(Account!$F1161&lt;&gt;"""", SPLIT(Account!$F1161, "" ""), """")"),"")</f>
        <v/>
      </c>
      <c r="X1161" s="42"/>
      <c r="Y1161" s="42"/>
      <c r="Z1161" s="42"/>
      <c r="AA1161" s="42"/>
      <c r="AB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</row>
    <row r="1162">
      <c r="A1162" s="47"/>
      <c r="B1162" s="48"/>
      <c r="C1162" s="47"/>
      <c r="F1162" s="49"/>
      <c r="G1162" s="50"/>
      <c r="L1162" s="49"/>
      <c r="M1162" s="33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4" t="str">
        <f>IFERROR(__xludf.DUMMYFUNCTION("IF(Account!$F1162&lt;&gt;"""", VALUE(REGEXREPLACE($I1162, ""\,"", ""."")), """")"),"")</f>
        <v/>
      </c>
      <c r="O1162" s="35" t="str">
        <f>IF(Account!$F1162&lt;&gt;"", DATEVALUE(MID($A1162,4,3) &amp; LEFT($A1162,3) &amp; RIGHT($A1162,4)) + TIMEVALUE($B1162), "")</f>
        <v/>
      </c>
      <c r="P1162" s="36" t="str">
        <f>IF(Account!$F1162&lt;&gt;"", DATEVALUE(MID($C1162,4,3) &amp; LEFT($C1162,3) &amp; RIGHT($C1162,4)), "")</f>
        <v/>
      </c>
      <c r="Q1162" s="37" t="str">
        <f t="array" ref="Q1162">IF($R1162&lt;&gt;"",IFERROR(INDEX(ISIN!$B:$B,MATCH($R1162,ISIN!$C:$C,0))),)</f>
        <v/>
      </c>
      <c r="R1162" s="38" t="str">
        <f t="array" ref="R1162">IF($E1162&lt;&gt;""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7" t="str">
        <f t="shared" si="1"/>
        <v/>
      </c>
      <c r="T1162" s="39" t="str">
        <f t="shared" si="2"/>
        <v/>
      </c>
      <c r="U1162" s="40" t="str">
        <f t="shared" si="3"/>
        <v/>
      </c>
      <c r="V1162" s="34" t="str">
        <f t="shared" si="4"/>
        <v/>
      </c>
      <c r="W1162" s="41" t="str">
        <f>IFERROR(__xludf.DUMMYFUNCTION(" IF(Account!$F1162&lt;&gt;"""", SPLIT(Account!$F1162, "" ""), """")"),"")</f>
        <v/>
      </c>
      <c r="X1162" s="42"/>
      <c r="Y1162" s="42"/>
      <c r="Z1162" s="42"/>
      <c r="AA1162" s="42"/>
      <c r="AB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</row>
    <row r="1163">
      <c r="A1163" s="47"/>
      <c r="B1163" s="48"/>
      <c r="C1163" s="47"/>
      <c r="F1163" s="49"/>
      <c r="G1163" s="45"/>
      <c r="L1163" s="49"/>
      <c r="M1163" s="33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4" t="str">
        <f>IFERROR(__xludf.DUMMYFUNCTION("IF(Account!$F1163&lt;&gt;"""", VALUE(REGEXREPLACE($I1163, ""\,"", ""."")), """")"),"")</f>
        <v/>
      </c>
      <c r="O1163" s="35" t="str">
        <f>IF(Account!$F1163&lt;&gt;"", DATEVALUE(MID($A1163,4,3) &amp; LEFT($A1163,3) &amp; RIGHT($A1163,4)) + TIMEVALUE($B1163), "")</f>
        <v/>
      </c>
      <c r="P1163" s="36" t="str">
        <f>IF(Account!$F1163&lt;&gt;"", DATEVALUE(MID($C1163,4,3) &amp; LEFT($C1163,3) &amp; RIGHT($C1163,4)), "")</f>
        <v/>
      </c>
      <c r="Q1163" s="37" t="str">
        <f t="array" ref="Q1163">IF($R1163&lt;&gt;"",IFERROR(INDEX(ISIN!$B:$B,MATCH($R1163,ISIN!$C:$C,0))),)</f>
        <v/>
      </c>
      <c r="R1163" s="38" t="str">
        <f t="array" ref="R1163">IF($E1163&lt;&gt;""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7" t="str">
        <f t="shared" si="1"/>
        <v/>
      </c>
      <c r="T1163" s="39" t="str">
        <f t="shared" si="2"/>
        <v/>
      </c>
      <c r="U1163" s="40" t="str">
        <f t="shared" si="3"/>
        <v/>
      </c>
      <c r="V1163" s="34" t="str">
        <f t="shared" si="4"/>
        <v/>
      </c>
      <c r="W1163" s="41" t="str">
        <f>IFERROR(__xludf.DUMMYFUNCTION(" IF(Account!$F1163&lt;&gt;"""", SPLIT(Account!$F1163, "" ""), """")"),"")</f>
        <v/>
      </c>
      <c r="X1163" s="42"/>
      <c r="Y1163" s="42"/>
      <c r="Z1163" s="42"/>
      <c r="AA1163" s="42"/>
      <c r="AB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</row>
    <row r="1164">
      <c r="A1164" s="47"/>
      <c r="B1164" s="48"/>
      <c r="C1164" s="47"/>
      <c r="F1164" s="49"/>
      <c r="G1164" s="50"/>
      <c r="L1164" s="49"/>
      <c r="M1164" s="33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4" t="str">
        <f>IFERROR(__xludf.DUMMYFUNCTION("IF(Account!$F1164&lt;&gt;"""", VALUE(REGEXREPLACE($I1164, ""\,"", ""."")), """")"),"")</f>
        <v/>
      </c>
      <c r="O1164" s="35" t="str">
        <f>IF(Account!$F1164&lt;&gt;"", DATEVALUE(MID($A1164,4,3) &amp; LEFT($A1164,3) &amp; RIGHT($A1164,4)) + TIMEVALUE($B1164), "")</f>
        <v/>
      </c>
      <c r="P1164" s="36" t="str">
        <f>IF(Account!$F1164&lt;&gt;"", DATEVALUE(MID($C1164,4,3) &amp; LEFT($C1164,3) &amp; RIGHT($C1164,4)), "")</f>
        <v/>
      </c>
      <c r="Q1164" s="37" t="str">
        <f t="array" ref="Q1164">IF($R1164&lt;&gt;"",IFERROR(INDEX(ISIN!$B:$B,MATCH($R1164,ISIN!$C:$C,0))),)</f>
        <v/>
      </c>
      <c r="R1164" s="38" t="str">
        <f t="array" ref="R1164">IF($E1164&lt;&gt;""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7" t="str">
        <f t="shared" si="1"/>
        <v/>
      </c>
      <c r="T1164" s="39" t="str">
        <f t="shared" si="2"/>
        <v/>
      </c>
      <c r="U1164" s="40" t="str">
        <f t="shared" si="3"/>
        <v/>
      </c>
      <c r="V1164" s="34" t="str">
        <f t="shared" si="4"/>
        <v/>
      </c>
      <c r="W1164" s="41" t="str">
        <f>IFERROR(__xludf.DUMMYFUNCTION(" IF(Account!$F1164&lt;&gt;"""", SPLIT(Account!$F1164, "" ""), """")"),"")</f>
        <v/>
      </c>
      <c r="X1164" s="42"/>
      <c r="Y1164" s="42"/>
      <c r="Z1164" s="42"/>
      <c r="AA1164" s="42"/>
      <c r="AB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</row>
    <row r="1165">
      <c r="A1165" s="47"/>
      <c r="B1165" s="48"/>
      <c r="C1165" s="47"/>
      <c r="F1165" s="49"/>
      <c r="G1165" s="45"/>
      <c r="L1165" s="49"/>
      <c r="M1165" s="33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4" t="str">
        <f>IFERROR(__xludf.DUMMYFUNCTION("IF(Account!$F1165&lt;&gt;"""", VALUE(REGEXREPLACE($I1165, ""\,"", ""."")), """")"),"")</f>
        <v/>
      </c>
      <c r="O1165" s="35" t="str">
        <f>IF(Account!$F1165&lt;&gt;"", DATEVALUE(MID($A1165,4,3) &amp; LEFT($A1165,3) &amp; RIGHT($A1165,4)) + TIMEVALUE($B1165), "")</f>
        <v/>
      </c>
      <c r="P1165" s="36" t="str">
        <f>IF(Account!$F1165&lt;&gt;"", DATEVALUE(MID($C1165,4,3) &amp; LEFT($C1165,3) &amp; RIGHT($C1165,4)), "")</f>
        <v/>
      </c>
      <c r="Q1165" s="37" t="str">
        <f t="array" ref="Q1165">IF($R1165&lt;&gt;"",IFERROR(INDEX(ISIN!$B:$B,MATCH($R1165,ISIN!$C:$C,0))),)</f>
        <v/>
      </c>
      <c r="R1165" s="38" t="str">
        <f t="array" ref="R1165">IF($E1165&lt;&gt;""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7" t="str">
        <f t="shared" si="1"/>
        <v/>
      </c>
      <c r="T1165" s="39" t="str">
        <f t="shared" si="2"/>
        <v/>
      </c>
      <c r="U1165" s="40" t="str">
        <f t="shared" si="3"/>
        <v/>
      </c>
      <c r="V1165" s="34" t="str">
        <f t="shared" si="4"/>
        <v/>
      </c>
      <c r="W1165" s="41" t="str">
        <f>IFERROR(__xludf.DUMMYFUNCTION(" IF(Account!$F1165&lt;&gt;"""", SPLIT(Account!$F1165, "" ""), """")"),"")</f>
        <v/>
      </c>
      <c r="X1165" s="42"/>
      <c r="Y1165" s="42"/>
      <c r="Z1165" s="42"/>
      <c r="AA1165" s="42"/>
      <c r="AB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</row>
    <row r="1166">
      <c r="A1166" s="47"/>
      <c r="B1166" s="48"/>
      <c r="C1166" s="47"/>
      <c r="F1166" s="49"/>
      <c r="G1166" s="50"/>
      <c r="L1166" s="49"/>
      <c r="M1166" s="33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4" t="str">
        <f>IFERROR(__xludf.DUMMYFUNCTION("IF(Account!$F1166&lt;&gt;"""", VALUE(REGEXREPLACE($I1166, ""\,"", ""."")), """")"),"")</f>
        <v/>
      </c>
      <c r="O1166" s="35" t="str">
        <f>IF(Account!$F1166&lt;&gt;"", DATEVALUE(MID($A1166,4,3) &amp; LEFT($A1166,3) &amp; RIGHT($A1166,4)) + TIMEVALUE($B1166), "")</f>
        <v/>
      </c>
      <c r="P1166" s="36" t="str">
        <f>IF(Account!$F1166&lt;&gt;"", DATEVALUE(MID($C1166,4,3) &amp; LEFT($C1166,3) &amp; RIGHT($C1166,4)), "")</f>
        <v/>
      </c>
      <c r="Q1166" s="37" t="str">
        <f t="array" ref="Q1166">IF($R1166&lt;&gt;"",IFERROR(INDEX(ISIN!$B:$B,MATCH($R1166,ISIN!$C:$C,0))),)</f>
        <v/>
      </c>
      <c r="R1166" s="38" t="str">
        <f t="array" ref="R1166">IF($E1166&lt;&gt;""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7" t="str">
        <f t="shared" si="1"/>
        <v/>
      </c>
      <c r="T1166" s="39" t="str">
        <f t="shared" si="2"/>
        <v/>
      </c>
      <c r="U1166" s="40" t="str">
        <f t="shared" si="3"/>
        <v/>
      </c>
      <c r="V1166" s="34" t="str">
        <f t="shared" si="4"/>
        <v/>
      </c>
      <c r="W1166" s="41" t="str">
        <f>IFERROR(__xludf.DUMMYFUNCTION(" IF(Account!$F1166&lt;&gt;"""", SPLIT(Account!$F1166, "" ""), """")"),"")</f>
        <v/>
      </c>
      <c r="X1166" s="42"/>
      <c r="Y1166" s="42"/>
      <c r="Z1166" s="42"/>
      <c r="AA1166" s="42"/>
      <c r="AB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</row>
    <row r="1167">
      <c r="A1167" s="47"/>
      <c r="B1167" s="48"/>
      <c r="C1167" s="47"/>
      <c r="F1167" s="49"/>
      <c r="G1167" s="45"/>
      <c r="L1167" s="49"/>
      <c r="M1167" s="33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4" t="str">
        <f>IFERROR(__xludf.DUMMYFUNCTION("IF(Account!$F1167&lt;&gt;"""", VALUE(REGEXREPLACE($I1167, ""\,"", ""."")), """")"),"")</f>
        <v/>
      </c>
      <c r="O1167" s="35" t="str">
        <f>IF(Account!$F1167&lt;&gt;"", DATEVALUE(MID($A1167,4,3) &amp; LEFT($A1167,3) &amp; RIGHT($A1167,4)) + TIMEVALUE($B1167), "")</f>
        <v/>
      </c>
      <c r="P1167" s="36" t="str">
        <f>IF(Account!$F1167&lt;&gt;"", DATEVALUE(MID($C1167,4,3) &amp; LEFT($C1167,3) &amp; RIGHT($C1167,4)), "")</f>
        <v/>
      </c>
      <c r="Q1167" s="37" t="str">
        <f t="array" ref="Q1167">IF($R1167&lt;&gt;"",IFERROR(INDEX(ISIN!$B:$B,MATCH($R1167,ISIN!$C:$C,0))),)</f>
        <v/>
      </c>
      <c r="R1167" s="38" t="str">
        <f t="array" ref="R1167">IF($E1167&lt;&gt;""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7" t="str">
        <f t="shared" si="1"/>
        <v/>
      </c>
      <c r="T1167" s="39" t="str">
        <f t="shared" si="2"/>
        <v/>
      </c>
      <c r="U1167" s="40" t="str">
        <f t="shared" si="3"/>
        <v/>
      </c>
      <c r="V1167" s="34" t="str">
        <f t="shared" si="4"/>
        <v/>
      </c>
      <c r="W1167" s="41" t="str">
        <f>IFERROR(__xludf.DUMMYFUNCTION(" IF(Account!$F1167&lt;&gt;"""", SPLIT(Account!$F1167, "" ""), """")"),"")</f>
        <v/>
      </c>
      <c r="X1167" s="42"/>
      <c r="Y1167" s="42"/>
      <c r="Z1167" s="42"/>
      <c r="AA1167" s="42"/>
      <c r="AB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</row>
    <row r="1168">
      <c r="A1168" s="47"/>
      <c r="B1168" s="48"/>
      <c r="C1168" s="47"/>
      <c r="F1168" s="49"/>
      <c r="G1168" s="50"/>
      <c r="L1168" s="49"/>
      <c r="M1168" s="33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4" t="str">
        <f>IFERROR(__xludf.DUMMYFUNCTION("IF(Account!$F1168&lt;&gt;"""", VALUE(REGEXREPLACE($I1168, ""\,"", ""."")), """")"),"")</f>
        <v/>
      </c>
      <c r="O1168" s="35" t="str">
        <f>IF(Account!$F1168&lt;&gt;"", DATEVALUE(MID($A1168,4,3) &amp; LEFT($A1168,3) &amp; RIGHT($A1168,4)) + TIMEVALUE($B1168), "")</f>
        <v/>
      </c>
      <c r="P1168" s="36" t="str">
        <f>IF(Account!$F1168&lt;&gt;"", DATEVALUE(MID($C1168,4,3) &amp; LEFT($C1168,3) &amp; RIGHT($C1168,4)), "")</f>
        <v/>
      </c>
      <c r="Q1168" s="37" t="str">
        <f t="array" ref="Q1168">IF($R1168&lt;&gt;"",IFERROR(INDEX(ISIN!$B:$B,MATCH($R1168,ISIN!$C:$C,0))),)</f>
        <v/>
      </c>
      <c r="R1168" s="38" t="str">
        <f t="array" ref="R1168">IF($E1168&lt;&gt;""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7" t="str">
        <f t="shared" si="1"/>
        <v/>
      </c>
      <c r="T1168" s="39" t="str">
        <f t="shared" si="2"/>
        <v/>
      </c>
      <c r="U1168" s="40" t="str">
        <f t="shared" si="3"/>
        <v/>
      </c>
      <c r="V1168" s="34" t="str">
        <f t="shared" si="4"/>
        <v/>
      </c>
      <c r="W1168" s="41" t="str">
        <f>IFERROR(__xludf.DUMMYFUNCTION(" IF(Account!$F1168&lt;&gt;"""", SPLIT(Account!$F1168, "" ""), """")"),"")</f>
        <v/>
      </c>
      <c r="X1168" s="42"/>
      <c r="Y1168" s="42"/>
      <c r="Z1168" s="42"/>
      <c r="AA1168" s="42"/>
      <c r="AB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</row>
    <row r="1169">
      <c r="A1169" s="47"/>
      <c r="B1169" s="48"/>
      <c r="C1169" s="47"/>
      <c r="F1169" s="49"/>
      <c r="G1169" s="45"/>
      <c r="L1169" s="49"/>
      <c r="M1169" s="33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4" t="str">
        <f>IFERROR(__xludf.DUMMYFUNCTION("IF(Account!$F1169&lt;&gt;"""", VALUE(REGEXREPLACE($I1169, ""\,"", ""."")), """")"),"")</f>
        <v/>
      </c>
      <c r="O1169" s="35" t="str">
        <f>IF(Account!$F1169&lt;&gt;"", DATEVALUE(MID($A1169,4,3) &amp; LEFT($A1169,3) &amp; RIGHT($A1169,4)) + TIMEVALUE($B1169), "")</f>
        <v/>
      </c>
      <c r="P1169" s="36" t="str">
        <f>IF(Account!$F1169&lt;&gt;"", DATEVALUE(MID($C1169,4,3) &amp; LEFT($C1169,3) &amp; RIGHT($C1169,4)), "")</f>
        <v/>
      </c>
      <c r="Q1169" s="37" t="str">
        <f t="array" ref="Q1169">IF($R1169&lt;&gt;"",IFERROR(INDEX(ISIN!$B:$B,MATCH($R1169,ISIN!$C:$C,0))),)</f>
        <v/>
      </c>
      <c r="R1169" s="38" t="str">
        <f t="array" ref="R1169">IF($E1169&lt;&gt;""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7" t="str">
        <f t="shared" si="1"/>
        <v/>
      </c>
      <c r="T1169" s="39" t="str">
        <f t="shared" si="2"/>
        <v/>
      </c>
      <c r="U1169" s="40" t="str">
        <f t="shared" si="3"/>
        <v/>
      </c>
      <c r="V1169" s="34" t="str">
        <f t="shared" si="4"/>
        <v/>
      </c>
      <c r="W1169" s="41" t="str">
        <f>IFERROR(__xludf.DUMMYFUNCTION(" IF(Account!$F1169&lt;&gt;"""", SPLIT(Account!$F1169, "" ""), """")"),"")</f>
        <v/>
      </c>
      <c r="X1169" s="42"/>
      <c r="Y1169" s="42"/>
      <c r="Z1169" s="42"/>
      <c r="AA1169" s="42"/>
      <c r="AB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</row>
    <row r="1170">
      <c r="A1170" s="47"/>
      <c r="B1170" s="48"/>
      <c r="C1170" s="47"/>
      <c r="F1170" s="49"/>
      <c r="G1170" s="45"/>
      <c r="L1170" s="49"/>
      <c r="M1170" s="33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4" t="str">
        <f>IFERROR(__xludf.DUMMYFUNCTION("IF(Account!$F1170&lt;&gt;"""", VALUE(REGEXREPLACE($I1170, ""\,"", ""."")), """")"),"")</f>
        <v/>
      </c>
      <c r="O1170" s="35" t="str">
        <f>IF(Account!$F1170&lt;&gt;"", DATEVALUE(MID($A1170,4,3) &amp; LEFT($A1170,3) &amp; RIGHT($A1170,4)) + TIMEVALUE($B1170), "")</f>
        <v/>
      </c>
      <c r="P1170" s="36" t="str">
        <f>IF(Account!$F1170&lt;&gt;"", DATEVALUE(MID($C1170,4,3) &amp; LEFT($C1170,3) &amp; RIGHT($C1170,4)), "")</f>
        <v/>
      </c>
      <c r="Q1170" s="37" t="str">
        <f t="array" ref="Q1170">IF($R1170&lt;&gt;"",IFERROR(INDEX(ISIN!$B:$B,MATCH($R1170,ISIN!$C:$C,0))),)</f>
        <v/>
      </c>
      <c r="R1170" s="38" t="str">
        <f t="array" ref="R1170">IF($E1170&lt;&gt;""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7" t="str">
        <f t="shared" si="1"/>
        <v/>
      </c>
      <c r="T1170" s="39" t="str">
        <f t="shared" si="2"/>
        <v/>
      </c>
      <c r="U1170" s="40" t="str">
        <f t="shared" si="3"/>
        <v/>
      </c>
      <c r="V1170" s="34" t="str">
        <f t="shared" si="4"/>
        <v/>
      </c>
      <c r="W1170" s="41" t="str">
        <f>IFERROR(__xludf.DUMMYFUNCTION(" IF(Account!$F1170&lt;&gt;"""", SPLIT(Account!$F1170, "" ""), """")"),"")</f>
        <v/>
      </c>
      <c r="X1170" s="42"/>
      <c r="Y1170" s="42"/>
      <c r="Z1170" s="42"/>
      <c r="AA1170" s="42"/>
      <c r="AB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</row>
    <row r="1171">
      <c r="A1171" s="47"/>
      <c r="B1171" s="48"/>
      <c r="C1171" s="47"/>
      <c r="F1171" s="49"/>
      <c r="G1171" s="45"/>
      <c r="L1171" s="49"/>
      <c r="M1171" s="33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4" t="str">
        <f>IFERROR(__xludf.DUMMYFUNCTION("IF(Account!$F1171&lt;&gt;"""", VALUE(REGEXREPLACE($I1171, ""\,"", ""."")), """")"),"")</f>
        <v/>
      </c>
      <c r="O1171" s="35" t="str">
        <f>IF(Account!$F1171&lt;&gt;"", DATEVALUE(MID($A1171,4,3) &amp; LEFT($A1171,3) &amp; RIGHT($A1171,4)) + TIMEVALUE($B1171), "")</f>
        <v/>
      </c>
      <c r="P1171" s="36" t="str">
        <f>IF(Account!$F1171&lt;&gt;"", DATEVALUE(MID($C1171,4,3) &amp; LEFT($C1171,3) &amp; RIGHT($C1171,4)), "")</f>
        <v/>
      </c>
      <c r="Q1171" s="37" t="str">
        <f t="array" ref="Q1171">IF($R1171&lt;&gt;"",IFERROR(INDEX(ISIN!$B:$B,MATCH($R1171,ISIN!$C:$C,0))),)</f>
        <v/>
      </c>
      <c r="R1171" s="38" t="str">
        <f t="array" ref="R1171">IF($E1171&lt;&gt;""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7" t="str">
        <f t="shared" si="1"/>
        <v/>
      </c>
      <c r="T1171" s="39" t="str">
        <f t="shared" si="2"/>
        <v/>
      </c>
      <c r="U1171" s="40" t="str">
        <f t="shared" si="3"/>
        <v/>
      </c>
      <c r="V1171" s="34" t="str">
        <f t="shared" si="4"/>
        <v/>
      </c>
      <c r="W1171" s="41" t="str">
        <f>IFERROR(__xludf.DUMMYFUNCTION(" IF(Account!$F1171&lt;&gt;"""", SPLIT(Account!$F1171, "" ""), """")"),"")</f>
        <v/>
      </c>
      <c r="X1171" s="42"/>
      <c r="Y1171" s="42"/>
      <c r="Z1171" s="42"/>
      <c r="AA1171" s="42"/>
      <c r="AB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</row>
    <row r="1172">
      <c r="A1172" s="47"/>
      <c r="B1172" s="48"/>
      <c r="C1172" s="47"/>
      <c r="F1172" s="49"/>
      <c r="G1172" s="45"/>
      <c r="L1172" s="49"/>
      <c r="M1172" s="33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4" t="str">
        <f>IFERROR(__xludf.DUMMYFUNCTION("IF(Account!$F1172&lt;&gt;"""", VALUE(REGEXREPLACE($I1172, ""\,"", ""."")), """")"),"")</f>
        <v/>
      </c>
      <c r="O1172" s="35" t="str">
        <f>IF(Account!$F1172&lt;&gt;"", DATEVALUE(MID($A1172,4,3) &amp; LEFT($A1172,3) &amp; RIGHT($A1172,4)) + TIMEVALUE($B1172), "")</f>
        <v/>
      </c>
      <c r="P1172" s="36" t="str">
        <f>IF(Account!$F1172&lt;&gt;"", DATEVALUE(MID($C1172,4,3) &amp; LEFT($C1172,3) &amp; RIGHT($C1172,4)), "")</f>
        <v/>
      </c>
      <c r="Q1172" s="37" t="str">
        <f t="array" ref="Q1172">IF($R1172&lt;&gt;"",IFERROR(INDEX(ISIN!$B:$B,MATCH($R1172,ISIN!$C:$C,0))),)</f>
        <v/>
      </c>
      <c r="R1172" s="38" t="str">
        <f t="array" ref="R1172">IF($E1172&lt;&gt;""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7" t="str">
        <f t="shared" si="1"/>
        <v/>
      </c>
      <c r="T1172" s="39" t="str">
        <f t="shared" si="2"/>
        <v/>
      </c>
      <c r="U1172" s="40" t="str">
        <f t="shared" si="3"/>
        <v/>
      </c>
      <c r="V1172" s="34" t="str">
        <f t="shared" si="4"/>
        <v/>
      </c>
      <c r="W1172" s="41" t="str">
        <f>IFERROR(__xludf.DUMMYFUNCTION(" IF(Account!$F1172&lt;&gt;"""", SPLIT(Account!$F1172, "" ""), """")"),"")</f>
        <v/>
      </c>
      <c r="X1172" s="42"/>
      <c r="Y1172" s="42"/>
      <c r="Z1172" s="42"/>
      <c r="AA1172" s="42"/>
      <c r="AB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</row>
    <row r="1173">
      <c r="A1173" s="47"/>
      <c r="B1173" s="48"/>
      <c r="C1173" s="47"/>
      <c r="F1173" s="49"/>
      <c r="G1173" s="45"/>
      <c r="L1173" s="49"/>
      <c r="M1173" s="33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4" t="str">
        <f>IFERROR(__xludf.DUMMYFUNCTION("IF(Account!$F1173&lt;&gt;"""", VALUE(REGEXREPLACE($I1173, ""\,"", ""."")), """")"),"")</f>
        <v/>
      </c>
      <c r="O1173" s="35" t="str">
        <f>IF(Account!$F1173&lt;&gt;"", DATEVALUE(MID($A1173,4,3) &amp; LEFT($A1173,3) &amp; RIGHT($A1173,4)) + TIMEVALUE($B1173), "")</f>
        <v/>
      </c>
      <c r="P1173" s="36" t="str">
        <f>IF(Account!$F1173&lt;&gt;"", DATEVALUE(MID($C1173,4,3) &amp; LEFT($C1173,3) &amp; RIGHT($C1173,4)), "")</f>
        <v/>
      </c>
      <c r="Q1173" s="37" t="str">
        <f t="array" ref="Q1173">IF($R1173&lt;&gt;"",IFERROR(INDEX(ISIN!$B:$B,MATCH($R1173,ISIN!$C:$C,0))),)</f>
        <v/>
      </c>
      <c r="R1173" s="38" t="str">
        <f t="array" ref="R1173">IF($E1173&lt;&gt;""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7" t="str">
        <f t="shared" si="1"/>
        <v/>
      </c>
      <c r="T1173" s="39" t="str">
        <f t="shared" si="2"/>
        <v/>
      </c>
      <c r="U1173" s="40" t="str">
        <f t="shared" si="3"/>
        <v/>
      </c>
      <c r="V1173" s="34" t="str">
        <f t="shared" si="4"/>
        <v/>
      </c>
      <c r="W1173" s="41" t="str">
        <f>IFERROR(__xludf.DUMMYFUNCTION(" IF(Account!$F1173&lt;&gt;"""", SPLIT(Account!$F1173, "" ""), """")"),"")</f>
        <v/>
      </c>
      <c r="X1173" s="42"/>
      <c r="Y1173" s="42"/>
      <c r="Z1173" s="42"/>
      <c r="AA1173" s="42"/>
      <c r="AB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</row>
    <row r="1174">
      <c r="A1174" s="47"/>
      <c r="B1174" s="48"/>
      <c r="C1174" s="47"/>
      <c r="F1174" s="49"/>
      <c r="G1174" s="50"/>
      <c r="L1174" s="49"/>
      <c r="M1174" s="33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4" t="str">
        <f>IFERROR(__xludf.DUMMYFUNCTION("IF(Account!$F1174&lt;&gt;"""", VALUE(REGEXREPLACE($I1174, ""\,"", ""."")), """")"),"")</f>
        <v/>
      </c>
      <c r="O1174" s="35" t="str">
        <f>IF(Account!$F1174&lt;&gt;"", DATEVALUE(MID($A1174,4,3) &amp; LEFT($A1174,3) &amp; RIGHT($A1174,4)) + TIMEVALUE($B1174), "")</f>
        <v/>
      </c>
      <c r="P1174" s="36" t="str">
        <f>IF(Account!$F1174&lt;&gt;"", DATEVALUE(MID($C1174,4,3) &amp; LEFT($C1174,3) &amp; RIGHT($C1174,4)), "")</f>
        <v/>
      </c>
      <c r="Q1174" s="37" t="str">
        <f t="array" ref="Q1174">IF($R1174&lt;&gt;"",IFERROR(INDEX(ISIN!$B:$B,MATCH($R1174,ISIN!$C:$C,0))),)</f>
        <v/>
      </c>
      <c r="R1174" s="38" t="str">
        <f t="array" ref="R1174">IF($E1174&lt;&gt;""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7" t="str">
        <f t="shared" si="1"/>
        <v/>
      </c>
      <c r="T1174" s="39" t="str">
        <f t="shared" si="2"/>
        <v/>
      </c>
      <c r="U1174" s="40" t="str">
        <f t="shared" si="3"/>
        <v/>
      </c>
      <c r="V1174" s="34" t="str">
        <f t="shared" si="4"/>
        <v/>
      </c>
      <c r="W1174" s="41" t="str">
        <f>IFERROR(__xludf.DUMMYFUNCTION(" IF(Account!$F1174&lt;&gt;"""", SPLIT(Account!$F1174, "" ""), """")"),"")</f>
        <v/>
      </c>
      <c r="X1174" s="42"/>
      <c r="Y1174" s="42"/>
      <c r="Z1174" s="42"/>
      <c r="AA1174" s="42"/>
      <c r="AB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</row>
    <row r="1175">
      <c r="A1175" s="47"/>
      <c r="B1175" s="48"/>
      <c r="C1175" s="47"/>
      <c r="F1175" s="49"/>
      <c r="G1175" s="45"/>
      <c r="L1175" s="49"/>
      <c r="M1175" s="33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4" t="str">
        <f>IFERROR(__xludf.DUMMYFUNCTION("IF(Account!$F1175&lt;&gt;"""", VALUE(REGEXREPLACE($I1175, ""\,"", ""."")), """")"),"")</f>
        <v/>
      </c>
      <c r="O1175" s="35" t="str">
        <f>IF(Account!$F1175&lt;&gt;"", DATEVALUE(MID($A1175,4,3) &amp; LEFT($A1175,3) &amp; RIGHT($A1175,4)) + TIMEVALUE($B1175), "")</f>
        <v/>
      </c>
      <c r="P1175" s="36" t="str">
        <f>IF(Account!$F1175&lt;&gt;"", DATEVALUE(MID($C1175,4,3) &amp; LEFT($C1175,3) &amp; RIGHT($C1175,4)), "")</f>
        <v/>
      </c>
      <c r="Q1175" s="37" t="str">
        <f t="array" ref="Q1175">IF($R1175&lt;&gt;"",IFERROR(INDEX(ISIN!$B:$B,MATCH($R1175,ISIN!$C:$C,0))),)</f>
        <v/>
      </c>
      <c r="R1175" s="38" t="str">
        <f t="array" ref="R1175">IF($E1175&lt;&gt;""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7" t="str">
        <f t="shared" si="1"/>
        <v/>
      </c>
      <c r="T1175" s="39" t="str">
        <f t="shared" si="2"/>
        <v/>
      </c>
      <c r="U1175" s="40" t="str">
        <f t="shared" si="3"/>
        <v/>
      </c>
      <c r="V1175" s="34" t="str">
        <f t="shared" si="4"/>
        <v/>
      </c>
      <c r="W1175" s="41" t="str">
        <f>IFERROR(__xludf.DUMMYFUNCTION(" IF(Account!$F1175&lt;&gt;"""", SPLIT(Account!$F1175, "" ""), """")"),"")</f>
        <v/>
      </c>
      <c r="X1175" s="42"/>
      <c r="Y1175" s="42"/>
      <c r="Z1175" s="42"/>
      <c r="AA1175" s="42"/>
      <c r="AB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</row>
    <row r="1176">
      <c r="A1176" s="47"/>
      <c r="B1176" s="48"/>
      <c r="C1176" s="47"/>
      <c r="F1176" s="49"/>
      <c r="G1176" s="50"/>
      <c r="L1176" s="49"/>
      <c r="M1176" s="33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4" t="str">
        <f>IFERROR(__xludf.DUMMYFUNCTION("IF(Account!$F1176&lt;&gt;"""", VALUE(REGEXREPLACE($I1176, ""\,"", ""."")), """")"),"")</f>
        <v/>
      </c>
      <c r="O1176" s="35" t="str">
        <f>IF(Account!$F1176&lt;&gt;"", DATEVALUE(MID($A1176,4,3) &amp; LEFT($A1176,3) &amp; RIGHT($A1176,4)) + TIMEVALUE($B1176), "")</f>
        <v/>
      </c>
      <c r="P1176" s="36" t="str">
        <f>IF(Account!$F1176&lt;&gt;"", DATEVALUE(MID($C1176,4,3) &amp; LEFT($C1176,3) &amp; RIGHT($C1176,4)), "")</f>
        <v/>
      </c>
      <c r="Q1176" s="37" t="str">
        <f t="array" ref="Q1176">IF($R1176&lt;&gt;"",IFERROR(INDEX(ISIN!$B:$B,MATCH($R1176,ISIN!$C:$C,0))),)</f>
        <v/>
      </c>
      <c r="R1176" s="38" t="str">
        <f t="array" ref="R1176">IF($E1176&lt;&gt;""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7" t="str">
        <f t="shared" si="1"/>
        <v/>
      </c>
      <c r="T1176" s="39" t="str">
        <f t="shared" si="2"/>
        <v/>
      </c>
      <c r="U1176" s="40" t="str">
        <f t="shared" si="3"/>
        <v/>
      </c>
      <c r="V1176" s="34" t="str">
        <f t="shared" si="4"/>
        <v/>
      </c>
      <c r="W1176" s="41" t="str">
        <f>IFERROR(__xludf.DUMMYFUNCTION(" IF(Account!$F1176&lt;&gt;"""", SPLIT(Account!$F1176, "" ""), """")"),"")</f>
        <v/>
      </c>
      <c r="X1176" s="42"/>
      <c r="Y1176" s="42"/>
      <c r="Z1176" s="42"/>
      <c r="AA1176" s="42"/>
      <c r="AB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</row>
    <row r="1177">
      <c r="A1177" s="47"/>
      <c r="B1177" s="48"/>
      <c r="C1177" s="47"/>
      <c r="F1177" s="49"/>
      <c r="G1177" s="45"/>
      <c r="L1177" s="49"/>
      <c r="M1177" s="33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4" t="str">
        <f>IFERROR(__xludf.DUMMYFUNCTION("IF(Account!$F1177&lt;&gt;"""", VALUE(REGEXREPLACE($I1177, ""\,"", ""."")), """")"),"")</f>
        <v/>
      </c>
      <c r="O1177" s="35" t="str">
        <f>IF(Account!$F1177&lt;&gt;"", DATEVALUE(MID($A1177,4,3) &amp; LEFT($A1177,3) &amp; RIGHT($A1177,4)) + TIMEVALUE($B1177), "")</f>
        <v/>
      </c>
      <c r="P1177" s="36" t="str">
        <f>IF(Account!$F1177&lt;&gt;"", DATEVALUE(MID($C1177,4,3) &amp; LEFT($C1177,3) &amp; RIGHT($C1177,4)), "")</f>
        <v/>
      </c>
      <c r="Q1177" s="37" t="str">
        <f t="array" ref="Q1177">IF($R1177&lt;&gt;"",IFERROR(INDEX(ISIN!$B:$B,MATCH($R1177,ISIN!$C:$C,0))),)</f>
        <v/>
      </c>
      <c r="R1177" s="38" t="str">
        <f t="array" ref="R1177">IF($E1177&lt;&gt;""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7" t="str">
        <f t="shared" si="1"/>
        <v/>
      </c>
      <c r="T1177" s="39" t="str">
        <f t="shared" si="2"/>
        <v/>
      </c>
      <c r="U1177" s="40" t="str">
        <f t="shared" si="3"/>
        <v/>
      </c>
      <c r="V1177" s="34" t="str">
        <f t="shared" si="4"/>
        <v/>
      </c>
      <c r="W1177" s="41" t="str">
        <f>IFERROR(__xludf.DUMMYFUNCTION(" IF(Account!$F1177&lt;&gt;"""", SPLIT(Account!$F1177, "" ""), """")"),"")</f>
        <v/>
      </c>
      <c r="X1177" s="42"/>
      <c r="Y1177" s="42"/>
      <c r="Z1177" s="42"/>
      <c r="AA1177" s="42"/>
      <c r="AB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</row>
    <row r="1178">
      <c r="A1178" s="47"/>
      <c r="B1178" s="48"/>
      <c r="C1178" s="47"/>
      <c r="F1178" s="49"/>
      <c r="G1178" s="50"/>
      <c r="L1178" s="49"/>
      <c r="M1178" s="33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4" t="str">
        <f>IFERROR(__xludf.DUMMYFUNCTION("IF(Account!$F1178&lt;&gt;"""", VALUE(REGEXREPLACE($I1178, ""\,"", ""."")), """")"),"")</f>
        <v/>
      </c>
      <c r="O1178" s="35" t="str">
        <f>IF(Account!$F1178&lt;&gt;"", DATEVALUE(MID($A1178,4,3) &amp; LEFT($A1178,3) &amp; RIGHT($A1178,4)) + TIMEVALUE($B1178), "")</f>
        <v/>
      </c>
      <c r="P1178" s="36" t="str">
        <f>IF(Account!$F1178&lt;&gt;"", DATEVALUE(MID($C1178,4,3) &amp; LEFT($C1178,3) &amp; RIGHT($C1178,4)), "")</f>
        <v/>
      </c>
      <c r="Q1178" s="37" t="str">
        <f t="array" ref="Q1178">IF($R1178&lt;&gt;"",IFERROR(INDEX(ISIN!$B:$B,MATCH($R1178,ISIN!$C:$C,0))),)</f>
        <v/>
      </c>
      <c r="R1178" s="38" t="str">
        <f t="array" ref="R1178">IF($E1178&lt;&gt;""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7" t="str">
        <f t="shared" si="1"/>
        <v/>
      </c>
      <c r="T1178" s="39" t="str">
        <f t="shared" si="2"/>
        <v/>
      </c>
      <c r="U1178" s="40" t="str">
        <f t="shared" si="3"/>
        <v/>
      </c>
      <c r="V1178" s="34" t="str">
        <f t="shared" si="4"/>
        <v/>
      </c>
      <c r="W1178" s="41" t="str">
        <f>IFERROR(__xludf.DUMMYFUNCTION(" IF(Account!$F1178&lt;&gt;"""", SPLIT(Account!$F1178, "" ""), """")"),"")</f>
        <v/>
      </c>
      <c r="X1178" s="42"/>
      <c r="Y1178" s="42"/>
      <c r="Z1178" s="42"/>
      <c r="AA1178" s="42"/>
      <c r="AB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</row>
    <row r="1179">
      <c r="A1179" s="47"/>
      <c r="B1179" s="48"/>
      <c r="C1179" s="47"/>
      <c r="F1179" s="49"/>
      <c r="G1179" s="45"/>
      <c r="L1179" s="49"/>
      <c r="M1179" s="33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4" t="str">
        <f>IFERROR(__xludf.DUMMYFUNCTION("IF(Account!$F1179&lt;&gt;"""", VALUE(REGEXREPLACE($I1179, ""\,"", ""."")), """")"),"")</f>
        <v/>
      </c>
      <c r="O1179" s="35" t="str">
        <f>IF(Account!$F1179&lt;&gt;"", DATEVALUE(MID($A1179,4,3) &amp; LEFT($A1179,3) &amp; RIGHT($A1179,4)) + TIMEVALUE($B1179), "")</f>
        <v/>
      </c>
      <c r="P1179" s="36" t="str">
        <f>IF(Account!$F1179&lt;&gt;"", DATEVALUE(MID($C1179,4,3) &amp; LEFT($C1179,3) &amp; RIGHT($C1179,4)), "")</f>
        <v/>
      </c>
      <c r="Q1179" s="37" t="str">
        <f t="array" ref="Q1179">IF($R1179&lt;&gt;"",IFERROR(INDEX(ISIN!$B:$B,MATCH($R1179,ISIN!$C:$C,0))),)</f>
        <v/>
      </c>
      <c r="R1179" s="38" t="str">
        <f t="array" ref="R1179">IF($E1179&lt;&gt;""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7" t="str">
        <f t="shared" si="1"/>
        <v/>
      </c>
      <c r="T1179" s="39" t="str">
        <f t="shared" si="2"/>
        <v/>
      </c>
      <c r="U1179" s="40" t="str">
        <f t="shared" si="3"/>
        <v/>
      </c>
      <c r="V1179" s="34" t="str">
        <f t="shared" si="4"/>
        <v/>
      </c>
      <c r="W1179" s="41" t="str">
        <f>IFERROR(__xludf.DUMMYFUNCTION(" IF(Account!$F1179&lt;&gt;"""", SPLIT(Account!$F1179, "" ""), """")"),"")</f>
        <v/>
      </c>
      <c r="X1179" s="42"/>
      <c r="Y1179" s="42"/>
      <c r="Z1179" s="42"/>
      <c r="AA1179" s="42"/>
      <c r="AB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</row>
    <row r="1180">
      <c r="A1180" s="47"/>
      <c r="B1180" s="48"/>
      <c r="C1180" s="47"/>
      <c r="F1180" s="49"/>
      <c r="G1180" s="50"/>
      <c r="L1180" s="49"/>
      <c r="M1180" s="33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4" t="str">
        <f>IFERROR(__xludf.DUMMYFUNCTION("IF(Account!$F1180&lt;&gt;"""", VALUE(REGEXREPLACE($I1180, ""\,"", ""."")), """")"),"")</f>
        <v/>
      </c>
      <c r="O1180" s="35" t="str">
        <f>IF(Account!$F1180&lt;&gt;"", DATEVALUE(MID($A1180,4,3) &amp; LEFT($A1180,3) &amp; RIGHT($A1180,4)) + TIMEVALUE($B1180), "")</f>
        <v/>
      </c>
      <c r="P1180" s="36" t="str">
        <f>IF(Account!$F1180&lt;&gt;"", DATEVALUE(MID($C1180,4,3) &amp; LEFT($C1180,3) &amp; RIGHT($C1180,4)), "")</f>
        <v/>
      </c>
      <c r="Q1180" s="37" t="str">
        <f t="array" ref="Q1180">IF($R1180&lt;&gt;"",IFERROR(INDEX(ISIN!$B:$B,MATCH($R1180,ISIN!$C:$C,0))),)</f>
        <v/>
      </c>
      <c r="R1180" s="38" t="str">
        <f t="array" ref="R1180">IF($E1180&lt;&gt;""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7" t="str">
        <f t="shared" si="1"/>
        <v/>
      </c>
      <c r="T1180" s="39" t="str">
        <f t="shared" si="2"/>
        <v/>
      </c>
      <c r="U1180" s="40" t="str">
        <f t="shared" si="3"/>
        <v/>
      </c>
      <c r="V1180" s="34" t="str">
        <f t="shared" si="4"/>
        <v/>
      </c>
      <c r="W1180" s="41" t="str">
        <f>IFERROR(__xludf.DUMMYFUNCTION(" IF(Account!$F1180&lt;&gt;"""", SPLIT(Account!$F1180, "" ""), """")"),"")</f>
        <v/>
      </c>
      <c r="X1180" s="42"/>
      <c r="Y1180" s="42"/>
      <c r="Z1180" s="42"/>
      <c r="AA1180" s="42"/>
      <c r="AB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</row>
    <row r="1181">
      <c r="A1181" s="47"/>
      <c r="B1181" s="48"/>
      <c r="C1181" s="47"/>
      <c r="F1181" s="49"/>
      <c r="G1181" s="45"/>
      <c r="L1181" s="49"/>
      <c r="M1181" s="33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4" t="str">
        <f>IFERROR(__xludf.DUMMYFUNCTION("IF(Account!$F1181&lt;&gt;"""", VALUE(REGEXREPLACE($I1181, ""\,"", ""."")), """")"),"")</f>
        <v/>
      </c>
      <c r="O1181" s="35" t="str">
        <f>IF(Account!$F1181&lt;&gt;"", DATEVALUE(MID($A1181,4,3) &amp; LEFT($A1181,3) &amp; RIGHT($A1181,4)) + TIMEVALUE($B1181), "")</f>
        <v/>
      </c>
      <c r="P1181" s="36" t="str">
        <f>IF(Account!$F1181&lt;&gt;"", DATEVALUE(MID($C1181,4,3) &amp; LEFT($C1181,3) &amp; RIGHT($C1181,4)), "")</f>
        <v/>
      </c>
      <c r="Q1181" s="37" t="str">
        <f t="array" ref="Q1181">IF($R1181&lt;&gt;"",IFERROR(INDEX(ISIN!$B:$B,MATCH($R1181,ISIN!$C:$C,0))),)</f>
        <v/>
      </c>
      <c r="R1181" s="38" t="str">
        <f t="array" ref="R1181">IF($E1181&lt;&gt;""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7" t="str">
        <f t="shared" si="1"/>
        <v/>
      </c>
      <c r="T1181" s="39" t="str">
        <f t="shared" si="2"/>
        <v/>
      </c>
      <c r="U1181" s="40" t="str">
        <f t="shared" si="3"/>
        <v/>
      </c>
      <c r="V1181" s="34" t="str">
        <f t="shared" si="4"/>
        <v/>
      </c>
      <c r="W1181" s="41" t="str">
        <f>IFERROR(__xludf.DUMMYFUNCTION(" IF(Account!$F1181&lt;&gt;"""", SPLIT(Account!$F1181, "" ""), """")"),"")</f>
        <v/>
      </c>
      <c r="X1181" s="42"/>
      <c r="Y1181" s="42"/>
      <c r="Z1181" s="42"/>
      <c r="AA1181" s="42"/>
      <c r="AB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</row>
    <row r="1182">
      <c r="A1182" s="47"/>
      <c r="B1182" s="48"/>
      <c r="C1182" s="47"/>
      <c r="F1182" s="49"/>
      <c r="G1182" s="50"/>
      <c r="L1182" s="49"/>
      <c r="M1182" s="33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4" t="str">
        <f>IFERROR(__xludf.DUMMYFUNCTION("IF(Account!$F1182&lt;&gt;"""", VALUE(REGEXREPLACE($I1182, ""\,"", ""."")), """")"),"")</f>
        <v/>
      </c>
      <c r="O1182" s="35" t="str">
        <f>IF(Account!$F1182&lt;&gt;"", DATEVALUE(MID($A1182,4,3) &amp; LEFT($A1182,3) &amp; RIGHT($A1182,4)) + TIMEVALUE($B1182), "")</f>
        <v/>
      </c>
      <c r="P1182" s="36" t="str">
        <f>IF(Account!$F1182&lt;&gt;"", DATEVALUE(MID($C1182,4,3) &amp; LEFT($C1182,3) &amp; RIGHT($C1182,4)), "")</f>
        <v/>
      </c>
      <c r="Q1182" s="37" t="str">
        <f t="array" ref="Q1182">IF($R1182&lt;&gt;"",IFERROR(INDEX(ISIN!$B:$B,MATCH($R1182,ISIN!$C:$C,0))),)</f>
        <v/>
      </c>
      <c r="R1182" s="38" t="str">
        <f t="array" ref="R1182">IF($E1182&lt;&gt;""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7" t="str">
        <f t="shared" si="1"/>
        <v/>
      </c>
      <c r="T1182" s="39" t="str">
        <f t="shared" si="2"/>
        <v/>
      </c>
      <c r="U1182" s="40" t="str">
        <f t="shared" si="3"/>
        <v/>
      </c>
      <c r="V1182" s="34" t="str">
        <f t="shared" si="4"/>
        <v/>
      </c>
      <c r="W1182" s="41" t="str">
        <f>IFERROR(__xludf.DUMMYFUNCTION(" IF(Account!$F1182&lt;&gt;"""", SPLIT(Account!$F1182, "" ""), """")"),"")</f>
        <v/>
      </c>
      <c r="X1182" s="42"/>
      <c r="Y1182" s="42"/>
      <c r="Z1182" s="42"/>
      <c r="AA1182" s="42"/>
      <c r="AB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</row>
    <row r="1183">
      <c r="A1183" s="47"/>
      <c r="B1183" s="48"/>
      <c r="C1183" s="47"/>
      <c r="F1183" s="49"/>
      <c r="G1183" s="45"/>
      <c r="L1183" s="49"/>
      <c r="M1183" s="33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4" t="str">
        <f>IFERROR(__xludf.DUMMYFUNCTION("IF(Account!$F1183&lt;&gt;"""", VALUE(REGEXREPLACE($I1183, ""\,"", ""."")), """")"),"")</f>
        <v/>
      </c>
      <c r="O1183" s="35" t="str">
        <f>IF(Account!$F1183&lt;&gt;"", DATEVALUE(MID($A1183,4,3) &amp; LEFT($A1183,3) &amp; RIGHT($A1183,4)) + TIMEVALUE($B1183), "")</f>
        <v/>
      </c>
      <c r="P1183" s="36" t="str">
        <f>IF(Account!$F1183&lt;&gt;"", DATEVALUE(MID($C1183,4,3) &amp; LEFT($C1183,3) &amp; RIGHT($C1183,4)), "")</f>
        <v/>
      </c>
      <c r="Q1183" s="37" t="str">
        <f t="array" ref="Q1183">IF($R1183&lt;&gt;"",IFERROR(INDEX(ISIN!$B:$B,MATCH($R1183,ISIN!$C:$C,0))),)</f>
        <v/>
      </c>
      <c r="R1183" s="38" t="str">
        <f t="array" ref="R1183">IF($E1183&lt;&gt;""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7" t="str">
        <f t="shared" si="1"/>
        <v/>
      </c>
      <c r="T1183" s="39" t="str">
        <f t="shared" si="2"/>
        <v/>
      </c>
      <c r="U1183" s="40" t="str">
        <f t="shared" si="3"/>
        <v/>
      </c>
      <c r="V1183" s="34" t="str">
        <f t="shared" si="4"/>
        <v/>
      </c>
      <c r="W1183" s="41" t="str">
        <f>IFERROR(__xludf.DUMMYFUNCTION(" IF(Account!$F1183&lt;&gt;"""", SPLIT(Account!$F1183, "" ""), """")"),"")</f>
        <v/>
      </c>
      <c r="X1183" s="42"/>
      <c r="Y1183" s="42"/>
      <c r="Z1183" s="42"/>
      <c r="AA1183" s="42"/>
      <c r="AB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</row>
    <row r="1184">
      <c r="A1184" s="45"/>
      <c r="B1184" s="45"/>
      <c r="C1184" s="45"/>
      <c r="D1184" s="45"/>
      <c r="E1184" s="45"/>
      <c r="F1184" s="46"/>
      <c r="G1184" s="45"/>
      <c r="H1184" s="45"/>
      <c r="I1184" s="45"/>
      <c r="J1184" s="45"/>
      <c r="K1184" s="45"/>
      <c r="L1184" s="49"/>
      <c r="M1184" s="33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4" t="str">
        <f>IFERROR(__xludf.DUMMYFUNCTION("IF(Account!$F1184&lt;&gt;"""", VALUE(REGEXREPLACE($I1184, ""\,"", ""."")), """")"),"")</f>
        <v/>
      </c>
      <c r="O1184" s="35" t="str">
        <f>IF(Account!$F1184&lt;&gt;"", DATEVALUE(MID($A1184,4,3) &amp; LEFT($A1184,3) &amp; RIGHT($A1184,4)) + TIMEVALUE($B1184), "")</f>
        <v/>
      </c>
      <c r="P1184" s="36" t="str">
        <f>IF(Account!$F1184&lt;&gt;"", DATEVALUE(MID($C1184,4,3) &amp; LEFT($C1184,3) &amp; RIGHT($C1184,4)), "")</f>
        <v/>
      </c>
      <c r="Q1184" s="37" t="str">
        <f t="array" ref="Q1184">IF($R1184&lt;&gt;"",IFERROR(INDEX(ISIN!$B:$B,MATCH($R1184,ISIN!$C:$C,0))),)</f>
        <v/>
      </c>
      <c r="R1184" s="38" t="str">
        <f t="array" ref="R1184">IF($E1184&lt;&gt;""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7" t="str">
        <f t="shared" si="1"/>
        <v/>
      </c>
      <c r="T1184" s="39" t="str">
        <f t="shared" si="2"/>
        <v/>
      </c>
      <c r="U1184" s="40" t="str">
        <f t="shared" si="3"/>
        <v/>
      </c>
      <c r="V1184" s="34" t="str">
        <f t="shared" si="4"/>
        <v/>
      </c>
      <c r="W1184" s="41" t="str">
        <f>IFERROR(__xludf.DUMMYFUNCTION(" IF(Account!$F1184&lt;&gt;"""", SPLIT(Account!$F1184, "" ""), """")"),"")</f>
        <v/>
      </c>
      <c r="X1184" s="42"/>
      <c r="Y1184" s="42"/>
      <c r="Z1184" s="42"/>
      <c r="AA1184" s="42"/>
      <c r="AB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</row>
    <row r="1185">
      <c r="A1185" s="47"/>
      <c r="B1185" s="48"/>
      <c r="C1185" s="47"/>
      <c r="F1185" s="49"/>
      <c r="G1185" s="50"/>
      <c r="L1185" s="49"/>
      <c r="M1185" s="33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4" t="str">
        <f>IFERROR(__xludf.DUMMYFUNCTION("IF(Account!$F1185&lt;&gt;"""", VALUE(REGEXREPLACE($I1185, ""\,"", ""."")), """")"),"")</f>
        <v/>
      </c>
      <c r="O1185" s="35" t="str">
        <f>IF(Account!$F1185&lt;&gt;"", DATEVALUE(MID($A1185,4,3) &amp; LEFT($A1185,3) &amp; RIGHT($A1185,4)) + TIMEVALUE($B1185), "")</f>
        <v/>
      </c>
      <c r="P1185" s="36" t="str">
        <f>IF(Account!$F1185&lt;&gt;"", DATEVALUE(MID($C1185,4,3) &amp; LEFT($C1185,3) &amp; RIGHT($C1185,4)), "")</f>
        <v/>
      </c>
      <c r="Q1185" s="37" t="str">
        <f t="array" ref="Q1185">IF($R1185&lt;&gt;"",IFERROR(INDEX(ISIN!$B:$B,MATCH($R1185,ISIN!$C:$C,0))),)</f>
        <v/>
      </c>
      <c r="R1185" s="38" t="str">
        <f t="array" ref="R1185">IF($E1185&lt;&gt;""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7" t="str">
        <f t="shared" si="1"/>
        <v/>
      </c>
      <c r="T1185" s="39" t="str">
        <f t="shared" si="2"/>
        <v/>
      </c>
      <c r="U1185" s="40" t="str">
        <f t="shared" si="3"/>
        <v/>
      </c>
      <c r="V1185" s="34" t="str">
        <f t="shared" si="4"/>
        <v/>
      </c>
      <c r="W1185" s="41" t="str">
        <f>IFERROR(__xludf.DUMMYFUNCTION(" IF(Account!$F1185&lt;&gt;"""", SPLIT(Account!$F1185, "" ""), """")"),"")</f>
        <v/>
      </c>
      <c r="X1185" s="42"/>
      <c r="Y1185" s="42"/>
      <c r="Z1185" s="42"/>
      <c r="AA1185" s="42"/>
      <c r="AB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</row>
    <row r="1186">
      <c r="A1186" s="47"/>
      <c r="B1186" s="48"/>
      <c r="C1186" s="47"/>
      <c r="F1186" s="49"/>
      <c r="G1186" s="45"/>
      <c r="L1186" s="49"/>
      <c r="M1186" s="33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4" t="str">
        <f>IFERROR(__xludf.DUMMYFUNCTION("IF(Account!$F1186&lt;&gt;"""", VALUE(REGEXREPLACE($I1186, ""\,"", ""."")), """")"),"")</f>
        <v/>
      </c>
      <c r="O1186" s="35" t="str">
        <f>IF(Account!$F1186&lt;&gt;"", DATEVALUE(MID($A1186,4,3) &amp; LEFT($A1186,3) &amp; RIGHT($A1186,4)) + TIMEVALUE($B1186), "")</f>
        <v/>
      </c>
      <c r="P1186" s="36" t="str">
        <f>IF(Account!$F1186&lt;&gt;"", DATEVALUE(MID($C1186,4,3) &amp; LEFT($C1186,3) &amp; RIGHT($C1186,4)), "")</f>
        <v/>
      </c>
      <c r="Q1186" s="37" t="str">
        <f t="array" ref="Q1186">IF($R1186&lt;&gt;"",IFERROR(INDEX(ISIN!$B:$B,MATCH($R1186,ISIN!$C:$C,0))),)</f>
        <v/>
      </c>
      <c r="R1186" s="38" t="str">
        <f t="array" ref="R1186">IF($E1186&lt;&gt;""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7" t="str">
        <f t="shared" si="1"/>
        <v/>
      </c>
      <c r="T1186" s="39" t="str">
        <f t="shared" si="2"/>
        <v/>
      </c>
      <c r="U1186" s="40" t="str">
        <f t="shared" si="3"/>
        <v/>
      </c>
      <c r="V1186" s="34" t="str">
        <f t="shared" si="4"/>
        <v/>
      </c>
      <c r="W1186" s="41" t="str">
        <f>IFERROR(__xludf.DUMMYFUNCTION(" IF(Account!$F1186&lt;&gt;"""", SPLIT(Account!$F1186, "" ""), """")"),"")</f>
        <v/>
      </c>
      <c r="X1186" s="42"/>
      <c r="Y1186" s="42"/>
      <c r="Z1186" s="42"/>
      <c r="AA1186" s="42"/>
      <c r="AB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</row>
    <row r="1187">
      <c r="A1187" s="47"/>
      <c r="B1187" s="48"/>
      <c r="C1187" s="47"/>
      <c r="F1187" s="49"/>
      <c r="G1187" s="45"/>
      <c r="L1187" s="49"/>
      <c r="M1187" s="33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4" t="str">
        <f>IFERROR(__xludf.DUMMYFUNCTION("IF(Account!$F1187&lt;&gt;"""", VALUE(REGEXREPLACE($I1187, ""\,"", ""."")), """")"),"")</f>
        <v/>
      </c>
      <c r="O1187" s="35" t="str">
        <f>IF(Account!$F1187&lt;&gt;"", DATEVALUE(MID($A1187,4,3) &amp; LEFT($A1187,3) &amp; RIGHT($A1187,4)) + TIMEVALUE($B1187), "")</f>
        <v/>
      </c>
      <c r="P1187" s="36" t="str">
        <f>IF(Account!$F1187&lt;&gt;"", DATEVALUE(MID($C1187,4,3) &amp; LEFT($C1187,3) &amp; RIGHT($C1187,4)), "")</f>
        <v/>
      </c>
      <c r="Q1187" s="37" t="str">
        <f t="array" ref="Q1187">IF($R1187&lt;&gt;"",IFERROR(INDEX(ISIN!$B:$B,MATCH($R1187,ISIN!$C:$C,0))),)</f>
        <v/>
      </c>
      <c r="R1187" s="38" t="str">
        <f t="array" ref="R1187">IF($E1187&lt;&gt;""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7" t="str">
        <f t="shared" si="1"/>
        <v/>
      </c>
      <c r="T1187" s="39" t="str">
        <f t="shared" si="2"/>
        <v/>
      </c>
      <c r="U1187" s="40" t="str">
        <f t="shared" si="3"/>
        <v/>
      </c>
      <c r="V1187" s="34" t="str">
        <f t="shared" si="4"/>
        <v/>
      </c>
      <c r="W1187" s="41" t="str">
        <f>IFERROR(__xludf.DUMMYFUNCTION(" IF(Account!$F1187&lt;&gt;"""", SPLIT(Account!$F1187, "" ""), """")"),"")</f>
        <v/>
      </c>
      <c r="X1187" s="42"/>
      <c r="Y1187" s="42"/>
      <c r="Z1187" s="42"/>
      <c r="AA1187" s="42"/>
      <c r="AB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</row>
    <row r="1188">
      <c r="A1188" s="47"/>
      <c r="B1188" s="48"/>
      <c r="C1188" s="47"/>
      <c r="F1188" s="49"/>
      <c r="G1188" s="45"/>
      <c r="L1188" s="49"/>
      <c r="M1188" s="33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4" t="str">
        <f>IFERROR(__xludf.DUMMYFUNCTION("IF(Account!$F1188&lt;&gt;"""", VALUE(REGEXREPLACE($I1188, ""\,"", ""."")), """")"),"")</f>
        <v/>
      </c>
      <c r="O1188" s="35" t="str">
        <f>IF(Account!$F1188&lt;&gt;"", DATEVALUE(MID($A1188,4,3) &amp; LEFT($A1188,3) &amp; RIGHT($A1188,4)) + TIMEVALUE($B1188), "")</f>
        <v/>
      </c>
      <c r="P1188" s="36" t="str">
        <f>IF(Account!$F1188&lt;&gt;"", DATEVALUE(MID($C1188,4,3) &amp; LEFT($C1188,3) &amp; RIGHT($C1188,4)), "")</f>
        <v/>
      </c>
      <c r="Q1188" s="37" t="str">
        <f t="array" ref="Q1188">IF($R1188&lt;&gt;"",IFERROR(INDEX(ISIN!$B:$B,MATCH($R1188,ISIN!$C:$C,0))),)</f>
        <v/>
      </c>
      <c r="R1188" s="38" t="str">
        <f t="array" ref="R1188">IF($E1188&lt;&gt;""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7" t="str">
        <f t="shared" si="1"/>
        <v/>
      </c>
      <c r="T1188" s="39" t="str">
        <f t="shared" si="2"/>
        <v/>
      </c>
      <c r="U1188" s="40" t="str">
        <f t="shared" si="3"/>
        <v/>
      </c>
      <c r="V1188" s="34" t="str">
        <f t="shared" si="4"/>
        <v/>
      </c>
      <c r="W1188" s="41" t="str">
        <f>IFERROR(__xludf.DUMMYFUNCTION(" IF(Account!$F1188&lt;&gt;"""", SPLIT(Account!$F1188, "" ""), """")"),"")</f>
        <v/>
      </c>
      <c r="X1188" s="42"/>
      <c r="Y1188" s="42"/>
      <c r="Z1188" s="42"/>
      <c r="AA1188" s="42"/>
      <c r="AB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</row>
    <row r="1189">
      <c r="A1189" s="47"/>
      <c r="B1189" s="48"/>
      <c r="C1189" s="47"/>
      <c r="F1189" s="49"/>
      <c r="G1189" s="45"/>
      <c r="L1189" s="49"/>
      <c r="M1189" s="33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4" t="str">
        <f>IFERROR(__xludf.DUMMYFUNCTION("IF(Account!$F1189&lt;&gt;"""", VALUE(REGEXREPLACE($I1189, ""\,"", ""."")), """")"),"")</f>
        <v/>
      </c>
      <c r="O1189" s="35" t="str">
        <f>IF(Account!$F1189&lt;&gt;"", DATEVALUE(MID($A1189,4,3) &amp; LEFT($A1189,3) &amp; RIGHT($A1189,4)) + TIMEVALUE($B1189), "")</f>
        <v/>
      </c>
      <c r="P1189" s="36" t="str">
        <f>IF(Account!$F1189&lt;&gt;"", DATEVALUE(MID($C1189,4,3) &amp; LEFT($C1189,3) &amp; RIGHT($C1189,4)), "")</f>
        <v/>
      </c>
      <c r="Q1189" s="37" t="str">
        <f t="array" ref="Q1189">IF($R1189&lt;&gt;"",IFERROR(INDEX(ISIN!$B:$B,MATCH($R1189,ISIN!$C:$C,0))),)</f>
        <v/>
      </c>
      <c r="R1189" s="38" t="str">
        <f t="array" ref="R1189">IF($E1189&lt;&gt;""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7" t="str">
        <f t="shared" si="1"/>
        <v/>
      </c>
      <c r="T1189" s="39" t="str">
        <f t="shared" si="2"/>
        <v/>
      </c>
      <c r="U1189" s="40" t="str">
        <f t="shared" si="3"/>
        <v/>
      </c>
      <c r="V1189" s="34" t="str">
        <f t="shared" si="4"/>
        <v/>
      </c>
      <c r="W1189" s="41" t="str">
        <f>IFERROR(__xludf.DUMMYFUNCTION(" IF(Account!$F1189&lt;&gt;"""", SPLIT(Account!$F1189, "" ""), """")"),"")</f>
        <v/>
      </c>
      <c r="X1189" s="42"/>
      <c r="Y1189" s="42"/>
      <c r="Z1189" s="42"/>
      <c r="AA1189" s="42"/>
      <c r="AB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</row>
    <row r="1190">
      <c r="A1190" s="47"/>
      <c r="B1190" s="48"/>
      <c r="C1190" s="47"/>
      <c r="F1190" s="49"/>
      <c r="G1190" s="45"/>
      <c r="L1190" s="49"/>
      <c r="M1190" s="33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4" t="str">
        <f>IFERROR(__xludf.DUMMYFUNCTION("IF(Account!$F1190&lt;&gt;"""", VALUE(REGEXREPLACE($I1190, ""\,"", ""."")), """")"),"")</f>
        <v/>
      </c>
      <c r="O1190" s="35" t="str">
        <f>IF(Account!$F1190&lt;&gt;"", DATEVALUE(MID($A1190,4,3) &amp; LEFT($A1190,3) &amp; RIGHT($A1190,4)) + TIMEVALUE($B1190), "")</f>
        <v/>
      </c>
      <c r="P1190" s="36" t="str">
        <f>IF(Account!$F1190&lt;&gt;"", DATEVALUE(MID($C1190,4,3) &amp; LEFT($C1190,3) &amp; RIGHT($C1190,4)), "")</f>
        <v/>
      </c>
      <c r="Q1190" s="37" t="str">
        <f t="array" ref="Q1190">IF($R1190&lt;&gt;"",IFERROR(INDEX(ISIN!$B:$B,MATCH($R1190,ISIN!$C:$C,0))),)</f>
        <v/>
      </c>
      <c r="R1190" s="38" t="str">
        <f t="array" ref="R1190">IF($E1190&lt;&gt;""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7" t="str">
        <f t="shared" si="1"/>
        <v/>
      </c>
      <c r="T1190" s="39" t="str">
        <f t="shared" si="2"/>
        <v/>
      </c>
      <c r="U1190" s="40" t="str">
        <f t="shared" si="3"/>
        <v/>
      </c>
      <c r="V1190" s="34" t="str">
        <f t="shared" si="4"/>
        <v/>
      </c>
      <c r="W1190" s="41" t="str">
        <f>IFERROR(__xludf.DUMMYFUNCTION(" IF(Account!$F1190&lt;&gt;"""", SPLIT(Account!$F1190, "" ""), """")"),"")</f>
        <v/>
      </c>
      <c r="X1190" s="42"/>
      <c r="Y1190" s="42"/>
      <c r="Z1190" s="42"/>
      <c r="AA1190" s="42"/>
      <c r="AB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</row>
    <row r="1191">
      <c r="A1191" s="47"/>
      <c r="B1191" s="48"/>
      <c r="C1191" s="47"/>
      <c r="F1191" s="49"/>
      <c r="G1191" s="45"/>
      <c r="L1191" s="49"/>
      <c r="M1191" s="33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4" t="str">
        <f>IFERROR(__xludf.DUMMYFUNCTION("IF(Account!$F1191&lt;&gt;"""", VALUE(REGEXREPLACE($I1191, ""\,"", ""."")), """")"),"")</f>
        <v/>
      </c>
      <c r="O1191" s="35" t="str">
        <f>IF(Account!$F1191&lt;&gt;"", DATEVALUE(MID($A1191,4,3) &amp; LEFT($A1191,3) &amp; RIGHT($A1191,4)) + TIMEVALUE($B1191), "")</f>
        <v/>
      </c>
      <c r="P1191" s="36" t="str">
        <f>IF(Account!$F1191&lt;&gt;"", DATEVALUE(MID($C1191,4,3) &amp; LEFT($C1191,3) &amp; RIGHT($C1191,4)), "")</f>
        <v/>
      </c>
      <c r="Q1191" s="37" t="str">
        <f t="array" ref="Q1191">IF($R1191&lt;&gt;"",IFERROR(INDEX(ISIN!$B:$B,MATCH($R1191,ISIN!$C:$C,0))),)</f>
        <v/>
      </c>
      <c r="R1191" s="38" t="str">
        <f t="array" ref="R1191">IF($E1191&lt;&gt;""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7" t="str">
        <f t="shared" si="1"/>
        <v/>
      </c>
      <c r="T1191" s="39" t="str">
        <f t="shared" si="2"/>
        <v/>
      </c>
      <c r="U1191" s="40" t="str">
        <f t="shared" si="3"/>
        <v/>
      </c>
      <c r="V1191" s="34" t="str">
        <f t="shared" si="4"/>
        <v/>
      </c>
      <c r="W1191" s="41" t="str">
        <f>IFERROR(__xludf.DUMMYFUNCTION(" IF(Account!$F1191&lt;&gt;"""", SPLIT(Account!$F1191, "" ""), """")"),"")</f>
        <v/>
      </c>
      <c r="X1191" s="42"/>
      <c r="Y1191" s="42"/>
      <c r="Z1191" s="42"/>
      <c r="AA1191" s="42"/>
      <c r="AB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</row>
    <row r="1192">
      <c r="A1192" s="47"/>
      <c r="B1192" s="48"/>
      <c r="C1192" s="47"/>
      <c r="F1192" s="49"/>
      <c r="G1192" s="45"/>
      <c r="L1192" s="49"/>
      <c r="M1192" s="33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4" t="str">
        <f>IFERROR(__xludf.DUMMYFUNCTION("IF(Account!$F1192&lt;&gt;"""", VALUE(REGEXREPLACE($I1192, ""\,"", ""."")), """")"),"")</f>
        <v/>
      </c>
      <c r="O1192" s="35" t="str">
        <f>IF(Account!$F1192&lt;&gt;"", DATEVALUE(MID($A1192,4,3) &amp; LEFT($A1192,3) &amp; RIGHT($A1192,4)) + TIMEVALUE($B1192), "")</f>
        <v/>
      </c>
      <c r="P1192" s="36" t="str">
        <f>IF(Account!$F1192&lt;&gt;"", DATEVALUE(MID($C1192,4,3) &amp; LEFT($C1192,3) &amp; RIGHT($C1192,4)), "")</f>
        <v/>
      </c>
      <c r="Q1192" s="37" t="str">
        <f t="array" ref="Q1192">IF($R1192&lt;&gt;"",IFERROR(INDEX(ISIN!$B:$B,MATCH($R1192,ISIN!$C:$C,0))),)</f>
        <v/>
      </c>
      <c r="R1192" s="38" t="str">
        <f t="array" ref="R1192">IF($E1192&lt;&gt;""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7" t="str">
        <f t="shared" si="1"/>
        <v/>
      </c>
      <c r="T1192" s="39" t="str">
        <f t="shared" si="2"/>
        <v/>
      </c>
      <c r="U1192" s="40" t="str">
        <f t="shared" si="3"/>
        <v/>
      </c>
      <c r="V1192" s="34" t="str">
        <f t="shared" si="4"/>
        <v/>
      </c>
      <c r="W1192" s="41" t="str">
        <f>IFERROR(__xludf.DUMMYFUNCTION(" IF(Account!$F1192&lt;&gt;"""", SPLIT(Account!$F1192, "" ""), """")"),"")</f>
        <v/>
      </c>
      <c r="X1192" s="42"/>
      <c r="Y1192" s="42"/>
      <c r="Z1192" s="42"/>
      <c r="AA1192" s="42"/>
      <c r="AB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</row>
    <row r="1193">
      <c r="A1193" s="47"/>
      <c r="B1193" s="48"/>
      <c r="C1193" s="47"/>
      <c r="F1193" s="49"/>
      <c r="G1193" s="50"/>
      <c r="L1193" s="49"/>
      <c r="M1193" s="33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4" t="str">
        <f>IFERROR(__xludf.DUMMYFUNCTION("IF(Account!$F1193&lt;&gt;"""", VALUE(REGEXREPLACE($I1193, ""\,"", ""."")), """")"),"")</f>
        <v/>
      </c>
      <c r="O1193" s="35" t="str">
        <f>IF(Account!$F1193&lt;&gt;"", DATEVALUE(MID($A1193,4,3) &amp; LEFT($A1193,3) &amp; RIGHT($A1193,4)) + TIMEVALUE($B1193), "")</f>
        <v/>
      </c>
      <c r="P1193" s="36" t="str">
        <f>IF(Account!$F1193&lt;&gt;"", DATEVALUE(MID($C1193,4,3) &amp; LEFT($C1193,3) &amp; RIGHT($C1193,4)), "")</f>
        <v/>
      </c>
      <c r="Q1193" s="37" t="str">
        <f t="array" ref="Q1193">IF($R1193&lt;&gt;"",IFERROR(INDEX(ISIN!$B:$B,MATCH($R1193,ISIN!$C:$C,0))),)</f>
        <v/>
      </c>
      <c r="R1193" s="38" t="str">
        <f t="array" ref="R1193">IF($E1193&lt;&gt;""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7" t="str">
        <f t="shared" si="1"/>
        <v/>
      </c>
      <c r="T1193" s="39" t="str">
        <f t="shared" si="2"/>
        <v/>
      </c>
      <c r="U1193" s="40" t="str">
        <f t="shared" si="3"/>
        <v/>
      </c>
      <c r="V1193" s="34" t="str">
        <f t="shared" si="4"/>
        <v/>
      </c>
      <c r="W1193" s="41" t="str">
        <f>IFERROR(__xludf.DUMMYFUNCTION(" IF(Account!$F1193&lt;&gt;"""", SPLIT(Account!$F1193, "" ""), """")"),"")</f>
        <v/>
      </c>
      <c r="X1193" s="42"/>
      <c r="Y1193" s="42"/>
      <c r="Z1193" s="42"/>
      <c r="AA1193" s="42"/>
      <c r="AB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</row>
    <row r="1194">
      <c r="A1194" s="47"/>
      <c r="B1194" s="48"/>
      <c r="C1194" s="47"/>
      <c r="F1194" s="49"/>
      <c r="G1194" s="45"/>
      <c r="L1194" s="49"/>
      <c r="M1194" s="33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4" t="str">
        <f>IFERROR(__xludf.DUMMYFUNCTION("IF(Account!$F1194&lt;&gt;"""", VALUE(REGEXREPLACE($I1194, ""\,"", ""."")), """")"),"")</f>
        <v/>
      </c>
      <c r="O1194" s="35" t="str">
        <f>IF(Account!$F1194&lt;&gt;"", DATEVALUE(MID($A1194,4,3) &amp; LEFT($A1194,3) &amp; RIGHT($A1194,4)) + TIMEVALUE($B1194), "")</f>
        <v/>
      </c>
      <c r="P1194" s="36" t="str">
        <f>IF(Account!$F1194&lt;&gt;"", DATEVALUE(MID($C1194,4,3) &amp; LEFT($C1194,3) &amp; RIGHT($C1194,4)), "")</f>
        <v/>
      </c>
      <c r="Q1194" s="37" t="str">
        <f t="array" ref="Q1194">IF($R1194&lt;&gt;"",IFERROR(INDEX(ISIN!$B:$B,MATCH($R1194,ISIN!$C:$C,0))),)</f>
        <v/>
      </c>
      <c r="R1194" s="38" t="str">
        <f t="array" ref="R1194">IF($E1194&lt;&gt;""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7" t="str">
        <f t="shared" si="1"/>
        <v/>
      </c>
      <c r="T1194" s="39" t="str">
        <f t="shared" si="2"/>
        <v/>
      </c>
      <c r="U1194" s="40" t="str">
        <f t="shared" si="3"/>
        <v/>
      </c>
      <c r="V1194" s="34" t="str">
        <f t="shared" si="4"/>
        <v/>
      </c>
      <c r="W1194" s="41" t="str">
        <f>IFERROR(__xludf.DUMMYFUNCTION(" IF(Account!$F1194&lt;&gt;"""", SPLIT(Account!$F1194, "" ""), """")"),"")</f>
        <v/>
      </c>
      <c r="X1194" s="42"/>
      <c r="Y1194" s="42"/>
      <c r="Z1194" s="42"/>
      <c r="AA1194" s="42"/>
      <c r="AB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</row>
    <row r="1195">
      <c r="A1195" s="47"/>
      <c r="B1195" s="48"/>
      <c r="C1195" s="47"/>
      <c r="F1195" s="49"/>
      <c r="G1195" s="45"/>
      <c r="L1195" s="49"/>
      <c r="M1195" s="33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4" t="str">
        <f>IFERROR(__xludf.DUMMYFUNCTION("IF(Account!$F1195&lt;&gt;"""", VALUE(REGEXREPLACE($I1195, ""\,"", ""."")), """")"),"")</f>
        <v/>
      </c>
      <c r="O1195" s="35" t="str">
        <f>IF(Account!$F1195&lt;&gt;"", DATEVALUE(MID($A1195,4,3) &amp; LEFT($A1195,3) &amp; RIGHT($A1195,4)) + TIMEVALUE($B1195), "")</f>
        <v/>
      </c>
      <c r="P1195" s="36" t="str">
        <f>IF(Account!$F1195&lt;&gt;"", DATEVALUE(MID($C1195,4,3) &amp; LEFT($C1195,3) &amp; RIGHT($C1195,4)), "")</f>
        <v/>
      </c>
      <c r="Q1195" s="37" t="str">
        <f t="array" ref="Q1195">IF($R1195&lt;&gt;"",IFERROR(INDEX(ISIN!$B:$B,MATCH($R1195,ISIN!$C:$C,0))),)</f>
        <v/>
      </c>
      <c r="R1195" s="38" t="str">
        <f t="array" ref="R1195">IF($E1195&lt;&gt;""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7" t="str">
        <f t="shared" si="1"/>
        <v/>
      </c>
      <c r="T1195" s="39" t="str">
        <f t="shared" si="2"/>
        <v/>
      </c>
      <c r="U1195" s="40" t="str">
        <f t="shared" si="3"/>
        <v/>
      </c>
      <c r="V1195" s="34" t="str">
        <f t="shared" si="4"/>
        <v/>
      </c>
      <c r="W1195" s="41" t="str">
        <f>IFERROR(__xludf.DUMMYFUNCTION(" IF(Account!$F1195&lt;&gt;"""", SPLIT(Account!$F1195, "" ""), """")"),"")</f>
        <v/>
      </c>
      <c r="X1195" s="42"/>
      <c r="Y1195" s="42"/>
      <c r="Z1195" s="42"/>
      <c r="AA1195" s="42"/>
      <c r="AB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</row>
    <row r="1196">
      <c r="A1196" s="47"/>
      <c r="B1196" s="48"/>
      <c r="C1196" s="47"/>
      <c r="F1196" s="49"/>
      <c r="G1196" s="50"/>
      <c r="L1196" s="49"/>
      <c r="M1196" s="33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4" t="str">
        <f>IFERROR(__xludf.DUMMYFUNCTION("IF(Account!$F1196&lt;&gt;"""", VALUE(REGEXREPLACE($I1196, ""\,"", ""."")), """")"),"")</f>
        <v/>
      </c>
      <c r="O1196" s="35" t="str">
        <f>IF(Account!$F1196&lt;&gt;"", DATEVALUE(MID($A1196,4,3) &amp; LEFT($A1196,3) &amp; RIGHT($A1196,4)) + TIMEVALUE($B1196), "")</f>
        <v/>
      </c>
      <c r="P1196" s="36" t="str">
        <f>IF(Account!$F1196&lt;&gt;"", DATEVALUE(MID($C1196,4,3) &amp; LEFT($C1196,3) &amp; RIGHT($C1196,4)), "")</f>
        <v/>
      </c>
      <c r="Q1196" s="37" t="str">
        <f t="array" ref="Q1196">IF($R1196&lt;&gt;"",IFERROR(INDEX(ISIN!$B:$B,MATCH($R1196,ISIN!$C:$C,0))),)</f>
        <v/>
      </c>
      <c r="R1196" s="38" t="str">
        <f t="array" ref="R1196">IF($E1196&lt;&gt;""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7" t="str">
        <f t="shared" si="1"/>
        <v/>
      </c>
      <c r="T1196" s="39" t="str">
        <f t="shared" si="2"/>
        <v/>
      </c>
      <c r="U1196" s="40" t="str">
        <f t="shared" si="3"/>
        <v/>
      </c>
      <c r="V1196" s="34" t="str">
        <f t="shared" si="4"/>
        <v/>
      </c>
      <c r="W1196" s="41" t="str">
        <f>IFERROR(__xludf.DUMMYFUNCTION(" IF(Account!$F1196&lt;&gt;"""", SPLIT(Account!$F1196, "" ""), """")"),"")</f>
        <v/>
      </c>
      <c r="X1196" s="42"/>
      <c r="Y1196" s="42"/>
      <c r="Z1196" s="42"/>
      <c r="AA1196" s="42"/>
      <c r="AB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</row>
    <row r="1197">
      <c r="A1197" s="47"/>
      <c r="B1197" s="48"/>
      <c r="C1197" s="47"/>
      <c r="F1197" s="49"/>
      <c r="G1197" s="45"/>
      <c r="L1197" s="49"/>
      <c r="M1197" s="33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4" t="str">
        <f>IFERROR(__xludf.DUMMYFUNCTION("IF(Account!$F1197&lt;&gt;"""", VALUE(REGEXREPLACE($I1197, ""\,"", ""."")), """")"),"")</f>
        <v/>
      </c>
      <c r="O1197" s="35" t="str">
        <f>IF(Account!$F1197&lt;&gt;"", DATEVALUE(MID($A1197,4,3) &amp; LEFT($A1197,3) &amp; RIGHT($A1197,4)) + TIMEVALUE($B1197), "")</f>
        <v/>
      </c>
      <c r="P1197" s="36" t="str">
        <f>IF(Account!$F1197&lt;&gt;"", DATEVALUE(MID($C1197,4,3) &amp; LEFT($C1197,3) &amp; RIGHT($C1197,4)), "")</f>
        <v/>
      </c>
      <c r="Q1197" s="37" t="str">
        <f t="array" ref="Q1197">IF($R1197&lt;&gt;"",IFERROR(INDEX(ISIN!$B:$B,MATCH($R1197,ISIN!$C:$C,0))),)</f>
        <v/>
      </c>
      <c r="R1197" s="38" t="str">
        <f t="array" ref="R1197">IF($E1197&lt;&gt;""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7" t="str">
        <f t="shared" si="1"/>
        <v/>
      </c>
      <c r="T1197" s="39" t="str">
        <f t="shared" si="2"/>
        <v/>
      </c>
      <c r="U1197" s="40" t="str">
        <f t="shared" si="3"/>
        <v/>
      </c>
      <c r="V1197" s="34" t="str">
        <f t="shared" si="4"/>
        <v/>
      </c>
      <c r="W1197" s="41" t="str">
        <f>IFERROR(__xludf.DUMMYFUNCTION(" IF(Account!$F1197&lt;&gt;"""", SPLIT(Account!$F1197, "" ""), """")"),"")</f>
        <v/>
      </c>
      <c r="X1197" s="42"/>
      <c r="Y1197" s="42"/>
      <c r="Z1197" s="42"/>
      <c r="AA1197" s="42"/>
      <c r="AB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</row>
    <row r="1198">
      <c r="A1198" s="47"/>
      <c r="B1198" s="48"/>
      <c r="C1198" s="47"/>
      <c r="F1198" s="49"/>
      <c r="G1198" s="45"/>
      <c r="L1198" s="49"/>
      <c r="M1198" s="33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4" t="str">
        <f>IFERROR(__xludf.DUMMYFUNCTION("IF(Account!$F1198&lt;&gt;"""", VALUE(REGEXREPLACE($I1198, ""\,"", ""."")), """")"),"")</f>
        <v/>
      </c>
      <c r="O1198" s="35" t="str">
        <f>IF(Account!$F1198&lt;&gt;"", DATEVALUE(MID($A1198,4,3) &amp; LEFT($A1198,3) &amp; RIGHT($A1198,4)) + TIMEVALUE($B1198), "")</f>
        <v/>
      </c>
      <c r="P1198" s="36" t="str">
        <f>IF(Account!$F1198&lt;&gt;"", DATEVALUE(MID($C1198,4,3) &amp; LEFT($C1198,3) &amp; RIGHT($C1198,4)), "")</f>
        <v/>
      </c>
      <c r="Q1198" s="37" t="str">
        <f t="array" ref="Q1198">IF($R1198&lt;&gt;"",IFERROR(INDEX(ISIN!$B:$B,MATCH($R1198,ISIN!$C:$C,0))),)</f>
        <v/>
      </c>
      <c r="R1198" s="38" t="str">
        <f t="array" ref="R1198">IF($E1198&lt;&gt;""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7" t="str">
        <f t="shared" si="1"/>
        <v/>
      </c>
      <c r="T1198" s="39" t="str">
        <f t="shared" si="2"/>
        <v/>
      </c>
      <c r="U1198" s="40" t="str">
        <f t="shared" si="3"/>
        <v/>
      </c>
      <c r="V1198" s="34" t="str">
        <f t="shared" si="4"/>
        <v/>
      </c>
      <c r="W1198" s="41" t="str">
        <f>IFERROR(__xludf.DUMMYFUNCTION(" IF(Account!$F1198&lt;&gt;"""", SPLIT(Account!$F1198, "" ""), """")"),"")</f>
        <v/>
      </c>
      <c r="X1198" s="42"/>
      <c r="Y1198" s="42"/>
      <c r="Z1198" s="42"/>
      <c r="AA1198" s="42"/>
      <c r="AB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</row>
    <row r="1199">
      <c r="B1199" s="48"/>
      <c r="D1199" s="45"/>
      <c r="E1199" s="45"/>
      <c r="F1199" s="49"/>
      <c r="G1199" s="45"/>
      <c r="L1199" s="46"/>
      <c r="M1199" s="33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4" t="str">
        <f>IFERROR(__xludf.DUMMYFUNCTION("IF(Account!$F1199&lt;&gt;"""", VALUE(REGEXREPLACE($I1199, ""\,"", ""."")), """")"),"")</f>
        <v/>
      </c>
      <c r="O1199" s="35" t="str">
        <f>IF(Account!$F1199&lt;&gt;"", DATEVALUE(MID($A1199,4,3) &amp; LEFT($A1199,3) &amp; RIGHT($A1199,4)) + TIMEVALUE($B1199), "")</f>
        <v/>
      </c>
      <c r="P1199" s="36" t="str">
        <f>IF(Account!$F1199&lt;&gt;"", DATEVALUE(MID($C1199,4,3) &amp; LEFT($C1199,3) &amp; RIGHT($C1199,4)), "")</f>
        <v/>
      </c>
      <c r="Q1199" s="37" t="str">
        <f t="array" ref="Q1199">IF($R1199&lt;&gt;"",IFERROR(INDEX(ISIN!$B:$B,MATCH($R1199,ISIN!$C:$C,0))),)</f>
        <v/>
      </c>
      <c r="R1199" s="38" t="str">
        <f t="array" ref="R1199">IF($E1199&lt;&gt;"",IFERROR(INDEX(ISIN!$C:$C,MATCH($E1199,ISIN!$A:$A,0)),IFERROR(INDEX($R1200,MATCH($K1199,$K1200,0)))),IF(AND($Y1199="change",$H1199="EUR"),IF($O1199=$O1200,$R1200,IF($O1199=$O1198,$R1198)),IFERROR(INDEX($R1200,MATCH(SUBSTITUTE($I1199,"-","",1),$K1200,0)))))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7" t="str">
        <f t="shared" si="1"/>
        <v/>
      </c>
      <c r="T1199" s="39" t="str">
        <f t="shared" si="2"/>
        <v/>
      </c>
      <c r="U1199" s="40" t="str">
        <f t="shared" si="3"/>
        <v/>
      </c>
      <c r="V1199" s="34" t="str">
        <f t="shared" si="4"/>
        <v/>
      </c>
      <c r="W1199" s="41" t="str">
        <f>IFERROR(__xludf.DUMMYFUNCTION(" IF(Account!$F1199&lt;&gt;"""", SPLIT(Account!$F1199, "" ""), """")"),"")</f>
        <v/>
      </c>
      <c r="X1199" s="42"/>
      <c r="Y1199" s="42"/>
      <c r="Z1199" s="42"/>
      <c r="AA1199" s="42"/>
      <c r="AB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</row>
    <row r="1200">
      <c r="B1200" s="48"/>
      <c r="D1200" s="45"/>
      <c r="E1200" s="45"/>
      <c r="F1200" s="49"/>
      <c r="G1200" s="45"/>
      <c r="L1200" s="46"/>
      <c r="M1200" s="33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4" t="str">
        <f>IFERROR(__xludf.DUMMYFUNCTION("IF(Account!$F1200&lt;&gt;"""", VALUE(REGEXREPLACE($I1200, ""\,"", ""."")), """")"),"")</f>
        <v/>
      </c>
      <c r="O1200" s="35" t="str">
        <f>IF(Account!$F1200&lt;&gt;"", DATEVALUE(MID($A1200,4,3) &amp; LEFT($A1200,3) &amp; RIGHT($A1200,4)) + TIMEVALUE($B1200), "")</f>
        <v/>
      </c>
      <c r="P1200" s="36" t="str">
        <f>IF(Account!$F1200&lt;&gt;"", DATEVALUE(MID($C1200,4,3) &amp; LEFT($C1200,3) &amp; RIGHT($C1200,4)), "")</f>
        <v/>
      </c>
      <c r="Q1200" s="37" t="str">
        <f t="array" ref="Q1200">IF($R1200&lt;&gt;"",IFERROR(INDEX(ISIN!$B:$B,MATCH($R1200,ISIN!$C:$C,0))),)</f>
        <v/>
      </c>
      <c r="R1200" s="38" t="str">
        <f t="array" ref="R1200">IF($E1200&lt;&gt;""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7" t="str">
        <f t="shared" si="1"/>
        <v/>
      </c>
      <c r="T1200" s="39" t="str">
        <f t="shared" si="2"/>
        <v/>
      </c>
      <c r="U1200" s="40" t="str">
        <f t="shared" si="3"/>
        <v/>
      </c>
      <c r="V1200" s="34" t="str">
        <f t="shared" si="4"/>
        <v/>
      </c>
      <c r="W1200" s="41" t="str">
        <f>IFERROR(__xludf.DUMMYFUNCTION(" IF(Account!$F1200&lt;&gt;"""", SPLIT(Account!$F1200, "" ""), """")"),"")</f>
        <v/>
      </c>
      <c r="X1200" s="42"/>
      <c r="Y1200" s="42"/>
      <c r="Z1200" s="42"/>
      <c r="AA1200" s="42"/>
      <c r="AB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53.86"/>
  </cols>
  <sheetData>
    <row r="1">
      <c r="A1" s="51" t="str">
        <f>IFERROR(__xludf.DUMMYFUNCTION("UNIQUE(Account!P:V)"),"Date")</f>
        <v>Date</v>
      </c>
      <c r="B1" s="52" t="str">
        <f>IFERROR(__xludf.DUMMYFUNCTION("""COMPUTED_VALUE"""),"Type")</f>
        <v>Type</v>
      </c>
      <c r="C1" s="53" t="str">
        <f>IFERROR(__xludf.DUMMYFUNCTION("""COMPUTED_VALUE"""),"Label")</f>
        <v>Label</v>
      </c>
      <c r="D1" s="52" t="str">
        <f>IFERROR(__xludf.DUMMYFUNCTION("""COMPUTED_VALUE"""),"Transaction")</f>
        <v>Transaction</v>
      </c>
      <c r="E1" s="52" t="str">
        <f>IFERROR(__xludf.DUMMYFUNCTION("""COMPUTED_VALUE"""),"Quantity")</f>
        <v>Quantity</v>
      </c>
      <c r="F1" s="54" t="str">
        <f>IFERROR(__xludf.DUMMYFUNCTION("""COMPUTED_VALUE"""),"Price")</f>
        <v>Price</v>
      </c>
      <c r="G1" s="55" t="str">
        <f>IFERROR(__xludf.DUMMYFUNCTION("""COMPUTED_VALUE"""),"Value")</f>
        <v>Value</v>
      </c>
      <c r="H1" s="9" t="s">
        <v>174</v>
      </c>
    </row>
    <row r="2">
      <c r="A2" s="56">
        <f>IFERROR(__xludf.DUMMYFUNCTION("""COMPUTED_VALUE"""),44113.0)</f>
        <v>44113</v>
      </c>
      <c r="B2" t="str">
        <f>IFERROR(__xludf.DUMMYFUNCTION("""COMPUTED_VALUE"""),"Long term US bonds (20-25 year)")</f>
        <v>Long term US bonds (20-25 year)</v>
      </c>
      <c r="C2" s="57" t="str">
        <f>IFERROR(__xludf.DUMMYFUNCTION("""COMPUTED_VALUE"""),"iShares Treasury Bond 20+ UCITS")</f>
        <v>iShares Treasury Bond 20+ UCITS</v>
      </c>
      <c r="D2" s="58" t="str">
        <f>IFERROR(__xludf.DUMMYFUNCTION("""COMPUTED_VALUE"""),"COST")</f>
        <v>COST</v>
      </c>
      <c r="E2" s="50" t="str">
        <f>IFERROR(__xludf.DUMMYFUNCTION("""COMPUTED_VALUE"""),"")</f>
        <v/>
      </c>
      <c r="F2" s="59" t="str">
        <f>IFERROR(__xludf.DUMMYFUNCTION("""COMPUTED_VALUE"""),"")</f>
        <v/>
      </c>
      <c r="G2" s="60">
        <f>IFERROR(__xludf.DUMMYFUNCTION("""COMPUTED_VALUE"""),-52.0)</f>
        <v>-52</v>
      </c>
      <c r="H2" s="61" t="str">
        <f t="shared" ref="H2:H1078" si="1">IF(D2&lt;&gt;"",C2 &amp; "@" &amp; D2 &amp; "@" &amp; E2 &amp; "@" &amp; G2,"")</f>
        <v>iShares Treasury Bond 20+ UCITS@COST@@-52</v>
      </c>
    </row>
    <row r="3">
      <c r="A3" s="56">
        <f>IFERROR(__xludf.DUMMYFUNCTION("""COMPUTED_VALUE"""),44113.0)</f>
        <v>44113</v>
      </c>
      <c r="B3" t="str">
        <f>IFERROR(__xludf.DUMMYFUNCTION("""COMPUTED_VALUE"""),"Long term US bonds (20-25 year)")</f>
        <v>Long term US bonds (20-25 year)</v>
      </c>
      <c r="C3" s="57" t="str">
        <f>IFERROR(__xludf.DUMMYFUNCTION("""COMPUTED_VALUE"""),"iShares Treasury Bond 20+ UCITS")</f>
        <v>iShares Treasury Bond 20+ UCITS</v>
      </c>
      <c r="D3" s="58" t="str">
        <f>IFERROR(__xludf.DUMMYFUNCTION("""COMPUTED_VALUE"""),"BUY")</f>
        <v>BUY</v>
      </c>
      <c r="E3" s="50">
        <f>IFERROR(__xludf.DUMMYFUNCTION("""COMPUTED_VALUE"""),49514.0)</f>
        <v>49514</v>
      </c>
      <c r="F3" s="59">
        <f>IFERROR(__xludf.DUMMYFUNCTION("""COMPUTED_VALUE"""),5.049000080785232)</f>
        <v>5.049000081</v>
      </c>
      <c r="G3" s="60">
        <f>IFERROR(__xludf.DUMMYFUNCTION("""COMPUTED_VALUE"""),-249996.19)</f>
        <v>-249996.19</v>
      </c>
      <c r="H3" s="61" t="str">
        <f t="shared" si="1"/>
        <v>iShares Treasury Bond 20+ UCITS@BUY@49514@-249996.19</v>
      </c>
    </row>
    <row r="4">
      <c r="A4" s="56">
        <f>IFERROR(__xludf.DUMMYFUNCTION("""COMPUTED_VALUE"""),44113.0)</f>
        <v>44113</v>
      </c>
      <c r="B4" t="str">
        <f>IFERROR(__xludf.DUMMYFUNCTION("""COMPUTED_VALUE"""),"Intermediate US bonds (7-10 year)")</f>
        <v>Intermediate US bonds (7-10 year)</v>
      </c>
      <c r="C4" s="57" t="str">
        <f>IFERROR(__xludf.DUMMYFUNCTION("""COMPUTED_VALUE"""),"iShares Treasury Bond 7-10 UCITS")</f>
        <v>iShares Treasury Bond 7-10 UCITS</v>
      </c>
      <c r="D4" s="58" t="str">
        <f>IFERROR(__xludf.DUMMYFUNCTION("""COMPUTED_VALUE"""),"BUY")</f>
        <v>BUY</v>
      </c>
      <c r="E4" s="50">
        <f>IFERROR(__xludf.DUMMYFUNCTION("""COMPUTED_VALUE"""),9.0)</f>
        <v>9</v>
      </c>
      <c r="F4" s="59">
        <f>IFERROR(__xludf.DUMMYFUNCTION("""COMPUTED_VALUE"""),188.55)</f>
        <v>188.55</v>
      </c>
      <c r="G4" s="60">
        <f>IFERROR(__xludf.DUMMYFUNCTION("""COMPUTED_VALUE"""),-1696.95)</f>
        <v>-1696.95</v>
      </c>
      <c r="H4" s="61" t="str">
        <f t="shared" si="1"/>
        <v>iShares Treasury Bond 7-10 UCITS@BUY@9@-1696.95</v>
      </c>
    </row>
    <row r="5">
      <c r="A5" s="56">
        <f>IFERROR(__xludf.DUMMYFUNCTION("""COMPUTED_VALUE"""),44104.0)</f>
        <v>44104</v>
      </c>
      <c r="C5" s="57"/>
      <c r="D5" s="58" t="str">
        <f>IFERROR(__xludf.DUMMYFUNCTION("""COMPUTED_VALUE"""),"COST")</f>
        <v>COST</v>
      </c>
      <c r="E5" s="50" t="str">
        <f>IFERROR(__xludf.DUMMYFUNCTION("""COMPUTED_VALUE"""),"")</f>
        <v/>
      </c>
      <c r="F5" s="59" t="str">
        <f>IFERROR(__xludf.DUMMYFUNCTION("""COMPUTED_VALUE"""),"")</f>
        <v/>
      </c>
      <c r="G5" s="60">
        <f>IFERROR(__xludf.DUMMYFUNCTION("""COMPUTED_VALUE"""),-729.38)</f>
        <v>-729.38</v>
      </c>
      <c r="H5" s="61" t="str">
        <f t="shared" si="1"/>
        <v>@COST@@-729.38</v>
      </c>
    </row>
    <row r="6">
      <c r="A6" s="56">
        <f>IFERROR(__xludf.DUMMYFUNCTION("""COMPUTED_VALUE"""),44112.0)</f>
        <v>44112</v>
      </c>
      <c r="B6" t="str">
        <f>IFERROR(__xludf.DUMMYFUNCTION("""COMPUTED_VALUE"""),"Intermediate US bonds (7-10 year)")</f>
        <v>Intermediate US bonds (7-10 year)</v>
      </c>
      <c r="C6" s="57" t="str">
        <f>IFERROR(__xludf.DUMMYFUNCTION("""COMPUTED_VALUE"""),"iShares Treasury Bond 7-10 UCITS")</f>
        <v>iShares Treasury Bond 7-10 UCITS</v>
      </c>
      <c r="D6" s="58" t="str">
        <f>IFERROR(__xludf.DUMMYFUNCTION("""COMPUTED_VALUE"""),"BUY")</f>
        <v>BUY</v>
      </c>
      <c r="E6" s="50">
        <f>IFERROR(__xludf.DUMMYFUNCTION("""COMPUTED_VALUE"""),7.0)</f>
        <v>7</v>
      </c>
      <c r="F6" s="59">
        <f>IFERROR(__xludf.DUMMYFUNCTION("""COMPUTED_VALUE"""),189.0)</f>
        <v>189</v>
      </c>
      <c r="G6" s="60">
        <f>IFERROR(__xludf.DUMMYFUNCTION("""COMPUTED_VALUE"""),-1323.0)</f>
        <v>-1323</v>
      </c>
      <c r="H6" s="61" t="str">
        <f t="shared" si="1"/>
        <v>iShares Treasury Bond 7-10 UCITS@BUY@7@-1323</v>
      </c>
    </row>
    <row r="7">
      <c r="A7" s="56">
        <f>IFERROR(__xludf.DUMMYFUNCTION("""COMPUTED_VALUE"""),44111.0)</f>
        <v>44111</v>
      </c>
      <c r="B7" t="str">
        <f>IFERROR(__xludf.DUMMYFUNCTION("""COMPUTED_VALUE"""),"Stocks")</f>
        <v>Stocks</v>
      </c>
      <c r="C7" s="57" t="str">
        <f>IFERROR(__xludf.DUMMYFUNCTION("""COMPUTED_VALUE"""),"Vanguard S&amp;P 500 UCITS")</f>
        <v>Vanguard S&amp;P 500 UCITS</v>
      </c>
      <c r="D7" s="58" t="str">
        <f>IFERROR(__xludf.DUMMYFUNCTION("""COMPUTED_VALUE"""),"DIVIDEND")</f>
        <v>DIVIDEND</v>
      </c>
      <c r="E7" s="50" t="str">
        <f>IFERROR(__xludf.DUMMYFUNCTION("""COMPUTED_VALUE"""),"")</f>
        <v/>
      </c>
      <c r="F7" s="59" t="str">
        <f>IFERROR(__xludf.DUMMYFUNCTION("""COMPUTED_VALUE"""),"")</f>
        <v/>
      </c>
      <c r="G7" s="60">
        <f>IFERROR(__xludf.DUMMYFUNCTION("""COMPUTED_VALUE"""),-253.0)</f>
        <v>-253</v>
      </c>
      <c r="H7" s="61" t="str">
        <f t="shared" si="1"/>
        <v>Vanguard S&amp;P 500 UCITS@DIVIDEND@@-253</v>
      </c>
    </row>
    <row r="8">
      <c r="A8" s="56">
        <f>IFERROR(__xludf.DUMMYFUNCTION("""COMPUTED_VALUE"""),44111.0)</f>
        <v>44111</v>
      </c>
      <c r="B8" t="str">
        <f>IFERROR(__xludf.DUMMYFUNCTION("""COMPUTED_VALUE"""),"Stocks")</f>
        <v>Stocks</v>
      </c>
      <c r="C8" s="57" t="str">
        <f>IFERROR(__xludf.DUMMYFUNCTION("""COMPUTED_VALUE"""),"Vanguard S&amp;P 500 UCITS")</f>
        <v>Vanguard S&amp;P 500 UCITS</v>
      </c>
      <c r="D8" s="58" t="str">
        <f>IFERROR(__xludf.DUMMYFUNCTION("""COMPUTED_VALUE"""),"DIVIDEND")</f>
        <v>DIVIDEND</v>
      </c>
      <c r="E8" s="50" t="str">
        <f>IFERROR(__xludf.DUMMYFUNCTION("""COMPUTED_VALUE"""),"")</f>
        <v/>
      </c>
      <c r="F8" s="59" t="str">
        <f>IFERROR(__xludf.DUMMYFUNCTION("""COMPUTED_VALUE"""),"")</f>
        <v/>
      </c>
      <c r="G8" s="60">
        <f>IFERROR(__xludf.DUMMYFUNCTION("""COMPUTED_VALUE"""),1677.14)</f>
        <v>1677.14</v>
      </c>
      <c r="H8" s="61" t="str">
        <f t="shared" si="1"/>
        <v>Vanguard S&amp;P 500 UCITS@DIVIDEND@@1677.14</v>
      </c>
    </row>
    <row r="9">
      <c r="A9" s="56">
        <f>IFERROR(__xludf.DUMMYFUNCTION("""COMPUTED_VALUE"""),44110.0)</f>
        <v>44110</v>
      </c>
      <c r="C9" s="57"/>
      <c r="D9" s="58" t="str">
        <f>IFERROR(__xludf.DUMMYFUNCTION("""COMPUTED_VALUE"""),"COST")</f>
        <v>COST</v>
      </c>
      <c r="E9" s="50" t="str">
        <f>IFERROR(__xludf.DUMMYFUNCTION("""COMPUTED_VALUE"""),"")</f>
        <v/>
      </c>
      <c r="F9" s="59" t="str">
        <f>IFERROR(__xludf.DUMMYFUNCTION("""COMPUTED_VALUE"""),"")</f>
        <v/>
      </c>
      <c r="G9" s="60" t="str">
        <f>IFERROR(__xludf.DUMMYFUNCTION("""COMPUTED_VALUE"""),"")</f>
        <v/>
      </c>
      <c r="H9" s="61" t="str">
        <f t="shared" si="1"/>
        <v>@COST@@</v>
      </c>
    </row>
    <row r="10">
      <c r="A10" s="56">
        <f>IFERROR(__xludf.DUMMYFUNCTION("""COMPUTED_VALUE"""),44110.0)</f>
        <v>44110</v>
      </c>
      <c r="C10" s="57"/>
      <c r="D10" s="58" t="str">
        <f>IFERROR(__xludf.DUMMYFUNCTION("""COMPUTED_VALUE"""),"APPROVISIONNEMENT")</f>
        <v>APPROVISIONNEMENT</v>
      </c>
      <c r="E10" s="50" t="str">
        <f>IFERROR(__xludf.DUMMYFUNCTION("""COMPUTED_VALUE"""),"")</f>
        <v/>
      </c>
      <c r="F10" s="59" t="str">
        <f>IFERROR(__xludf.DUMMYFUNCTION("""COMPUTED_VALUE"""),"")</f>
        <v/>
      </c>
      <c r="G10" s="60">
        <f>IFERROR(__xludf.DUMMYFUNCTION("""COMPUTED_VALUE"""),-1000.0)</f>
        <v>-1000</v>
      </c>
      <c r="H10" s="61" t="str">
        <f t="shared" si="1"/>
        <v>@APPROVISIONNEMENT@@-1000</v>
      </c>
    </row>
    <row r="11">
      <c r="A11" s="56">
        <f>IFERROR(__xludf.DUMMYFUNCTION("""COMPUTED_VALUE"""),44109.0)</f>
        <v>44109</v>
      </c>
      <c r="C11" s="57"/>
      <c r="D11" s="58" t="str">
        <f>IFERROR(__xludf.DUMMYFUNCTION("""COMPUTED_VALUE"""),"COST")</f>
        <v>COST</v>
      </c>
      <c r="E11" s="50" t="str">
        <f>IFERROR(__xludf.DUMMYFUNCTION("""COMPUTED_VALUE"""),"")</f>
        <v/>
      </c>
      <c r="F11" s="59" t="str">
        <f>IFERROR(__xludf.DUMMYFUNCTION("""COMPUTED_VALUE"""),"")</f>
        <v/>
      </c>
      <c r="G11" s="60">
        <f>IFERROR(__xludf.DUMMYFUNCTION("""COMPUTED_VALUE"""),0.0)</f>
        <v>0</v>
      </c>
      <c r="H11" s="61" t="str">
        <f t="shared" si="1"/>
        <v>@COST@@0</v>
      </c>
    </row>
    <row r="12">
      <c r="A12" s="56">
        <f>IFERROR(__xludf.DUMMYFUNCTION("""COMPUTED_VALUE"""),44106.0)</f>
        <v>44106</v>
      </c>
      <c r="C12" s="57"/>
      <c r="D12" s="58" t="str">
        <f>IFERROR(__xludf.DUMMYFUNCTION("""COMPUTED_VALUE"""),"COST")</f>
        <v>COST</v>
      </c>
      <c r="E12" s="50" t="str">
        <f>IFERROR(__xludf.DUMMYFUNCTION("""COMPUTED_VALUE"""),"")</f>
        <v/>
      </c>
      <c r="F12" s="59" t="str">
        <f>IFERROR(__xludf.DUMMYFUNCTION("""COMPUTED_VALUE"""),"")</f>
        <v/>
      </c>
      <c r="G12" s="60" t="str">
        <f>IFERROR(__xludf.DUMMYFUNCTION("""COMPUTED_VALUE"""),"")</f>
        <v/>
      </c>
      <c r="H12" s="61" t="str">
        <f t="shared" si="1"/>
        <v>@COST@@</v>
      </c>
    </row>
    <row r="13">
      <c r="A13" s="56">
        <f>IFERROR(__xludf.DUMMYFUNCTION("""COMPUTED_VALUE"""),44106.0)</f>
        <v>44106</v>
      </c>
      <c r="C13" s="57"/>
      <c r="D13" s="58" t="str">
        <f>IFERROR(__xludf.DUMMYFUNCTION("""COMPUTED_VALUE"""),"COST")</f>
        <v>COST</v>
      </c>
      <c r="E13" s="50" t="str">
        <f>IFERROR(__xludf.DUMMYFUNCTION("""COMPUTED_VALUE"""),"")</f>
        <v/>
      </c>
      <c r="F13" s="59" t="str">
        <f>IFERROR(__xludf.DUMMYFUNCTION("""COMPUTED_VALUE"""),"")</f>
        <v/>
      </c>
      <c r="G13" s="60">
        <f>IFERROR(__xludf.DUMMYFUNCTION("""COMPUTED_VALUE"""),0.0)</f>
        <v>0</v>
      </c>
      <c r="H13" s="61" t="str">
        <f t="shared" si="1"/>
        <v>@COST@@0</v>
      </c>
    </row>
    <row r="14">
      <c r="A14" s="56">
        <f>IFERROR(__xludf.DUMMYFUNCTION("""COMPUTED_VALUE"""),44105.0)</f>
        <v>44105</v>
      </c>
      <c r="B14" t="str">
        <f>IFERROR(__xludf.DUMMYFUNCTION("""COMPUTED_VALUE"""),"Intermediate US bonds (7-10 year)")</f>
        <v>Intermediate US bonds (7-10 year)</v>
      </c>
      <c r="C14" s="57" t="str">
        <f>IFERROR(__xludf.DUMMYFUNCTION("""COMPUTED_VALUE"""),"iShares Treasury Bond 7-10 UCITS")</f>
        <v>iShares Treasury Bond 7-10 UCITS</v>
      </c>
      <c r="D14" s="58" t="str">
        <f>IFERROR(__xludf.DUMMYFUNCTION("""COMPUTED_VALUE"""),"BUY")</f>
        <v>BUY</v>
      </c>
      <c r="E14" s="50">
        <f>IFERROR(__xludf.DUMMYFUNCTION("""COMPUTED_VALUE"""),10.0)</f>
        <v>10</v>
      </c>
      <c r="F14" s="59">
        <f>IFERROR(__xludf.DUMMYFUNCTION("""COMPUTED_VALUE"""),190.55)</f>
        <v>190.55</v>
      </c>
      <c r="G14" s="60">
        <f>IFERROR(__xludf.DUMMYFUNCTION("""COMPUTED_VALUE"""),-1905.5)</f>
        <v>-1905.5</v>
      </c>
      <c r="H14" s="61" t="str">
        <f t="shared" si="1"/>
        <v>iShares Treasury Bond 7-10 UCITS@BUY@10@-1905.5</v>
      </c>
    </row>
    <row r="15">
      <c r="A15" s="56">
        <f>IFERROR(__xludf.DUMMYFUNCTION("""COMPUTED_VALUE"""),44104.0)</f>
        <v>44104</v>
      </c>
      <c r="C15" s="57"/>
      <c r="D15" s="58" t="str">
        <f>IFERROR(__xludf.DUMMYFUNCTION("""COMPUTED_VALUE"""),"COST")</f>
        <v>COST</v>
      </c>
      <c r="E15" s="50" t="str">
        <f>IFERROR(__xludf.DUMMYFUNCTION("""COMPUTED_VALUE"""),"")</f>
        <v/>
      </c>
      <c r="F15" s="59" t="str">
        <f>IFERROR(__xludf.DUMMYFUNCTION("""COMPUTED_VALUE"""),"")</f>
        <v/>
      </c>
      <c r="G15" s="60">
        <f>IFERROR(__xludf.DUMMYFUNCTION("""COMPUTED_VALUE"""),-0.82)</f>
        <v>-0.82</v>
      </c>
      <c r="H15" s="61" t="str">
        <f t="shared" si="1"/>
        <v>@COST@@-0.82</v>
      </c>
    </row>
    <row r="16">
      <c r="A16" s="56">
        <f>IFERROR(__xludf.DUMMYFUNCTION("""COMPUTED_VALUE"""),44104.0)</f>
        <v>44104</v>
      </c>
      <c r="B16" t="str">
        <f>IFERROR(__xludf.DUMMYFUNCTION("""COMPUTED_VALUE"""),"Intermediate US bonds (7-10 year)")</f>
        <v>Intermediate US bonds (7-10 year)</v>
      </c>
      <c r="C16" s="57" t="str">
        <f>IFERROR(__xludf.DUMMYFUNCTION("""COMPUTED_VALUE"""),"iShares Treasury Bond 7-10 UCITS")</f>
        <v>iShares Treasury Bond 7-10 UCITS</v>
      </c>
      <c r="D16" s="58" t="str">
        <f>IFERROR(__xludf.DUMMYFUNCTION("""COMPUTED_VALUE"""),"BUY")</f>
        <v>BUY</v>
      </c>
      <c r="E16" s="50">
        <f>IFERROR(__xludf.DUMMYFUNCTION("""COMPUTED_VALUE"""),50.0)</f>
        <v>50</v>
      </c>
      <c r="F16" s="59">
        <f>IFERROR(__xludf.DUMMYFUNCTION("""COMPUTED_VALUE"""),191.16)</f>
        <v>191.16</v>
      </c>
      <c r="G16" s="60">
        <f>IFERROR(__xludf.DUMMYFUNCTION("""COMPUTED_VALUE"""),-9558.0)</f>
        <v>-9558</v>
      </c>
      <c r="H16" s="61" t="str">
        <f t="shared" si="1"/>
        <v>iShares Treasury Bond 7-10 UCITS@BUY@50@-9558</v>
      </c>
    </row>
    <row r="17">
      <c r="A17" s="56">
        <f>IFERROR(__xludf.DUMMYFUNCTION("""COMPUTED_VALUE"""),44097.0)</f>
        <v>44097</v>
      </c>
      <c r="C17" s="57"/>
      <c r="D17" s="58" t="str">
        <f>IFERROR(__xludf.DUMMYFUNCTION("""COMPUTED_VALUE"""),"COST")</f>
        <v>COST</v>
      </c>
      <c r="E17" s="50" t="str">
        <f>IFERROR(__xludf.DUMMYFUNCTION("""COMPUTED_VALUE"""),"")</f>
        <v/>
      </c>
      <c r="F17" s="59" t="str">
        <f>IFERROR(__xludf.DUMMYFUNCTION("""COMPUTED_VALUE"""),"")</f>
        <v/>
      </c>
      <c r="G17" s="60">
        <f>IFERROR(__xludf.DUMMYFUNCTION("""COMPUTED_VALUE"""),0.0)</f>
        <v>0</v>
      </c>
      <c r="H17" s="61" t="str">
        <f t="shared" si="1"/>
        <v>@COST@@0</v>
      </c>
    </row>
    <row r="18">
      <c r="A18" s="56">
        <f>IFERROR(__xludf.DUMMYFUNCTION("""COMPUTED_VALUE"""),44096.0)</f>
        <v>44096</v>
      </c>
      <c r="C18" s="57"/>
      <c r="D18" s="58" t="str">
        <f>IFERROR(__xludf.DUMMYFUNCTION("""COMPUTED_VALUE"""),"APPROVISIONNEMENT")</f>
        <v>APPROVISIONNEMENT</v>
      </c>
      <c r="E18" s="50" t="str">
        <f>IFERROR(__xludf.DUMMYFUNCTION("""COMPUTED_VALUE"""),"")</f>
        <v/>
      </c>
      <c r="F18" s="59" t="str">
        <f>IFERROR(__xludf.DUMMYFUNCTION("""COMPUTED_VALUE"""),"")</f>
        <v/>
      </c>
      <c r="G18" s="60">
        <f>IFERROR(__xludf.DUMMYFUNCTION("""COMPUTED_VALUE"""),40000.0)</f>
        <v>40000</v>
      </c>
      <c r="H18" s="61" t="str">
        <f t="shared" si="1"/>
        <v>@APPROVISIONNEMENT@@40000</v>
      </c>
    </row>
    <row r="19">
      <c r="A19" s="56">
        <f>IFERROR(__xludf.DUMMYFUNCTION("""COMPUTED_VALUE"""),44090.0)</f>
        <v>44090</v>
      </c>
      <c r="C19" s="57"/>
      <c r="D19" s="58" t="str">
        <f>IFERROR(__xludf.DUMMYFUNCTION("""COMPUTED_VALUE"""),"COST")</f>
        <v>COST</v>
      </c>
      <c r="E19" s="50" t="str">
        <f>IFERROR(__xludf.DUMMYFUNCTION("""COMPUTED_VALUE"""),"")</f>
        <v/>
      </c>
      <c r="F19" s="59" t="str">
        <f>IFERROR(__xludf.DUMMYFUNCTION("""COMPUTED_VALUE"""),"")</f>
        <v/>
      </c>
      <c r="G19" s="60" t="str">
        <f>IFERROR(__xludf.DUMMYFUNCTION("""COMPUTED_VALUE"""),"")</f>
        <v/>
      </c>
      <c r="H19" s="61" t="str">
        <f t="shared" si="1"/>
        <v>@COST@@</v>
      </c>
    </row>
    <row r="20">
      <c r="A20" s="56">
        <f>IFERROR(__xludf.DUMMYFUNCTION("""COMPUTED_VALUE"""),44090.0)</f>
        <v>44090</v>
      </c>
      <c r="C20" s="57"/>
      <c r="D20" s="58" t="str">
        <f>IFERROR(__xludf.DUMMYFUNCTION("""COMPUTED_VALUE"""),"APPROVISIONNEMENT")</f>
        <v>APPROVISIONNEMENT</v>
      </c>
      <c r="E20" s="50" t="str">
        <f>IFERROR(__xludf.DUMMYFUNCTION("""COMPUTED_VALUE"""),"")</f>
        <v/>
      </c>
      <c r="F20" s="59" t="str">
        <f>IFERROR(__xludf.DUMMYFUNCTION("""COMPUTED_VALUE"""),"")</f>
        <v/>
      </c>
      <c r="G20" s="60">
        <f>IFERROR(__xludf.DUMMYFUNCTION("""COMPUTED_VALUE"""),-1500.0)</f>
        <v>-1500</v>
      </c>
      <c r="H20" s="61" t="str">
        <f t="shared" si="1"/>
        <v>@APPROVISIONNEMENT@@-1500</v>
      </c>
    </row>
    <row r="21">
      <c r="A21" s="56">
        <f>IFERROR(__xludf.DUMMYFUNCTION("""COMPUTED_VALUE"""),44085.0)</f>
        <v>44085</v>
      </c>
      <c r="C21" s="57"/>
      <c r="D21" s="58" t="str">
        <f>IFERROR(__xludf.DUMMYFUNCTION("""COMPUTED_VALUE"""),"COST")</f>
        <v>COST</v>
      </c>
      <c r="E21" s="50" t="str">
        <f>IFERROR(__xludf.DUMMYFUNCTION("""COMPUTED_VALUE"""),"")</f>
        <v/>
      </c>
      <c r="F21" s="59" t="str">
        <f>IFERROR(__xludf.DUMMYFUNCTION("""COMPUTED_VALUE"""),"")</f>
        <v/>
      </c>
      <c r="G21" s="60" t="str">
        <f>IFERROR(__xludf.DUMMYFUNCTION("""COMPUTED_VALUE"""),"")</f>
        <v/>
      </c>
      <c r="H21" s="61" t="str">
        <f t="shared" si="1"/>
        <v>@COST@@</v>
      </c>
    </row>
    <row r="22">
      <c r="A22" s="56">
        <f>IFERROR(__xludf.DUMMYFUNCTION("""COMPUTED_VALUE"""),44085.0)</f>
        <v>44085</v>
      </c>
      <c r="C22" s="57"/>
      <c r="D22" s="58" t="str">
        <f>IFERROR(__xludf.DUMMYFUNCTION("""COMPUTED_VALUE"""),"APPROVISIONNEMENT")</f>
        <v>APPROVISIONNEMENT</v>
      </c>
      <c r="E22" s="50" t="str">
        <f>IFERROR(__xludf.DUMMYFUNCTION("""COMPUTED_VALUE"""),"")</f>
        <v/>
      </c>
      <c r="F22" s="59" t="str">
        <f>IFERROR(__xludf.DUMMYFUNCTION("""COMPUTED_VALUE"""),"")</f>
        <v/>
      </c>
      <c r="G22" s="60">
        <f>IFERROR(__xludf.DUMMYFUNCTION("""COMPUTED_VALUE"""),-1000.0)</f>
        <v>-1000</v>
      </c>
      <c r="H22" s="61" t="str">
        <f t="shared" si="1"/>
        <v>@APPROVISIONNEMENT@@-1000</v>
      </c>
    </row>
    <row r="23">
      <c r="A23" s="56">
        <f>IFERROR(__xludf.DUMMYFUNCTION("""COMPUTED_VALUE"""),44084.0)</f>
        <v>44084</v>
      </c>
      <c r="C23" s="57"/>
      <c r="D23" s="58" t="str">
        <f>IFERROR(__xludf.DUMMYFUNCTION("""COMPUTED_VALUE"""),"COST")</f>
        <v>COST</v>
      </c>
      <c r="E23" s="50" t="str">
        <f>IFERROR(__xludf.DUMMYFUNCTION("""COMPUTED_VALUE"""),"")</f>
        <v/>
      </c>
      <c r="F23" s="59" t="str">
        <f>IFERROR(__xludf.DUMMYFUNCTION("""COMPUTED_VALUE"""),"")</f>
        <v/>
      </c>
      <c r="G23" s="60">
        <f>IFERROR(__xludf.DUMMYFUNCTION("""COMPUTED_VALUE"""),0.0)</f>
        <v>0</v>
      </c>
      <c r="H23" s="61" t="str">
        <f t="shared" si="1"/>
        <v>@COST@@0</v>
      </c>
    </row>
    <row r="24">
      <c r="A24" s="56">
        <f>IFERROR(__xludf.DUMMYFUNCTION("""COMPUTED_VALUE"""),44083.0)</f>
        <v>44083</v>
      </c>
      <c r="C24" s="57"/>
      <c r="D24" s="58" t="str">
        <f>IFERROR(__xludf.DUMMYFUNCTION("""COMPUTED_VALUE"""),"COST")</f>
        <v>COST</v>
      </c>
      <c r="E24" s="50" t="str">
        <f>IFERROR(__xludf.DUMMYFUNCTION("""COMPUTED_VALUE"""),"")</f>
        <v/>
      </c>
      <c r="F24" s="59" t="str">
        <f>IFERROR(__xludf.DUMMYFUNCTION("""COMPUTED_VALUE"""),"")</f>
        <v/>
      </c>
      <c r="G24" s="60" t="str">
        <f>IFERROR(__xludf.DUMMYFUNCTION("""COMPUTED_VALUE"""),"")</f>
        <v/>
      </c>
      <c r="H24" s="61" t="str">
        <f t="shared" si="1"/>
        <v>@COST@@</v>
      </c>
    </row>
    <row r="25">
      <c r="A25" s="56" t="str">
        <f>IFERROR(__xludf.DUMMYFUNCTION("""COMPUTED_VALUE"""),"")</f>
        <v/>
      </c>
      <c r="C25" s="57"/>
      <c r="D25" s="58" t="str">
        <f>IFERROR(__xludf.DUMMYFUNCTION("""COMPUTED_VALUE"""),"")</f>
        <v/>
      </c>
      <c r="E25" s="50" t="str">
        <f>IFERROR(__xludf.DUMMYFUNCTION("""COMPUTED_VALUE"""),"")</f>
        <v/>
      </c>
      <c r="F25" s="59" t="str">
        <f>IFERROR(__xludf.DUMMYFUNCTION("""COMPUTED_VALUE"""),"")</f>
        <v/>
      </c>
      <c r="G25" s="60" t="str">
        <f>IFERROR(__xludf.DUMMYFUNCTION("""COMPUTED_VALUE"""),"")</f>
        <v/>
      </c>
      <c r="H25" s="61" t="str">
        <f t="shared" si="1"/>
        <v/>
      </c>
    </row>
    <row r="26">
      <c r="A26" s="56"/>
      <c r="C26" s="57"/>
      <c r="D26" s="58"/>
      <c r="E26" s="50"/>
      <c r="F26" s="59"/>
      <c r="G26" s="60"/>
      <c r="H26" s="61" t="str">
        <f t="shared" si="1"/>
        <v/>
      </c>
    </row>
    <row r="27">
      <c r="A27" s="56"/>
      <c r="C27" s="57"/>
      <c r="D27" s="58"/>
      <c r="E27" s="50"/>
      <c r="F27" s="59"/>
      <c r="G27" s="60"/>
      <c r="H27" s="61" t="str">
        <f t="shared" si="1"/>
        <v/>
      </c>
    </row>
    <row r="28">
      <c r="A28" s="56"/>
      <c r="C28" s="57"/>
      <c r="D28" s="58"/>
      <c r="E28" s="50"/>
      <c r="F28" s="59"/>
      <c r="G28" s="60"/>
      <c r="H28" s="61" t="str">
        <f t="shared" si="1"/>
        <v/>
      </c>
    </row>
    <row r="29">
      <c r="A29" s="56"/>
      <c r="C29" s="57"/>
      <c r="D29" s="58"/>
      <c r="E29" s="50"/>
      <c r="F29" s="59"/>
      <c r="G29" s="60"/>
      <c r="H29" s="61" t="str">
        <f t="shared" si="1"/>
        <v/>
      </c>
    </row>
    <row r="30">
      <c r="A30" s="56"/>
      <c r="C30" s="57"/>
      <c r="D30" s="58"/>
      <c r="E30" s="50"/>
      <c r="F30" s="59"/>
      <c r="G30" s="60"/>
      <c r="H30" s="61" t="str">
        <f t="shared" si="1"/>
        <v/>
      </c>
    </row>
    <row r="31">
      <c r="A31" s="56"/>
      <c r="C31" s="57"/>
      <c r="D31" s="58"/>
      <c r="E31" s="50"/>
      <c r="F31" s="59"/>
      <c r="G31" s="60"/>
      <c r="H31" s="61" t="str">
        <f t="shared" si="1"/>
        <v/>
      </c>
    </row>
    <row r="32">
      <c r="A32" s="56"/>
      <c r="C32" s="57"/>
      <c r="D32" s="58"/>
      <c r="E32" s="50"/>
      <c r="F32" s="59"/>
      <c r="G32" s="60"/>
      <c r="H32" s="61" t="str">
        <f t="shared" si="1"/>
        <v/>
      </c>
    </row>
    <row r="33">
      <c r="A33" s="56"/>
      <c r="C33" s="57"/>
      <c r="D33" s="58"/>
      <c r="E33" s="50"/>
      <c r="F33" s="59"/>
      <c r="G33" s="60"/>
      <c r="H33" s="61" t="str">
        <f t="shared" si="1"/>
        <v/>
      </c>
    </row>
    <row r="34">
      <c r="A34" s="56"/>
      <c r="C34" s="57"/>
      <c r="D34" s="58"/>
      <c r="E34" s="50"/>
      <c r="F34" s="59"/>
      <c r="G34" s="60"/>
      <c r="H34" s="61" t="str">
        <f t="shared" si="1"/>
        <v/>
      </c>
    </row>
    <row r="35">
      <c r="A35" s="56"/>
      <c r="C35" s="57"/>
      <c r="D35" s="58"/>
      <c r="E35" s="50"/>
      <c r="F35" s="59"/>
      <c r="G35" s="60"/>
      <c r="H35" s="61" t="str">
        <f t="shared" si="1"/>
        <v/>
      </c>
    </row>
    <row r="36">
      <c r="A36" s="56"/>
      <c r="C36" s="57"/>
      <c r="D36" s="58"/>
      <c r="E36" s="50"/>
      <c r="F36" s="59"/>
      <c r="G36" s="60"/>
      <c r="H36" s="61" t="str">
        <f t="shared" si="1"/>
        <v/>
      </c>
    </row>
    <row r="37">
      <c r="A37" s="56"/>
      <c r="C37" s="57"/>
      <c r="D37" s="58"/>
      <c r="E37" s="50"/>
      <c r="F37" s="59"/>
      <c r="G37" s="60"/>
      <c r="H37" s="61" t="str">
        <f t="shared" si="1"/>
        <v/>
      </c>
    </row>
    <row r="38">
      <c r="A38" s="56"/>
      <c r="C38" s="57"/>
      <c r="D38" s="58"/>
      <c r="E38" s="50"/>
      <c r="F38" s="59"/>
      <c r="G38" s="60"/>
      <c r="H38" s="61" t="str">
        <f t="shared" si="1"/>
        <v/>
      </c>
    </row>
    <row r="39">
      <c r="A39" s="56"/>
      <c r="C39" s="57"/>
      <c r="D39" s="58"/>
      <c r="E39" s="50"/>
      <c r="F39" s="59"/>
      <c r="G39" s="60"/>
      <c r="H39" s="61" t="str">
        <f t="shared" si="1"/>
        <v/>
      </c>
    </row>
    <row r="40">
      <c r="A40" s="56"/>
      <c r="C40" s="57"/>
      <c r="D40" s="58"/>
      <c r="E40" s="50"/>
      <c r="F40" s="59"/>
      <c r="G40" s="60"/>
      <c r="H40" s="61" t="str">
        <f t="shared" si="1"/>
        <v/>
      </c>
    </row>
    <row r="41">
      <c r="A41" s="56"/>
      <c r="C41" s="57"/>
      <c r="D41" s="58"/>
      <c r="E41" s="50"/>
      <c r="F41" s="59"/>
      <c r="G41" s="60"/>
      <c r="H41" s="61" t="str">
        <f t="shared" si="1"/>
        <v/>
      </c>
    </row>
    <row r="42">
      <c r="A42" s="56"/>
      <c r="C42" s="57"/>
      <c r="D42" s="58"/>
      <c r="E42" s="50"/>
      <c r="F42" s="59"/>
      <c r="G42" s="60"/>
      <c r="H42" s="61" t="str">
        <f t="shared" si="1"/>
        <v/>
      </c>
    </row>
    <row r="43">
      <c r="A43" s="56"/>
      <c r="C43" s="57"/>
      <c r="D43" s="58"/>
      <c r="E43" s="50"/>
      <c r="F43" s="59"/>
      <c r="G43" s="60"/>
      <c r="H43" s="61" t="str">
        <f t="shared" si="1"/>
        <v/>
      </c>
    </row>
    <row r="44">
      <c r="A44" s="56"/>
      <c r="C44" s="57"/>
      <c r="D44" s="58"/>
      <c r="E44" s="50"/>
      <c r="F44" s="59"/>
      <c r="G44" s="60"/>
      <c r="H44" s="61" t="str">
        <f t="shared" si="1"/>
        <v/>
      </c>
    </row>
    <row r="45">
      <c r="A45" s="56"/>
      <c r="C45" s="57"/>
      <c r="D45" s="58"/>
      <c r="E45" s="50"/>
      <c r="F45" s="59"/>
      <c r="G45" s="60"/>
      <c r="H45" s="61" t="str">
        <f t="shared" si="1"/>
        <v/>
      </c>
    </row>
    <row r="46">
      <c r="A46" s="56"/>
      <c r="C46" s="57"/>
      <c r="D46" s="58"/>
      <c r="E46" s="50"/>
      <c r="F46" s="59"/>
      <c r="G46" s="60"/>
      <c r="H46" s="61" t="str">
        <f t="shared" si="1"/>
        <v/>
      </c>
    </row>
    <row r="47">
      <c r="A47" s="56"/>
      <c r="C47" s="57"/>
      <c r="D47" s="58"/>
      <c r="E47" s="50"/>
      <c r="F47" s="59"/>
      <c r="G47" s="60"/>
      <c r="H47" s="61" t="str">
        <f t="shared" si="1"/>
        <v/>
      </c>
    </row>
    <row r="48">
      <c r="A48" s="56"/>
      <c r="C48" s="57"/>
      <c r="D48" s="58"/>
      <c r="E48" s="50"/>
      <c r="F48" s="59"/>
      <c r="G48" s="60"/>
      <c r="H48" s="61" t="str">
        <f t="shared" si="1"/>
        <v/>
      </c>
    </row>
    <row r="49">
      <c r="A49" s="56"/>
      <c r="C49" s="57"/>
      <c r="D49" s="58"/>
      <c r="E49" s="50"/>
      <c r="F49" s="59"/>
      <c r="G49" s="60"/>
      <c r="H49" s="61" t="str">
        <f t="shared" si="1"/>
        <v/>
      </c>
    </row>
    <row r="50">
      <c r="A50" s="56"/>
      <c r="C50" s="57"/>
      <c r="D50" s="58"/>
      <c r="E50" s="50"/>
      <c r="F50" s="59"/>
      <c r="G50" s="60"/>
      <c r="H50" s="61" t="str">
        <f t="shared" si="1"/>
        <v/>
      </c>
    </row>
    <row r="51">
      <c r="A51" s="56"/>
      <c r="C51" s="57"/>
      <c r="D51" s="58"/>
      <c r="E51" s="50"/>
      <c r="F51" s="59"/>
      <c r="G51" s="60"/>
      <c r="H51" s="61" t="str">
        <f t="shared" si="1"/>
        <v/>
      </c>
    </row>
    <row r="52">
      <c r="A52" s="56"/>
      <c r="C52" s="57"/>
      <c r="D52" s="58"/>
      <c r="E52" s="50"/>
      <c r="F52" s="59"/>
      <c r="G52" s="60"/>
      <c r="H52" s="61" t="str">
        <f t="shared" si="1"/>
        <v/>
      </c>
    </row>
    <row r="53">
      <c r="A53" s="56"/>
      <c r="C53" s="57"/>
      <c r="D53" s="58"/>
      <c r="E53" s="50"/>
      <c r="F53" s="59"/>
      <c r="G53" s="60"/>
      <c r="H53" s="61" t="str">
        <f t="shared" si="1"/>
        <v/>
      </c>
    </row>
    <row r="54">
      <c r="A54" s="56"/>
      <c r="C54" s="57"/>
      <c r="D54" s="58"/>
      <c r="E54" s="50"/>
      <c r="F54" s="59"/>
      <c r="G54" s="60"/>
      <c r="H54" s="61" t="str">
        <f t="shared" si="1"/>
        <v/>
      </c>
    </row>
    <row r="55">
      <c r="A55" s="56"/>
      <c r="C55" s="57"/>
      <c r="D55" s="58"/>
      <c r="E55" s="50"/>
      <c r="F55" s="59"/>
      <c r="G55" s="60"/>
      <c r="H55" s="61" t="str">
        <f t="shared" si="1"/>
        <v/>
      </c>
    </row>
    <row r="56">
      <c r="A56" s="56"/>
      <c r="C56" s="57"/>
      <c r="D56" s="58"/>
      <c r="E56" s="50"/>
      <c r="F56" s="59"/>
      <c r="G56" s="60"/>
      <c r="H56" s="61" t="str">
        <f t="shared" si="1"/>
        <v/>
      </c>
    </row>
    <row r="57">
      <c r="A57" s="56"/>
      <c r="C57" s="57"/>
      <c r="D57" s="58"/>
      <c r="E57" s="50"/>
      <c r="F57" s="59"/>
      <c r="G57" s="60"/>
      <c r="H57" s="61" t="str">
        <f t="shared" si="1"/>
        <v/>
      </c>
    </row>
    <row r="58">
      <c r="A58" s="56"/>
      <c r="C58" s="57"/>
      <c r="D58" s="58"/>
      <c r="E58" s="50"/>
      <c r="F58" s="59"/>
      <c r="G58" s="60"/>
      <c r="H58" s="61" t="str">
        <f t="shared" si="1"/>
        <v/>
      </c>
    </row>
    <row r="59">
      <c r="A59" s="56"/>
      <c r="C59" s="57"/>
      <c r="D59" s="58"/>
      <c r="E59" s="50"/>
      <c r="F59" s="59"/>
      <c r="G59" s="60"/>
      <c r="H59" s="61" t="str">
        <f t="shared" si="1"/>
        <v/>
      </c>
    </row>
    <row r="60">
      <c r="A60" s="56"/>
      <c r="C60" s="57"/>
      <c r="D60" s="58"/>
      <c r="E60" s="50"/>
      <c r="F60" s="59"/>
      <c r="G60" s="60"/>
      <c r="H60" s="61" t="str">
        <f t="shared" si="1"/>
        <v/>
      </c>
    </row>
    <row r="61">
      <c r="A61" s="56"/>
      <c r="C61" s="57"/>
      <c r="D61" s="58"/>
      <c r="E61" s="50"/>
      <c r="F61" s="59"/>
      <c r="G61" s="60"/>
      <c r="H61" s="61" t="str">
        <f t="shared" si="1"/>
        <v/>
      </c>
    </row>
    <row r="62">
      <c r="A62" s="56"/>
      <c r="C62" s="57"/>
      <c r="D62" s="58"/>
      <c r="E62" s="50"/>
      <c r="F62" s="59"/>
      <c r="G62" s="60"/>
      <c r="H62" s="61" t="str">
        <f t="shared" si="1"/>
        <v/>
      </c>
    </row>
    <row r="63">
      <c r="A63" s="56"/>
      <c r="C63" s="57"/>
      <c r="D63" s="58"/>
      <c r="E63" s="50"/>
      <c r="F63" s="59"/>
      <c r="G63" s="60"/>
      <c r="H63" s="61" t="str">
        <f t="shared" si="1"/>
        <v/>
      </c>
    </row>
    <row r="64">
      <c r="A64" s="56"/>
      <c r="C64" s="57"/>
      <c r="D64" s="58"/>
      <c r="E64" s="50"/>
      <c r="F64" s="59"/>
      <c r="G64" s="60"/>
      <c r="H64" s="61" t="str">
        <f t="shared" si="1"/>
        <v/>
      </c>
    </row>
    <row r="65">
      <c r="A65" s="56"/>
      <c r="C65" s="57"/>
      <c r="D65" s="58"/>
      <c r="E65" s="50"/>
      <c r="F65" s="59"/>
      <c r="G65" s="60"/>
      <c r="H65" s="61" t="str">
        <f t="shared" si="1"/>
        <v/>
      </c>
    </row>
    <row r="66">
      <c r="A66" s="56"/>
      <c r="C66" s="57"/>
      <c r="D66" s="58"/>
      <c r="E66" s="50"/>
      <c r="F66" s="59"/>
      <c r="G66" s="60"/>
      <c r="H66" s="61" t="str">
        <f t="shared" si="1"/>
        <v/>
      </c>
    </row>
    <row r="67">
      <c r="A67" s="56"/>
      <c r="C67" s="57"/>
      <c r="D67" s="58"/>
      <c r="E67" s="50"/>
      <c r="F67" s="59"/>
      <c r="G67" s="60"/>
      <c r="H67" s="61" t="str">
        <f t="shared" si="1"/>
        <v/>
      </c>
    </row>
    <row r="68">
      <c r="A68" s="56"/>
      <c r="C68" s="57"/>
      <c r="D68" s="58"/>
      <c r="E68" s="50"/>
      <c r="F68" s="59"/>
      <c r="G68" s="60"/>
      <c r="H68" s="61" t="str">
        <f t="shared" si="1"/>
        <v/>
      </c>
    </row>
    <row r="69">
      <c r="A69" s="56"/>
      <c r="C69" s="57"/>
      <c r="D69" s="58"/>
      <c r="E69" s="50"/>
      <c r="F69" s="59"/>
      <c r="G69" s="60"/>
      <c r="H69" s="61" t="str">
        <f t="shared" si="1"/>
        <v/>
      </c>
    </row>
    <row r="70">
      <c r="A70" s="56"/>
      <c r="C70" s="57"/>
      <c r="D70" s="58"/>
      <c r="E70" s="50"/>
      <c r="F70" s="59"/>
      <c r="G70" s="60"/>
      <c r="H70" s="61" t="str">
        <f t="shared" si="1"/>
        <v/>
      </c>
    </row>
    <row r="71">
      <c r="A71" s="56"/>
      <c r="C71" s="57"/>
      <c r="D71" s="58"/>
      <c r="E71" s="50"/>
      <c r="F71" s="59"/>
      <c r="G71" s="60"/>
      <c r="H71" s="61" t="str">
        <f t="shared" si="1"/>
        <v/>
      </c>
    </row>
    <row r="72">
      <c r="A72" s="56"/>
      <c r="C72" s="57"/>
      <c r="D72" s="58"/>
      <c r="E72" s="50"/>
      <c r="F72" s="59"/>
      <c r="G72" s="60"/>
      <c r="H72" s="61" t="str">
        <f t="shared" si="1"/>
        <v/>
      </c>
    </row>
    <row r="73">
      <c r="A73" s="56"/>
      <c r="C73" s="57"/>
      <c r="D73" s="58"/>
      <c r="E73" s="50"/>
      <c r="F73" s="59"/>
      <c r="G73" s="60"/>
      <c r="H73" s="61" t="str">
        <f t="shared" si="1"/>
        <v/>
      </c>
    </row>
    <row r="74">
      <c r="A74" s="56"/>
      <c r="C74" s="57"/>
      <c r="D74" s="58"/>
      <c r="E74" s="50"/>
      <c r="F74" s="59"/>
      <c r="G74" s="60"/>
      <c r="H74" s="61" t="str">
        <f t="shared" si="1"/>
        <v/>
      </c>
    </row>
    <row r="75">
      <c r="A75" s="56"/>
      <c r="C75" s="57"/>
      <c r="D75" s="58"/>
      <c r="E75" s="50"/>
      <c r="F75" s="59"/>
      <c r="G75" s="60"/>
      <c r="H75" s="61" t="str">
        <f t="shared" si="1"/>
        <v/>
      </c>
    </row>
    <row r="76">
      <c r="A76" s="56"/>
      <c r="C76" s="57"/>
      <c r="D76" s="58"/>
      <c r="E76" s="50"/>
      <c r="F76" s="59"/>
      <c r="G76" s="60"/>
      <c r="H76" s="61" t="str">
        <f t="shared" si="1"/>
        <v/>
      </c>
    </row>
    <row r="77">
      <c r="A77" s="56"/>
      <c r="C77" s="57"/>
      <c r="D77" s="58"/>
      <c r="E77" s="50"/>
      <c r="F77" s="59"/>
      <c r="G77" s="60"/>
      <c r="H77" s="61" t="str">
        <f t="shared" si="1"/>
        <v/>
      </c>
    </row>
    <row r="78">
      <c r="A78" s="56"/>
      <c r="C78" s="57"/>
      <c r="D78" s="58"/>
      <c r="E78" s="50"/>
      <c r="F78" s="59"/>
      <c r="G78" s="60"/>
      <c r="H78" s="61" t="str">
        <f t="shared" si="1"/>
        <v/>
      </c>
    </row>
    <row r="79">
      <c r="A79" s="56"/>
      <c r="C79" s="57"/>
      <c r="D79" s="58"/>
      <c r="E79" s="50"/>
      <c r="F79" s="59"/>
      <c r="G79" s="60"/>
      <c r="H79" s="61" t="str">
        <f t="shared" si="1"/>
        <v/>
      </c>
    </row>
    <row r="80">
      <c r="A80" s="56"/>
      <c r="C80" s="57"/>
      <c r="D80" s="58"/>
      <c r="E80" s="50"/>
      <c r="F80" s="59"/>
      <c r="G80" s="60"/>
      <c r="H80" s="61" t="str">
        <f t="shared" si="1"/>
        <v/>
      </c>
    </row>
    <row r="81">
      <c r="A81" s="56"/>
      <c r="C81" s="57"/>
      <c r="D81" s="58"/>
      <c r="E81" s="50"/>
      <c r="F81" s="59"/>
      <c r="G81" s="60"/>
      <c r="H81" s="61" t="str">
        <f t="shared" si="1"/>
        <v/>
      </c>
    </row>
    <row r="82">
      <c r="A82" s="56"/>
      <c r="C82" s="57"/>
      <c r="D82" s="58"/>
      <c r="E82" s="50"/>
      <c r="F82" s="59"/>
      <c r="G82" s="60"/>
      <c r="H82" s="61" t="str">
        <f t="shared" si="1"/>
        <v/>
      </c>
    </row>
    <row r="83">
      <c r="A83" s="56"/>
      <c r="C83" s="57"/>
      <c r="D83" s="58"/>
      <c r="E83" s="50"/>
      <c r="F83" s="59"/>
      <c r="G83" s="60"/>
      <c r="H83" s="61" t="str">
        <f t="shared" si="1"/>
        <v/>
      </c>
    </row>
    <row r="84">
      <c r="A84" s="56"/>
      <c r="C84" s="57"/>
      <c r="D84" s="58"/>
      <c r="E84" s="50"/>
      <c r="F84" s="59"/>
      <c r="G84" s="60"/>
      <c r="H84" s="61" t="str">
        <f t="shared" si="1"/>
        <v/>
      </c>
    </row>
    <row r="85">
      <c r="A85" s="56"/>
      <c r="C85" s="57"/>
      <c r="D85" s="58"/>
      <c r="E85" s="50"/>
      <c r="F85" s="59"/>
      <c r="G85" s="60"/>
      <c r="H85" s="61" t="str">
        <f t="shared" si="1"/>
        <v/>
      </c>
    </row>
    <row r="86">
      <c r="A86" s="56"/>
      <c r="C86" s="57"/>
      <c r="D86" s="58"/>
      <c r="E86" s="50"/>
      <c r="F86" s="59"/>
      <c r="G86" s="60"/>
      <c r="H86" s="61" t="str">
        <f t="shared" si="1"/>
        <v/>
      </c>
    </row>
    <row r="87">
      <c r="A87" s="56"/>
      <c r="C87" s="57"/>
      <c r="D87" s="58"/>
      <c r="E87" s="50"/>
      <c r="F87" s="59"/>
      <c r="G87" s="60"/>
      <c r="H87" s="61" t="str">
        <f t="shared" si="1"/>
        <v/>
      </c>
    </row>
    <row r="88">
      <c r="A88" s="56"/>
      <c r="C88" s="57"/>
      <c r="D88" s="58"/>
      <c r="E88" s="50"/>
      <c r="F88" s="59"/>
      <c r="G88" s="60"/>
      <c r="H88" s="61" t="str">
        <f t="shared" si="1"/>
        <v/>
      </c>
    </row>
    <row r="89">
      <c r="A89" s="56"/>
      <c r="C89" s="57"/>
      <c r="D89" s="58"/>
      <c r="E89" s="50"/>
      <c r="F89" s="59"/>
      <c r="G89" s="60"/>
      <c r="H89" s="61" t="str">
        <f t="shared" si="1"/>
        <v/>
      </c>
    </row>
    <row r="90">
      <c r="A90" s="56"/>
      <c r="C90" s="57"/>
      <c r="D90" s="58"/>
      <c r="E90" s="50"/>
      <c r="F90" s="59"/>
      <c r="G90" s="60"/>
      <c r="H90" s="61" t="str">
        <f t="shared" si="1"/>
        <v/>
      </c>
    </row>
    <row r="91">
      <c r="A91" s="56"/>
      <c r="C91" s="57"/>
      <c r="D91" s="58"/>
      <c r="E91" s="50"/>
      <c r="F91" s="59"/>
      <c r="G91" s="60"/>
      <c r="H91" s="61" t="str">
        <f t="shared" si="1"/>
        <v/>
      </c>
    </row>
    <row r="92">
      <c r="A92" s="56"/>
      <c r="C92" s="57"/>
      <c r="D92" s="58"/>
      <c r="E92" s="50"/>
      <c r="F92" s="59"/>
      <c r="G92" s="60"/>
      <c r="H92" s="61" t="str">
        <f t="shared" si="1"/>
        <v/>
      </c>
    </row>
    <row r="93">
      <c r="A93" s="56"/>
      <c r="C93" s="57"/>
      <c r="D93" s="58"/>
      <c r="E93" s="50"/>
      <c r="F93" s="59"/>
      <c r="G93" s="60"/>
      <c r="H93" s="61" t="str">
        <f t="shared" si="1"/>
        <v/>
      </c>
    </row>
    <row r="94">
      <c r="A94" s="56"/>
      <c r="C94" s="57"/>
      <c r="D94" s="58"/>
      <c r="E94" s="50"/>
      <c r="F94" s="59"/>
      <c r="G94" s="60"/>
      <c r="H94" s="61" t="str">
        <f t="shared" si="1"/>
        <v/>
      </c>
    </row>
    <row r="95">
      <c r="A95" s="56"/>
      <c r="C95" s="57"/>
      <c r="D95" s="58"/>
      <c r="E95" s="50"/>
      <c r="F95" s="59"/>
      <c r="G95" s="60"/>
      <c r="H95" s="61" t="str">
        <f t="shared" si="1"/>
        <v/>
      </c>
    </row>
    <row r="96">
      <c r="A96" s="56"/>
      <c r="C96" s="57"/>
      <c r="D96" s="58"/>
      <c r="E96" s="50"/>
      <c r="F96" s="59"/>
      <c r="G96" s="60"/>
      <c r="H96" s="61" t="str">
        <f t="shared" si="1"/>
        <v/>
      </c>
    </row>
    <row r="97">
      <c r="A97" s="56"/>
      <c r="C97" s="57"/>
      <c r="D97" s="58"/>
      <c r="E97" s="50"/>
      <c r="F97" s="59"/>
      <c r="G97" s="60"/>
      <c r="H97" s="61" t="str">
        <f t="shared" si="1"/>
        <v/>
      </c>
    </row>
    <row r="98">
      <c r="A98" s="56"/>
      <c r="C98" s="57"/>
      <c r="D98" s="58"/>
      <c r="E98" s="50"/>
      <c r="F98" s="59"/>
      <c r="G98" s="60"/>
      <c r="H98" s="61" t="str">
        <f t="shared" si="1"/>
        <v/>
      </c>
    </row>
    <row r="99">
      <c r="A99" s="56"/>
      <c r="C99" s="57"/>
      <c r="D99" s="58"/>
      <c r="E99" s="50"/>
      <c r="F99" s="59"/>
      <c r="G99" s="60"/>
      <c r="H99" s="61" t="str">
        <f t="shared" si="1"/>
        <v/>
      </c>
    </row>
    <row r="100">
      <c r="A100" s="56"/>
      <c r="C100" s="57"/>
      <c r="D100" s="58"/>
      <c r="E100" s="50"/>
      <c r="F100" s="59"/>
      <c r="G100" s="60"/>
      <c r="H100" s="61" t="str">
        <f t="shared" si="1"/>
        <v/>
      </c>
    </row>
    <row r="101">
      <c r="A101" s="56"/>
      <c r="C101" s="57"/>
      <c r="D101" s="58"/>
      <c r="E101" s="50"/>
      <c r="F101" s="59"/>
      <c r="G101" s="60"/>
      <c r="H101" s="61" t="str">
        <f t="shared" si="1"/>
        <v/>
      </c>
    </row>
    <row r="102">
      <c r="A102" s="56"/>
      <c r="C102" s="57"/>
      <c r="D102" s="58"/>
      <c r="E102" s="50"/>
      <c r="F102" s="59"/>
      <c r="G102" s="60"/>
      <c r="H102" s="61" t="str">
        <f t="shared" si="1"/>
        <v/>
      </c>
    </row>
    <row r="103">
      <c r="A103" s="56"/>
      <c r="C103" s="57"/>
      <c r="D103" s="58"/>
      <c r="E103" s="50"/>
      <c r="F103" s="59"/>
      <c r="G103" s="60"/>
      <c r="H103" s="61" t="str">
        <f t="shared" si="1"/>
        <v/>
      </c>
    </row>
    <row r="104">
      <c r="A104" s="56"/>
      <c r="C104" s="57"/>
      <c r="D104" s="58"/>
      <c r="E104" s="50"/>
      <c r="F104" s="59"/>
      <c r="G104" s="60"/>
      <c r="H104" s="61" t="str">
        <f t="shared" si="1"/>
        <v/>
      </c>
    </row>
    <row r="105">
      <c r="A105" s="56"/>
      <c r="C105" s="57"/>
      <c r="D105" s="58"/>
      <c r="E105" s="50"/>
      <c r="F105" s="59"/>
      <c r="G105" s="60"/>
      <c r="H105" s="61" t="str">
        <f t="shared" si="1"/>
        <v/>
      </c>
    </row>
    <row r="106">
      <c r="A106" s="56"/>
      <c r="C106" s="57"/>
      <c r="D106" s="58"/>
      <c r="E106" s="50"/>
      <c r="F106" s="59"/>
      <c r="G106" s="60"/>
      <c r="H106" s="61" t="str">
        <f t="shared" si="1"/>
        <v/>
      </c>
    </row>
    <row r="107">
      <c r="A107" s="56"/>
      <c r="C107" s="57"/>
      <c r="D107" s="58"/>
      <c r="E107" s="50"/>
      <c r="F107" s="59"/>
      <c r="G107" s="60"/>
      <c r="H107" s="61" t="str">
        <f t="shared" si="1"/>
        <v/>
      </c>
    </row>
    <row r="108">
      <c r="A108" s="56"/>
      <c r="C108" s="57"/>
      <c r="D108" s="58"/>
      <c r="E108" s="50"/>
      <c r="F108" s="59"/>
      <c r="G108" s="60"/>
      <c r="H108" s="61" t="str">
        <f t="shared" si="1"/>
        <v/>
      </c>
    </row>
    <row r="109">
      <c r="A109" s="56"/>
      <c r="C109" s="57"/>
      <c r="D109" s="58"/>
      <c r="E109" s="50"/>
      <c r="F109" s="59"/>
      <c r="G109" s="60"/>
      <c r="H109" s="61" t="str">
        <f t="shared" si="1"/>
        <v/>
      </c>
    </row>
    <row r="110">
      <c r="A110" s="56"/>
      <c r="C110" s="57"/>
      <c r="D110" s="58"/>
      <c r="E110" s="50"/>
      <c r="F110" s="59"/>
      <c r="G110" s="60"/>
      <c r="H110" s="61" t="str">
        <f t="shared" si="1"/>
        <v/>
      </c>
    </row>
    <row r="111">
      <c r="A111" s="56"/>
      <c r="C111" s="57"/>
      <c r="D111" s="58"/>
      <c r="E111" s="50"/>
      <c r="F111" s="59"/>
      <c r="G111" s="60"/>
      <c r="H111" s="61" t="str">
        <f t="shared" si="1"/>
        <v/>
      </c>
    </row>
    <row r="112">
      <c r="A112" s="56"/>
      <c r="C112" s="57"/>
      <c r="D112" s="58"/>
      <c r="E112" s="50"/>
      <c r="F112" s="59"/>
      <c r="G112" s="60"/>
      <c r="H112" s="61" t="str">
        <f t="shared" si="1"/>
        <v/>
      </c>
    </row>
    <row r="113">
      <c r="A113" s="56"/>
      <c r="C113" s="57"/>
      <c r="D113" s="58"/>
      <c r="E113" s="50"/>
      <c r="F113" s="59"/>
      <c r="G113" s="60"/>
      <c r="H113" s="61" t="str">
        <f t="shared" si="1"/>
        <v/>
      </c>
    </row>
    <row r="114">
      <c r="A114" s="56"/>
      <c r="C114" s="57"/>
      <c r="D114" s="58"/>
      <c r="E114" s="50"/>
      <c r="F114" s="59"/>
      <c r="G114" s="60"/>
      <c r="H114" s="61" t="str">
        <f t="shared" si="1"/>
        <v/>
      </c>
    </row>
    <row r="115">
      <c r="A115" s="56"/>
      <c r="C115" s="57"/>
      <c r="D115" s="58"/>
      <c r="E115" s="50"/>
      <c r="F115" s="59"/>
      <c r="G115" s="60"/>
      <c r="H115" s="61" t="str">
        <f t="shared" si="1"/>
        <v/>
      </c>
    </row>
    <row r="116">
      <c r="A116" s="56"/>
      <c r="C116" s="57"/>
      <c r="D116" s="58"/>
      <c r="E116" s="50"/>
      <c r="F116" s="59"/>
      <c r="G116" s="60"/>
      <c r="H116" s="61" t="str">
        <f t="shared" si="1"/>
        <v/>
      </c>
    </row>
    <row r="117">
      <c r="A117" s="56"/>
      <c r="C117" s="57"/>
      <c r="D117" s="58"/>
      <c r="E117" s="50"/>
      <c r="F117" s="59"/>
      <c r="G117" s="60"/>
      <c r="H117" s="61" t="str">
        <f t="shared" si="1"/>
        <v/>
      </c>
    </row>
    <row r="118">
      <c r="A118" s="56"/>
      <c r="C118" s="57"/>
      <c r="D118" s="58"/>
      <c r="E118" s="50"/>
      <c r="F118" s="59"/>
      <c r="G118" s="60"/>
      <c r="H118" s="61" t="str">
        <f t="shared" si="1"/>
        <v/>
      </c>
    </row>
    <row r="119">
      <c r="A119" s="56"/>
      <c r="C119" s="57"/>
      <c r="D119" s="58"/>
      <c r="E119" s="50"/>
      <c r="F119" s="59"/>
      <c r="G119" s="60"/>
      <c r="H119" s="61" t="str">
        <f t="shared" si="1"/>
        <v/>
      </c>
    </row>
    <row r="120">
      <c r="A120" s="56"/>
      <c r="C120" s="57"/>
      <c r="D120" s="58"/>
      <c r="E120" s="50"/>
      <c r="F120" s="59"/>
      <c r="G120" s="60"/>
      <c r="H120" s="61" t="str">
        <f t="shared" si="1"/>
        <v/>
      </c>
    </row>
    <row r="121">
      <c r="A121" s="56"/>
      <c r="C121" s="57"/>
      <c r="D121" s="58"/>
      <c r="E121" s="50"/>
      <c r="F121" s="59"/>
      <c r="G121" s="60"/>
      <c r="H121" s="61" t="str">
        <f t="shared" si="1"/>
        <v/>
      </c>
    </row>
    <row r="122">
      <c r="A122" s="56"/>
      <c r="C122" s="57"/>
      <c r="D122" s="58"/>
      <c r="E122" s="50"/>
      <c r="F122" s="59"/>
      <c r="G122" s="60"/>
      <c r="H122" s="61" t="str">
        <f t="shared" si="1"/>
        <v/>
      </c>
    </row>
    <row r="123">
      <c r="A123" s="56"/>
      <c r="C123" s="57"/>
      <c r="D123" s="58"/>
      <c r="E123" s="50"/>
      <c r="F123" s="59"/>
      <c r="G123" s="60"/>
      <c r="H123" s="61" t="str">
        <f t="shared" si="1"/>
        <v/>
      </c>
    </row>
    <row r="124">
      <c r="A124" s="56"/>
      <c r="C124" s="57"/>
      <c r="D124" s="58"/>
      <c r="E124" s="50"/>
      <c r="F124" s="59"/>
      <c r="G124" s="60"/>
      <c r="H124" s="61" t="str">
        <f t="shared" si="1"/>
        <v/>
      </c>
    </row>
    <row r="125">
      <c r="A125" s="56"/>
      <c r="C125" s="57"/>
      <c r="D125" s="58"/>
      <c r="E125" s="50"/>
      <c r="F125" s="59"/>
      <c r="G125" s="60"/>
      <c r="H125" s="61" t="str">
        <f t="shared" si="1"/>
        <v/>
      </c>
    </row>
    <row r="126">
      <c r="A126" s="56"/>
      <c r="C126" s="57"/>
      <c r="D126" s="58"/>
      <c r="E126" s="50"/>
      <c r="F126" s="59"/>
      <c r="G126" s="60"/>
      <c r="H126" s="61" t="str">
        <f t="shared" si="1"/>
        <v/>
      </c>
    </row>
    <row r="127">
      <c r="A127" s="56"/>
      <c r="C127" s="57"/>
      <c r="D127" s="58"/>
      <c r="E127" s="50"/>
      <c r="F127" s="59"/>
      <c r="G127" s="60"/>
      <c r="H127" s="61" t="str">
        <f t="shared" si="1"/>
        <v/>
      </c>
    </row>
    <row r="128">
      <c r="A128" s="56"/>
      <c r="C128" s="57"/>
      <c r="D128" s="58"/>
      <c r="E128" s="50"/>
      <c r="F128" s="59"/>
      <c r="G128" s="60"/>
      <c r="H128" s="61" t="str">
        <f t="shared" si="1"/>
        <v/>
      </c>
    </row>
    <row r="129">
      <c r="A129" s="56"/>
      <c r="C129" s="57"/>
      <c r="D129" s="58"/>
      <c r="E129" s="50"/>
      <c r="F129" s="59"/>
      <c r="G129" s="60"/>
      <c r="H129" s="61" t="str">
        <f t="shared" si="1"/>
        <v/>
      </c>
    </row>
    <row r="130">
      <c r="A130" s="56"/>
      <c r="C130" s="57"/>
      <c r="D130" s="58"/>
      <c r="E130" s="50"/>
      <c r="F130" s="59"/>
      <c r="G130" s="60"/>
      <c r="H130" s="61" t="str">
        <f t="shared" si="1"/>
        <v/>
      </c>
    </row>
    <row r="131">
      <c r="A131" s="56"/>
      <c r="C131" s="57"/>
      <c r="D131" s="58"/>
      <c r="E131" s="50"/>
      <c r="F131" s="59"/>
      <c r="G131" s="60"/>
      <c r="H131" s="61" t="str">
        <f t="shared" si="1"/>
        <v/>
      </c>
    </row>
    <row r="132">
      <c r="A132" s="56"/>
      <c r="C132" s="57"/>
      <c r="D132" s="58"/>
      <c r="E132" s="50"/>
      <c r="F132" s="59"/>
      <c r="G132" s="60"/>
      <c r="H132" s="61" t="str">
        <f t="shared" si="1"/>
        <v/>
      </c>
    </row>
    <row r="133">
      <c r="A133" s="56"/>
      <c r="C133" s="57"/>
      <c r="D133" s="58"/>
      <c r="E133" s="50"/>
      <c r="F133" s="59"/>
      <c r="G133" s="60"/>
      <c r="H133" s="61" t="str">
        <f t="shared" si="1"/>
        <v/>
      </c>
    </row>
    <row r="134">
      <c r="A134" s="56"/>
      <c r="C134" s="57"/>
      <c r="D134" s="58"/>
      <c r="E134" s="50"/>
      <c r="F134" s="59"/>
      <c r="G134" s="60"/>
      <c r="H134" s="61" t="str">
        <f t="shared" si="1"/>
        <v/>
      </c>
    </row>
    <row r="135">
      <c r="A135" s="56"/>
      <c r="C135" s="57"/>
      <c r="D135" s="58"/>
      <c r="E135" s="50"/>
      <c r="F135" s="59"/>
      <c r="G135" s="60"/>
      <c r="H135" s="61" t="str">
        <f t="shared" si="1"/>
        <v/>
      </c>
    </row>
    <row r="136">
      <c r="A136" s="56"/>
      <c r="C136" s="57"/>
      <c r="D136" s="58"/>
      <c r="E136" s="50"/>
      <c r="F136" s="59"/>
      <c r="G136" s="60"/>
      <c r="H136" s="61" t="str">
        <f t="shared" si="1"/>
        <v/>
      </c>
    </row>
    <row r="137">
      <c r="A137" s="56"/>
      <c r="C137" s="57"/>
      <c r="D137" s="58"/>
      <c r="E137" s="50"/>
      <c r="F137" s="59"/>
      <c r="G137" s="60"/>
      <c r="H137" s="61" t="str">
        <f t="shared" si="1"/>
        <v/>
      </c>
    </row>
    <row r="138">
      <c r="A138" s="56"/>
      <c r="C138" s="57"/>
      <c r="D138" s="58"/>
      <c r="E138" s="50"/>
      <c r="F138" s="59"/>
      <c r="G138" s="60"/>
      <c r="H138" s="61" t="str">
        <f t="shared" si="1"/>
        <v/>
      </c>
    </row>
    <row r="139">
      <c r="A139" s="56"/>
      <c r="C139" s="57"/>
      <c r="D139" s="58"/>
      <c r="E139" s="50"/>
      <c r="F139" s="59"/>
      <c r="G139" s="60"/>
      <c r="H139" s="61" t="str">
        <f t="shared" si="1"/>
        <v/>
      </c>
    </row>
    <row r="140">
      <c r="A140" s="56"/>
      <c r="C140" s="57"/>
      <c r="D140" s="58"/>
      <c r="E140" s="50"/>
      <c r="F140" s="59"/>
      <c r="G140" s="60"/>
      <c r="H140" s="61" t="str">
        <f t="shared" si="1"/>
        <v/>
      </c>
    </row>
    <row r="141">
      <c r="A141" s="56"/>
      <c r="C141" s="57"/>
      <c r="D141" s="58"/>
      <c r="E141" s="50"/>
      <c r="F141" s="59"/>
      <c r="G141" s="60"/>
      <c r="H141" s="61" t="str">
        <f t="shared" si="1"/>
        <v/>
      </c>
    </row>
    <row r="142">
      <c r="A142" s="56"/>
      <c r="C142" s="57"/>
      <c r="D142" s="58"/>
      <c r="E142" s="50"/>
      <c r="F142" s="59"/>
      <c r="G142" s="60"/>
      <c r="H142" s="61" t="str">
        <f t="shared" si="1"/>
        <v/>
      </c>
    </row>
    <row r="143">
      <c r="A143" s="56"/>
      <c r="C143" s="57"/>
      <c r="D143" s="58"/>
      <c r="E143" s="50"/>
      <c r="F143" s="59"/>
      <c r="G143" s="60"/>
      <c r="H143" s="61" t="str">
        <f t="shared" si="1"/>
        <v/>
      </c>
    </row>
    <row r="144">
      <c r="A144" s="56"/>
      <c r="C144" s="57"/>
      <c r="D144" s="58"/>
      <c r="E144" s="50"/>
      <c r="F144" s="59"/>
      <c r="G144" s="60"/>
      <c r="H144" s="61" t="str">
        <f t="shared" si="1"/>
        <v/>
      </c>
    </row>
    <row r="145">
      <c r="A145" s="56"/>
      <c r="C145" s="57"/>
      <c r="D145" s="58"/>
      <c r="E145" s="50"/>
      <c r="F145" s="59"/>
      <c r="G145" s="60"/>
      <c r="H145" s="61" t="str">
        <f t="shared" si="1"/>
        <v/>
      </c>
    </row>
    <row r="146">
      <c r="A146" s="56"/>
      <c r="C146" s="57"/>
      <c r="D146" s="58"/>
      <c r="E146" s="50"/>
      <c r="F146" s="59"/>
      <c r="G146" s="60"/>
      <c r="H146" s="61" t="str">
        <f t="shared" si="1"/>
        <v/>
      </c>
    </row>
    <row r="147">
      <c r="A147" s="56"/>
      <c r="C147" s="57"/>
      <c r="D147" s="58"/>
      <c r="E147" s="50"/>
      <c r="F147" s="59"/>
      <c r="G147" s="60"/>
      <c r="H147" s="61" t="str">
        <f t="shared" si="1"/>
        <v/>
      </c>
    </row>
    <row r="148">
      <c r="A148" s="56"/>
      <c r="C148" s="57"/>
      <c r="D148" s="58"/>
      <c r="E148" s="50"/>
      <c r="F148" s="59"/>
      <c r="G148" s="60"/>
      <c r="H148" s="61" t="str">
        <f t="shared" si="1"/>
        <v/>
      </c>
    </row>
    <row r="149">
      <c r="A149" s="56"/>
      <c r="C149" s="57"/>
      <c r="D149" s="58"/>
      <c r="E149" s="50"/>
      <c r="F149" s="59"/>
      <c r="G149" s="60"/>
      <c r="H149" s="61" t="str">
        <f t="shared" si="1"/>
        <v/>
      </c>
    </row>
    <row r="150">
      <c r="A150" s="56"/>
      <c r="C150" s="57"/>
      <c r="D150" s="58"/>
      <c r="E150" s="50"/>
      <c r="F150" s="59"/>
      <c r="G150" s="60"/>
      <c r="H150" s="61" t="str">
        <f t="shared" si="1"/>
        <v/>
      </c>
    </row>
    <row r="151">
      <c r="A151" s="56"/>
      <c r="C151" s="57"/>
      <c r="D151" s="58"/>
      <c r="E151" s="50"/>
      <c r="F151" s="59"/>
      <c r="G151" s="60"/>
      <c r="H151" s="61" t="str">
        <f t="shared" si="1"/>
        <v/>
      </c>
    </row>
    <row r="152">
      <c r="A152" s="56"/>
      <c r="C152" s="57"/>
      <c r="D152" s="58"/>
      <c r="E152" s="50"/>
      <c r="F152" s="59"/>
      <c r="G152" s="60"/>
      <c r="H152" s="61" t="str">
        <f t="shared" si="1"/>
        <v/>
      </c>
    </row>
    <row r="153">
      <c r="A153" s="56"/>
      <c r="C153" s="57"/>
      <c r="D153" s="58"/>
      <c r="E153" s="50"/>
      <c r="F153" s="59"/>
      <c r="G153" s="60"/>
      <c r="H153" s="61" t="str">
        <f t="shared" si="1"/>
        <v/>
      </c>
    </row>
    <row r="154">
      <c r="A154" s="56"/>
      <c r="C154" s="57"/>
      <c r="D154" s="58"/>
      <c r="E154" s="50"/>
      <c r="F154" s="59"/>
      <c r="G154" s="60"/>
      <c r="H154" s="61" t="str">
        <f t="shared" si="1"/>
        <v/>
      </c>
    </row>
    <row r="155">
      <c r="A155" s="56"/>
      <c r="C155" s="57"/>
      <c r="D155" s="58"/>
      <c r="E155" s="50"/>
      <c r="F155" s="59"/>
      <c r="G155" s="60"/>
      <c r="H155" s="61" t="str">
        <f t="shared" si="1"/>
        <v/>
      </c>
    </row>
    <row r="156">
      <c r="A156" s="56"/>
      <c r="C156" s="57"/>
      <c r="D156" s="58"/>
      <c r="E156" s="50"/>
      <c r="F156" s="59"/>
      <c r="G156" s="60"/>
      <c r="H156" s="61" t="str">
        <f t="shared" si="1"/>
        <v/>
      </c>
    </row>
    <row r="157">
      <c r="A157" s="56"/>
      <c r="C157" s="57"/>
      <c r="D157" s="58"/>
      <c r="E157" s="50"/>
      <c r="F157" s="59"/>
      <c r="G157" s="60"/>
      <c r="H157" s="61" t="str">
        <f t="shared" si="1"/>
        <v/>
      </c>
    </row>
    <row r="158">
      <c r="A158" s="56"/>
      <c r="C158" s="57"/>
      <c r="D158" s="58"/>
      <c r="E158" s="50"/>
      <c r="F158" s="59"/>
      <c r="G158" s="60"/>
      <c r="H158" s="61" t="str">
        <f t="shared" si="1"/>
        <v/>
      </c>
    </row>
    <row r="159">
      <c r="A159" s="56"/>
      <c r="C159" s="57"/>
      <c r="D159" s="58"/>
      <c r="E159" s="50"/>
      <c r="F159" s="59"/>
      <c r="G159" s="60"/>
      <c r="H159" s="61" t="str">
        <f t="shared" si="1"/>
        <v/>
      </c>
    </row>
    <row r="160">
      <c r="A160" s="56"/>
      <c r="C160" s="57"/>
      <c r="D160" s="58"/>
      <c r="E160" s="50"/>
      <c r="F160" s="59"/>
      <c r="G160" s="60"/>
      <c r="H160" s="61" t="str">
        <f t="shared" si="1"/>
        <v/>
      </c>
    </row>
    <row r="161">
      <c r="A161" s="56"/>
      <c r="C161" s="57"/>
      <c r="D161" s="58"/>
      <c r="E161" s="50"/>
      <c r="F161" s="59"/>
      <c r="G161" s="60"/>
      <c r="H161" s="61" t="str">
        <f t="shared" si="1"/>
        <v/>
      </c>
    </row>
    <row r="162">
      <c r="A162" s="56"/>
      <c r="C162" s="57"/>
      <c r="D162" s="58"/>
      <c r="E162" s="50"/>
      <c r="F162" s="59"/>
      <c r="G162" s="60"/>
      <c r="H162" s="61" t="str">
        <f t="shared" si="1"/>
        <v/>
      </c>
    </row>
    <row r="163">
      <c r="A163" s="56"/>
      <c r="C163" s="57"/>
      <c r="D163" s="58"/>
      <c r="E163" s="50"/>
      <c r="F163" s="59"/>
      <c r="G163" s="60"/>
      <c r="H163" s="61" t="str">
        <f t="shared" si="1"/>
        <v/>
      </c>
    </row>
    <row r="164">
      <c r="A164" s="56"/>
      <c r="C164" s="57"/>
      <c r="D164" s="58"/>
      <c r="E164" s="50"/>
      <c r="F164" s="59"/>
      <c r="G164" s="60"/>
      <c r="H164" s="61" t="str">
        <f t="shared" si="1"/>
        <v/>
      </c>
    </row>
    <row r="165">
      <c r="A165" s="56"/>
      <c r="C165" s="57"/>
      <c r="D165" s="58"/>
      <c r="E165" s="50"/>
      <c r="F165" s="59"/>
      <c r="G165" s="60"/>
      <c r="H165" s="61" t="str">
        <f t="shared" si="1"/>
        <v/>
      </c>
    </row>
    <row r="166">
      <c r="A166" s="56"/>
      <c r="C166" s="57"/>
      <c r="D166" s="58"/>
      <c r="E166" s="50"/>
      <c r="F166" s="59"/>
      <c r="G166" s="60"/>
      <c r="H166" s="61" t="str">
        <f t="shared" si="1"/>
        <v/>
      </c>
    </row>
    <row r="167">
      <c r="A167" s="56"/>
      <c r="C167" s="57"/>
      <c r="D167" s="58"/>
      <c r="E167" s="50"/>
      <c r="F167" s="59"/>
      <c r="G167" s="60"/>
      <c r="H167" s="61" t="str">
        <f t="shared" si="1"/>
        <v/>
      </c>
    </row>
    <row r="168">
      <c r="A168" s="56"/>
      <c r="C168" s="57"/>
      <c r="D168" s="58"/>
      <c r="E168" s="50"/>
      <c r="F168" s="59"/>
      <c r="G168" s="60"/>
      <c r="H168" s="61" t="str">
        <f t="shared" si="1"/>
        <v/>
      </c>
    </row>
    <row r="169">
      <c r="A169" s="56"/>
      <c r="C169" s="57"/>
      <c r="D169" s="58"/>
      <c r="E169" s="50"/>
      <c r="F169" s="59"/>
      <c r="G169" s="60"/>
      <c r="H169" s="61" t="str">
        <f t="shared" si="1"/>
        <v/>
      </c>
    </row>
    <row r="170">
      <c r="A170" s="56"/>
      <c r="C170" s="57"/>
      <c r="D170" s="58"/>
      <c r="E170" s="50"/>
      <c r="F170" s="59"/>
      <c r="G170" s="60"/>
      <c r="H170" s="61" t="str">
        <f t="shared" si="1"/>
        <v/>
      </c>
    </row>
    <row r="171">
      <c r="A171" s="56"/>
      <c r="C171" s="57"/>
      <c r="D171" s="58"/>
      <c r="E171" s="50"/>
      <c r="F171" s="59"/>
      <c r="G171" s="60"/>
      <c r="H171" s="61" t="str">
        <f t="shared" si="1"/>
        <v/>
      </c>
    </row>
    <row r="172">
      <c r="A172" s="56"/>
      <c r="C172" s="57"/>
      <c r="D172" s="58"/>
      <c r="E172" s="50"/>
      <c r="F172" s="59"/>
      <c r="G172" s="60"/>
      <c r="H172" s="61" t="str">
        <f t="shared" si="1"/>
        <v/>
      </c>
    </row>
    <row r="173">
      <c r="A173" s="56"/>
      <c r="C173" s="57"/>
      <c r="D173" s="58"/>
      <c r="E173" s="50"/>
      <c r="F173" s="59"/>
      <c r="G173" s="60"/>
      <c r="H173" s="61" t="str">
        <f t="shared" si="1"/>
        <v/>
      </c>
    </row>
    <row r="174">
      <c r="A174" s="56"/>
      <c r="C174" s="57"/>
      <c r="D174" s="58"/>
      <c r="E174" s="50"/>
      <c r="F174" s="59"/>
      <c r="G174" s="60"/>
      <c r="H174" s="61" t="str">
        <f t="shared" si="1"/>
        <v/>
      </c>
    </row>
    <row r="175">
      <c r="A175" s="56"/>
      <c r="C175" s="57"/>
      <c r="D175" s="58"/>
      <c r="E175" s="50"/>
      <c r="F175" s="59"/>
      <c r="G175" s="60"/>
      <c r="H175" s="61" t="str">
        <f t="shared" si="1"/>
        <v/>
      </c>
    </row>
    <row r="176">
      <c r="A176" s="56"/>
      <c r="C176" s="57"/>
      <c r="D176" s="58"/>
      <c r="E176" s="50"/>
      <c r="F176" s="59"/>
      <c r="G176" s="60"/>
      <c r="H176" s="61" t="str">
        <f t="shared" si="1"/>
        <v/>
      </c>
    </row>
    <row r="177">
      <c r="A177" s="56"/>
      <c r="C177" s="57"/>
      <c r="D177" s="58"/>
      <c r="E177" s="50"/>
      <c r="F177" s="59"/>
      <c r="G177" s="60"/>
      <c r="H177" s="61" t="str">
        <f t="shared" si="1"/>
        <v/>
      </c>
    </row>
    <row r="178">
      <c r="A178" s="56"/>
      <c r="C178" s="57"/>
      <c r="D178" s="58"/>
      <c r="E178" s="50"/>
      <c r="F178" s="59"/>
      <c r="G178" s="60"/>
      <c r="H178" s="61" t="str">
        <f t="shared" si="1"/>
        <v/>
      </c>
    </row>
    <row r="179">
      <c r="A179" s="56"/>
      <c r="C179" s="57"/>
      <c r="D179" s="58"/>
      <c r="E179" s="50"/>
      <c r="F179" s="59"/>
      <c r="G179" s="60"/>
      <c r="H179" s="61" t="str">
        <f t="shared" si="1"/>
        <v/>
      </c>
    </row>
    <row r="180">
      <c r="A180" s="56"/>
      <c r="C180" s="57"/>
      <c r="D180" s="58"/>
      <c r="E180" s="50"/>
      <c r="F180" s="59"/>
      <c r="G180" s="60"/>
      <c r="H180" s="61" t="str">
        <f t="shared" si="1"/>
        <v/>
      </c>
    </row>
    <row r="181">
      <c r="A181" s="56"/>
      <c r="C181" s="57"/>
      <c r="D181" s="58"/>
      <c r="E181" s="50"/>
      <c r="F181" s="59"/>
      <c r="G181" s="60"/>
      <c r="H181" s="61" t="str">
        <f t="shared" si="1"/>
        <v/>
      </c>
    </row>
    <row r="182">
      <c r="A182" s="56"/>
      <c r="C182" s="57"/>
      <c r="D182" s="58"/>
      <c r="E182" s="50"/>
      <c r="F182" s="59"/>
      <c r="G182" s="60"/>
      <c r="H182" s="61" t="str">
        <f t="shared" si="1"/>
        <v/>
      </c>
    </row>
    <row r="183">
      <c r="A183" s="56"/>
      <c r="C183" s="57"/>
      <c r="D183" s="58"/>
      <c r="E183" s="50"/>
      <c r="F183" s="59"/>
      <c r="G183" s="60"/>
      <c r="H183" s="61" t="str">
        <f t="shared" si="1"/>
        <v/>
      </c>
    </row>
    <row r="184">
      <c r="A184" s="56"/>
      <c r="C184" s="57"/>
      <c r="D184" s="58"/>
      <c r="E184" s="50"/>
      <c r="F184" s="59"/>
      <c r="G184" s="60"/>
      <c r="H184" s="61" t="str">
        <f t="shared" si="1"/>
        <v/>
      </c>
    </row>
    <row r="185">
      <c r="A185" s="56"/>
      <c r="C185" s="57"/>
      <c r="D185" s="58"/>
      <c r="E185" s="50"/>
      <c r="F185" s="59"/>
      <c r="G185" s="60"/>
      <c r="H185" s="61" t="str">
        <f t="shared" si="1"/>
        <v/>
      </c>
    </row>
    <row r="186">
      <c r="A186" s="56"/>
      <c r="C186" s="57"/>
      <c r="D186" s="58"/>
      <c r="E186" s="50"/>
      <c r="F186" s="59"/>
      <c r="G186" s="60"/>
      <c r="H186" s="61" t="str">
        <f t="shared" si="1"/>
        <v/>
      </c>
    </row>
    <row r="187">
      <c r="A187" s="56"/>
      <c r="C187" s="57"/>
      <c r="D187" s="58"/>
      <c r="E187" s="50"/>
      <c r="F187" s="59"/>
      <c r="G187" s="60"/>
      <c r="H187" s="61" t="str">
        <f t="shared" si="1"/>
        <v/>
      </c>
    </row>
    <row r="188">
      <c r="A188" s="56"/>
      <c r="C188" s="57"/>
      <c r="D188" s="58"/>
      <c r="E188" s="50"/>
      <c r="F188" s="59"/>
      <c r="G188" s="60"/>
      <c r="H188" s="61" t="str">
        <f t="shared" si="1"/>
        <v/>
      </c>
    </row>
    <row r="189">
      <c r="A189" s="56"/>
      <c r="C189" s="57"/>
      <c r="D189" s="58"/>
      <c r="E189" s="50"/>
      <c r="F189" s="59"/>
      <c r="G189" s="60"/>
      <c r="H189" s="61" t="str">
        <f t="shared" si="1"/>
        <v/>
      </c>
    </row>
    <row r="190">
      <c r="A190" s="56"/>
      <c r="C190" s="57"/>
      <c r="D190" s="58"/>
      <c r="E190" s="50"/>
      <c r="F190" s="59"/>
      <c r="G190" s="60"/>
      <c r="H190" s="61" t="str">
        <f t="shared" si="1"/>
        <v/>
      </c>
    </row>
    <row r="191">
      <c r="A191" s="56"/>
      <c r="C191" s="57"/>
      <c r="D191" s="58"/>
      <c r="E191" s="50"/>
      <c r="F191" s="59"/>
      <c r="G191" s="60"/>
      <c r="H191" s="61" t="str">
        <f t="shared" si="1"/>
        <v/>
      </c>
    </row>
    <row r="192">
      <c r="A192" s="56"/>
      <c r="C192" s="57"/>
      <c r="D192" s="58"/>
      <c r="E192" s="50"/>
      <c r="F192" s="59"/>
      <c r="G192" s="60"/>
      <c r="H192" s="61" t="str">
        <f t="shared" si="1"/>
        <v/>
      </c>
    </row>
    <row r="193">
      <c r="A193" s="56"/>
      <c r="C193" s="57"/>
      <c r="D193" s="58"/>
      <c r="E193" s="50"/>
      <c r="F193" s="59"/>
      <c r="G193" s="60"/>
      <c r="H193" s="61" t="str">
        <f t="shared" si="1"/>
        <v/>
      </c>
    </row>
    <row r="194">
      <c r="A194" s="56"/>
      <c r="C194" s="57"/>
      <c r="D194" s="58"/>
      <c r="E194" s="50"/>
      <c r="F194" s="59"/>
      <c r="G194" s="60"/>
      <c r="H194" s="61" t="str">
        <f t="shared" si="1"/>
        <v/>
      </c>
    </row>
    <row r="195">
      <c r="A195" s="56"/>
      <c r="C195" s="57"/>
      <c r="D195" s="58"/>
      <c r="E195" s="50"/>
      <c r="F195" s="59"/>
      <c r="G195" s="60"/>
      <c r="H195" s="61" t="str">
        <f t="shared" si="1"/>
        <v/>
      </c>
    </row>
    <row r="196">
      <c r="A196" s="56"/>
      <c r="C196" s="57"/>
      <c r="D196" s="58"/>
      <c r="E196" s="50"/>
      <c r="F196" s="59"/>
      <c r="G196" s="60"/>
      <c r="H196" s="61" t="str">
        <f t="shared" si="1"/>
        <v/>
      </c>
    </row>
    <row r="197">
      <c r="A197" s="56"/>
      <c r="C197" s="57"/>
      <c r="D197" s="58"/>
      <c r="E197" s="50"/>
      <c r="F197" s="59"/>
      <c r="G197" s="60"/>
      <c r="H197" s="61" t="str">
        <f t="shared" si="1"/>
        <v/>
      </c>
    </row>
    <row r="198">
      <c r="A198" s="56"/>
      <c r="C198" s="57"/>
      <c r="D198" s="58"/>
      <c r="E198" s="50"/>
      <c r="F198" s="59"/>
      <c r="G198" s="60"/>
      <c r="H198" s="61" t="str">
        <f t="shared" si="1"/>
        <v/>
      </c>
    </row>
    <row r="199">
      <c r="A199" s="56"/>
      <c r="C199" s="57"/>
      <c r="D199" s="58"/>
      <c r="E199" s="50"/>
      <c r="F199" s="59"/>
      <c r="G199" s="60"/>
      <c r="H199" s="61" t="str">
        <f t="shared" si="1"/>
        <v/>
      </c>
    </row>
    <row r="200">
      <c r="A200" s="56"/>
      <c r="C200" s="57"/>
      <c r="D200" s="58"/>
      <c r="E200" s="50"/>
      <c r="F200" s="59"/>
      <c r="G200" s="60"/>
      <c r="H200" s="61" t="str">
        <f t="shared" si="1"/>
        <v/>
      </c>
    </row>
    <row r="201">
      <c r="A201" s="56"/>
      <c r="C201" s="57"/>
      <c r="D201" s="58"/>
      <c r="E201" s="50"/>
      <c r="F201" s="59"/>
      <c r="G201" s="60"/>
      <c r="H201" s="61" t="str">
        <f t="shared" si="1"/>
        <v/>
      </c>
    </row>
    <row r="202">
      <c r="A202" s="56"/>
      <c r="C202" s="57"/>
      <c r="D202" s="58"/>
      <c r="E202" s="50"/>
      <c r="F202" s="59"/>
      <c r="G202" s="60"/>
      <c r="H202" s="61" t="str">
        <f t="shared" si="1"/>
        <v/>
      </c>
    </row>
    <row r="203">
      <c r="A203" s="56"/>
      <c r="C203" s="57"/>
      <c r="D203" s="58"/>
      <c r="E203" s="50"/>
      <c r="F203" s="59"/>
      <c r="G203" s="60"/>
      <c r="H203" s="61" t="str">
        <f t="shared" si="1"/>
        <v/>
      </c>
    </row>
    <row r="204">
      <c r="A204" s="56"/>
      <c r="C204" s="57"/>
      <c r="D204" s="58"/>
      <c r="E204" s="50"/>
      <c r="F204" s="59"/>
      <c r="G204" s="60"/>
      <c r="H204" s="61" t="str">
        <f t="shared" si="1"/>
        <v/>
      </c>
    </row>
    <row r="205">
      <c r="A205" s="56"/>
      <c r="C205" s="57"/>
      <c r="D205" s="58"/>
      <c r="E205" s="50"/>
      <c r="F205" s="59"/>
      <c r="G205" s="60"/>
      <c r="H205" s="61" t="str">
        <f t="shared" si="1"/>
        <v/>
      </c>
    </row>
    <row r="206">
      <c r="A206" s="56"/>
      <c r="C206" s="57"/>
      <c r="D206" s="58"/>
      <c r="E206" s="50"/>
      <c r="F206" s="59"/>
      <c r="G206" s="60"/>
      <c r="H206" s="61" t="str">
        <f t="shared" si="1"/>
        <v/>
      </c>
    </row>
    <row r="207">
      <c r="A207" s="56"/>
      <c r="C207" s="57"/>
      <c r="D207" s="58"/>
      <c r="E207" s="50"/>
      <c r="F207" s="59"/>
      <c r="G207" s="60"/>
      <c r="H207" s="61" t="str">
        <f t="shared" si="1"/>
        <v/>
      </c>
    </row>
    <row r="208">
      <c r="A208" s="56"/>
      <c r="C208" s="57"/>
      <c r="D208" s="58"/>
      <c r="E208" s="50"/>
      <c r="F208" s="59"/>
      <c r="G208" s="60"/>
      <c r="H208" s="61" t="str">
        <f t="shared" si="1"/>
        <v/>
      </c>
    </row>
    <row r="209">
      <c r="A209" s="56"/>
      <c r="C209" s="57"/>
      <c r="D209" s="58"/>
      <c r="E209" s="50"/>
      <c r="F209" s="59"/>
      <c r="G209" s="60"/>
      <c r="H209" s="61" t="str">
        <f t="shared" si="1"/>
        <v/>
      </c>
    </row>
    <row r="210">
      <c r="A210" s="56"/>
      <c r="C210" s="57"/>
      <c r="D210" s="58"/>
      <c r="E210" s="50"/>
      <c r="F210" s="59"/>
      <c r="G210" s="60"/>
      <c r="H210" s="61" t="str">
        <f t="shared" si="1"/>
        <v/>
      </c>
    </row>
    <row r="211">
      <c r="A211" s="56"/>
      <c r="C211" s="57"/>
      <c r="D211" s="58"/>
      <c r="E211" s="50"/>
      <c r="F211" s="59"/>
      <c r="G211" s="60"/>
      <c r="H211" s="61" t="str">
        <f t="shared" si="1"/>
        <v/>
      </c>
    </row>
    <row r="212">
      <c r="A212" s="56"/>
      <c r="C212" s="57"/>
      <c r="D212" s="58"/>
      <c r="E212" s="50"/>
      <c r="F212" s="59"/>
      <c r="G212" s="60"/>
      <c r="H212" s="61" t="str">
        <f t="shared" si="1"/>
        <v/>
      </c>
    </row>
    <row r="213">
      <c r="A213" s="56"/>
      <c r="C213" s="57"/>
      <c r="D213" s="58"/>
      <c r="E213" s="50"/>
      <c r="F213" s="59"/>
      <c r="G213" s="60"/>
      <c r="H213" s="61" t="str">
        <f t="shared" si="1"/>
        <v/>
      </c>
    </row>
    <row r="214">
      <c r="A214" s="56"/>
      <c r="C214" s="57"/>
      <c r="D214" s="58"/>
      <c r="E214" s="50"/>
      <c r="F214" s="59"/>
      <c r="G214" s="60"/>
      <c r="H214" s="61" t="str">
        <f t="shared" si="1"/>
        <v/>
      </c>
    </row>
    <row r="215">
      <c r="A215" s="56"/>
      <c r="C215" s="57"/>
      <c r="D215" s="58"/>
      <c r="E215" s="50"/>
      <c r="F215" s="59"/>
      <c r="G215" s="60"/>
      <c r="H215" s="61" t="str">
        <f t="shared" si="1"/>
        <v/>
      </c>
    </row>
    <row r="216">
      <c r="A216" s="56"/>
      <c r="C216" s="57"/>
      <c r="D216" s="58"/>
      <c r="E216" s="50"/>
      <c r="F216" s="59"/>
      <c r="G216" s="60"/>
      <c r="H216" s="61" t="str">
        <f t="shared" si="1"/>
        <v/>
      </c>
    </row>
    <row r="217">
      <c r="A217" s="56"/>
      <c r="C217" s="57"/>
      <c r="D217" s="58"/>
      <c r="E217" s="50"/>
      <c r="F217" s="59"/>
      <c r="G217" s="60"/>
      <c r="H217" s="61" t="str">
        <f t="shared" si="1"/>
        <v/>
      </c>
    </row>
    <row r="218">
      <c r="A218" s="56"/>
      <c r="C218" s="57"/>
      <c r="D218" s="58"/>
      <c r="E218" s="50"/>
      <c r="F218" s="59"/>
      <c r="G218" s="60"/>
      <c r="H218" s="61" t="str">
        <f t="shared" si="1"/>
        <v/>
      </c>
    </row>
    <row r="219">
      <c r="A219" s="56"/>
      <c r="C219" s="57"/>
      <c r="D219" s="58"/>
      <c r="E219" s="50"/>
      <c r="F219" s="59"/>
      <c r="G219" s="60"/>
      <c r="H219" s="61" t="str">
        <f t="shared" si="1"/>
        <v/>
      </c>
    </row>
    <row r="220">
      <c r="A220" s="56"/>
      <c r="C220" s="57"/>
      <c r="D220" s="58"/>
      <c r="E220" s="50"/>
      <c r="F220" s="59"/>
      <c r="G220" s="60"/>
      <c r="H220" s="61" t="str">
        <f t="shared" si="1"/>
        <v/>
      </c>
    </row>
    <row r="221">
      <c r="A221" s="56"/>
      <c r="C221" s="57"/>
      <c r="D221" s="58"/>
      <c r="E221" s="50"/>
      <c r="F221" s="59"/>
      <c r="G221" s="60"/>
      <c r="H221" s="61" t="str">
        <f t="shared" si="1"/>
        <v/>
      </c>
    </row>
    <row r="222">
      <c r="A222" s="56"/>
      <c r="C222" s="57"/>
      <c r="D222" s="58"/>
      <c r="E222" s="50"/>
      <c r="F222" s="59"/>
      <c r="G222" s="60"/>
      <c r="H222" s="61" t="str">
        <f t="shared" si="1"/>
        <v/>
      </c>
    </row>
    <row r="223">
      <c r="A223" s="56"/>
      <c r="C223" s="57"/>
      <c r="D223" s="58"/>
      <c r="E223" s="50"/>
      <c r="F223" s="59"/>
      <c r="G223" s="60"/>
      <c r="H223" s="61" t="str">
        <f t="shared" si="1"/>
        <v/>
      </c>
    </row>
    <row r="224">
      <c r="A224" s="56"/>
      <c r="C224" s="57"/>
      <c r="D224" s="58"/>
      <c r="E224" s="50"/>
      <c r="F224" s="59"/>
      <c r="G224" s="60"/>
      <c r="H224" s="61" t="str">
        <f t="shared" si="1"/>
        <v/>
      </c>
    </row>
    <row r="225">
      <c r="A225" s="56"/>
      <c r="C225" s="57"/>
      <c r="D225" s="58"/>
      <c r="E225" s="50"/>
      <c r="F225" s="59"/>
      <c r="G225" s="60"/>
      <c r="H225" s="61" t="str">
        <f t="shared" si="1"/>
        <v/>
      </c>
    </row>
    <row r="226">
      <c r="A226" s="56"/>
      <c r="C226" s="57"/>
      <c r="D226" s="58"/>
      <c r="E226" s="50"/>
      <c r="F226" s="59"/>
      <c r="G226" s="60"/>
      <c r="H226" s="61" t="str">
        <f t="shared" si="1"/>
        <v/>
      </c>
    </row>
    <row r="227">
      <c r="A227" s="56"/>
      <c r="C227" s="57"/>
      <c r="D227" s="58"/>
      <c r="E227" s="50"/>
      <c r="F227" s="59"/>
      <c r="G227" s="60"/>
      <c r="H227" s="61" t="str">
        <f t="shared" si="1"/>
        <v/>
      </c>
    </row>
    <row r="228">
      <c r="A228" s="56"/>
      <c r="C228" s="57"/>
      <c r="D228" s="58"/>
      <c r="E228" s="50"/>
      <c r="F228" s="59"/>
      <c r="G228" s="60"/>
      <c r="H228" s="61" t="str">
        <f t="shared" si="1"/>
        <v/>
      </c>
    </row>
    <row r="229">
      <c r="A229" s="56"/>
      <c r="C229" s="57"/>
      <c r="D229" s="58"/>
      <c r="E229" s="50"/>
      <c r="F229" s="59"/>
      <c r="G229" s="60"/>
      <c r="H229" s="61" t="str">
        <f t="shared" si="1"/>
        <v/>
      </c>
    </row>
    <row r="230">
      <c r="A230" s="56"/>
      <c r="C230" s="57"/>
      <c r="D230" s="58"/>
      <c r="E230" s="50"/>
      <c r="F230" s="59"/>
      <c r="G230" s="60"/>
      <c r="H230" s="61" t="str">
        <f t="shared" si="1"/>
        <v/>
      </c>
    </row>
    <row r="231">
      <c r="A231" s="56"/>
      <c r="C231" s="57"/>
      <c r="D231" s="58"/>
      <c r="E231" s="50"/>
      <c r="F231" s="59"/>
      <c r="G231" s="60"/>
      <c r="H231" s="61" t="str">
        <f t="shared" si="1"/>
        <v/>
      </c>
    </row>
    <row r="232">
      <c r="A232" s="56"/>
      <c r="C232" s="57"/>
      <c r="D232" s="58"/>
      <c r="E232" s="50"/>
      <c r="F232" s="59"/>
      <c r="G232" s="60"/>
      <c r="H232" s="61" t="str">
        <f t="shared" si="1"/>
        <v/>
      </c>
    </row>
    <row r="233">
      <c r="A233" s="56"/>
      <c r="C233" s="57"/>
      <c r="D233" s="58"/>
      <c r="E233" s="50"/>
      <c r="F233" s="59"/>
      <c r="G233" s="60"/>
      <c r="H233" s="61" t="str">
        <f t="shared" si="1"/>
        <v/>
      </c>
    </row>
    <row r="234">
      <c r="A234" s="56"/>
      <c r="C234" s="57"/>
      <c r="D234" s="58"/>
      <c r="E234" s="50"/>
      <c r="F234" s="59"/>
      <c r="G234" s="60"/>
      <c r="H234" s="61" t="str">
        <f t="shared" si="1"/>
        <v/>
      </c>
    </row>
    <row r="235">
      <c r="A235" s="56"/>
      <c r="C235" s="57"/>
      <c r="D235" s="58"/>
      <c r="E235" s="50"/>
      <c r="F235" s="59"/>
      <c r="G235" s="60"/>
      <c r="H235" s="61" t="str">
        <f t="shared" si="1"/>
        <v/>
      </c>
    </row>
    <row r="236">
      <c r="A236" s="56"/>
      <c r="C236" s="57"/>
      <c r="D236" s="58"/>
      <c r="E236" s="50"/>
      <c r="F236" s="59"/>
      <c r="G236" s="60"/>
      <c r="H236" s="61" t="str">
        <f t="shared" si="1"/>
        <v/>
      </c>
    </row>
    <row r="237">
      <c r="A237" s="56"/>
      <c r="C237" s="57"/>
      <c r="D237" s="58"/>
      <c r="E237" s="50"/>
      <c r="F237" s="59"/>
      <c r="G237" s="60"/>
      <c r="H237" s="61" t="str">
        <f t="shared" si="1"/>
        <v/>
      </c>
    </row>
    <row r="238">
      <c r="A238" s="56"/>
      <c r="C238" s="57"/>
      <c r="D238" s="58"/>
      <c r="E238" s="50"/>
      <c r="F238" s="59"/>
      <c r="G238" s="60"/>
      <c r="H238" s="61" t="str">
        <f t="shared" si="1"/>
        <v/>
      </c>
    </row>
    <row r="239">
      <c r="A239" s="56"/>
      <c r="C239" s="57"/>
      <c r="D239" s="58"/>
      <c r="E239" s="50"/>
      <c r="F239" s="59"/>
      <c r="G239" s="60"/>
      <c r="H239" s="61" t="str">
        <f t="shared" si="1"/>
        <v/>
      </c>
    </row>
    <row r="240">
      <c r="A240" s="56"/>
      <c r="C240" s="57"/>
      <c r="D240" s="58"/>
      <c r="E240" s="50"/>
      <c r="F240" s="59"/>
      <c r="G240" s="60"/>
      <c r="H240" s="61" t="str">
        <f t="shared" si="1"/>
        <v/>
      </c>
    </row>
    <row r="241">
      <c r="A241" s="56"/>
      <c r="C241" s="57"/>
      <c r="D241" s="58"/>
      <c r="E241" s="50"/>
      <c r="F241" s="59"/>
      <c r="G241" s="60"/>
      <c r="H241" s="61" t="str">
        <f t="shared" si="1"/>
        <v/>
      </c>
    </row>
    <row r="242">
      <c r="A242" s="56"/>
      <c r="C242" s="57"/>
      <c r="D242" s="58"/>
      <c r="E242" s="50"/>
      <c r="F242" s="59"/>
      <c r="G242" s="60"/>
      <c r="H242" s="61" t="str">
        <f t="shared" si="1"/>
        <v/>
      </c>
    </row>
    <row r="243">
      <c r="A243" s="56"/>
      <c r="C243" s="57"/>
      <c r="D243" s="58"/>
      <c r="E243" s="50"/>
      <c r="F243" s="59"/>
      <c r="G243" s="60"/>
      <c r="H243" s="61" t="str">
        <f t="shared" si="1"/>
        <v/>
      </c>
    </row>
    <row r="244">
      <c r="A244" s="56"/>
      <c r="C244" s="57"/>
      <c r="D244" s="58"/>
      <c r="E244" s="50"/>
      <c r="F244" s="59"/>
      <c r="G244" s="60"/>
      <c r="H244" s="61" t="str">
        <f t="shared" si="1"/>
        <v/>
      </c>
    </row>
    <row r="245">
      <c r="A245" s="56"/>
      <c r="C245" s="57"/>
      <c r="D245" s="58"/>
      <c r="E245" s="50"/>
      <c r="F245" s="59"/>
      <c r="G245" s="60"/>
      <c r="H245" s="61" t="str">
        <f t="shared" si="1"/>
        <v/>
      </c>
    </row>
    <row r="246">
      <c r="A246" s="56"/>
      <c r="C246" s="57"/>
      <c r="D246" s="58"/>
      <c r="E246" s="50"/>
      <c r="F246" s="59"/>
      <c r="G246" s="60"/>
      <c r="H246" s="61" t="str">
        <f t="shared" si="1"/>
        <v/>
      </c>
    </row>
    <row r="247">
      <c r="A247" s="56"/>
      <c r="C247" s="57"/>
      <c r="D247" s="58"/>
      <c r="E247" s="50"/>
      <c r="F247" s="59"/>
      <c r="G247" s="60"/>
      <c r="H247" s="61" t="str">
        <f t="shared" si="1"/>
        <v/>
      </c>
    </row>
    <row r="248">
      <c r="A248" s="56"/>
      <c r="C248" s="57"/>
      <c r="D248" s="58"/>
      <c r="E248" s="50"/>
      <c r="F248" s="59"/>
      <c r="G248" s="60"/>
      <c r="H248" s="61" t="str">
        <f t="shared" si="1"/>
        <v/>
      </c>
    </row>
    <row r="249">
      <c r="A249" s="56"/>
      <c r="C249" s="57"/>
      <c r="D249" s="58"/>
      <c r="E249" s="50"/>
      <c r="F249" s="59"/>
      <c r="G249" s="60"/>
      <c r="H249" s="61" t="str">
        <f t="shared" si="1"/>
        <v/>
      </c>
    </row>
    <row r="250">
      <c r="A250" s="56"/>
      <c r="C250" s="57"/>
      <c r="D250" s="58"/>
      <c r="E250" s="50"/>
      <c r="F250" s="59"/>
      <c r="G250" s="60"/>
      <c r="H250" s="61" t="str">
        <f t="shared" si="1"/>
        <v/>
      </c>
    </row>
    <row r="251">
      <c r="A251" s="56"/>
      <c r="C251" s="57"/>
      <c r="D251" s="58"/>
      <c r="E251" s="50"/>
      <c r="F251" s="59"/>
      <c r="G251" s="60"/>
      <c r="H251" s="61" t="str">
        <f t="shared" si="1"/>
        <v/>
      </c>
    </row>
    <row r="252">
      <c r="A252" s="56"/>
      <c r="C252" s="57"/>
      <c r="D252" s="58"/>
      <c r="E252" s="50"/>
      <c r="F252" s="59"/>
      <c r="G252" s="60"/>
      <c r="H252" s="61" t="str">
        <f t="shared" si="1"/>
        <v/>
      </c>
    </row>
    <row r="253">
      <c r="A253" s="56"/>
      <c r="C253" s="57"/>
      <c r="D253" s="58"/>
      <c r="E253" s="50"/>
      <c r="F253" s="59"/>
      <c r="G253" s="60"/>
      <c r="H253" s="61" t="str">
        <f t="shared" si="1"/>
        <v/>
      </c>
    </row>
    <row r="254">
      <c r="A254" s="56"/>
      <c r="C254" s="57"/>
      <c r="D254" s="58"/>
      <c r="E254" s="50"/>
      <c r="F254" s="59"/>
      <c r="G254" s="60"/>
      <c r="H254" s="61" t="str">
        <f t="shared" si="1"/>
        <v/>
      </c>
    </row>
    <row r="255">
      <c r="A255" s="56"/>
      <c r="C255" s="57"/>
      <c r="D255" s="58"/>
      <c r="E255" s="50"/>
      <c r="F255" s="59"/>
      <c r="G255" s="60"/>
      <c r="H255" s="61" t="str">
        <f t="shared" si="1"/>
        <v/>
      </c>
    </row>
    <row r="256">
      <c r="A256" s="56"/>
      <c r="C256" s="57"/>
      <c r="D256" s="58"/>
      <c r="E256" s="50"/>
      <c r="F256" s="59"/>
      <c r="G256" s="60"/>
      <c r="H256" s="61" t="str">
        <f t="shared" si="1"/>
        <v/>
      </c>
    </row>
    <row r="257">
      <c r="A257" s="56"/>
      <c r="C257" s="57"/>
      <c r="D257" s="58"/>
      <c r="E257" s="50"/>
      <c r="F257" s="59"/>
      <c r="G257" s="60"/>
      <c r="H257" s="61" t="str">
        <f t="shared" si="1"/>
        <v/>
      </c>
    </row>
    <row r="258">
      <c r="A258" s="56"/>
      <c r="C258" s="57"/>
      <c r="D258" s="58"/>
      <c r="E258" s="50"/>
      <c r="F258" s="59"/>
      <c r="G258" s="60"/>
      <c r="H258" s="61" t="str">
        <f t="shared" si="1"/>
        <v/>
      </c>
    </row>
    <row r="259">
      <c r="A259" s="56"/>
      <c r="C259" s="57"/>
      <c r="D259" s="58"/>
      <c r="E259" s="50"/>
      <c r="F259" s="59"/>
      <c r="G259" s="60"/>
      <c r="H259" s="61" t="str">
        <f t="shared" si="1"/>
        <v/>
      </c>
    </row>
    <row r="260">
      <c r="A260" s="56"/>
      <c r="C260" s="57"/>
      <c r="D260" s="58"/>
      <c r="E260" s="50"/>
      <c r="F260" s="59"/>
      <c r="G260" s="60"/>
      <c r="H260" s="61" t="str">
        <f t="shared" si="1"/>
        <v/>
      </c>
    </row>
    <row r="261">
      <c r="A261" s="56"/>
      <c r="C261" s="57"/>
      <c r="D261" s="58"/>
      <c r="E261" s="50"/>
      <c r="F261" s="59"/>
      <c r="G261" s="60"/>
      <c r="H261" s="61" t="str">
        <f t="shared" si="1"/>
        <v/>
      </c>
    </row>
    <row r="262">
      <c r="A262" s="56"/>
      <c r="C262" s="57"/>
      <c r="D262" s="58"/>
      <c r="E262" s="50"/>
      <c r="F262" s="59"/>
      <c r="G262" s="60"/>
      <c r="H262" s="61" t="str">
        <f t="shared" si="1"/>
        <v/>
      </c>
    </row>
    <row r="263">
      <c r="A263" s="56"/>
      <c r="C263" s="57"/>
      <c r="D263" s="58"/>
      <c r="E263" s="50"/>
      <c r="F263" s="59"/>
      <c r="G263" s="60"/>
      <c r="H263" s="61" t="str">
        <f t="shared" si="1"/>
        <v/>
      </c>
    </row>
    <row r="264">
      <c r="A264" s="56"/>
      <c r="C264" s="57"/>
      <c r="D264" s="58"/>
      <c r="E264" s="50"/>
      <c r="F264" s="59"/>
      <c r="G264" s="60"/>
      <c r="H264" s="61" t="str">
        <f t="shared" si="1"/>
        <v/>
      </c>
    </row>
    <row r="265">
      <c r="A265" s="56"/>
      <c r="C265" s="57"/>
      <c r="D265" s="58"/>
      <c r="E265" s="50"/>
      <c r="F265" s="59"/>
      <c r="G265" s="60"/>
      <c r="H265" s="61" t="str">
        <f t="shared" si="1"/>
        <v/>
      </c>
    </row>
    <row r="266">
      <c r="A266" s="56"/>
      <c r="C266" s="57"/>
      <c r="D266" s="58"/>
      <c r="E266" s="50"/>
      <c r="F266" s="59"/>
      <c r="G266" s="60"/>
      <c r="H266" s="61" t="str">
        <f t="shared" si="1"/>
        <v/>
      </c>
    </row>
    <row r="267">
      <c r="A267" s="56"/>
      <c r="C267" s="57"/>
      <c r="D267" s="58"/>
      <c r="E267" s="50"/>
      <c r="F267" s="59"/>
      <c r="G267" s="60"/>
      <c r="H267" s="61" t="str">
        <f t="shared" si="1"/>
        <v/>
      </c>
    </row>
    <row r="268">
      <c r="A268" s="56"/>
      <c r="C268" s="57"/>
      <c r="D268" s="58"/>
      <c r="E268" s="50"/>
      <c r="F268" s="59"/>
      <c r="G268" s="60"/>
      <c r="H268" s="61" t="str">
        <f t="shared" si="1"/>
        <v/>
      </c>
    </row>
    <row r="269">
      <c r="A269" s="56"/>
      <c r="C269" s="57"/>
      <c r="D269" s="58"/>
      <c r="E269" s="50"/>
      <c r="F269" s="59"/>
      <c r="G269" s="60"/>
      <c r="H269" s="61" t="str">
        <f t="shared" si="1"/>
        <v/>
      </c>
    </row>
    <row r="270">
      <c r="A270" s="56"/>
      <c r="C270" s="57"/>
      <c r="D270" s="58"/>
      <c r="E270" s="50"/>
      <c r="F270" s="59"/>
      <c r="G270" s="60"/>
      <c r="H270" s="61" t="str">
        <f t="shared" si="1"/>
        <v/>
      </c>
    </row>
    <row r="271">
      <c r="A271" s="56"/>
      <c r="C271" s="57"/>
      <c r="D271" s="58"/>
      <c r="E271" s="50"/>
      <c r="F271" s="59"/>
      <c r="G271" s="60"/>
      <c r="H271" s="61" t="str">
        <f t="shared" si="1"/>
        <v/>
      </c>
    </row>
    <row r="272">
      <c r="A272" s="56"/>
      <c r="C272" s="57"/>
      <c r="D272" s="58"/>
      <c r="E272" s="50"/>
      <c r="F272" s="59"/>
      <c r="G272" s="60"/>
      <c r="H272" s="61" t="str">
        <f t="shared" si="1"/>
        <v/>
      </c>
    </row>
    <row r="273">
      <c r="A273" s="56"/>
      <c r="C273" s="57"/>
      <c r="D273" s="58"/>
      <c r="E273" s="50"/>
      <c r="F273" s="59"/>
      <c r="G273" s="60"/>
      <c r="H273" s="61" t="str">
        <f t="shared" si="1"/>
        <v/>
      </c>
    </row>
    <row r="274">
      <c r="A274" s="56"/>
      <c r="C274" s="57"/>
      <c r="D274" s="58"/>
      <c r="E274" s="50"/>
      <c r="F274" s="59"/>
      <c r="G274" s="60"/>
      <c r="H274" s="61" t="str">
        <f t="shared" si="1"/>
        <v/>
      </c>
    </row>
    <row r="275">
      <c r="A275" s="56"/>
      <c r="C275" s="57"/>
      <c r="D275" s="58"/>
      <c r="E275" s="50"/>
      <c r="F275" s="59"/>
      <c r="G275" s="60"/>
      <c r="H275" s="61" t="str">
        <f t="shared" si="1"/>
        <v/>
      </c>
    </row>
    <row r="276">
      <c r="A276" s="56"/>
      <c r="C276" s="57"/>
      <c r="D276" s="58"/>
      <c r="E276" s="50"/>
      <c r="F276" s="59"/>
      <c r="G276" s="60"/>
      <c r="H276" s="61" t="str">
        <f t="shared" si="1"/>
        <v/>
      </c>
    </row>
    <row r="277">
      <c r="A277" s="56"/>
      <c r="C277" s="57"/>
      <c r="D277" s="58"/>
      <c r="E277" s="50"/>
      <c r="F277" s="59"/>
      <c r="G277" s="60"/>
      <c r="H277" s="61" t="str">
        <f t="shared" si="1"/>
        <v/>
      </c>
    </row>
    <row r="278">
      <c r="A278" s="56"/>
      <c r="C278" s="57"/>
      <c r="D278" s="58"/>
      <c r="E278" s="50"/>
      <c r="F278" s="59"/>
      <c r="G278" s="60"/>
      <c r="H278" s="61" t="str">
        <f t="shared" si="1"/>
        <v/>
      </c>
    </row>
    <row r="279">
      <c r="A279" s="56"/>
      <c r="C279" s="57"/>
      <c r="D279" s="58"/>
      <c r="E279" s="50"/>
      <c r="F279" s="59"/>
      <c r="G279" s="60"/>
      <c r="H279" s="61" t="str">
        <f t="shared" si="1"/>
        <v/>
      </c>
    </row>
    <row r="280">
      <c r="A280" s="56"/>
      <c r="C280" s="57"/>
      <c r="D280" s="58"/>
      <c r="E280" s="50"/>
      <c r="F280" s="59"/>
      <c r="G280" s="60"/>
      <c r="H280" s="61" t="str">
        <f t="shared" si="1"/>
        <v/>
      </c>
    </row>
    <row r="281">
      <c r="A281" s="56"/>
      <c r="C281" s="57"/>
      <c r="D281" s="58"/>
      <c r="E281" s="50"/>
      <c r="F281" s="59"/>
      <c r="G281" s="60"/>
      <c r="H281" s="61" t="str">
        <f t="shared" si="1"/>
        <v/>
      </c>
    </row>
    <row r="282">
      <c r="A282" s="56"/>
      <c r="C282" s="57"/>
      <c r="D282" s="58"/>
      <c r="E282" s="50"/>
      <c r="F282" s="59"/>
      <c r="G282" s="60"/>
      <c r="H282" s="61" t="str">
        <f t="shared" si="1"/>
        <v/>
      </c>
    </row>
    <row r="283">
      <c r="A283" s="56"/>
      <c r="C283" s="57"/>
      <c r="D283" s="58"/>
      <c r="E283" s="50"/>
      <c r="F283" s="59"/>
      <c r="G283" s="60"/>
      <c r="H283" s="61" t="str">
        <f t="shared" si="1"/>
        <v/>
      </c>
    </row>
    <row r="284">
      <c r="A284" s="56"/>
      <c r="C284" s="57"/>
      <c r="D284" s="58"/>
      <c r="E284" s="50"/>
      <c r="F284" s="59"/>
      <c r="G284" s="60"/>
      <c r="H284" s="61" t="str">
        <f t="shared" si="1"/>
        <v/>
      </c>
    </row>
    <row r="285">
      <c r="A285" s="56"/>
      <c r="C285" s="57"/>
      <c r="D285" s="58"/>
      <c r="E285" s="50"/>
      <c r="F285" s="59"/>
      <c r="G285" s="60"/>
      <c r="H285" s="61" t="str">
        <f t="shared" si="1"/>
        <v/>
      </c>
    </row>
    <row r="286">
      <c r="A286" s="56"/>
      <c r="C286" s="57"/>
      <c r="D286" s="58"/>
      <c r="E286" s="50"/>
      <c r="F286" s="59"/>
      <c r="G286" s="60"/>
      <c r="H286" s="61" t="str">
        <f t="shared" si="1"/>
        <v/>
      </c>
    </row>
    <row r="287">
      <c r="A287" s="56"/>
      <c r="C287" s="57"/>
      <c r="D287" s="58"/>
      <c r="E287" s="50"/>
      <c r="F287" s="59"/>
      <c r="G287" s="60"/>
      <c r="H287" s="61" t="str">
        <f t="shared" si="1"/>
        <v/>
      </c>
    </row>
    <row r="288">
      <c r="A288" s="56"/>
      <c r="C288" s="57"/>
      <c r="D288" s="58"/>
      <c r="E288" s="50"/>
      <c r="F288" s="59"/>
      <c r="G288" s="60"/>
      <c r="H288" s="61" t="str">
        <f t="shared" si="1"/>
        <v/>
      </c>
    </row>
    <row r="289">
      <c r="A289" s="56"/>
      <c r="C289" s="57"/>
      <c r="D289" s="58"/>
      <c r="E289" s="50"/>
      <c r="F289" s="59"/>
      <c r="G289" s="60"/>
      <c r="H289" s="61" t="str">
        <f t="shared" si="1"/>
        <v/>
      </c>
    </row>
    <row r="290">
      <c r="A290" s="56"/>
      <c r="C290" s="57"/>
      <c r="D290" s="58"/>
      <c r="E290" s="50"/>
      <c r="F290" s="59"/>
      <c r="G290" s="60"/>
      <c r="H290" s="61" t="str">
        <f t="shared" si="1"/>
        <v/>
      </c>
    </row>
    <row r="291">
      <c r="A291" s="56"/>
      <c r="C291" s="57"/>
      <c r="D291" s="58"/>
      <c r="E291" s="50"/>
      <c r="F291" s="59"/>
      <c r="G291" s="60"/>
      <c r="H291" s="61" t="str">
        <f t="shared" si="1"/>
        <v/>
      </c>
    </row>
    <row r="292">
      <c r="A292" s="56"/>
      <c r="C292" s="57"/>
      <c r="D292" s="58"/>
      <c r="E292" s="50"/>
      <c r="F292" s="59"/>
      <c r="G292" s="60"/>
      <c r="H292" s="61" t="str">
        <f t="shared" si="1"/>
        <v/>
      </c>
    </row>
    <row r="293">
      <c r="A293" s="56"/>
      <c r="C293" s="57"/>
      <c r="D293" s="58"/>
      <c r="E293" s="50"/>
      <c r="F293" s="59"/>
      <c r="G293" s="60"/>
      <c r="H293" s="61" t="str">
        <f t="shared" si="1"/>
        <v/>
      </c>
    </row>
    <row r="294">
      <c r="A294" s="56"/>
      <c r="C294" s="57"/>
      <c r="D294" s="58"/>
      <c r="E294" s="50"/>
      <c r="F294" s="59"/>
      <c r="G294" s="60"/>
      <c r="H294" s="61" t="str">
        <f t="shared" si="1"/>
        <v/>
      </c>
    </row>
    <row r="295">
      <c r="A295" s="56"/>
      <c r="C295" s="57"/>
      <c r="D295" s="58"/>
      <c r="E295" s="50"/>
      <c r="F295" s="59"/>
      <c r="G295" s="60"/>
      <c r="H295" s="61" t="str">
        <f t="shared" si="1"/>
        <v/>
      </c>
    </row>
    <row r="296">
      <c r="A296" s="56"/>
      <c r="C296" s="57"/>
      <c r="D296" s="58"/>
      <c r="E296" s="50"/>
      <c r="F296" s="59"/>
      <c r="G296" s="60"/>
      <c r="H296" s="61" t="str">
        <f t="shared" si="1"/>
        <v/>
      </c>
    </row>
    <row r="297">
      <c r="A297" s="56"/>
      <c r="C297" s="57"/>
      <c r="D297" s="58"/>
      <c r="E297" s="50"/>
      <c r="F297" s="59"/>
      <c r="G297" s="60"/>
      <c r="H297" s="61" t="str">
        <f t="shared" si="1"/>
        <v/>
      </c>
    </row>
    <row r="298">
      <c r="A298" s="56"/>
      <c r="C298" s="57"/>
      <c r="D298" s="58"/>
      <c r="E298" s="50"/>
      <c r="F298" s="59"/>
      <c r="G298" s="60"/>
      <c r="H298" s="61" t="str">
        <f t="shared" si="1"/>
        <v/>
      </c>
    </row>
    <row r="299">
      <c r="A299" s="56"/>
      <c r="C299" s="57"/>
      <c r="D299" s="58"/>
      <c r="E299" s="50"/>
      <c r="F299" s="59"/>
      <c r="G299" s="60"/>
      <c r="H299" s="61" t="str">
        <f t="shared" si="1"/>
        <v/>
      </c>
    </row>
    <row r="300">
      <c r="A300" s="56"/>
      <c r="C300" s="57"/>
      <c r="D300" s="58"/>
      <c r="E300" s="50"/>
      <c r="F300" s="59"/>
      <c r="G300" s="60"/>
      <c r="H300" s="61" t="str">
        <f t="shared" si="1"/>
        <v/>
      </c>
    </row>
    <row r="301">
      <c r="A301" s="56"/>
      <c r="C301" s="57"/>
      <c r="D301" s="58"/>
      <c r="E301" s="50"/>
      <c r="F301" s="59"/>
      <c r="G301" s="60"/>
      <c r="H301" s="61" t="str">
        <f t="shared" si="1"/>
        <v/>
      </c>
    </row>
    <row r="302">
      <c r="A302" s="56"/>
      <c r="C302" s="57"/>
      <c r="D302" s="58"/>
      <c r="E302" s="50"/>
      <c r="F302" s="59"/>
      <c r="G302" s="60"/>
      <c r="H302" s="61" t="str">
        <f t="shared" si="1"/>
        <v/>
      </c>
    </row>
    <row r="303">
      <c r="A303" s="56"/>
      <c r="C303" s="57"/>
      <c r="D303" s="58"/>
      <c r="E303" s="50"/>
      <c r="F303" s="59"/>
      <c r="G303" s="60"/>
      <c r="H303" s="61" t="str">
        <f t="shared" si="1"/>
        <v/>
      </c>
    </row>
    <row r="304">
      <c r="A304" s="56"/>
      <c r="C304" s="57"/>
      <c r="D304" s="58"/>
      <c r="E304" s="50"/>
      <c r="F304" s="59"/>
      <c r="G304" s="60"/>
      <c r="H304" s="61" t="str">
        <f t="shared" si="1"/>
        <v/>
      </c>
    </row>
    <row r="305">
      <c r="A305" s="56"/>
      <c r="C305" s="57"/>
      <c r="D305" s="58"/>
      <c r="E305" s="50"/>
      <c r="F305" s="59"/>
      <c r="G305" s="60"/>
      <c r="H305" s="61" t="str">
        <f t="shared" si="1"/>
        <v/>
      </c>
    </row>
    <row r="306">
      <c r="A306" s="56"/>
      <c r="C306" s="57"/>
      <c r="D306" s="58"/>
      <c r="E306" s="50"/>
      <c r="F306" s="59"/>
      <c r="G306" s="60"/>
      <c r="H306" s="61" t="str">
        <f t="shared" si="1"/>
        <v/>
      </c>
    </row>
    <row r="307">
      <c r="A307" s="56"/>
      <c r="C307" s="57"/>
      <c r="D307" s="58"/>
      <c r="E307" s="50"/>
      <c r="F307" s="59"/>
      <c r="G307" s="60"/>
      <c r="H307" s="61" t="str">
        <f t="shared" si="1"/>
        <v/>
      </c>
    </row>
    <row r="308">
      <c r="A308" s="56"/>
      <c r="C308" s="57"/>
      <c r="D308" s="58"/>
      <c r="E308" s="50"/>
      <c r="F308" s="59"/>
      <c r="G308" s="60"/>
      <c r="H308" s="61" t="str">
        <f t="shared" si="1"/>
        <v/>
      </c>
    </row>
    <row r="309">
      <c r="A309" s="56"/>
      <c r="C309" s="57"/>
      <c r="D309" s="58"/>
      <c r="E309" s="50"/>
      <c r="F309" s="59"/>
      <c r="G309" s="60"/>
      <c r="H309" s="61" t="str">
        <f t="shared" si="1"/>
        <v/>
      </c>
    </row>
    <row r="310">
      <c r="A310" s="56"/>
      <c r="C310" s="57"/>
      <c r="D310" s="58"/>
      <c r="E310" s="50"/>
      <c r="F310" s="59"/>
      <c r="G310" s="60"/>
      <c r="H310" s="61" t="str">
        <f t="shared" si="1"/>
        <v/>
      </c>
    </row>
    <row r="311">
      <c r="A311" s="56"/>
      <c r="C311" s="57"/>
      <c r="D311" s="58"/>
      <c r="E311" s="50"/>
      <c r="F311" s="59"/>
      <c r="G311" s="60"/>
      <c r="H311" s="61" t="str">
        <f t="shared" si="1"/>
        <v/>
      </c>
    </row>
    <row r="312">
      <c r="A312" s="56"/>
      <c r="C312" s="57"/>
      <c r="D312" s="58"/>
      <c r="E312" s="50"/>
      <c r="F312" s="59"/>
      <c r="G312" s="60"/>
      <c r="H312" s="61" t="str">
        <f t="shared" si="1"/>
        <v/>
      </c>
    </row>
    <row r="313">
      <c r="A313" s="56"/>
      <c r="C313" s="57"/>
      <c r="D313" s="58"/>
      <c r="E313" s="50"/>
      <c r="F313" s="59"/>
      <c r="G313" s="60"/>
      <c r="H313" s="61" t="str">
        <f t="shared" si="1"/>
        <v/>
      </c>
    </row>
    <row r="314">
      <c r="A314" s="56"/>
      <c r="C314" s="57"/>
      <c r="D314" s="58"/>
      <c r="E314" s="50"/>
      <c r="F314" s="59"/>
      <c r="G314" s="60"/>
      <c r="H314" s="61" t="str">
        <f t="shared" si="1"/>
        <v/>
      </c>
    </row>
    <row r="315">
      <c r="A315" s="56"/>
      <c r="C315" s="57"/>
      <c r="D315" s="58"/>
      <c r="E315" s="50"/>
      <c r="F315" s="59"/>
      <c r="G315" s="60"/>
      <c r="H315" s="61" t="str">
        <f t="shared" si="1"/>
        <v/>
      </c>
    </row>
    <row r="316">
      <c r="A316" s="56"/>
      <c r="C316" s="57"/>
      <c r="D316" s="58"/>
      <c r="E316" s="50"/>
      <c r="F316" s="59"/>
      <c r="G316" s="60"/>
      <c r="H316" s="61" t="str">
        <f t="shared" si="1"/>
        <v/>
      </c>
    </row>
    <row r="317">
      <c r="A317" s="56"/>
      <c r="C317" s="57"/>
      <c r="D317" s="58"/>
      <c r="E317" s="50"/>
      <c r="F317" s="59"/>
      <c r="G317" s="60"/>
      <c r="H317" s="61" t="str">
        <f t="shared" si="1"/>
        <v/>
      </c>
    </row>
    <row r="318">
      <c r="A318" s="56"/>
      <c r="C318" s="57"/>
      <c r="D318" s="58"/>
      <c r="E318" s="50"/>
      <c r="F318" s="59"/>
      <c r="G318" s="60"/>
      <c r="H318" s="61" t="str">
        <f t="shared" si="1"/>
        <v/>
      </c>
    </row>
    <row r="319">
      <c r="A319" s="56"/>
      <c r="C319" s="57"/>
      <c r="D319" s="58"/>
      <c r="E319" s="50"/>
      <c r="F319" s="59"/>
      <c r="G319" s="60"/>
      <c r="H319" s="61" t="str">
        <f t="shared" si="1"/>
        <v/>
      </c>
    </row>
    <row r="320">
      <c r="A320" s="56"/>
      <c r="C320" s="57"/>
      <c r="D320" s="58"/>
      <c r="E320" s="50"/>
      <c r="F320" s="59"/>
      <c r="G320" s="60"/>
      <c r="H320" s="61" t="str">
        <f t="shared" si="1"/>
        <v/>
      </c>
    </row>
    <row r="321">
      <c r="A321" s="56"/>
      <c r="C321" s="57"/>
      <c r="D321" s="58"/>
      <c r="E321" s="50"/>
      <c r="F321" s="59"/>
      <c r="G321" s="60"/>
      <c r="H321" s="61" t="str">
        <f t="shared" si="1"/>
        <v/>
      </c>
    </row>
    <row r="322">
      <c r="A322" s="56"/>
      <c r="C322" s="57"/>
      <c r="D322" s="58"/>
      <c r="E322" s="50"/>
      <c r="F322" s="59"/>
      <c r="G322" s="60"/>
      <c r="H322" s="61" t="str">
        <f t="shared" si="1"/>
        <v/>
      </c>
    </row>
    <row r="323">
      <c r="A323" s="56"/>
      <c r="C323" s="57"/>
      <c r="D323" s="58"/>
      <c r="E323" s="50"/>
      <c r="F323" s="59"/>
      <c r="G323" s="60"/>
      <c r="H323" s="61" t="str">
        <f t="shared" si="1"/>
        <v/>
      </c>
    </row>
    <row r="324">
      <c r="A324" s="56"/>
      <c r="C324" s="57"/>
      <c r="D324" s="58"/>
      <c r="E324" s="50"/>
      <c r="F324" s="59"/>
      <c r="G324" s="60"/>
      <c r="H324" s="61" t="str">
        <f t="shared" si="1"/>
        <v/>
      </c>
    </row>
    <row r="325">
      <c r="A325" s="56"/>
      <c r="C325" s="57"/>
      <c r="D325" s="58"/>
      <c r="E325" s="50"/>
      <c r="F325" s="59"/>
      <c r="G325" s="60"/>
      <c r="H325" s="61" t="str">
        <f t="shared" si="1"/>
        <v/>
      </c>
    </row>
    <row r="326">
      <c r="A326" s="56"/>
      <c r="C326" s="57"/>
      <c r="D326" s="58"/>
      <c r="E326" s="50"/>
      <c r="F326" s="59"/>
      <c r="G326" s="60"/>
      <c r="H326" s="61" t="str">
        <f t="shared" si="1"/>
        <v/>
      </c>
    </row>
    <row r="327">
      <c r="A327" s="56"/>
      <c r="C327" s="57"/>
      <c r="D327" s="58"/>
      <c r="E327" s="50"/>
      <c r="F327" s="59"/>
      <c r="G327" s="60"/>
      <c r="H327" s="61" t="str">
        <f t="shared" si="1"/>
        <v/>
      </c>
    </row>
    <row r="328">
      <c r="A328" s="56"/>
      <c r="C328" s="57"/>
      <c r="D328" s="58"/>
      <c r="E328" s="50"/>
      <c r="F328" s="59"/>
      <c r="G328" s="60"/>
      <c r="H328" s="61" t="str">
        <f t="shared" si="1"/>
        <v/>
      </c>
    </row>
    <row r="329">
      <c r="A329" s="56"/>
      <c r="C329" s="57"/>
      <c r="D329" s="58"/>
      <c r="E329" s="50"/>
      <c r="F329" s="59"/>
      <c r="G329" s="60"/>
      <c r="H329" s="61" t="str">
        <f t="shared" si="1"/>
        <v/>
      </c>
    </row>
    <row r="330">
      <c r="A330" s="56"/>
      <c r="C330" s="57"/>
      <c r="D330" s="58"/>
      <c r="E330" s="50"/>
      <c r="F330" s="59"/>
      <c r="G330" s="60"/>
      <c r="H330" s="61" t="str">
        <f t="shared" si="1"/>
        <v/>
      </c>
    </row>
    <row r="331">
      <c r="A331" s="56"/>
      <c r="C331" s="57"/>
      <c r="D331" s="58"/>
      <c r="E331" s="50"/>
      <c r="F331" s="59"/>
      <c r="G331" s="60"/>
      <c r="H331" s="61" t="str">
        <f t="shared" si="1"/>
        <v/>
      </c>
    </row>
    <row r="332">
      <c r="A332" s="56"/>
      <c r="C332" s="57"/>
      <c r="D332" s="58"/>
      <c r="E332" s="50"/>
      <c r="F332" s="59"/>
      <c r="G332" s="60"/>
      <c r="H332" s="61" t="str">
        <f t="shared" si="1"/>
        <v/>
      </c>
    </row>
    <row r="333">
      <c r="A333" s="56"/>
      <c r="C333" s="57"/>
      <c r="D333" s="58"/>
      <c r="E333" s="50"/>
      <c r="F333" s="59"/>
      <c r="G333" s="60"/>
      <c r="H333" s="61" t="str">
        <f t="shared" si="1"/>
        <v/>
      </c>
    </row>
    <row r="334">
      <c r="A334" s="56"/>
      <c r="C334" s="57"/>
      <c r="D334" s="58"/>
      <c r="E334" s="50"/>
      <c r="F334" s="59"/>
      <c r="G334" s="60"/>
      <c r="H334" s="61" t="str">
        <f t="shared" si="1"/>
        <v/>
      </c>
    </row>
    <row r="335">
      <c r="A335" s="56"/>
      <c r="C335" s="57"/>
      <c r="D335" s="58"/>
      <c r="E335" s="50"/>
      <c r="F335" s="59"/>
      <c r="G335" s="60"/>
      <c r="H335" s="61" t="str">
        <f t="shared" si="1"/>
        <v/>
      </c>
    </row>
    <row r="336">
      <c r="A336" s="56"/>
      <c r="C336" s="57"/>
      <c r="D336" s="58"/>
      <c r="E336" s="50"/>
      <c r="F336" s="59"/>
      <c r="G336" s="60"/>
      <c r="H336" s="61" t="str">
        <f t="shared" si="1"/>
        <v/>
      </c>
    </row>
    <row r="337">
      <c r="A337" s="56"/>
      <c r="C337" s="57"/>
      <c r="D337" s="58"/>
      <c r="E337" s="50"/>
      <c r="F337" s="59"/>
      <c r="G337" s="60"/>
      <c r="H337" s="61" t="str">
        <f t="shared" si="1"/>
        <v/>
      </c>
    </row>
    <row r="338">
      <c r="A338" s="56"/>
      <c r="C338" s="57"/>
      <c r="D338" s="58"/>
      <c r="E338" s="50"/>
      <c r="F338" s="59"/>
      <c r="G338" s="60"/>
      <c r="H338" s="61" t="str">
        <f t="shared" si="1"/>
        <v/>
      </c>
    </row>
    <row r="339">
      <c r="A339" s="56"/>
      <c r="C339" s="57"/>
      <c r="D339" s="58"/>
      <c r="E339" s="50"/>
      <c r="F339" s="59"/>
      <c r="G339" s="60"/>
      <c r="H339" s="61" t="str">
        <f t="shared" si="1"/>
        <v/>
      </c>
    </row>
    <row r="340">
      <c r="A340" s="56"/>
      <c r="C340" s="57"/>
      <c r="D340" s="58"/>
      <c r="E340" s="50"/>
      <c r="F340" s="59"/>
      <c r="G340" s="60"/>
      <c r="H340" s="61" t="str">
        <f t="shared" si="1"/>
        <v/>
      </c>
    </row>
    <row r="341">
      <c r="A341" s="56"/>
      <c r="C341" s="57"/>
      <c r="D341" s="58"/>
      <c r="E341" s="50"/>
      <c r="F341" s="59"/>
      <c r="G341" s="60"/>
      <c r="H341" s="61" t="str">
        <f t="shared" si="1"/>
        <v/>
      </c>
    </row>
    <row r="342">
      <c r="A342" s="56"/>
      <c r="C342" s="57"/>
      <c r="D342" s="58"/>
      <c r="E342" s="50"/>
      <c r="F342" s="59"/>
      <c r="G342" s="60"/>
      <c r="H342" s="61" t="str">
        <f t="shared" si="1"/>
        <v/>
      </c>
    </row>
    <row r="343">
      <c r="A343" s="56"/>
      <c r="C343" s="57"/>
      <c r="D343" s="58"/>
      <c r="E343" s="50"/>
      <c r="F343" s="59"/>
      <c r="G343" s="60"/>
      <c r="H343" s="61" t="str">
        <f t="shared" si="1"/>
        <v/>
      </c>
    </row>
    <row r="344">
      <c r="A344" s="56"/>
      <c r="C344" s="57"/>
      <c r="D344" s="58"/>
      <c r="E344" s="50"/>
      <c r="F344" s="59"/>
      <c r="G344" s="60"/>
      <c r="H344" s="61" t="str">
        <f t="shared" si="1"/>
        <v/>
      </c>
    </row>
    <row r="345">
      <c r="A345" s="56"/>
      <c r="C345" s="57"/>
      <c r="D345" s="58"/>
      <c r="E345" s="50"/>
      <c r="F345" s="59"/>
      <c r="G345" s="60"/>
      <c r="H345" s="61" t="str">
        <f t="shared" si="1"/>
        <v/>
      </c>
    </row>
    <row r="346">
      <c r="A346" s="56"/>
      <c r="C346" s="57"/>
      <c r="D346" s="58"/>
      <c r="E346" s="50"/>
      <c r="F346" s="59"/>
      <c r="G346" s="60"/>
      <c r="H346" s="61" t="str">
        <f t="shared" si="1"/>
        <v/>
      </c>
    </row>
    <row r="347">
      <c r="A347" s="56"/>
      <c r="C347" s="57"/>
      <c r="D347" s="58"/>
      <c r="E347" s="50"/>
      <c r="F347" s="59"/>
      <c r="G347" s="60"/>
      <c r="H347" s="61" t="str">
        <f t="shared" si="1"/>
        <v/>
      </c>
    </row>
    <row r="348">
      <c r="A348" s="56"/>
      <c r="C348" s="57"/>
      <c r="D348" s="58"/>
      <c r="E348" s="50"/>
      <c r="F348" s="59"/>
      <c r="G348" s="60"/>
      <c r="H348" s="61" t="str">
        <f t="shared" si="1"/>
        <v/>
      </c>
    </row>
    <row r="349">
      <c r="A349" s="56"/>
      <c r="C349" s="57"/>
      <c r="D349" s="58"/>
      <c r="E349" s="50"/>
      <c r="F349" s="59"/>
      <c r="G349" s="60"/>
      <c r="H349" s="61" t="str">
        <f t="shared" si="1"/>
        <v/>
      </c>
    </row>
    <row r="350">
      <c r="A350" s="56"/>
      <c r="C350" s="57"/>
      <c r="D350" s="58"/>
      <c r="E350" s="50"/>
      <c r="F350" s="59"/>
      <c r="G350" s="60"/>
      <c r="H350" s="61" t="str">
        <f t="shared" si="1"/>
        <v/>
      </c>
    </row>
    <row r="351">
      <c r="A351" s="56"/>
      <c r="C351" s="57"/>
      <c r="D351" s="58"/>
      <c r="E351" s="50"/>
      <c r="F351" s="59"/>
      <c r="G351" s="60"/>
      <c r="H351" s="61" t="str">
        <f t="shared" si="1"/>
        <v/>
      </c>
    </row>
    <row r="352">
      <c r="A352" s="56"/>
      <c r="C352" s="57"/>
      <c r="D352" s="58"/>
      <c r="E352" s="50"/>
      <c r="F352" s="59"/>
      <c r="G352" s="60"/>
      <c r="H352" s="61" t="str">
        <f t="shared" si="1"/>
        <v/>
      </c>
    </row>
    <row r="353">
      <c r="A353" s="56"/>
      <c r="C353" s="57"/>
      <c r="D353" s="58"/>
      <c r="E353" s="50"/>
      <c r="F353" s="59"/>
      <c r="G353" s="60"/>
      <c r="H353" s="61" t="str">
        <f t="shared" si="1"/>
        <v/>
      </c>
    </row>
    <row r="354">
      <c r="A354" s="56"/>
      <c r="C354" s="57"/>
      <c r="D354" s="58"/>
      <c r="E354" s="50"/>
      <c r="F354" s="59"/>
      <c r="G354" s="60"/>
      <c r="H354" s="61" t="str">
        <f t="shared" si="1"/>
        <v/>
      </c>
    </row>
    <row r="355">
      <c r="A355" s="56"/>
      <c r="C355" s="57"/>
      <c r="D355" s="58"/>
      <c r="E355" s="50"/>
      <c r="F355" s="59"/>
      <c r="G355" s="60"/>
      <c r="H355" s="61" t="str">
        <f t="shared" si="1"/>
        <v/>
      </c>
    </row>
    <row r="356">
      <c r="A356" s="56"/>
      <c r="C356" s="57"/>
      <c r="D356" s="58"/>
      <c r="E356" s="50"/>
      <c r="F356" s="59"/>
      <c r="G356" s="60"/>
      <c r="H356" s="61" t="str">
        <f t="shared" si="1"/>
        <v/>
      </c>
    </row>
    <row r="357">
      <c r="A357" s="56"/>
      <c r="C357" s="57"/>
      <c r="D357" s="58"/>
      <c r="E357" s="50"/>
      <c r="F357" s="59"/>
      <c r="G357" s="60"/>
      <c r="H357" s="61" t="str">
        <f t="shared" si="1"/>
        <v/>
      </c>
    </row>
    <row r="358">
      <c r="A358" s="56"/>
      <c r="C358" s="57"/>
      <c r="D358" s="58"/>
      <c r="E358" s="50"/>
      <c r="F358" s="59"/>
      <c r="G358" s="60"/>
      <c r="H358" s="61" t="str">
        <f t="shared" si="1"/>
        <v/>
      </c>
    </row>
    <row r="359">
      <c r="A359" s="56"/>
      <c r="C359" s="57"/>
      <c r="D359" s="58"/>
      <c r="E359" s="50"/>
      <c r="F359" s="59"/>
      <c r="G359" s="60"/>
      <c r="H359" s="61" t="str">
        <f t="shared" si="1"/>
        <v/>
      </c>
    </row>
    <row r="360">
      <c r="A360" s="56"/>
      <c r="C360" s="57"/>
      <c r="D360" s="58"/>
      <c r="E360" s="50"/>
      <c r="F360" s="59"/>
      <c r="G360" s="60"/>
      <c r="H360" s="61" t="str">
        <f t="shared" si="1"/>
        <v/>
      </c>
    </row>
    <row r="361">
      <c r="A361" s="56"/>
      <c r="C361" s="57"/>
      <c r="D361" s="58"/>
      <c r="E361" s="50"/>
      <c r="F361" s="59"/>
      <c r="G361" s="60"/>
      <c r="H361" s="61" t="str">
        <f t="shared" si="1"/>
        <v/>
      </c>
    </row>
    <row r="362">
      <c r="A362" s="56"/>
      <c r="C362" s="57"/>
      <c r="D362" s="58"/>
      <c r="E362" s="50"/>
      <c r="F362" s="59"/>
      <c r="G362" s="60"/>
      <c r="H362" s="61" t="str">
        <f t="shared" si="1"/>
        <v/>
      </c>
    </row>
    <row r="363">
      <c r="A363" s="56"/>
      <c r="C363" s="57"/>
      <c r="D363" s="58"/>
      <c r="E363" s="50"/>
      <c r="F363" s="59"/>
      <c r="G363" s="60"/>
      <c r="H363" s="61" t="str">
        <f t="shared" si="1"/>
        <v/>
      </c>
    </row>
    <row r="364">
      <c r="A364" s="56"/>
      <c r="C364" s="57"/>
      <c r="D364" s="58"/>
      <c r="E364" s="50"/>
      <c r="F364" s="59"/>
      <c r="G364" s="60"/>
      <c r="H364" s="61" t="str">
        <f t="shared" si="1"/>
        <v/>
      </c>
    </row>
    <row r="365">
      <c r="A365" s="56"/>
      <c r="C365" s="57"/>
      <c r="D365" s="58"/>
      <c r="E365" s="50"/>
      <c r="F365" s="59"/>
      <c r="G365" s="60"/>
      <c r="H365" s="61" t="str">
        <f t="shared" si="1"/>
        <v/>
      </c>
    </row>
    <row r="366">
      <c r="A366" s="56"/>
      <c r="C366" s="57"/>
      <c r="D366" s="58"/>
      <c r="E366" s="50"/>
      <c r="F366" s="59"/>
      <c r="G366" s="60"/>
      <c r="H366" s="61" t="str">
        <f t="shared" si="1"/>
        <v/>
      </c>
    </row>
    <row r="367">
      <c r="A367" s="56"/>
      <c r="C367" s="57"/>
      <c r="D367" s="58"/>
      <c r="E367" s="50"/>
      <c r="F367" s="59"/>
      <c r="G367" s="60"/>
      <c r="H367" s="61" t="str">
        <f t="shared" si="1"/>
        <v/>
      </c>
    </row>
    <row r="368">
      <c r="A368" s="56"/>
      <c r="C368" s="57"/>
      <c r="D368" s="58"/>
      <c r="E368" s="50"/>
      <c r="F368" s="59"/>
      <c r="G368" s="60"/>
      <c r="H368" s="61" t="str">
        <f t="shared" si="1"/>
        <v/>
      </c>
    </row>
    <row r="369">
      <c r="A369" s="56"/>
      <c r="C369" s="57"/>
      <c r="D369" s="58"/>
      <c r="E369" s="50"/>
      <c r="F369" s="59"/>
      <c r="G369" s="60"/>
      <c r="H369" s="61" t="str">
        <f t="shared" si="1"/>
        <v/>
      </c>
    </row>
    <row r="370">
      <c r="A370" s="56"/>
      <c r="C370" s="57"/>
      <c r="D370" s="58"/>
      <c r="E370" s="50"/>
      <c r="F370" s="59"/>
      <c r="G370" s="60"/>
      <c r="H370" s="61" t="str">
        <f t="shared" si="1"/>
        <v/>
      </c>
    </row>
    <row r="371">
      <c r="A371" s="56"/>
      <c r="C371" s="57"/>
      <c r="D371" s="58"/>
      <c r="E371" s="50"/>
      <c r="F371" s="59"/>
      <c r="G371" s="60"/>
      <c r="H371" s="61" t="str">
        <f t="shared" si="1"/>
        <v/>
      </c>
    </row>
    <row r="372">
      <c r="A372" s="56"/>
      <c r="C372" s="57"/>
      <c r="D372" s="58"/>
      <c r="E372" s="50"/>
      <c r="F372" s="59"/>
      <c r="G372" s="60"/>
      <c r="H372" s="61" t="str">
        <f t="shared" si="1"/>
        <v/>
      </c>
    </row>
    <row r="373">
      <c r="A373" s="56"/>
      <c r="C373" s="57"/>
      <c r="D373" s="58"/>
      <c r="E373" s="50"/>
      <c r="F373" s="59"/>
      <c r="G373" s="60"/>
      <c r="H373" s="61" t="str">
        <f t="shared" si="1"/>
        <v/>
      </c>
    </row>
    <row r="374">
      <c r="A374" s="56"/>
      <c r="C374" s="57"/>
      <c r="D374" s="58"/>
      <c r="E374" s="50"/>
      <c r="F374" s="59"/>
      <c r="G374" s="60"/>
      <c r="H374" s="61" t="str">
        <f t="shared" si="1"/>
        <v/>
      </c>
    </row>
    <row r="375">
      <c r="A375" s="56"/>
      <c r="C375" s="57"/>
      <c r="D375" s="58"/>
      <c r="E375" s="50"/>
      <c r="F375" s="59"/>
      <c r="G375" s="60"/>
      <c r="H375" s="61" t="str">
        <f t="shared" si="1"/>
        <v/>
      </c>
    </row>
    <row r="376">
      <c r="A376" s="56"/>
      <c r="C376" s="57"/>
      <c r="D376" s="58"/>
      <c r="E376" s="50"/>
      <c r="F376" s="59"/>
      <c r="G376" s="60"/>
      <c r="H376" s="61" t="str">
        <f t="shared" si="1"/>
        <v/>
      </c>
    </row>
    <row r="377">
      <c r="A377" s="56"/>
      <c r="C377" s="57"/>
      <c r="D377" s="58"/>
      <c r="E377" s="50"/>
      <c r="F377" s="59"/>
      <c r="G377" s="60"/>
      <c r="H377" s="61" t="str">
        <f t="shared" si="1"/>
        <v/>
      </c>
    </row>
    <row r="378">
      <c r="A378" s="56"/>
      <c r="C378" s="57"/>
      <c r="D378" s="58"/>
      <c r="E378" s="50"/>
      <c r="F378" s="59"/>
      <c r="G378" s="60"/>
      <c r="H378" s="61" t="str">
        <f t="shared" si="1"/>
        <v/>
      </c>
    </row>
    <row r="379">
      <c r="A379" s="56"/>
      <c r="C379" s="57"/>
      <c r="D379" s="58"/>
      <c r="E379" s="50"/>
      <c r="F379" s="59"/>
      <c r="G379" s="60"/>
      <c r="H379" s="61" t="str">
        <f t="shared" si="1"/>
        <v/>
      </c>
    </row>
    <row r="380">
      <c r="A380" s="56"/>
      <c r="C380" s="57"/>
      <c r="D380" s="58"/>
      <c r="E380" s="50"/>
      <c r="F380" s="59"/>
      <c r="G380" s="60"/>
      <c r="H380" s="61" t="str">
        <f t="shared" si="1"/>
        <v/>
      </c>
    </row>
    <row r="381">
      <c r="A381" s="56"/>
      <c r="C381" s="57"/>
      <c r="D381" s="58"/>
      <c r="E381" s="50"/>
      <c r="F381" s="59"/>
      <c r="G381" s="60"/>
      <c r="H381" s="61" t="str">
        <f t="shared" si="1"/>
        <v/>
      </c>
    </row>
    <row r="382">
      <c r="A382" s="56"/>
      <c r="C382" s="57"/>
      <c r="D382" s="58"/>
      <c r="E382" s="50"/>
      <c r="F382" s="59"/>
      <c r="G382" s="60"/>
      <c r="H382" s="61" t="str">
        <f t="shared" si="1"/>
        <v/>
      </c>
    </row>
    <row r="383">
      <c r="A383" s="56"/>
      <c r="C383" s="57"/>
      <c r="D383" s="58"/>
      <c r="E383" s="50"/>
      <c r="F383" s="59"/>
      <c r="G383" s="60"/>
      <c r="H383" s="61" t="str">
        <f t="shared" si="1"/>
        <v/>
      </c>
    </row>
    <row r="384">
      <c r="A384" s="56"/>
      <c r="C384" s="57"/>
      <c r="D384" s="58"/>
      <c r="E384" s="50"/>
      <c r="F384" s="59"/>
      <c r="G384" s="60"/>
      <c r="H384" s="61" t="str">
        <f t="shared" si="1"/>
        <v/>
      </c>
    </row>
    <row r="385">
      <c r="A385" s="56"/>
      <c r="C385" s="57"/>
      <c r="D385" s="58"/>
      <c r="E385" s="50"/>
      <c r="F385" s="59"/>
      <c r="G385" s="60"/>
      <c r="H385" s="61" t="str">
        <f t="shared" si="1"/>
        <v/>
      </c>
    </row>
    <row r="386">
      <c r="A386" s="56"/>
      <c r="C386" s="57"/>
      <c r="D386" s="58"/>
      <c r="E386" s="50"/>
      <c r="F386" s="59"/>
      <c r="G386" s="60"/>
      <c r="H386" s="61" t="str">
        <f t="shared" si="1"/>
        <v/>
      </c>
    </row>
    <row r="387">
      <c r="A387" s="56"/>
      <c r="C387" s="57"/>
      <c r="D387" s="58"/>
      <c r="E387" s="50"/>
      <c r="F387" s="59"/>
      <c r="G387" s="60"/>
      <c r="H387" s="61" t="str">
        <f t="shared" si="1"/>
        <v/>
      </c>
    </row>
    <row r="388">
      <c r="A388" s="56"/>
      <c r="C388" s="57"/>
      <c r="D388" s="58"/>
      <c r="E388" s="50"/>
      <c r="F388" s="59"/>
      <c r="G388" s="60"/>
      <c r="H388" s="61" t="str">
        <f t="shared" si="1"/>
        <v/>
      </c>
    </row>
    <row r="389">
      <c r="A389" s="56"/>
      <c r="C389" s="57"/>
      <c r="D389" s="58"/>
      <c r="E389" s="50"/>
      <c r="F389" s="59"/>
      <c r="G389" s="60"/>
      <c r="H389" s="61" t="str">
        <f t="shared" si="1"/>
        <v/>
      </c>
    </row>
    <row r="390">
      <c r="A390" s="56"/>
      <c r="C390" s="57"/>
      <c r="D390" s="58"/>
      <c r="E390" s="50"/>
      <c r="F390" s="59"/>
      <c r="G390" s="60"/>
      <c r="H390" s="61" t="str">
        <f t="shared" si="1"/>
        <v/>
      </c>
    </row>
    <row r="391">
      <c r="A391" s="56"/>
      <c r="C391" s="57"/>
      <c r="D391" s="58"/>
      <c r="E391" s="50"/>
      <c r="F391" s="59"/>
      <c r="G391" s="60"/>
      <c r="H391" s="61" t="str">
        <f t="shared" si="1"/>
        <v/>
      </c>
    </row>
    <row r="392">
      <c r="A392" s="56"/>
      <c r="C392" s="57"/>
      <c r="D392" s="58"/>
      <c r="E392" s="50"/>
      <c r="F392" s="59"/>
      <c r="G392" s="60"/>
      <c r="H392" s="61" t="str">
        <f t="shared" si="1"/>
        <v/>
      </c>
    </row>
    <row r="393">
      <c r="A393" s="56"/>
      <c r="C393" s="57"/>
      <c r="D393" s="58"/>
      <c r="E393" s="50"/>
      <c r="F393" s="59"/>
      <c r="G393" s="60"/>
      <c r="H393" s="61" t="str">
        <f t="shared" si="1"/>
        <v/>
      </c>
    </row>
    <row r="394">
      <c r="A394" s="56"/>
      <c r="C394" s="57"/>
      <c r="D394" s="58"/>
      <c r="E394" s="50"/>
      <c r="F394" s="59"/>
      <c r="G394" s="60"/>
      <c r="H394" s="61" t="str">
        <f t="shared" si="1"/>
        <v/>
      </c>
    </row>
    <row r="395">
      <c r="A395" s="56"/>
      <c r="C395" s="57"/>
      <c r="D395" s="58"/>
      <c r="E395" s="50"/>
      <c r="F395" s="59"/>
      <c r="G395" s="60"/>
      <c r="H395" s="61" t="str">
        <f t="shared" si="1"/>
        <v/>
      </c>
    </row>
    <row r="396">
      <c r="A396" s="56"/>
      <c r="C396" s="57"/>
      <c r="D396" s="58"/>
      <c r="E396" s="50"/>
      <c r="F396" s="59"/>
      <c r="G396" s="60"/>
      <c r="H396" s="61" t="str">
        <f t="shared" si="1"/>
        <v/>
      </c>
    </row>
    <row r="397">
      <c r="A397" s="56"/>
      <c r="C397" s="57"/>
      <c r="D397" s="58"/>
      <c r="E397" s="50"/>
      <c r="F397" s="59"/>
      <c r="G397" s="60"/>
      <c r="H397" s="61" t="str">
        <f t="shared" si="1"/>
        <v/>
      </c>
    </row>
    <row r="398">
      <c r="A398" s="56"/>
      <c r="C398" s="57"/>
      <c r="D398" s="58"/>
      <c r="E398" s="50"/>
      <c r="F398" s="59"/>
      <c r="G398" s="60"/>
      <c r="H398" s="61" t="str">
        <f t="shared" si="1"/>
        <v/>
      </c>
    </row>
    <row r="399">
      <c r="A399" s="56"/>
      <c r="C399" s="57"/>
      <c r="D399" s="58"/>
      <c r="E399" s="50"/>
      <c r="F399" s="59"/>
      <c r="G399" s="60"/>
      <c r="H399" s="61" t="str">
        <f t="shared" si="1"/>
        <v/>
      </c>
    </row>
    <row r="400">
      <c r="A400" s="56"/>
      <c r="C400" s="57"/>
      <c r="D400" s="58"/>
      <c r="E400" s="50"/>
      <c r="F400" s="59"/>
      <c r="G400" s="60"/>
      <c r="H400" s="61" t="str">
        <f t="shared" si="1"/>
        <v/>
      </c>
    </row>
    <row r="401">
      <c r="A401" s="56"/>
      <c r="C401" s="57"/>
      <c r="D401" s="58"/>
      <c r="E401" s="50"/>
      <c r="F401" s="59"/>
      <c r="G401" s="60"/>
      <c r="H401" s="61" t="str">
        <f t="shared" si="1"/>
        <v/>
      </c>
    </row>
    <row r="402">
      <c r="A402" s="56"/>
      <c r="C402" s="57"/>
      <c r="D402" s="58"/>
      <c r="E402" s="50"/>
      <c r="F402" s="59"/>
      <c r="G402" s="60"/>
      <c r="H402" s="61" t="str">
        <f t="shared" si="1"/>
        <v/>
      </c>
    </row>
    <row r="403">
      <c r="A403" s="56"/>
      <c r="C403" s="57"/>
      <c r="D403" s="58"/>
      <c r="E403" s="50"/>
      <c r="F403" s="59"/>
      <c r="G403" s="60"/>
      <c r="H403" s="61" t="str">
        <f t="shared" si="1"/>
        <v/>
      </c>
    </row>
    <row r="404">
      <c r="A404" s="56"/>
      <c r="C404" s="57"/>
      <c r="D404" s="58"/>
      <c r="E404" s="50"/>
      <c r="F404" s="59"/>
      <c r="G404" s="60"/>
      <c r="H404" s="61" t="str">
        <f t="shared" si="1"/>
        <v/>
      </c>
    </row>
    <row r="405">
      <c r="A405" s="56"/>
      <c r="C405" s="57"/>
      <c r="D405" s="58"/>
      <c r="E405" s="50"/>
      <c r="F405" s="59"/>
      <c r="G405" s="60"/>
      <c r="H405" s="61" t="str">
        <f t="shared" si="1"/>
        <v/>
      </c>
    </row>
    <row r="406">
      <c r="A406" s="56"/>
      <c r="C406" s="57"/>
      <c r="D406" s="58"/>
      <c r="E406" s="50"/>
      <c r="F406" s="59"/>
      <c r="G406" s="60"/>
      <c r="H406" s="61" t="str">
        <f t="shared" si="1"/>
        <v/>
      </c>
    </row>
    <row r="407">
      <c r="A407" s="56"/>
      <c r="C407" s="57"/>
      <c r="D407" s="58"/>
      <c r="E407" s="50"/>
      <c r="F407" s="59"/>
      <c r="G407" s="60"/>
      <c r="H407" s="61" t="str">
        <f t="shared" si="1"/>
        <v/>
      </c>
    </row>
    <row r="408">
      <c r="A408" s="56"/>
      <c r="C408" s="57"/>
      <c r="D408" s="58"/>
      <c r="E408" s="50"/>
      <c r="F408" s="59"/>
      <c r="G408" s="60"/>
      <c r="H408" s="61" t="str">
        <f t="shared" si="1"/>
        <v/>
      </c>
    </row>
    <row r="409">
      <c r="A409" s="56"/>
      <c r="C409" s="57"/>
      <c r="D409" s="58"/>
      <c r="E409" s="50"/>
      <c r="F409" s="59"/>
      <c r="G409" s="60"/>
      <c r="H409" s="61" t="str">
        <f t="shared" si="1"/>
        <v/>
      </c>
    </row>
    <row r="410">
      <c r="A410" s="56"/>
      <c r="C410" s="57"/>
      <c r="D410" s="58"/>
      <c r="E410" s="50"/>
      <c r="F410" s="59"/>
      <c r="G410" s="60"/>
      <c r="H410" s="61" t="str">
        <f t="shared" si="1"/>
        <v/>
      </c>
    </row>
    <row r="411">
      <c r="A411" s="56"/>
      <c r="C411" s="57"/>
      <c r="D411" s="58"/>
      <c r="E411" s="50"/>
      <c r="F411" s="59"/>
      <c r="G411" s="60"/>
      <c r="H411" s="61" t="str">
        <f t="shared" si="1"/>
        <v/>
      </c>
    </row>
    <row r="412">
      <c r="A412" s="56"/>
      <c r="C412" s="57"/>
      <c r="D412" s="58"/>
      <c r="E412" s="50"/>
      <c r="F412" s="59"/>
      <c r="G412" s="60"/>
      <c r="H412" s="61" t="str">
        <f t="shared" si="1"/>
        <v/>
      </c>
    </row>
    <row r="413">
      <c r="A413" s="56"/>
      <c r="C413" s="57"/>
      <c r="D413" s="58"/>
      <c r="E413" s="50"/>
      <c r="F413" s="59"/>
      <c r="G413" s="60"/>
      <c r="H413" s="61" t="str">
        <f t="shared" si="1"/>
        <v/>
      </c>
    </row>
    <row r="414">
      <c r="A414" s="56"/>
      <c r="C414" s="57"/>
      <c r="D414" s="58"/>
      <c r="E414" s="50"/>
      <c r="F414" s="59"/>
      <c r="G414" s="60"/>
      <c r="H414" s="61" t="str">
        <f t="shared" si="1"/>
        <v/>
      </c>
    </row>
    <row r="415">
      <c r="A415" s="56"/>
      <c r="C415" s="57"/>
      <c r="D415" s="58"/>
      <c r="E415" s="50"/>
      <c r="F415" s="59"/>
      <c r="G415" s="60"/>
      <c r="H415" s="61" t="str">
        <f t="shared" si="1"/>
        <v/>
      </c>
    </row>
    <row r="416">
      <c r="A416" s="56"/>
      <c r="C416" s="57"/>
      <c r="D416" s="58"/>
      <c r="E416" s="50"/>
      <c r="F416" s="59"/>
      <c r="G416" s="60"/>
      <c r="H416" s="61" t="str">
        <f t="shared" si="1"/>
        <v/>
      </c>
    </row>
    <row r="417">
      <c r="A417" s="56"/>
      <c r="C417" s="57"/>
      <c r="D417" s="58"/>
      <c r="E417" s="50"/>
      <c r="F417" s="59"/>
      <c r="G417" s="60"/>
      <c r="H417" s="61" t="str">
        <f t="shared" si="1"/>
        <v/>
      </c>
    </row>
    <row r="418">
      <c r="A418" s="56"/>
      <c r="C418" s="57"/>
      <c r="D418" s="58"/>
      <c r="E418" s="50"/>
      <c r="F418" s="59"/>
      <c r="G418" s="60"/>
      <c r="H418" s="61" t="str">
        <f t="shared" si="1"/>
        <v/>
      </c>
    </row>
    <row r="419">
      <c r="A419" s="56"/>
      <c r="C419" s="57"/>
      <c r="D419" s="58"/>
      <c r="E419" s="50"/>
      <c r="F419" s="59"/>
      <c r="G419" s="60"/>
      <c r="H419" s="61" t="str">
        <f t="shared" si="1"/>
        <v/>
      </c>
    </row>
    <row r="420">
      <c r="A420" s="56"/>
      <c r="C420" s="57"/>
      <c r="D420" s="58"/>
      <c r="E420" s="50"/>
      <c r="F420" s="59"/>
      <c r="G420" s="60"/>
      <c r="H420" s="61" t="str">
        <f t="shared" si="1"/>
        <v/>
      </c>
    </row>
    <row r="421">
      <c r="A421" s="56"/>
      <c r="C421" s="57"/>
      <c r="D421" s="58"/>
      <c r="E421" s="50"/>
      <c r="F421" s="59"/>
      <c r="G421" s="60"/>
      <c r="H421" s="61" t="str">
        <f t="shared" si="1"/>
        <v/>
      </c>
    </row>
    <row r="422">
      <c r="A422" s="56"/>
      <c r="C422" s="57"/>
      <c r="D422" s="58"/>
      <c r="E422" s="50"/>
      <c r="F422" s="59"/>
      <c r="G422" s="60"/>
      <c r="H422" s="61" t="str">
        <f t="shared" si="1"/>
        <v/>
      </c>
    </row>
    <row r="423">
      <c r="A423" s="56"/>
      <c r="C423" s="57"/>
      <c r="D423" s="58"/>
      <c r="E423" s="50"/>
      <c r="F423" s="59"/>
      <c r="G423" s="60"/>
      <c r="H423" s="61" t="str">
        <f t="shared" si="1"/>
        <v/>
      </c>
    </row>
    <row r="424">
      <c r="A424" s="56"/>
      <c r="C424" s="57"/>
      <c r="D424" s="58"/>
      <c r="E424" s="50"/>
      <c r="F424" s="59"/>
      <c r="G424" s="60"/>
      <c r="H424" s="61" t="str">
        <f t="shared" si="1"/>
        <v/>
      </c>
    </row>
    <row r="425">
      <c r="A425" s="56"/>
      <c r="C425" s="57"/>
      <c r="D425" s="58"/>
      <c r="E425" s="50"/>
      <c r="F425" s="59"/>
      <c r="G425" s="60"/>
      <c r="H425" s="61" t="str">
        <f t="shared" si="1"/>
        <v/>
      </c>
    </row>
    <row r="426">
      <c r="A426" s="56"/>
      <c r="C426" s="57"/>
      <c r="D426" s="58"/>
      <c r="E426" s="50"/>
      <c r="F426" s="59"/>
      <c r="G426" s="60"/>
      <c r="H426" s="61" t="str">
        <f t="shared" si="1"/>
        <v/>
      </c>
    </row>
    <row r="427">
      <c r="A427" s="56"/>
      <c r="C427" s="57"/>
      <c r="D427" s="58"/>
      <c r="E427" s="50"/>
      <c r="F427" s="59"/>
      <c r="G427" s="60"/>
      <c r="H427" s="61" t="str">
        <f t="shared" si="1"/>
        <v/>
      </c>
    </row>
    <row r="428">
      <c r="A428" s="56"/>
      <c r="C428" s="57"/>
      <c r="D428" s="58"/>
      <c r="E428" s="50"/>
      <c r="F428" s="59"/>
      <c r="G428" s="60"/>
      <c r="H428" s="61" t="str">
        <f t="shared" si="1"/>
        <v/>
      </c>
    </row>
    <row r="429">
      <c r="A429" s="56"/>
      <c r="C429" s="57"/>
      <c r="D429" s="58"/>
      <c r="E429" s="50"/>
      <c r="F429" s="59"/>
      <c r="G429" s="60"/>
      <c r="H429" s="61" t="str">
        <f t="shared" si="1"/>
        <v/>
      </c>
    </row>
    <row r="430">
      <c r="A430" s="56"/>
      <c r="C430" s="57"/>
      <c r="D430" s="58"/>
      <c r="E430" s="50"/>
      <c r="F430" s="59"/>
      <c r="G430" s="60"/>
      <c r="H430" s="61" t="str">
        <f t="shared" si="1"/>
        <v/>
      </c>
    </row>
    <row r="431">
      <c r="A431" s="56"/>
      <c r="C431" s="57"/>
      <c r="D431" s="58"/>
      <c r="E431" s="50"/>
      <c r="F431" s="59"/>
      <c r="G431" s="60"/>
      <c r="H431" s="61" t="str">
        <f t="shared" si="1"/>
        <v/>
      </c>
    </row>
    <row r="432">
      <c r="A432" s="56"/>
      <c r="C432" s="57"/>
      <c r="D432" s="58"/>
      <c r="E432" s="50"/>
      <c r="F432" s="59"/>
      <c r="G432" s="60"/>
      <c r="H432" s="61" t="str">
        <f t="shared" si="1"/>
        <v/>
      </c>
    </row>
    <row r="433">
      <c r="A433" s="56"/>
      <c r="C433" s="57"/>
      <c r="D433" s="58"/>
      <c r="E433" s="50"/>
      <c r="F433" s="59"/>
      <c r="G433" s="60"/>
      <c r="H433" s="61" t="str">
        <f t="shared" si="1"/>
        <v/>
      </c>
    </row>
    <row r="434">
      <c r="A434" s="56"/>
      <c r="C434" s="57"/>
      <c r="D434" s="58"/>
      <c r="E434" s="50"/>
      <c r="F434" s="59"/>
      <c r="G434" s="60"/>
      <c r="H434" s="61" t="str">
        <f t="shared" si="1"/>
        <v/>
      </c>
    </row>
    <row r="435">
      <c r="A435" s="56"/>
      <c r="C435" s="57"/>
      <c r="D435" s="58"/>
      <c r="E435" s="50"/>
      <c r="F435" s="59"/>
      <c r="G435" s="60"/>
      <c r="H435" s="61" t="str">
        <f t="shared" si="1"/>
        <v/>
      </c>
    </row>
    <row r="436">
      <c r="A436" s="56"/>
      <c r="C436" s="57"/>
      <c r="D436" s="58"/>
      <c r="E436" s="50"/>
      <c r="F436" s="59"/>
      <c r="G436" s="60"/>
      <c r="H436" s="61" t="str">
        <f t="shared" si="1"/>
        <v/>
      </c>
    </row>
    <row r="437">
      <c r="A437" s="56"/>
      <c r="C437" s="57"/>
      <c r="D437" s="58"/>
      <c r="E437" s="50"/>
      <c r="F437" s="59"/>
      <c r="G437" s="60"/>
      <c r="H437" s="61" t="str">
        <f t="shared" si="1"/>
        <v/>
      </c>
    </row>
    <row r="438">
      <c r="A438" s="56"/>
      <c r="C438" s="57"/>
      <c r="D438" s="58"/>
      <c r="E438" s="50"/>
      <c r="F438" s="59"/>
      <c r="G438" s="60"/>
      <c r="H438" s="61" t="str">
        <f t="shared" si="1"/>
        <v/>
      </c>
    </row>
    <row r="439">
      <c r="A439" s="56"/>
      <c r="C439" s="57"/>
      <c r="D439" s="58"/>
      <c r="E439" s="50"/>
      <c r="F439" s="59"/>
      <c r="G439" s="60"/>
      <c r="H439" s="61" t="str">
        <f t="shared" si="1"/>
        <v/>
      </c>
    </row>
    <row r="440">
      <c r="A440" s="56"/>
      <c r="C440" s="57"/>
      <c r="D440" s="58"/>
      <c r="E440" s="50"/>
      <c r="F440" s="59"/>
      <c r="G440" s="60"/>
      <c r="H440" s="61" t="str">
        <f t="shared" si="1"/>
        <v/>
      </c>
    </row>
    <row r="441">
      <c r="A441" s="56"/>
      <c r="C441" s="57"/>
      <c r="D441" s="58"/>
      <c r="E441" s="50"/>
      <c r="F441" s="59"/>
      <c r="G441" s="60"/>
      <c r="H441" s="61" t="str">
        <f t="shared" si="1"/>
        <v/>
      </c>
    </row>
    <row r="442">
      <c r="A442" s="56"/>
      <c r="C442" s="57"/>
      <c r="D442" s="58"/>
      <c r="E442" s="50"/>
      <c r="F442" s="59"/>
      <c r="G442" s="60"/>
      <c r="H442" s="61" t="str">
        <f t="shared" si="1"/>
        <v/>
      </c>
    </row>
    <row r="443">
      <c r="A443" s="56"/>
      <c r="C443" s="57"/>
      <c r="D443" s="58"/>
      <c r="E443" s="50"/>
      <c r="F443" s="59"/>
      <c r="G443" s="60"/>
      <c r="H443" s="61" t="str">
        <f t="shared" si="1"/>
        <v/>
      </c>
    </row>
    <row r="444">
      <c r="A444" s="56"/>
      <c r="C444" s="57"/>
      <c r="D444" s="58"/>
      <c r="E444" s="50"/>
      <c r="F444" s="59"/>
      <c r="G444" s="60"/>
      <c r="H444" s="61" t="str">
        <f t="shared" si="1"/>
        <v/>
      </c>
    </row>
    <row r="445">
      <c r="A445" s="56"/>
      <c r="C445" s="57"/>
      <c r="D445" s="58"/>
      <c r="E445" s="50"/>
      <c r="F445" s="59"/>
      <c r="G445" s="60"/>
      <c r="H445" s="61" t="str">
        <f t="shared" si="1"/>
        <v/>
      </c>
    </row>
    <row r="446">
      <c r="A446" s="56"/>
      <c r="C446" s="57"/>
      <c r="D446" s="58"/>
      <c r="E446" s="50"/>
      <c r="F446" s="59"/>
      <c r="G446" s="60"/>
      <c r="H446" s="61" t="str">
        <f t="shared" si="1"/>
        <v/>
      </c>
    </row>
    <row r="447">
      <c r="A447" s="56"/>
      <c r="C447" s="57"/>
      <c r="D447" s="58"/>
      <c r="E447" s="50"/>
      <c r="F447" s="59"/>
      <c r="G447" s="60"/>
      <c r="H447" s="61" t="str">
        <f t="shared" si="1"/>
        <v/>
      </c>
    </row>
    <row r="448">
      <c r="A448" s="56"/>
      <c r="C448" s="57"/>
      <c r="D448" s="58"/>
      <c r="E448" s="50"/>
      <c r="F448" s="59"/>
      <c r="G448" s="60"/>
      <c r="H448" s="61" t="str">
        <f t="shared" si="1"/>
        <v/>
      </c>
    </row>
    <row r="449">
      <c r="A449" s="56"/>
      <c r="C449" s="57"/>
      <c r="D449" s="58"/>
      <c r="E449" s="50"/>
      <c r="F449" s="59"/>
      <c r="G449" s="60"/>
      <c r="H449" s="61" t="str">
        <f t="shared" si="1"/>
        <v/>
      </c>
    </row>
    <row r="450">
      <c r="A450" s="56"/>
      <c r="C450" s="57"/>
      <c r="D450" s="58"/>
      <c r="E450" s="50"/>
      <c r="F450" s="59"/>
      <c r="G450" s="60"/>
      <c r="H450" s="61" t="str">
        <f t="shared" si="1"/>
        <v/>
      </c>
    </row>
    <row r="451">
      <c r="A451" s="56"/>
      <c r="C451" s="57"/>
      <c r="D451" s="58"/>
      <c r="E451" s="50"/>
      <c r="F451" s="59"/>
      <c r="G451" s="60"/>
      <c r="H451" s="61" t="str">
        <f t="shared" si="1"/>
        <v/>
      </c>
    </row>
    <row r="452">
      <c r="A452" s="56"/>
      <c r="C452" s="57"/>
      <c r="D452" s="58"/>
      <c r="E452" s="50"/>
      <c r="F452" s="59"/>
      <c r="G452" s="60"/>
      <c r="H452" s="61" t="str">
        <f t="shared" si="1"/>
        <v/>
      </c>
    </row>
    <row r="453">
      <c r="A453" s="56"/>
      <c r="C453" s="57"/>
      <c r="D453" s="58"/>
      <c r="E453" s="50"/>
      <c r="F453" s="59"/>
      <c r="G453" s="60"/>
      <c r="H453" s="61" t="str">
        <f t="shared" si="1"/>
        <v/>
      </c>
    </row>
    <row r="454">
      <c r="A454" s="56"/>
      <c r="C454" s="57"/>
      <c r="D454" s="58"/>
      <c r="E454" s="50"/>
      <c r="F454" s="59"/>
      <c r="G454" s="60"/>
      <c r="H454" s="61" t="str">
        <f t="shared" si="1"/>
        <v/>
      </c>
    </row>
    <row r="455">
      <c r="A455" s="56"/>
      <c r="C455" s="57"/>
      <c r="D455" s="58"/>
      <c r="E455" s="50"/>
      <c r="F455" s="59"/>
      <c r="G455" s="60"/>
      <c r="H455" s="61" t="str">
        <f t="shared" si="1"/>
        <v/>
      </c>
    </row>
    <row r="456">
      <c r="A456" s="56"/>
      <c r="C456" s="57"/>
      <c r="D456" s="58"/>
      <c r="E456" s="50"/>
      <c r="F456" s="59"/>
      <c r="G456" s="60"/>
      <c r="H456" s="61" t="str">
        <f t="shared" si="1"/>
        <v/>
      </c>
    </row>
    <row r="457">
      <c r="A457" s="56"/>
      <c r="C457" s="57"/>
      <c r="D457" s="58"/>
      <c r="E457" s="50"/>
      <c r="F457" s="59"/>
      <c r="G457" s="60"/>
      <c r="H457" s="61" t="str">
        <f t="shared" si="1"/>
        <v/>
      </c>
    </row>
    <row r="458">
      <c r="A458" s="56"/>
      <c r="C458" s="57"/>
      <c r="D458" s="58"/>
      <c r="E458" s="50"/>
      <c r="F458" s="59"/>
      <c r="G458" s="60"/>
      <c r="H458" s="61" t="str">
        <f t="shared" si="1"/>
        <v/>
      </c>
    </row>
    <row r="459">
      <c r="A459" s="56"/>
      <c r="C459" s="57"/>
      <c r="D459" s="58"/>
      <c r="E459" s="50"/>
      <c r="F459" s="59"/>
      <c r="G459" s="60"/>
      <c r="H459" s="61" t="str">
        <f t="shared" si="1"/>
        <v/>
      </c>
    </row>
    <row r="460">
      <c r="A460" s="56"/>
      <c r="C460" s="57"/>
      <c r="D460" s="58"/>
      <c r="E460" s="50"/>
      <c r="F460" s="59"/>
      <c r="G460" s="60"/>
      <c r="H460" s="61" t="str">
        <f t="shared" si="1"/>
        <v/>
      </c>
    </row>
    <row r="461">
      <c r="A461" s="56"/>
      <c r="C461" s="57"/>
      <c r="D461" s="58"/>
      <c r="E461" s="50"/>
      <c r="F461" s="59"/>
      <c r="G461" s="60"/>
      <c r="H461" s="61" t="str">
        <f t="shared" si="1"/>
        <v/>
      </c>
    </row>
    <row r="462">
      <c r="A462" s="56"/>
      <c r="C462" s="57"/>
      <c r="D462" s="58"/>
      <c r="E462" s="50"/>
      <c r="F462" s="59"/>
      <c r="G462" s="60"/>
      <c r="H462" s="61" t="str">
        <f t="shared" si="1"/>
        <v/>
      </c>
    </row>
    <row r="463">
      <c r="A463" s="56"/>
      <c r="C463" s="57"/>
      <c r="D463" s="58"/>
      <c r="E463" s="50"/>
      <c r="F463" s="59"/>
      <c r="G463" s="60"/>
      <c r="H463" s="61" t="str">
        <f t="shared" si="1"/>
        <v/>
      </c>
    </row>
    <row r="464">
      <c r="A464" s="56"/>
      <c r="C464" s="57"/>
      <c r="D464" s="58"/>
      <c r="E464" s="50"/>
      <c r="F464" s="59"/>
      <c r="G464" s="60"/>
      <c r="H464" s="61" t="str">
        <f t="shared" si="1"/>
        <v/>
      </c>
    </row>
    <row r="465">
      <c r="A465" s="56"/>
      <c r="C465" s="57"/>
      <c r="D465" s="58"/>
      <c r="E465" s="50"/>
      <c r="F465" s="59"/>
      <c r="G465" s="60"/>
      <c r="H465" s="61" t="str">
        <f t="shared" si="1"/>
        <v/>
      </c>
    </row>
    <row r="466">
      <c r="A466" s="56"/>
      <c r="C466" s="57"/>
      <c r="D466" s="58"/>
      <c r="E466" s="50"/>
      <c r="F466" s="59"/>
      <c r="G466" s="60"/>
      <c r="H466" s="61" t="str">
        <f t="shared" si="1"/>
        <v/>
      </c>
    </row>
    <row r="467">
      <c r="A467" s="56"/>
      <c r="C467" s="57"/>
      <c r="D467" s="58"/>
      <c r="E467" s="50"/>
      <c r="F467" s="59"/>
      <c r="G467" s="60"/>
      <c r="H467" s="61" t="str">
        <f t="shared" si="1"/>
        <v/>
      </c>
    </row>
    <row r="468">
      <c r="A468" s="56"/>
      <c r="C468" s="57"/>
      <c r="D468" s="58"/>
      <c r="E468" s="50"/>
      <c r="F468" s="59"/>
      <c r="G468" s="60"/>
      <c r="H468" s="61" t="str">
        <f t="shared" si="1"/>
        <v/>
      </c>
    </row>
    <row r="469">
      <c r="A469" s="56"/>
      <c r="C469" s="57"/>
      <c r="D469" s="58"/>
      <c r="E469" s="50"/>
      <c r="F469" s="59"/>
      <c r="G469" s="60"/>
      <c r="H469" s="61" t="str">
        <f t="shared" si="1"/>
        <v/>
      </c>
    </row>
    <row r="470">
      <c r="A470" s="56"/>
      <c r="C470" s="57"/>
      <c r="D470" s="58"/>
      <c r="E470" s="50"/>
      <c r="F470" s="59"/>
      <c r="G470" s="60"/>
      <c r="H470" s="61" t="str">
        <f t="shared" si="1"/>
        <v/>
      </c>
    </row>
    <row r="471">
      <c r="A471" s="56"/>
      <c r="C471" s="57"/>
      <c r="D471" s="58"/>
      <c r="E471" s="50"/>
      <c r="F471" s="59"/>
      <c r="G471" s="60"/>
      <c r="H471" s="61" t="str">
        <f t="shared" si="1"/>
        <v/>
      </c>
    </row>
    <row r="472">
      <c r="A472" s="56"/>
      <c r="C472" s="57"/>
      <c r="D472" s="58"/>
      <c r="E472" s="50"/>
      <c r="F472" s="59"/>
      <c r="G472" s="60"/>
      <c r="H472" s="61" t="str">
        <f t="shared" si="1"/>
        <v/>
      </c>
    </row>
    <row r="473">
      <c r="A473" s="56"/>
      <c r="C473" s="57"/>
      <c r="D473" s="58"/>
      <c r="E473" s="50"/>
      <c r="F473" s="59"/>
      <c r="G473" s="60"/>
      <c r="H473" s="61" t="str">
        <f t="shared" si="1"/>
        <v/>
      </c>
    </row>
    <row r="474">
      <c r="A474" s="56"/>
      <c r="C474" s="57"/>
      <c r="D474" s="58"/>
      <c r="E474" s="50"/>
      <c r="F474" s="59"/>
      <c r="G474" s="60"/>
      <c r="H474" s="61" t="str">
        <f t="shared" si="1"/>
        <v/>
      </c>
    </row>
    <row r="475">
      <c r="A475" s="56"/>
      <c r="C475" s="57"/>
      <c r="D475" s="58"/>
      <c r="E475" s="50"/>
      <c r="F475" s="59"/>
      <c r="G475" s="60"/>
      <c r="H475" s="61" t="str">
        <f t="shared" si="1"/>
        <v/>
      </c>
    </row>
    <row r="476">
      <c r="A476" s="56"/>
      <c r="C476" s="57"/>
      <c r="D476" s="58"/>
      <c r="E476" s="50"/>
      <c r="F476" s="59"/>
      <c r="G476" s="60"/>
      <c r="H476" s="61" t="str">
        <f t="shared" si="1"/>
        <v/>
      </c>
    </row>
    <row r="477">
      <c r="A477" s="56"/>
      <c r="C477" s="57"/>
      <c r="D477" s="58"/>
      <c r="E477" s="50"/>
      <c r="F477" s="59"/>
      <c r="G477" s="60"/>
      <c r="H477" s="61" t="str">
        <f t="shared" si="1"/>
        <v/>
      </c>
    </row>
    <row r="478">
      <c r="A478" s="56"/>
      <c r="C478" s="57"/>
      <c r="D478" s="58"/>
      <c r="E478" s="50"/>
      <c r="F478" s="59"/>
      <c r="G478" s="60"/>
      <c r="H478" s="61" t="str">
        <f t="shared" si="1"/>
        <v/>
      </c>
    </row>
    <row r="479">
      <c r="A479" s="56"/>
      <c r="C479" s="57"/>
      <c r="D479" s="58"/>
      <c r="E479" s="50"/>
      <c r="F479" s="59"/>
      <c r="G479" s="60"/>
      <c r="H479" s="61" t="str">
        <f t="shared" si="1"/>
        <v/>
      </c>
    </row>
    <row r="480">
      <c r="A480" s="56"/>
      <c r="C480" s="57"/>
      <c r="D480" s="58"/>
      <c r="E480" s="50"/>
      <c r="F480" s="59"/>
      <c r="G480" s="60"/>
      <c r="H480" s="61" t="str">
        <f t="shared" si="1"/>
        <v/>
      </c>
    </row>
    <row r="481">
      <c r="A481" s="56"/>
      <c r="C481" s="57"/>
      <c r="D481" s="58"/>
      <c r="E481" s="50"/>
      <c r="F481" s="59"/>
      <c r="G481" s="60"/>
      <c r="H481" s="61" t="str">
        <f t="shared" si="1"/>
        <v/>
      </c>
    </row>
    <row r="482">
      <c r="A482" s="56"/>
      <c r="C482" s="57"/>
      <c r="D482" s="58"/>
      <c r="E482" s="50"/>
      <c r="F482" s="59"/>
      <c r="G482" s="60"/>
      <c r="H482" s="61" t="str">
        <f t="shared" si="1"/>
        <v/>
      </c>
    </row>
    <row r="483">
      <c r="A483" s="56"/>
      <c r="C483" s="57"/>
      <c r="D483" s="58"/>
      <c r="E483" s="50"/>
      <c r="F483" s="59"/>
      <c r="G483" s="60"/>
      <c r="H483" s="61" t="str">
        <f t="shared" si="1"/>
        <v/>
      </c>
    </row>
    <row r="484">
      <c r="A484" s="56"/>
      <c r="C484" s="57"/>
      <c r="D484" s="58"/>
      <c r="E484" s="50"/>
      <c r="F484" s="59"/>
      <c r="G484" s="60"/>
      <c r="H484" s="61" t="str">
        <f t="shared" si="1"/>
        <v/>
      </c>
    </row>
    <row r="485">
      <c r="A485" s="56"/>
      <c r="C485" s="57"/>
      <c r="D485" s="58"/>
      <c r="E485" s="50"/>
      <c r="F485" s="59"/>
      <c r="G485" s="60"/>
      <c r="H485" s="61" t="str">
        <f t="shared" si="1"/>
        <v/>
      </c>
    </row>
    <row r="486">
      <c r="A486" s="56"/>
      <c r="C486" s="57"/>
      <c r="D486" s="58"/>
      <c r="E486" s="50"/>
      <c r="F486" s="59"/>
      <c r="G486" s="60"/>
      <c r="H486" s="61" t="str">
        <f t="shared" si="1"/>
        <v/>
      </c>
    </row>
    <row r="487">
      <c r="A487" s="56"/>
      <c r="C487" s="57"/>
      <c r="D487" s="58"/>
      <c r="E487" s="50"/>
      <c r="F487" s="59"/>
      <c r="G487" s="60"/>
      <c r="H487" s="61" t="str">
        <f t="shared" si="1"/>
        <v/>
      </c>
    </row>
    <row r="488">
      <c r="A488" s="56"/>
      <c r="C488" s="57"/>
      <c r="D488" s="58"/>
      <c r="E488" s="50"/>
      <c r="F488" s="59"/>
      <c r="G488" s="60"/>
      <c r="H488" s="61" t="str">
        <f t="shared" si="1"/>
        <v/>
      </c>
    </row>
    <row r="489">
      <c r="A489" s="56"/>
      <c r="C489" s="57"/>
      <c r="D489" s="58"/>
      <c r="E489" s="50"/>
      <c r="F489" s="59"/>
      <c r="G489" s="60"/>
      <c r="H489" s="61" t="str">
        <f t="shared" si="1"/>
        <v/>
      </c>
    </row>
    <row r="490">
      <c r="A490" s="56"/>
      <c r="C490" s="57"/>
      <c r="D490" s="58"/>
      <c r="E490" s="50"/>
      <c r="F490" s="59"/>
      <c r="G490" s="60"/>
      <c r="H490" s="61" t="str">
        <f t="shared" si="1"/>
        <v/>
      </c>
    </row>
    <row r="491">
      <c r="A491" s="56"/>
      <c r="C491" s="57"/>
      <c r="D491" s="58"/>
      <c r="E491" s="50"/>
      <c r="F491" s="59"/>
      <c r="G491" s="60"/>
      <c r="H491" s="61" t="str">
        <f t="shared" si="1"/>
        <v/>
      </c>
    </row>
    <row r="492">
      <c r="A492" s="56"/>
      <c r="C492" s="57"/>
      <c r="D492" s="58"/>
      <c r="E492" s="50"/>
      <c r="F492" s="59"/>
      <c r="G492" s="60"/>
      <c r="H492" s="61" t="str">
        <f t="shared" si="1"/>
        <v/>
      </c>
    </row>
    <row r="493">
      <c r="A493" s="56"/>
      <c r="C493" s="57"/>
      <c r="D493" s="58"/>
      <c r="E493" s="50"/>
      <c r="F493" s="59"/>
      <c r="G493" s="60"/>
      <c r="H493" s="61" t="str">
        <f t="shared" si="1"/>
        <v/>
      </c>
    </row>
    <row r="494">
      <c r="A494" s="56"/>
      <c r="C494" s="57"/>
      <c r="D494" s="58"/>
      <c r="E494" s="50"/>
      <c r="F494" s="59"/>
      <c r="G494" s="60"/>
      <c r="H494" s="61" t="str">
        <f t="shared" si="1"/>
        <v/>
      </c>
    </row>
    <row r="495">
      <c r="A495" s="56"/>
      <c r="C495" s="57"/>
      <c r="D495" s="58"/>
      <c r="E495" s="50"/>
      <c r="F495" s="59"/>
      <c r="G495" s="60"/>
      <c r="H495" s="61" t="str">
        <f t="shared" si="1"/>
        <v/>
      </c>
    </row>
    <row r="496">
      <c r="A496" s="56"/>
      <c r="C496" s="57"/>
      <c r="D496" s="58"/>
      <c r="E496" s="50"/>
      <c r="F496" s="59"/>
      <c r="G496" s="60"/>
      <c r="H496" s="61" t="str">
        <f t="shared" si="1"/>
        <v/>
      </c>
    </row>
    <row r="497">
      <c r="A497" s="56"/>
      <c r="C497" s="57"/>
      <c r="D497" s="58"/>
      <c r="E497" s="50"/>
      <c r="F497" s="59"/>
      <c r="G497" s="60"/>
      <c r="H497" s="61" t="str">
        <f t="shared" si="1"/>
        <v/>
      </c>
    </row>
    <row r="498">
      <c r="A498" s="56"/>
      <c r="C498" s="57"/>
      <c r="D498" s="58"/>
      <c r="E498" s="50"/>
      <c r="F498" s="59"/>
      <c r="G498" s="60"/>
      <c r="H498" s="61" t="str">
        <f t="shared" si="1"/>
        <v/>
      </c>
    </row>
    <row r="499">
      <c r="A499" s="56"/>
      <c r="C499" s="57"/>
      <c r="D499" s="58"/>
      <c r="E499" s="50"/>
      <c r="F499" s="59"/>
      <c r="G499" s="60"/>
      <c r="H499" s="61" t="str">
        <f t="shared" si="1"/>
        <v/>
      </c>
    </row>
    <row r="500">
      <c r="A500" s="56"/>
      <c r="C500" s="57"/>
      <c r="D500" s="58"/>
      <c r="E500" s="50"/>
      <c r="F500" s="59"/>
      <c r="G500" s="60"/>
      <c r="H500" s="61" t="str">
        <f t="shared" si="1"/>
        <v/>
      </c>
    </row>
    <row r="501">
      <c r="A501" s="56"/>
      <c r="C501" s="57"/>
      <c r="D501" s="58"/>
      <c r="E501" s="50"/>
      <c r="F501" s="59"/>
      <c r="G501" s="60"/>
      <c r="H501" s="61" t="str">
        <f t="shared" si="1"/>
        <v/>
      </c>
    </row>
    <row r="502">
      <c r="A502" s="56"/>
      <c r="C502" s="57"/>
      <c r="D502" s="58"/>
      <c r="E502" s="50"/>
      <c r="F502" s="59"/>
      <c r="G502" s="60"/>
      <c r="H502" s="61" t="str">
        <f t="shared" si="1"/>
        <v/>
      </c>
    </row>
    <row r="503">
      <c r="A503" s="56"/>
      <c r="C503" s="57"/>
      <c r="D503" s="58"/>
      <c r="E503" s="50"/>
      <c r="F503" s="59"/>
      <c r="G503" s="60"/>
      <c r="H503" s="61" t="str">
        <f t="shared" si="1"/>
        <v/>
      </c>
    </row>
    <row r="504">
      <c r="A504" s="56"/>
      <c r="C504" s="57"/>
      <c r="D504" s="58"/>
      <c r="E504" s="50"/>
      <c r="F504" s="59"/>
      <c r="G504" s="60"/>
      <c r="H504" s="61" t="str">
        <f t="shared" si="1"/>
        <v/>
      </c>
    </row>
    <row r="505">
      <c r="A505" s="56"/>
      <c r="C505" s="57"/>
      <c r="D505" s="58"/>
      <c r="E505" s="50"/>
      <c r="F505" s="59"/>
      <c r="G505" s="60"/>
      <c r="H505" s="61" t="str">
        <f t="shared" si="1"/>
        <v/>
      </c>
    </row>
    <row r="506">
      <c r="A506" s="56"/>
      <c r="C506" s="57"/>
      <c r="D506" s="58"/>
      <c r="E506" s="50"/>
      <c r="F506" s="59"/>
      <c r="G506" s="60"/>
      <c r="H506" s="61" t="str">
        <f t="shared" si="1"/>
        <v/>
      </c>
    </row>
    <row r="507">
      <c r="A507" s="56"/>
      <c r="C507" s="57"/>
      <c r="D507" s="58"/>
      <c r="E507" s="50"/>
      <c r="F507" s="59"/>
      <c r="G507" s="60"/>
      <c r="H507" s="61" t="str">
        <f t="shared" si="1"/>
        <v/>
      </c>
    </row>
    <row r="508">
      <c r="A508" s="56"/>
      <c r="C508" s="57"/>
      <c r="D508" s="58"/>
      <c r="E508" s="50"/>
      <c r="F508" s="59"/>
      <c r="G508" s="60"/>
      <c r="H508" s="61" t="str">
        <f t="shared" si="1"/>
        <v/>
      </c>
    </row>
    <row r="509">
      <c r="A509" s="56"/>
      <c r="C509" s="57"/>
      <c r="D509" s="58"/>
      <c r="E509" s="50"/>
      <c r="F509" s="59"/>
      <c r="G509" s="60"/>
      <c r="H509" s="61" t="str">
        <f t="shared" si="1"/>
        <v/>
      </c>
    </row>
    <row r="510">
      <c r="A510" s="56"/>
      <c r="C510" s="57"/>
      <c r="D510" s="58"/>
      <c r="E510" s="50"/>
      <c r="F510" s="59"/>
      <c r="G510" s="60"/>
      <c r="H510" s="61" t="str">
        <f t="shared" si="1"/>
        <v/>
      </c>
    </row>
    <row r="511">
      <c r="A511" s="56"/>
      <c r="C511" s="57"/>
      <c r="D511" s="58"/>
      <c r="E511" s="50"/>
      <c r="F511" s="59"/>
      <c r="G511" s="60"/>
      <c r="H511" s="61" t="str">
        <f t="shared" si="1"/>
        <v/>
      </c>
    </row>
    <row r="512">
      <c r="A512" s="56"/>
      <c r="C512" s="57"/>
      <c r="D512" s="58"/>
      <c r="E512" s="50"/>
      <c r="F512" s="59"/>
      <c r="G512" s="60"/>
      <c r="H512" s="61" t="str">
        <f t="shared" si="1"/>
        <v/>
      </c>
    </row>
    <row r="513">
      <c r="A513" s="56"/>
      <c r="C513" s="57"/>
      <c r="D513" s="58"/>
      <c r="E513" s="50"/>
      <c r="F513" s="59"/>
      <c r="G513" s="60"/>
      <c r="H513" s="61" t="str">
        <f t="shared" si="1"/>
        <v/>
      </c>
    </row>
    <row r="514">
      <c r="A514" s="56"/>
      <c r="C514" s="57"/>
      <c r="D514" s="58"/>
      <c r="E514" s="50"/>
      <c r="F514" s="59"/>
      <c r="G514" s="60"/>
      <c r="H514" s="61" t="str">
        <f t="shared" si="1"/>
        <v/>
      </c>
    </row>
    <row r="515">
      <c r="A515" s="56"/>
      <c r="C515" s="57"/>
      <c r="D515" s="58"/>
      <c r="E515" s="50"/>
      <c r="F515" s="59"/>
      <c r="G515" s="60"/>
      <c r="H515" s="61" t="str">
        <f t="shared" si="1"/>
        <v/>
      </c>
    </row>
    <row r="516">
      <c r="A516" s="56"/>
      <c r="C516" s="57"/>
      <c r="D516" s="58"/>
      <c r="E516" s="50"/>
      <c r="F516" s="59"/>
      <c r="G516" s="60"/>
      <c r="H516" s="61" t="str">
        <f t="shared" si="1"/>
        <v/>
      </c>
    </row>
    <row r="517">
      <c r="A517" s="56"/>
      <c r="C517" s="57"/>
      <c r="D517" s="58"/>
      <c r="E517" s="50"/>
      <c r="F517" s="59"/>
      <c r="G517" s="60"/>
      <c r="H517" s="61" t="str">
        <f t="shared" si="1"/>
        <v/>
      </c>
    </row>
    <row r="518">
      <c r="A518" s="56"/>
      <c r="C518" s="57"/>
      <c r="D518" s="58"/>
      <c r="E518" s="50"/>
      <c r="F518" s="59"/>
      <c r="G518" s="60"/>
      <c r="H518" s="61" t="str">
        <f t="shared" si="1"/>
        <v/>
      </c>
    </row>
    <row r="519">
      <c r="A519" s="56"/>
      <c r="C519" s="57"/>
      <c r="D519" s="58"/>
      <c r="E519" s="50"/>
      <c r="F519" s="59"/>
      <c r="G519" s="60"/>
      <c r="H519" s="61" t="str">
        <f t="shared" si="1"/>
        <v/>
      </c>
    </row>
    <row r="520">
      <c r="A520" s="56"/>
      <c r="C520" s="57"/>
      <c r="D520" s="58"/>
      <c r="E520" s="50"/>
      <c r="F520" s="59"/>
      <c r="G520" s="60"/>
      <c r="H520" s="61" t="str">
        <f t="shared" si="1"/>
        <v/>
      </c>
    </row>
    <row r="521">
      <c r="A521" s="56"/>
      <c r="C521" s="57"/>
      <c r="D521" s="58"/>
      <c r="E521" s="50"/>
      <c r="F521" s="59"/>
      <c r="G521" s="60"/>
      <c r="H521" s="61" t="str">
        <f t="shared" si="1"/>
        <v/>
      </c>
    </row>
    <row r="522">
      <c r="A522" s="56"/>
      <c r="C522" s="57"/>
      <c r="D522" s="58"/>
      <c r="E522" s="50"/>
      <c r="F522" s="59"/>
      <c r="G522" s="60"/>
      <c r="H522" s="61" t="str">
        <f t="shared" si="1"/>
        <v/>
      </c>
    </row>
    <row r="523">
      <c r="A523" s="56"/>
      <c r="C523" s="57"/>
      <c r="D523" s="58"/>
      <c r="E523" s="50"/>
      <c r="F523" s="59"/>
      <c r="G523" s="60"/>
      <c r="H523" s="61" t="str">
        <f t="shared" si="1"/>
        <v/>
      </c>
    </row>
    <row r="524">
      <c r="A524" s="56"/>
      <c r="C524" s="57"/>
      <c r="D524" s="58"/>
      <c r="E524" s="50"/>
      <c r="F524" s="59"/>
      <c r="G524" s="60"/>
      <c r="H524" s="61" t="str">
        <f t="shared" si="1"/>
        <v/>
      </c>
    </row>
    <row r="525">
      <c r="A525" s="56"/>
      <c r="C525" s="57"/>
      <c r="D525" s="58"/>
      <c r="E525" s="50"/>
      <c r="F525" s="59"/>
      <c r="G525" s="60"/>
      <c r="H525" s="61" t="str">
        <f t="shared" si="1"/>
        <v/>
      </c>
    </row>
    <row r="526">
      <c r="A526" s="56"/>
      <c r="C526" s="57"/>
      <c r="D526" s="58"/>
      <c r="E526" s="50"/>
      <c r="F526" s="59"/>
      <c r="G526" s="60"/>
      <c r="H526" s="61" t="str">
        <f t="shared" si="1"/>
        <v/>
      </c>
    </row>
    <row r="527">
      <c r="A527" s="56"/>
      <c r="C527" s="57"/>
      <c r="D527" s="58"/>
      <c r="E527" s="50"/>
      <c r="F527" s="59"/>
      <c r="G527" s="60"/>
      <c r="H527" s="61" t="str">
        <f t="shared" si="1"/>
        <v/>
      </c>
    </row>
    <row r="528">
      <c r="A528" s="56"/>
      <c r="C528" s="57"/>
      <c r="D528" s="58"/>
      <c r="E528" s="50"/>
      <c r="F528" s="59"/>
      <c r="G528" s="60"/>
      <c r="H528" s="61" t="str">
        <f t="shared" si="1"/>
        <v/>
      </c>
    </row>
    <row r="529">
      <c r="A529" s="56"/>
      <c r="C529" s="57"/>
      <c r="D529" s="58"/>
      <c r="E529" s="50"/>
      <c r="F529" s="59"/>
      <c r="G529" s="60"/>
      <c r="H529" s="61" t="str">
        <f t="shared" si="1"/>
        <v/>
      </c>
    </row>
    <row r="530">
      <c r="A530" s="56"/>
      <c r="C530" s="57"/>
      <c r="D530" s="58"/>
      <c r="E530" s="50"/>
      <c r="F530" s="59"/>
      <c r="G530" s="60"/>
      <c r="H530" s="61" t="str">
        <f t="shared" si="1"/>
        <v/>
      </c>
    </row>
    <row r="531">
      <c r="A531" s="56"/>
      <c r="C531" s="57"/>
      <c r="D531" s="58"/>
      <c r="E531" s="50"/>
      <c r="F531" s="59"/>
      <c r="G531" s="60"/>
      <c r="H531" s="61" t="str">
        <f t="shared" si="1"/>
        <v/>
      </c>
    </row>
    <row r="532">
      <c r="A532" s="56"/>
      <c r="C532" s="57"/>
      <c r="D532" s="58"/>
      <c r="E532" s="50"/>
      <c r="F532" s="59"/>
      <c r="G532" s="60"/>
      <c r="H532" s="61" t="str">
        <f t="shared" si="1"/>
        <v/>
      </c>
    </row>
    <row r="533">
      <c r="A533" s="56"/>
      <c r="C533" s="57"/>
      <c r="D533" s="58"/>
      <c r="E533" s="50"/>
      <c r="F533" s="59"/>
      <c r="G533" s="60"/>
      <c r="H533" s="61" t="str">
        <f t="shared" si="1"/>
        <v/>
      </c>
    </row>
    <row r="534">
      <c r="A534" s="56"/>
      <c r="C534" s="57"/>
      <c r="D534" s="58"/>
      <c r="E534" s="50"/>
      <c r="F534" s="59"/>
      <c r="G534" s="60"/>
      <c r="H534" s="61" t="str">
        <f t="shared" si="1"/>
        <v/>
      </c>
    </row>
    <row r="535">
      <c r="A535" s="56"/>
      <c r="C535" s="57"/>
      <c r="D535" s="58"/>
      <c r="E535" s="50"/>
      <c r="F535" s="59"/>
      <c r="G535" s="60"/>
      <c r="H535" s="61" t="str">
        <f t="shared" si="1"/>
        <v/>
      </c>
    </row>
    <row r="536">
      <c r="A536" s="56"/>
      <c r="C536" s="57"/>
      <c r="D536" s="58"/>
      <c r="E536" s="50"/>
      <c r="F536" s="59"/>
      <c r="G536" s="60"/>
      <c r="H536" s="61" t="str">
        <f t="shared" si="1"/>
        <v/>
      </c>
    </row>
    <row r="537">
      <c r="A537" s="56"/>
      <c r="C537" s="57"/>
      <c r="D537" s="58"/>
      <c r="E537" s="50"/>
      <c r="F537" s="59"/>
      <c r="G537" s="60"/>
      <c r="H537" s="61" t="str">
        <f t="shared" si="1"/>
        <v/>
      </c>
    </row>
    <row r="538">
      <c r="A538" s="56"/>
      <c r="C538" s="57"/>
      <c r="D538" s="58"/>
      <c r="E538" s="50"/>
      <c r="F538" s="59"/>
      <c r="G538" s="60"/>
      <c r="H538" s="61" t="str">
        <f t="shared" si="1"/>
        <v/>
      </c>
    </row>
    <row r="539">
      <c r="A539" s="56"/>
      <c r="C539" s="57"/>
      <c r="D539" s="58"/>
      <c r="E539" s="50"/>
      <c r="F539" s="59"/>
      <c r="G539" s="60"/>
      <c r="H539" s="61" t="str">
        <f t="shared" si="1"/>
        <v/>
      </c>
    </row>
    <row r="540">
      <c r="A540" s="56"/>
      <c r="C540" s="57"/>
      <c r="D540" s="58"/>
      <c r="E540" s="50"/>
      <c r="F540" s="59"/>
      <c r="G540" s="60"/>
      <c r="H540" s="61" t="str">
        <f t="shared" si="1"/>
        <v/>
      </c>
    </row>
    <row r="541">
      <c r="A541" s="56"/>
      <c r="C541" s="57"/>
      <c r="D541" s="58"/>
      <c r="E541" s="50"/>
      <c r="F541" s="59"/>
      <c r="G541" s="60"/>
      <c r="H541" s="61" t="str">
        <f t="shared" si="1"/>
        <v/>
      </c>
    </row>
    <row r="542">
      <c r="A542" s="56"/>
      <c r="C542" s="57"/>
      <c r="D542" s="58"/>
      <c r="E542" s="50"/>
      <c r="F542" s="59"/>
      <c r="G542" s="60"/>
      <c r="H542" s="61" t="str">
        <f t="shared" si="1"/>
        <v/>
      </c>
    </row>
    <row r="543">
      <c r="A543" s="56"/>
      <c r="C543" s="57"/>
      <c r="D543" s="58"/>
      <c r="E543" s="50"/>
      <c r="F543" s="59"/>
      <c r="G543" s="60"/>
      <c r="H543" s="61" t="str">
        <f t="shared" si="1"/>
        <v/>
      </c>
    </row>
    <row r="544">
      <c r="A544" s="56"/>
      <c r="C544" s="57"/>
      <c r="D544" s="58"/>
      <c r="E544" s="50"/>
      <c r="F544" s="59"/>
      <c r="G544" s="60"/>
      <c r="H544" s="61" t="str">
        <f t="shared" si="1"/>
        <v/>
      </c>
    </row>
    <row r="545">
      <c r="A545" s="56"/>
      <c r="C545" s="57"/>
      <c r="D545" s="58"/>
      <c r="E545" s="50"/>
      <c r="F545" s="59"/>
      <c r="G545" s="60"/>
      <c r="H545" s="61" t="str">
        <f t="shared" si="1"/>
        <v/>
      </c>
    </row>
    <row r="546">
      <c r="A546" s="56"/>
      <c r="C546" s="57"/>
      <c r="D546" s="58"/>
      <c r="E546" s="50"/>
      <c r="F546" s="59"/>
      <c r="G546" s="60"/>
      <c r="H546" s="61" t="str">
        <f t="shared" si="1"/>
        <v/>
      </c>
    </row>
    <row r="547">
      <c r="A547" s="56"/>
      <c r="C547" s="57"/>
      <c r="D547" s="58"/>
      <c r="E547" s="50"/>
      <c r="F547" s="59"/>
      <c r="G547" s="60"/>
      <c r="H547" s="61" t="str">
        <f t="shared" si="1"/>
        <v/>
      </c>
    </row>
    <row r="548">
      <c r="A548" s="56"/>
      <c r="C548" s="57"/>
      <c r="D548" s="58"/>
      <c r="E548" s="50"/>
      <c r="F548" s="59"/>
      <c r="G548" s="60"/>
      <c r="H548" s="61" t="str">
        <f t="shared" si="1"/>
        <v/>
      </c>
    </row>
    <row r="549">
      <c r="A549" s="56"/>
      <c r="C549" s="57"/>
      <c r="D549" s="58"/>
      <c r="E549" s="50"/>
      <c r="F549" s="59"/>
      <c r="G549" s="60"/>
      <c r="H549" s="61" t="str">
        <f t="shared" si="1"/>
        <v/>
      </c>
    </row>
    <row r="550">
      <c r="A550" s="56"/>
      <c r="C550" s="57"/>
      <c r="D550" s="58"/>
      <c r="E550" s="50"/>
      <c r="F550" s="59"/>
      <c r="G550" s="60"/>
      <c r="H550" s="61" t="str">
        <f t="shared" si="1"/>
        <v/>
      </c>
    </row>
    <row r="551">
      <c r="A551" s="56"/>
      <c r="C551" s="57"/>
      <c r="D551" s="58"/>
      <c r="E551" s="50"/>
      <c r="F551" s="59"/>
      <c r="G551" s="60"/>
      <c r="H551" s="61" t="str">
        <f t="shared" si="1"/>
        <v/>
      </c>
    </row>
    <row r="552">
      <c r="A552" s="56"/>
      <c r="C552" s="57"/>
      <c r="D552" s="58"/>
      <c r="E552" s="50"/>
      <c r="F552" s="59"/>
      <c r="G552" s="60"/>
      <c r="H552" s="61" t="str">
        <f t="shared" si="1"/>
        <v/>
      </c>
    </row>
    <row r="553">
      <c r="A553" s="56"/>
      <c r="C553" s="57"/>
      <c r="D553" s="58"/>
      <c r="E553" s="50"/>
      <c r="F553" s="59"/>
      <c r="G553" s="60"/>
      <c r="H553" s="61" t="str">
        <f t="shared" si="1"/>
        <v/>
      </c>
    </row>
    <row r="554">
      <c r="A554" s="56"/>
      <c r="C554" s="57"/>
      <c r="D554" s="58"/>
      <c r="E554" s="50"/>
      <c r="F554" s="59"/>
      <c r="G554" s="60"/>
      <c r="H554" s="61" t="str">
        <f t="shared" si="1"/>
        <v/>
      </c>
    </row>
    <row r="555">
      <c r="A555" s="56"/>
      <c r="C555" s="57"/>
      <c r="D555" s="58"/>
      <c r="E555" s="50"/>
      <c r="F555" s="59"/>
      <c r="G555" s="60"/>
      <c r="H555" s="61" t="str">
        <f t="shared" si="1"/>
        <v/>
      </c>
    </row>
    <row r="556">
      <c r="A556" s="56"/>
      <c r="C556" s="57"/>
      <c r="D556" s="58"/>
      <c r="E556" s="50"/>
      <c r="F556" s="59"/>
      <c r="G556" s="60"/>
      <c r="H556" s="61" t="str">
        <f t="shared" si="1"/>
        <v/>
      </c>
    </row>
    <row r="557">
      <c r="A557" s="56"/>
      <c r="C557" s="57"/>
      <c r="D557" s="58"/>
      <c r="E557" s="50"/>
      <c r="F557" s="59"/>
      <c r="G557" s="60"/>
      <c r="H557" s="61" t="str">
        <f t="shared" si="1"/>
        <v/>
      </c>
    </row>
    <row r="558">
      <c r="A558" s="56"/>
      <c r="C558" s="57"/>
      <c r="D558" s="58"/>
      <c r="E558" s="50"/>
      <c r="F558" s="59"/>
      <c r="G558" s="60"/>
      <c r="H558" s="61" t="str">
        <f t="shared" si="1"/>
        <v/>
      </c>
    </row>
    <row r="559">
      <c r="A559" s="56"/>
      <c r="C559" s="57"/>
      <c r="D559" s="58"/>
      <c r="E559" s="50"/>
      <c r="F559" s="59"/>
      <c r="G559" s="60"/>
      <c r="H559" s="61" t="str">
        <f t="shared" si="1"/>
        <v/>
      </c>
    </row>
    <row r="560">
      <c r="A560" s="56"/>
      <c r="C560" s="57"/>
      <c r="D560" s="58"/>
      <c r="E560" s="50"/>
      <c r="F560" s="59"/>
      <c r="G560" s="60"/>
      <c r="H560" s="61" t="str">
        <f t="shared" si="1"/>
        <v/>
      </c>
    </row>
    <row r="561">
      <c r="A561" s="56"/>
      <c r="C561" s="57"/>
      <c r="D561" s="58"/>
      <c r="E561" s="50"/>
      <c r="F561" s="59"/>
      <c r="G561" s="60"/>
      <c r="H561" s="61" t="str">
        <f t="shared" si="1"/>
        <v/>
      </c>
    </row>
    <row r="562">
      <c r="A562" s="56"/>
      <c r="C562" s="57"/>
      <c r="D562" s="58"/>
      <c r="E562" s="50"/>
      <c r="F562" s="59"/>
      <c r="G562" s="60"/>
      <c r="H562" s="61" t="str">
        <f t="shared" si="1"/>
        <v/>
      </c>
    </row>
    <row r="563">
      <c r="A563" s="56"/>
      <c r="C563" s="57"/>
      <c r="D563" s="58"/>
      <c r="E563" s="50"/>
      <c r="F563" s="59"/>
      <c r="G563" s="60"/>
      <c r="H563" s="61" t="str">
        <f t="shared" si="1"/>
        <v/>
      </c>
    </row>
    <row r="564">
      <c r="A564" s="56"/>
      <c r="C564" s="57"/>
      <c r="D564" s="58"/>
      <c r="E564" s="50"/>
      <c r="F564" s="59"/>
      <c r="G564" s="60"/>
      <c r="H564" s="61" t="str">
        <f t="shared" si="1"/>
        <v/>
      </c>
    </row>
    <row r="565">
      <c r="A565" s="56"/>
      <c r="C565" s="57"/>
      <c r="D565" s="58"/>
      <c r="E565" s="50"/>
      <c r="F565" s="59"/>
      <c r="G565" s="60"/>
      <c r="H565" s="61" t="str">
        <f t="shared" si="1"/>
        <v/>
      </c>
    </row>
    <row r="566">
      <c r="A566" s="56"/>
      <c r="C566" s="57"/>
      <c r="D566" s="58"/>
      <c r="E566" s="50"/>
      <c r="F566" s="59"/>
      <c r="G566" s="60"/>
      <c r="H566" s="61" t="str">
        <f t="shared" si="1"/>
        <v/>
      </c>
    </row>
    <row r="567">
      <c r="A567" s="56"/>
      <c r="C567" s="57"/>
      <c r="D567" s="58"/>
      <c r="E567" s="50"/>
      <c r="F567" s="59"/>
      <c r="G567" s="60"/>
      <c r="H567" s="61" t="str">
        <f t="shared" si="1"/>
        <v/>
      </c>
    </row>
    <row r="568">
      <c r="A568" s="56"/>
      <c r="C568" s="57"/>
      <c r="D568" s="58"/>
      <c r="E568" s="50"/>
      <c r="F568" s="59"/>
      <c r="G568" s="60"/>
      <c r="H568" s="61" t="str">
        <f t="shared" si="1"/>
        <v/>
      </c>
    </row>
    <row r="569">
      <c r="A569" s="56"/>
      <c r="C569" s="57"/>
      <c r="D569" s="58"/>
      <c r="E569" s="50"/>
      <c r="F569" s="59"/>
      <c r="G569" s="60"/>
      <c r="H569" s="61" t="str">
        <f t="shared" si="1"/>
        <v/>
      </c>
    </row>
    <row r="570">
      <c r="A570" s="56"/>
      <c r="C570" s="57"/>
      <c r="D570" s="58"/>
      <c r="E570" s="50"/>
      <c r="F570" s="59"/>
      <c r="G570" s="60"/>
      <c r="H570" s="61" t="str">
        <f t="shared" si="1"/>
        <v/>
      </c>
    </row>
    <row r="571">
      <c r="A571" s="56"/>
      <c r="C571" s="57"/>
      <c r="D571" s="58"/>
      <c r="E571" s="50"/>
      <c r="F571" s="59"/>
      <c r="G571" s="60"/>
      <c r="H571" s="61" t="str">
        <f t="shared" si="1"/>
        <v/>
      </c>
    </row>
    <row r="572">
      <c r="A572" s="56"/>
      <c r="C572" s="57"/>
      <c r="D572" s="58"/>
      <c r="E572" s="50"/>
      <c r="F572" s="59"/>
      <c r="G572" s="60"/>
      <c r="H572" s="61" t="str">
        <f t="shared" si="1"/>
        <v/>
      </c>
    </row>
    <row r="573">
      <c r="A573" s="56"/>
      <c r="C573" s="57"/>
      <c r="D573" s="58"/>
      <c r="E573" s="50"/>
      <c r="F573" s="59"/>
      <c r="G573" s="60"/>
      <c r="H573" s="61" t="str">
        <f t="shared" si="1"/>
        <v/>
      </c>
    </row>
    <row r="574">
      <c r="A574" s="56"/>
      <c r="C574" s="57"/>
      <c r="D574" s="58"/>
      <c r="E574" s="50"/>
      <c r="F574" s="59"/>
      <c r="G574" s="60"/>
      <c r="H574" s="61" t="str">
        <f t="shared" si="1"/>
        <v/>
      </c>
    </row>
    <row r="575">
      <c r="A575" s="56"/>
      <c r="C575" s="57"/>
      <c r="D575" s="58"/>
      <c r="E575" s="50"/>
      <c r="F575" s="59"/>
      <c r="G575" s="60"/>
      <c r="H575" s="61" t="str">
        <f t="shared" si="1"/>
        <v/>
      </c>
    </row>
    <row r="576">
      <c r="A576" s="56"/>
      <c r="C576" s="57"/>
      <c r="D576" s="58"/>
      <c r="E576" s="50"/>
      <c r="F576" s="59"/>
      <c r="G576" s="60"/>
      <c r="H576" s="61" t="str">
        <f t="shared" si="1"/>
        <v/>
      </c>
    </row>
    <row r="577">
      <c r="A577" s="56"/>
      <c r="C577" s="57"/>
      <c r="D577" s="58"/>
      <c r="E577" s="50"/>
      <c r="F577" s="59"/>
      <c r="G577" s="60"/>
      <c r="H577" s="61" t="str">
        <f t="shared" si="1"/>
        <v/>
      </c>
    </row>
    <row r="578">
      <c r="A578" s="56"/>
      <c r="C578" s="57"/>
      <c r="D578" s="58"/>
      <c r="E578" s="50"/>
      <c r="F578" s="59"/>
      <c r="G578" s="60"/>
      <c r="H578" s="61" t="str">
        <f t="shared" si="1"/>
        <v/>
      </c>
    </row>
    <row r="579">
      <c r="A579" s="56"/>
      <c r="C579" s="57"/>
      <c r="D579" s="58"/>
      <c r="E579" s="50"/>
      <c r="F579" s="59"/>
      <c r="G579" s="60"/>
      <c r="H579" s="61" t="str">
        <f t="shared" si="1"/>
        <v/>
      </c>
    </row>
    <row r="580">
      <c r="A580" s="56"/>
      <c r="C580" s="57"/>
      <c r="D580" s="58"/>
      <c r="E580" s="50"/>
      <c r="F580" s="59"/>
      <c r="G580" s="60"/>
      <c r="H580" s="61" t="str">
        <f t="shared" si="1"/>
        <v/>
      </c>
    </row>
    <row r="581">
      <c r="A581" s="56"/>
      <c r="C581" s="57"/>
      <c r="D581" s="58"/>
      <c r="E581" s="50"/>
      <c r="F581" s="59"/>
      <c r="G581" s="60"/>
      <c r="H581" s="61" t="str">
        <f t="shared" si="1"/>
        <v/>
      </c>
    </row>
    <row r="582">
      <c r="A582" s="56"/>
      <c r="C582" s="57"/>
      <c r="D582" s="58"/>
      <c r="E582" s="50"/>
      <c r="F582" s="59"/>
      <c r="G582" s="60"/>
      <c r="H582" s="61" t="str">
        <f t="shared" si="1"/>
        <v/>
      </c>
    </row>
    <row r="583">
      <c r="A583" s="56"/>
      <c r="C583" s="57"/>
      <c r="D583" s="58"/>
      <c r="E583" s="50"/>
      <c r="F583" s="59"/>
      <c r="G583" s="60"/>
      <c r="H583" s="61" t="str">
        <f t="shared" si="1"/>
        <v/>
      </c>
    </row>
    <row r="584">
      <c r="A584" s="56"/>
      <c r="C584" s="57"/>
      <c r="D584" s="58"/>
      <c r="E584" s="50"/>
      <c r="F584" s="59"/>
      <c r="G584" s="60"/>
      <c r="H584" s="61" t="str">
        <f t="shared" si="1"/>
        <v/>
      </c>
    </row>
    <row r="585">
      <c r="A585" s="56"/>
      <c r="C585" s="57"/>
      <c r="D585" s="58"/>
      <c r="E585" s="50"/>
      <c r="F585" s="59"/>
      <c r="G585" s="60"/>
      <c r="H585" s="61" t="str">
        <f t="shared" si="1"/>
        <v/>
      </c>
    </row>
    <row r="586">
      <c r="A586" s="56"/>
      <c r="C586" s="57"/>
      <c r="D586" s="58"/>
      <c r="E586" s="50"/>
      <c r="F586" s="59"/>
      <c r="G586" s="60"/>
      <c r="H586" s="61" t="str">
        <f t="shared" si="1"/>
        <v/>
      </c>
    </row>
    <row r="587">
      <c r="A587" s="56"/>
      <c r="C587" s="57"/>
      <c r="D587" s="58"/>
      <c r="E587" s="50"/>
      <c r="F587" s="59"/>
      <c r="G587" s="60"/>
      <c r="H587" s="61" t="str">
        <f t="shared" si="1"/>
        <v/>
      </c>
    </row>
    <row r="588">
      <c r="A588" s="56"/>
      <c r="C588" s="57"/>
      <c r="D588" s="58"/>
      <c r="E588" s="50"/>
      <c r="F588" s="59"/>
      <c r="G588" s="60"/>
      <c r="H588" s="61" t="str">
        <f t="shared" si="1"/>
        <v/>
      </c>
    </row>
    <row r="589">
      <c r="A589" s="56"/>
      <c r="C589" s="57"/>
      <c r="D589" s="58"/>
      <c r="E589" s="50"/>
      <c r="F589" s="59"/>
      <c r="G589" s="60"/>
      <c r="H589" s="61" t="str">
        <f t="shared" si="1"/>
        <v/>
      </c>
    </row>
    <row r="590">
      <c r="A590" s="56"/>
      <c r="C590" s="57"/>
      <c r="D590" s="58"/>
      <c r="E590" s="50"/>
      <c r="F590" s="59"/>
      <c r="G590" s="60"/>
      <c r="H590" s="61" t="str">
        <f t="shared" si="1"/>
        <v/>
      </c>
    </row>
    <row r="591">
      <c r="A591" s="56"/>
      <c r="C591" s="57"/>
      <c r="D591" s="58"/>
      <c r="E591" s="50"/>
      <c r="F591" s="59"/>
      <c r="G591" s="60"/>
      <c r="H591" s="61" t="str">
        <f t="shared" si="1"/>
        <v/>
      </c>
    </row>
    <row r="592">
      <c r="A592" s="56"/>
      <c r="C592" s="57"/>
      <c r="D592" s="58"/>
      <c r="E592" s="50"/>
      <c r="F592" s="59"/>
      <c r="G592" s="60"/>
      <c r="H592" s="61" t="str">
        <f t="shared" si="1"/>
        <v/>
      </c>
    </row>
    <row r="593">
      <c r="A593" s="56"/>
      <c r="C593" s="57"/>
      <c r="D593" s="58"/>
      <c r="E593" s="50"/>
      <c r="F593" s="59"/>
      <c r="G593" s="60"/>
      <c r="H593" s="61" t="str">
        <f t="shared" si="1"/>
        <v/>
      </c>
    </row>
    <row r="594">
      <c r="A594" s="56"/>
      <c r="C594" s="57"/>
      <c r="D594" s="58"/>
      <c r="E594" s="50"/>
      <c r="F594" s="59"/>
      <c r="G594" s="60"/>
      <c r="H594" s="61" t="str">
        <f t="shared" si="1"/>
        <v/>
      </c>
    </row>
    <row r="595">
      <c r="A595" s="56"/>
      <c r="C595" s="57"/>
      <c r="D595" s="58"/>
      <c r="E595" s="50"/>
      <c r="F595" s="59"/>
      <c r="G595" s="60"/>
      <c r="H595" s="61" t="str">
        <f t="shared" si="1"/>
        <v/>
      </c>
    </row>
    <row r="596">
      <c r="A596" s="56"/>
      <c r="C596" s="57"/>
      <c r="D596" s="58"/>
      <c r="E596" s="50"/>
      <c r="F596" s="59"/>
      <c r="G596" s="60"/>
      <c r="H596" s="61" t="str">
        <f t="shared" si="1"/>
        <v/>
      </c>
    </row>
    <row r="597">
      <c r="A597" s="56"/>
      <c r="C597" s="57"/>
      <c r="D597" s="58"/>
      <c r="E597" s="50"/>
      <c r="F597" s="59"/>
      <c r="G597" s="60"/>
      <c r="H597" s="61" t="str">
        <f t="shared" si="1"/>
        <v/>
      </c>
    </row>
    <row r="598">
      <c r="A598" s="56"/>
      <c r="C598" s="57"/>
      <c r="D598" s="58"/>
      <c r="E598" s="50"/>
      <c r="F598" s="59"/>
      <c r="G598" s="60"/>
      <c r="H598" s="61" t="str">
        <f t="shared" si="1"/>
        <v/>
      </c>
    </row>
    <row r="599">
      <c r="A599" s="56"/>
      <c r="C599" s="57"/>
      <c r="D599" s="58"/>
      <c r="E599" s="50"/>
      <c r="F599" s="59"/>
      <c r="G599" s="60"/>
      <c r="H599" s="61" t="str">
        <f t="shared" si="1"/>
        <v/>
      </c>
    </row>
    <row r="600">
      <c r="A600" s="56"/>
      <c r="C600" s="57"/>
      <c r="D600" s="58"/>
      <c r="E600" s="50"/>
      <c r="F600" s="59"/>
      <c r="G600" s="60"/>
      <c r="H600" s="61" t="str">
        <f t="shared" si="1"/>
        <v/>
      </c>
    </row>
    <row r="601">
      <c r="A601" s="56"/>
      <c r="C601" s="57"/>
      <c r="D601" s="58"/>
      <c r="E601" s="50"/>
      <c r="F601" s="59"/>
      <c r="G601" s="60"/>
      <c r="H601" s="61" t="str">
        <f t="shared" si="1"/>
        <v/>
      </c>
    </row>
    <row r="602">
      <c r="A602" s="56"/>
      <c r="C602" s="57"/>
      <c r="D602" s="58"/>
      <c r="E602" s="50"/>
      <c r="F602" s="59"/>
      <c r="G602" s="60"/>
      <c r="H602" s="61" t="str">
        <f t="shared" si="1"/>
        <v/>
      </c>
    </row>
    <row r="603">
      <c r="A603" s="56"/>
      <c r="C603" s="57"/>
      <c r="D603" s="58"/>
      <c r="E603" s="50"/>
      <c r="F603" s="59"/>
      <c r="G603" s="60"/>
      <c r="H603" s="61" t="str">
        <f t="shared" si="1"/>
        <v/>
      </c>
    </row>
    <row r="604">
      <c r="A604" s="56"/>
      <c r="C604" s="57"/>
      <c r="D604" s="58"/>
      <c r="E604" s="50"/>
      <c r="F604" s="59"/>
      <c r="G604" s="60"/>
      <c r="H604" s="61" t="str">
        <f t="shared" si="1"/>
        <v/>
      </c>
    </row>
    <row r="605">
      <c r="A605" s="56"/>
      <c r="C605" s="57"/>
      <c r="D605" s="58"/>
      <c r="E605" s="50"/>
      <c r="F605" s="59"/>
      <c r="G605" s="60"/>
      <c r="H605" s="61" t="str">
        <f t="shared" si="1"/>
        <v/>
      </c>
    </row>
    <row r="606">
      <c r="A606" s="56"/>
      <c r="C606" s="57"/>
      <c r="D606" s="58"/>
      <c r="E606" s="50"/>
      <c r="F606" s="59"/>
      <c r="G606" s="60"/>
      <c r="H606" s="61" t="str">
        <f t="shared" si="1"/>
        <v/>
      </c>
    </row>
    <row r="607">
      <c r="A607" s="56"/>
      <c r="C607" s="57"/>
      <c r="D607" s="58"/>
      <c r="E607" s="50"/>
      <c r="F607" s="59"/>
      <c r="G607" s="60"/>
      <c r="H607" s="61" t="str">
        <f t="shared" si="1"/>
        <v/>
      </c>
    </row>
    <row r="608">
      <c r="A608" s="56"/>
      <c r="C608" s="57"/>
      <c r="D608" s="58"/>
      <c r="E608" s="50"/>
      <c r="F608" s="59"/>
      <c r="G608" s="60"/>
      <c r="H608" s="61" t="str">
        <f t="shared" si="1"/>
        <v/>
      </c>
    </row>
    <row r="609">
      <c r="A609" s="56"/>
      <c r="C609" s="57"/>
      <c r="D609" s="58"/>
      <c r="E609" s="50"/>
      <c r="F609" s="59"/>
      <c r="G609" s="60"/>
      <c r="H609" s="61" t="str">
        <f t="shared" si="1"/>
        <v/>
      </c>
    </row>
    <row r="610">
      <c r="A610" s="56"/>
      <c r="C610" s="57"/>
      <c r="D610" s="58"/>
      <c r="E610" s="50"/>
      <c r="F610" s="59"/>
      <c r="G610" s="60"/>
      <c r="H610" s="61" t="str">
        <f t="shared" si="1"/>
        <v/>
      </c>
    </row>
    <row r="611">
      <c r="A611" s="56"/>
      <c r="C611" s="57"/>
      <c r="D611" s="58"/>
      <c r="E611" s="50"/>
      <c r="F611" s="59"/>
      <c r="G611" s="60"/>
      <c r="H611" s="61" t="str">
        <f t="shared" si="1"/>
        <v/>
      </c>
    </row>
    <row r="612">
      <c r="A612" s="56"/>
      <c r="C612" s="57"/>
      <c r="D612" s="58"/>
      <c r="E612" s="50"/>
      <c r="F612" s="59"/>
      <c r="G612" s="60"/>
      <c r="H612" s="61" t="str">
        <f t="shared" si="1"/>
        <v/>
      </c>
    </row>
    <row r="613">
      <c r="A613" s="56"/>
      <c r="C613" s="57"/>
      <c r="D613" s="58"/>
      <c r="E613" s="50"/>
      <c r="F613" s="59"/>
      <c r="G613" s="60"/>
      <c r="H613" s="61" t="str">
        <f t="shared" si="1"/>
        <v/>
      </c>
    </row>
    <row r="614">
      <c r="A614" s="56"/>
      <c r="C614" s="57"/>
      <c r="D614" s="58"/>
      <c r="E614" s="50"/>
      <c r="F614" s="59"/>
      <c r="G614" s="60"/>
      <c r="H614" s="61" t="str">
        <f t="shared" si="1"/>
        <v/>
      </c>
    </row>
    <row r="615">
      <c r="A615" s="56"/>
      <c r="C615" s="57"/>
      <c r="D615" s="58"/>
      <c r="E615" s="50"/>
      <c r="F615" s="59"/>
      <c r="G615" s="60"/>
      <c r="H615" s="61" t="str">
        <f t="shared" si="1"/>
        <v/>
      </c>
    </row>
    <row r="616">
      <c r="A616" s="56"/>
      <c r="C616" s="57"/>
      <c r="D616" s="58"/>
      <c r="E616" s="50"/>
      <c r="F616" s="59"/>
      <c r="G616" s="60"/>
      <c r="H616" s="61" t="str">
        <f t="shared" si="1"/>
        <v/>
      </c>
    </row>
    <row r="617">
      <c r="A617" s="56"/>
      <c r="C617" s="57"/>
      <c r="D617" s="58"/>
      <c r="E617" s="50"/>
      <c r="F617" s="59"/>
      <c r="G617" s="60"/>
      <c r="H617" s="61" t="str">
        <f t="shared" si="1"/>
        <v/>
      </c>
    </row>
    <row r="618">
      <c r="A618" s="56"/>
      <c r="C618" s="57"/>
      <c r="D618" s="58"/>
      <c r="E618" s="50"/>
      <c r="F618" s="59"/>
      <c r="G618" s="60"/>
      <c r="H618" s="61" t="str">
        <f t="shared" si="1"/>
        <v/>
      </c>
    </row>
    <row r="619">
      <c r="A619" s="56"/>
      <c r="C619" s="57"/>
      <c r="D619" s="58"/>
      <c r="E619" s="50"/>
      <c r="F619" s="59"/>
      <c r="G619" s="60"/>
      <c r="H619" s="61" t="str">
        <f t="shared" si="1"/>
        <v/>
      </c>
    </row>
    <row r="620">
      <c r="A620" s="56"/>
      <c r="C620" s="57"/>
      <c r="D620" s="58"/>
      <c r="E620" s="50"/>
      <c r="F620" s="59"/>
      <c r="G620" s="60"/>
      <c r="H620" s="61" t="str">
        <f t="shared" si="1"/>
        <v/>
      </c>
    </row>
    <row r="621">
      <c r="A621" s="56"/>
      <c r="C621" s="57"/>
      <c r="D621" s="58"/>
      <c r="E621" s="50"/>
      <c r="F621" s="59"/>
      <c r="G621" s="60"/>
      <c r="H621" s="61" t="str">
        <f t="shared" si="1"/>
        <v/>
      </c>
    </row>
    <row r="622">
      <c r="A622" s="56"/>
      <c r="C622" s="57"/>
      <c r="D622" s="58"/>
      <c r="E622" s="50"/>
      <c r="F622" s="59"/>
      <c r="G622" s="60"/>
      <c r="H622" s="61" t="str">
        <f t="shared" si="1"/>
        <v/>
      </c>
    </row>
    <row r="623">
      <c r="A623" s="56"/>
      <c r="C623" s="57"/>
      <c r="D623" s="58"/>
      <c r="E623" s="50"/>
      <c r="F623" s="59"/>
      <c r="G623" s="60"/>
      <c r="H623" s="61" t="str">
        <f t="shared" si="1"/>
        <v/>
      </c>
    </row>
    <row r="624">
      <c r="A624" s="56"/>
      <c r="C624" s="57"/>
      <c r="D624" s="58"/>
      <c r="E624" s="50"/>
      <c r="F624" s="59"/>
      <c r="G624" s="60"/>
      <c r="H624" s="61" t="str">
        <f t="shared" si="1"/>
        <v/>
      </c>
    </row>
    <row r="625">
      <c r="A625" s="56"/>
      <c r="C625" s="57"/>
      <c r="D625" s="58"/>
      <c r="E625" s="50"/>
      <c r="F625" s="59"/>
      <c r="G625" s="60"/>
      <c r="H625" s="61" t="str">
        <f t="shared" si="1"/>
        <v/>
      </c>
    </row>
    <row r="626">
      <c r="A626" s="56"/>
      <c r="C626" s="57"/>
      <c r="D626" s="58"/>
      <c r="E626" s="50"/>
      <c r="F626" s="59"/>
      <c r="G626" s="60"/>
      <c r="H626" s="61" t="str">
        <f t="shared" si="1"/>
        <v/>
      </c>
    </row>
    <row r="627">
      <c r="A627" s="56"/>
      <c r="C627" s="57"/>
      <c r="D627" s="58"/>
      <c r="E627" s="50"/>
      <c r="F627" s="59"/>
      <c r="G627" s="60"/>
      <c r="H627" s="61" t="str">
        <f t="shared" si="1"/>
        <v/>
      </c>
    </row>
    <row r="628">
      <c r="A628" s="56"/>
      <c r="C628" s="57"/>
      <c r="D628" s="58"/>
      <c r="E628" s="50"/>
      <c r="F628" s="59"/>
      <c r="G628" s="60"/>
      <c r="H628" s="61" t="str">
        <f t="shared" si="1"/>
        <v/>
      </c>
    </row>
    <row r="629">
      <c r="A629" s="56"/>
      <c r="C629" s="57"/>
      <c r="D629" s="58"/>
      <c r="E629" s="50"/>
      <c r="F629" s="59"/>
      <c r="G629" s="60"/>
      <c r="H629" s="61" t="str">
        <f t="shared" si="1"/>
        <v/>
      </c>
    </row>
    <row r="630">
      <c r="A630" s="56"/>
      <c r="C630" s="57"/>
      <c r="D630" s="58"/>
      <c r="E630" s="50"/>
      <c r="F630" s="59"/>
      <c r="G630" s="60"/>
      <c r="H630" s="61" t="str">
        <f t="shared" si="1"/>
        <v/>
      </c>
    </row>
    <row r="631">
      <c r="A631" s="56"/>
      <c r="C631" s="57"/>
      <c r="D631" s="58"/>
      <c r="E631" s="50"/>
      <c r="F631" s="59"/>
      <c r="G631" s="60"/>
      <c r="H631" s="61" t="str">
        <f t="shared" si="1"/>
        <v/>
      </c>
    </row>
    <row r="632">
      <c r="A632" s="56"/>
      <c r="C632" s="57"/>
      <c r="D632" s="58"/>
      <c r="E632" s="50"/>
      <c r="F632" s="59"/>
      <c r="G632" s="60"/>
      <c r="H632" s="61" t="str">
        <f t="shared" si="1"/>
        <v/>
      </c>
    </row>
    <row r="633">
      <c r="A633" s="56"/>
      <c r="C633" s="57"/>
      <c r="D633" s="58"/>
      <c r="E633" s="50"/>
      <c r="F633" s="59"/>
      <c r="G633" s="60"/>
      <c r="H633" s="61" t="str">
        <f t="shared" si="1"/>
        <v/>
      </c>
    </row>
    <row r="634">
      <c r="A634" s="56"/>
      <c r="C634" s="57"/>
      <c r="D634" s="58"/>
      <c r="E634" s="50"/>
      <c r="F634" s="59"/>
      <c r="G634" s="60"/>
      <c r="H634" s="61" t="str">
        <f t="shared" si="1"/>
        <v/>
      </c>
    </row>
    <row r="635">
      <c r="A635" s="56"/>
      <c r="C635" s="57"/>
      <c r="D635" s="58"/>
      <c r="E635" s="50"/>
      <c r="F635" s="59"/>
      <c r="G635" s="60"/>
      <c r="H635" s="61" t="str">
        <f t="shared" si="1"/>
        <v/>
      </c>
    </row>
    <row r="636">
      <c r="A636" s="56"/>
      <c r="C636" s="57"/>
      <c r="D636" s="58"/>
      <c r="E636" s="50"/>
      <c r="F636" s="59"/>
      <c r="G636" s="60"/>
      <c r="H636" s="61" t="str">
        <f t="shared" si="1"/>
        <v/>
      </c>
    </row>
    <row r="637">
      <c r="A637" s="56"/>
      <c r="C637" s="57"/>
      <c r="D637" s="58"/>
      <c r="E637" s="50"/>
      <c r="F637" s="59"/>
      <c r="G637" s="60"/>
      <c r="H637" s="61" t="str">
        <f t="shared" si="1"/>
        <v/>
      </c>
    </row>
    <row r="638">
      <c r="A638" s="56"/>
      <c r="C638" s="57"/>
      <c r="D638" s="58"/>
      <c r="E638" s="50"/>
      <c r="F638" s="59"/>
      <c r="G638" s="60"/>
      <c r="H638" s="61" t="str">
        <f t="shared" si="1"/>
        <v/>
      </c>
    </row>
    <row r="639">
      <c r="A639" s="56"/>
      <c r="C639" s="57"/>
      <c r="D639" s="58"/>
      <c r="E639" s="50"/>
      <c r="F639" s="59"/>
      <c r="G639" s="60"/>
      <c r="H639" s="61" t="str">
        <f t="shared" si="1"/>
        <v/>
      </c>
    </row>
    <row r="640">
      <c r="A640" s="56"/>
      <c r="C640" s="57"/>
      <c r="D640" s="58"/>
      <c r="E640" s="50"/>
      <c r="F640" s="59"/>
      <c r="G640" s="60"/>
      <c r="H640" s="61" t="str">
        <f t="shared" si="1"/>
        <v/>
      </c>
    </row>
    <row r="641">
      <c r="A641" s="56"/>
      <c r="C641" s="57"/>
      <c r="D641" s="58"/>
      <c r="E641" s="50"/>
      <c r="F641" s="59"/>
      <c r="G641" s="60"/>
      <c r="H641" s="61" t="str">
        <f t="shared" si="1"/>
        <v/>
      </c>
    </row>
    <row r="642">
      <c r="A642" s="56"/>
      <c r="C642" s="57"/>
      <c r="D642" s="58"/>
      <c r="E642" s="50"/>
      <c r="F642" s="59"/>
      <c r="G642" s="60"/>
      <c r="H642" s="61" t="str">
        <f t="shared" si="1"/>
        <v/>
      </c>
    </row>
    <row r="643">
      <c r="A643" s="56"/>
      <c r="C643" s="57"/>
      <c r="D643" s="58"/>
      <c r="E643" s="50"/>
      <c r="F643" s="59"/>
      <c r="G643" s="60"/>
      <c r="H643" s="61" t="str">
        <f t="shared" si="1"/>
        <v/>
      </c>
    </row>
    <row r="644">
      <c r="A644" s="56"/>
      <c r="C644" s="57"/>
      <c r="D644" s="58"/>
      <c r="E644" s="50"/>
      <c r="F644" s="59"/>
      <c r="G644" s="60"/>
      <c r="H644" s="61" t="str">
        <f t="shared" si="1"/>
        <v/>
      </c>
    </row>
    <row r="645">
      <c r="A645" s="56"/>
      <c r="C645" s="57"/>
      <c r="D645" s="58"/>
      <c r="E645" s="50"/>
      <c r="F645" s="59"/>
      <c r="G645" s="60"/>
      <c r="H645" s="61" t="str">
        <f t="shared" si="1"/>
        <v/>
      </c>
    </row>
    <row r="646">
      <c r="A646" s="56"/>
      <c r="C646" s="57"/>
      <c r="D646" s="58"/>
      <c r="E646" s="50"/>
      <c r="F646" s="59"/>
      <c r="G646" s="60"/>
      <c r="H646" s="61" t="str">
        <f t="shared" si="1"/>
        <v/>
      </c>
    </row>
    <row r="647">
      <c r="A647" s="56"/>
      <c r="C647" s="57"/>
      <c r="D647" s="58"/>
      <c r="E647" s="50"/>
      <c r="F647" s="59"/>
      <c r="G647" s="60"/>
      <c r="H647" s="61" t="str">
        <f t="shared" si="1"/>
        <v/>
      </c>
    </row>
    <row r="648">
      <c r="A648" s="56"/>
      <c r="C648" s="57"/>
      <c r="D648" s="58"/>
      <c r="E648" s="50"/>
      <c r="F648" s="59"/>
      <c r="G648" s="60"/>
      <c r="H648" s="61" t="str">
        <f t="shared" si="1"/>
        <v/>
      </c>
    </row>
    <row r="649">
      <c r="A649" s="56"/>
      <c r="C649" s="57"/>
      <c r="D649" s="58"/>
      <c r="E649" s="50"/>
      <c r="F649" s="59"/>
      <c r="G649" s="60"/>
      <c r="H649" s="61" t="str">
        <f t="shared" si="1"/>
        <v/>
      </c>
    </row>
    <row r="650">
      <c r="A650" s="56"/>
      <c r="C650" s="57"/>
      <c r="D650" s="58"/>
      <c r="E650" s="50"/>
      <c r="F650" s="59"/>
      <c r="G650" s="60"/>
      <c r="H650" s="61" t="str">
        <f t="shared" si="1"/>
        <v/>
      </c>
    </row>
    <row r="651">
      <c r="A651" s="56"/>
      <c r="C651" s="57"/>
      <c r="D651" s="58"/>
      <c r="E651" s="50"/>
      <c r="F651" s="59"/>
      <c r="G651" s="60"/>
      <c r="H651" s="61" t="str">
        <f t="shared" si="1"/>
        <v/>
      </c>
    </row>
    <row r="652">
      <c r="A652" s="56"/>
      <c r="C652" s="57"/>
      <c r="D652" s="58"/>
      <c r="E652" s="50"/>
      <c r="F652" s="59"/>
      <c r="G652" s="60"/>
      <c r="H652" s="61" t="str">
        <f t="shared" si="1"/>
        <v/>
      </c>
    </row>
    <row r="653">
      <c r="A653" s="56"/>
      <c r="C653" s="57"/>
      <c r="D653" s="58"/>
      <c r="E653" s="50"/>
      <c r="F653" s="59"/>
      <c r="G653" s="60"/>
      <c r="H653" s="61" t="str">
        <f t="shared" si="1"/>
        <v/>
      </c>
    </row>
    <row r="654">
      <c r="A654" s="56"/>
      <c r="C654" s="57"/>
      <c r="D654" s="58"/>
      <c r="E654" s="50"/>
      <c r="F654" s="59"/>
      <c r="G654" s="60"/>
      <c r="H654" s="61" t="str">
        <f t="shared" si="1"/>
        <v/>
      </c>
    </row>
    <row r="655">
      <c r="A655" s="56"/>
      <c r="C655" s="57"/>
      <c r="D655" s="58"/>
      <c r="E655" s="50"/>
      <c r="F655" s="59"/>
      <c r="G655" s="60"/>
      <c r="H655" s="61" t="str">
        <f t="shared" si="1"/>
        <v/>
      </c>
    </row>
    <row r="656">
      <c r="A656" s="56"/>
      <c r="C656" s="57"/>
      <c r="D656" s="58"/>
      <c r="E656" s="50"/>
      <c r="F656" s="59"/>
      <c r="G656" s="60"/>
      <c r="H656" s="61" t="str">
        <f t="shared" si="1"/>
        <v/>
      </c>
    </row>
    <row r="657">
      <c r="A657" s="56"/>
      <c r="C657" s="57"/>
      <c r="D657" s="58"/>
      <c r="E657" s="50"/>
      <c r="F657" s="59"/>
      <c r="G657" s="60"/>
      <c r="H657" s="61" t="str">
        <f t="shared" si="1"/>
        <v/>
      </c>
    </row>
    <row r="658">
      <c r="A658" s="56"/>
      <c r="C658" s="57"/>
      <c r="D658" s="58"/>
      <c r="E658" s="50"/>
      <c r="F658" s="59"/>
      <c r="G658" s="60"/>
      <c r="H658" s="61" t="str">
        <f t="shared" si="1"/>
        <v/>
      </c>
    </row>
    <row r="659">
      <c r="A659" s="56"/>
      <c r="C659" s="57"/>
      <c r="D659" s="58"/>
      <c r="E659" s="50"/>
      <c r="F659" s="59"/>
      <c r="G659" s="60"/>
      <c r="H659" s="61" t="str">
        <f t="shared" si="1"/>
        <v/>
      </c>
    </row>
    <row r="660">
      <c r="A660" s="56"/>
      <c r="C660" s="57"/>
      <c r="D660" s="58"/>
      <c r="E660" s="50"/>
      <c r="F660" s="59"/>
      <c r="G660" s="60"/>
      <c r="H660" s="61" t="str">
        <f t="shared" si="1"/>
        <v/>
      </c>
    </row>
    <row r="661">
      <c r="A661" s="56"/>
      <c r="C661" s="57"/>
      <c r="D661" s="58"/>
      <c r="E661" s="50"/>
      <c r="F661" s="59"/>
      <c r="G661" s="60"/>
      <c r="H661" s="61" t="str">
        <f t="shared" si="1"/>
        <v/>
      </c>
    </row>
    <row r="662">
      <c r="A662" s="56"/>
      <c r="C662" s="57"/>
      <c r="D662" s="58"/>
      <c r="E662" s="50"/>
      <c r="F662" s="59"/>
      <c r="G662" s="60"/>
      <c r="H662" s="61" t="str">
        <f t="shared" si="1"/>
        <v/>
      </c>
    </row>
    <row r="663">
      <c r="A663" s="56"/>
      <c r="C663" s="57"/>
      <c r="D663" s="58"/>
      <c r="E663" s="50"/>
      <c r="F663" s="59"/>
      <c r="G663" s="60"/>
      <c r="H663" s="61" t="str">
        <f t="shared" si="1"/>
        <v/>
      </c>
    </row>
    <row r="664">
      <c r="A664" s="56"/>
      <c r="C664" s="57"/>
      <c r="D664" s="58"/>
      <c r="E664" s="50"/>
      <c r="F664" s="59"/>
      <c r="G664" s="60"/>
      <c r="H664" s="61" t="str">
        <f t="shared" si="1"/>
        <v/>
      </c>
    </row>
    <row r="665">
      <c r="A665" s="56"/>
      <c r="C665" s="57"/>
      <c r="D665" s="58"/>
      <c r="E665" s="50"/>
      <c r="F665" s="59"/>
      <c r="G665" s="60"/>
      <c r="H665" s="61" t="str">
        <f t="shared" si="1"/>
        <v/>
      </c>
    </row>
    <row r="666">
      <c r="A666" s="56"/>
      <c r="C666" s="57"/>
      <c r="D666" s="58"/>
      <c r="E666" s="50"/>
      <c r="F666" s="59"/>
      <c r="G666" s="60"/>
      <c r="H666" s="61" t="str">
        <f t="shared" si="1"/>
        <v/>
      </c>
    </row>
    <row r="667">
      <c r="A667" s="56"/>
      <c r="C667" s="57"/>
      <c r="D667" s="58"/>
      <c r="E667" s="50"/>
      <c r="F667" s="59"/>
      <c r="G667" s="60"/>
      <c r="H667" s="61" t="str">
        <f t="shared" si="1"/>
        <v/>
      </c>
    </row>
    <row r="668">
      <c r="A668" s="56"/>
      <c r="C668" s="57"/>
      <c r="D668" s="58"/>
      <c r="E668" s="50"/>
      <c r="F668" s="59"/>
      <c r="G668" s="60"/>
      <c r="H668" s="61" t="str">
        <f t="shared" si="1"/>
        <v/>
      </c>
    </row>
    <row r="669">
      <c r="A669" s="56"/>
      <c r="C669" s="57"/>
      <c r="D669" s="58"/>
      <c r="E669" s="50"/>
      <c r="F669" s="59"/>
      <c r="G669" s="60"/>
      <c r="H669" s="61" t="str">
        <f t="shared" si="1"/>
        <v/>
      </c>
    </row>
    <row r="670">
      <c r="A670" s="56"/>
      <c r="C670" s="57"/>
      <c r="D670" s="58"/>
      <c r="E670" s="50"/>
      <c r="F670" s="59"/>
      <c r="G670" s="60"/>
      <c r="H670" s="61" t="str">
        <f t="shared" si="1"/>
        <v/>
      </c>
    </row>
    <row r="671">
      <c r="A671" s="56"/>
      <c r="C671" s="57"/>
      <c r="D671" s="58"/>
      <c r="E671" s="50"/>
      <c r="F671" s="59"/>
      <c r="G671" s="60"/>
      <c r="H671" s="61" t="str">
        <f t="shared" si="1"/>
        <v/>
      </c>
    </row>
    <row r="672">
      <c r="A672" s="56"/>
      <c r="C672" s="57"/>
      <c r="D672" s="58"/>
      <c r="E672" s="50"/>
      <c r="F672" s="59"/>
      <c r="G672" s="60"/>
      <c r="H672" s="61" t="str">
        <f t="shared" si="1"/>
        <v/>
      </c>
    </row>
    <row r="673">
      <c r="A673" s="56"/>
      <c r="C673" s="57"/>
      <c r="D673" s="58"/>
      <c r="E673" s="50"/>
      <c r="F673" s="59"/>
      <c r="G673" s="60"/>
      <c r="H673" s="61" t="str">
        <f t="shared" si="1"/>
        <v/>
      </c>
    </row>
    <row r="674">
      <c r="A674" s="56"/>
      <c r="C674" s="57"/>
      <c r="D674" s="58"/>
      <c r="E674" s="50"/>
      <c r="F674" s="59"/>
      <c r="G674" s="60"/>
      <c r="H674" s="61" t="str">
        <f t="shared" si="1"/>
        <v/>
      </c>
    </row>
    <row r="675">
      <c r="A675" s="56"/>
      <c r="C675" s="57"/>
      <c r="D675" s="58"/>
      <c r="E675" s="50"/>
      <c r="F675" s="59"/>
      <c r="G675" s="60"/>
      <c r="H675" s="61" t="str">
        <f t="shared" si="1"/>
        <v/>
      </c>
    </row>
    <row r="676">
      <c r="A676" s="56"/>
      <c r="C676" s="57"/>
      <c r="D676" s="58"/>
      <c r="E676" s="50"/>
      <c r="F676" s="59"/>
      <c r="G676" s="60"/>
      <c r="H676" s="61" t="str">
        <f t="shared" si="1"/>
        <v/>
      </c>
    </row>
    <row r="677">
      <c r="A677" s="56"/>
      <c r="C677" s="57"/>
      <c r="D677" s="58"/>
      <c r="E677" s="50"/>
      <c r="F677" s="59"/>
      <c r="G677" s="60"/>
      <c r="H677" s="61" t="str">
        <f t="shared" si="1"/>
        <v/>
      </c>
    </row>
    <row r="678">
      <c r="A678" s="56"/>
      <c r="C678" s="57"/>
      <c r="D678" s="58"/>
      <c r="E678" s="50"/>
      <c r="F678" s="59"/>
      <c r="G678" s="60"/>
      <c r="H678" s="61" t="str">
        <f t="shared" si="1"/>
        <v/>
      </c>
    </row>
    <row r="679">
      <c r="A679" s="56"/>
      <c r="C679" s="57"/>
      <c r="D679" s="58"/>
      <c r="E679" s="50"/>
      <c r="F679" s="59"/>
      <c r="G679" s="60"/>
      <c r="H679" s="61" t="str">
        <f t="shared" si="1"/>
        <v/>
      </c>
    </row>
    <row r="680">
      <c r="A680" s="56"/>
      <c r="C680" s="57"/>
      <c r="D680" s="58"/>
      <c r="E680" s="50"/>
      <c r="F680" s="59"/>
      <c r="G680" s="60"/>
      <c r="H680" s="61" t="str">
        <f t="shared" si="1"/>
        <v/>
      </c>
    </row>
    <row r="681">
      <c r="A681" s="56"/>
      <c r="C681" s="57"/>
      <c r="D681" s="58"/>
      <c r="E681" s="50"/>
      <c r="F681" s="59"/>
      <c r="G681" s="60"/>
      <c r="H681" s="61" t="str">
        <f t="shared" si="1"/>
        <v/>
      </c>
    </row>
    <row r="682">
      <c r="A682" s="56"/>
      <c r="C682" s="57"/>
      <c r="D682" s="58"/>
      <c r="E682" s="50"/>
      <c r="F682" s="59"/>
      <c r="G682" s="60"/>
      <c r="H682" s="61" t="str">
        <f t="shared" si="1"/>
        <v/>
      </c>
    </row>
    <row r="683">
      <c r="A683" s="56"/>
      <c r="C683" s="57"/>
      <c r="D683" s="58"/>
      <c r="E683" s="50"/>
      <c r="F683" s="59"/>
      <c r="G683" s="60"/>
      <c r="H683" s="61" t="str">
        <f t="shared" si="1"/>
        <v/>
      </c>
    </row>
    <row r="684">
      <c r="A684" s="56"/>
      <c r="C684" s="57"/>
      <c r="D684" s="58"/>
      <c r="E684" s="50"/>
      <c r="F684" s="59"/>
      <c r="G684" s="60"/>
      <c r="H684" s="61" t="str">
        <f t="shared" si="1"/>
        <v/>
      </c>
    </row>
    <row r="685">
      <c r="A685" s="56"/>
      <c r="C685" s="57"/>
      <c r="D685" s="58"/>
      <c r="E685" s="50"/>
      <c r="F685" s="59"/>
      <c r="G685" s="60"/>
      <c r="H685" s="61" t="str">
        <f t="shared" si="1"/>
        <v/>
      </c>
    </row>
    <row r="686">
      <c r="A686" s="56"/>
      <c r="C686" s="57"/>
      <c r="D686" s="58"/>
      <c r="E686" s="50"/>
      <c r="F686" s="59"/>
      <c r="G686" s="60"/>
      <c r="H686" s="61" t="str">
        <f t="shared" si="1"/>
        <v/>
      </c>
    </row>
    <row r="687">
      <c r="A687" s="56"/>
      <c r="C687" s="57"/>
      <c r="D687" s="58"/>
      <c r="E687" s="50"/>
      <c r="F687" s="59"/>
      <c r="G687" s="60"/>
      <c r="H687" s="61" t="str">
        <f t="shared" si="1"/>
        <v/>
      </c>
    </row>
    <row r="688">
      <c r="A688" s="56"/>
      <c r="C688" s="57"/>
      <c r="D688" s="58"/>
      <c r="E688" s="50"/>
      <c r="F688" s="59"/>
      <c r="G688" s="60"/>
      <c r="H688" s="61" t="str">
        <f t="shared" si="1"/>
        <v/>
      </c>
    </row>
    <row r="689">
      <c r="A689" s="56"/>
      <c r="C689" s="57"/>
      <c r="D689" s="58"/>
      <c r="E689" s="50"/>
      <c r="F689" s="59"/>
      <c r="G689" s="60"/>
      <c r="H689" s="61" t="str">
        <f t="shared" si="1"/>
        <v/>
      </c>
    </row>
    <row r="690">
      <c r="A690" s="56"/>
      <c r="C690" s="57"/>
      <c r="D690" s="58"/>
      <c r="E690" s="50"/>
      <c r="F690" s="59"/>
      <c r="G690" s="60"/>
      <c r="H690" s="61" t="str">
        <f t="shared" si="1"/>
        <v/>
      </c>
    </row>
    <row r="691">
      <c r="A691" s="56"/>
      <c r="C691" s="57"/>
      <c r="D691" s="58"/>
      <c r="E691" s="50"/>
      <c r="F691" s="59"/>
      <c r="G691" s="60"/>
      <c r="H691" s="61" t="str">
        <f t="shared" si="1"/>
        <v/>
      </c>
    </row>
    <row r="692">
      <c r="A692" s="56"/>
      <c r="C692" s="57"/>
      <c r="D692" s="58"/>
      <c r="E692" s="50"/>
      <c r="F692" s="59"/>
      <c r="G692" s="60"/>
      <c r="H692" s="61" t="str">
        <f t="shared" si="1"/>
        <v/>
      </c>
    </row>
    <row r="693">
      <c r="A693" s="56"/>
      <c r="C693" s="57"/>
      <c r="D693" s="58"/>
      <c r="E693" s="50"/>
      <c r="F693" s="59"/>
      <c r="G693" s="60"/>
      <c r="H693" s="61" t="str">
        <f t="shared" si="1"/>
        <v/>
      </c>
    </row>
    <row r="694">
      <c r="A694" s="56"/>
      <c r="C694" s="57"/>
      <c r="D694" s="58"/>
      <c r="E694" s="50"/>
      <c r="F694" s="59"/>
      <c r="G694" s="60"/>
      <c r="H694" s="61" t="str">
        <f t="shared" si="1"/>
        <v/>
      </c>
    </row>
    <row r="695">
      <c r="A695" s="56"/>
      <c r="C695" s="57"/>
      <c r="D695" s="58"/>
      <c r="E695" s="50"/>
      <c r="F695" s="59"/>
      <c r="G695" s="60"/>
      <c r="H695" s="61" t="str">
        <f t="shared" si="1"/>
        <v/>
      </c>
    </row>
    <row r="696">
      <c r="A696" s="56"/>
      <c r="C696" s="57"/>
      <c r="D696" s="58"/>
      <c r="E696" s="50"/>
      <c r="F696" s="59"/>
      <c r="G696" s="60"/>
      <c r="H696" s="61" t="str">
        <f t="shared" si="1"/>
        <v/>
      </c>
    </row>
    <row r="697">
      <c r="A697" s="56"/>
      <c r="C697" s="57"/>
      <c r="D697" s="58"/>
      <c r="E697" s="50"/>
      <c r="F697" s="59"/>
      <c r="G697" s="60"/>
      <c r="H697" s="61" t="str">
        <f t="shared" si="1"/>
        <v/>
      </c>
    </row>
    <row r="698">
      <c r="A698" s="56"/>
      <c r="C698" s="57"/>
      <c r="D698" s="58"/>
      <c r="E698" s="50"/>
      <c r="F698" s="59"/>
      <c r="G698" s="60"/>
      <c r="H698" s="61" t="str">
        <f t="shared" si="1"/>
        <v/>
      </c>
    </row>
    <row r="699">
      <c r="A699" s="56"/>
      <c r="C699" s="57"/>
      <c r="D699" s="58"/>
      <c r="E699" s="50"/>
      <c r="F699" s="59"/>
      <c r="G699" s="60"/>
      <c r="H699" s="61" t="str">
        <f t="shared" si="1"/>
        <v/>
      </c>
    </row>
    <row r="700">
      <c r="A700" s="56"/>
      <c r="C700" s="57"/>
      <c r="D700" s="58"/>
      <c r="E700" s="50"/>
      <c r="F700" s="59"/>
      <c r="G700" s="60"/>
      <c r="H700" s="61" t="str">
        <f t="shared" si="1"/>
        <v/>
      </c>
    </row>
    <row r="701">
      <c r="A701" s="56"/>
      <c r="C701" s="57"/>
      <c r="D701" s="58"/>
      <c r="E701" s="50"/>
      <c r="F701" s="59"/>
      <c r="G701" s="60"/>
      <c r="H701" s="61" t="str">
        <f t="shared" si="1"/>
        <v/>
      </c>
    </row>
    <row r="702">
      <c r="A702" s="56"/>
      <c r="C702" s="57"/>
      <c r="D702" s="58"/>
      <c r="E702" s="50"/>
      <c r="F702" s="59"/>
      <c r="G702" s="60"/>
      <c r="H702" s="61" t="str">
        <f t="shared" si="1"/>
        <v/>
      </c>
    </row>
    <row r="703">
      <c r="A703" s="56"/>
      <c r="C703" s="57"/>
      <c r="D703" s="58"/>
      <c r="E703" s="50"/>
      <c r="F703" s="59"/>
      <c r="G703" s="60"/>
      <c r="H703" s="61" t="str">
        <f t="shared" si="1"/>
        <v/>
      </c>
    </row>
    <row r="704">
      <c r="A704" s="56"/>
      <c r="C704" s="57"/>
      <c r="D704" s="58"/>
      <c r="E704" s="50"/>
      <c r="F704" s="59"/>
      <c r="G704" s="60"/>
      <c r="H704" s="61" t="str">
        <f t="shared" si="1"/>
        <v/>
      </c>
    </row>
    <row r="705">
      <c r="A705" s="56"/>
      <c r="C705" s="57"/>
      <c r="D705" s="58"/>
      <c r="E705" s="50"/>
      <c r="F705" s="59"/>
      <c r="G705" s="60"/>
      <c r="H705" s="61" t="str">
        <f t="shared" si="1"/>
        <v/>
      </c>
    </row>
    <row r="706">
      <c r="A706" s="56"/>
      <c r="C706" s="57"/>
      <c r="D706" s="58"/>
      <c r="E706" s="50"/>
      <c r="F706" s="59"/>
      <c r="G706" s="60"/>
      <c r="H706" s="61" t="str">
        <f t="shared" si="1"/>
        <v/>
      </c>
    </row>
    <row r="707">
      <c r="A707" s="56"/>
      <c r="C707" s="57"/>
      <c r="D707" s="58"/>
      <c r="E707" s="50"/>
      <c r="F707" s="59"/>
      <c r="G707" s="60"/>
      <c r="H707" s="61" t="str">
        <f t="shared" si="1"/>
        <v/>
      </c>
    </row>
    <row r="708">
      <c r="A708" s="56"/>
      <c r="C708" s="57"/>
      <c r="D708" s="58"/>
      <c r="E708" s="50"/>
      <c r="F708" s="59"/>
      <c r="G708" s="60"/>
      <c r="H708" s="61" t="str">
        <f t="shared" si="1"/>
        <v/>
      </c>
    </row>
    <row r="709">
      <c r="A709" s="56"/>
      <c r="C709" s="57"/>
      <c r="D709" s="58"/>
      <c r="E709" s="50"/>
      <c r="F709" s="59"/>
      <c r="G709" s="60"/>
      <c r="H709" s="61" t="str">
        <f t="shared" si="1"/>
        <v/>
      </c>
    </row>
    <row r="710">
      <c r="A710" s="56"/>
      <c r="C710" s="57"/>
      <c r="D710" s="58"/>
      <c r="E710" s="50"/>
      <c r="F710" s="59"/>
      <c r="G710" s="60"/>
      <c r="H710" s="61" t="str">
        <f t="shared" si="1"/>
        <v/>
      </c>
    </row>
    <row r="711">
      <c r="A711" s="56"/>
      <c r="C711" s="57"/>
      <c r="D711" s="58"/>
      <c r="E711" s="50"/>
      <c r="F711" s="59"/>
      <c r="G711" s="60"/>
      <c r="H711" s="61" t="str">
        <f t="shared" si="1"/>
        <v/>
      </c>
    </row>
    <row r="712">
      <c r="A712" s="56"/>
      <c r="C712" s="57"/>
      <c r="D712" s="58"/>
      <c r="E712" s="50"/>
      <c r="F712" s="59"/>
      <c r="G712" s="60"/>
      <c r="H712" s="61" t="str">
        <f t="shared" si="1"/>
        <v/>
      </c>
    </row>
    <row r="713">
      <c r="A713" s="56"/>
      <c r="C713" s="57"/>
      <c r="D713" s="58"/>
      <c r="E713" s="50"/>
      <c r="F713" s="59"/>
      <c r="G713" s="60"/>
      <c r="H713" s="61" t="str">
        <f t="shared" si="1"/>
        <v/>
      </c>
    </row>
    <row r="714">
      <c r="A714" s="56"/>
      <c r="C714" s="57"/>
      <c r="D714" s="58"/>
      <c r="E714" s="50"/>
      <c r="F714" s="59"/>
      <c r="G714" s="60"/>
      <c r="H714" s="61" t="str">
        <f t="shared" si="1"/>
        <v/>
      </c>
    </row>
    <row r="715">
      <c r="A715" s="56"/>
      <c r="C715" s="57"/>
      <c r="D715" s="58"/>
      <c r="E715" s="50"/>
      <c r="F715" s="59"/>
      <c r="G715" s="60"/>
      <c r="H715" s="61" t="str">
        <f t="shared" si="1"/>
        <v/>
      </c>
    </row>
    <row r="716">
      <c r="A716" s="56"/>
      <c r="C716" s="57"/>
      <c r="D716" s="58"/>
      <c r="E716" s="50"/>
      <c r="F716" s="59"/>
      <c r="G716" s="60"/>
      <c r="H716" s="61" t="str">
        <f t="shared" si="1"/>
        <v/>
      </c>
    </row>
    <row r="717">
      <c r="A717" s="56"/>
      <c r="C717" s="57"/>
      <c r="D717" s="58"/>
      <c r="E717" s="50"/>
      <c r="F717" s="59"/>
      <c r="G717" s="60"/>
      <c r="H717" s="61" t="str">
        <f t="shared" si="1"/>
        <v/>
      </c>
    </row>
    <row r="718">
      <c r="A718" s="56"/>
      <c r="C718" s="57"/>
      <c r="D718" s="58"/>
      <c r="E718" s="50"/>
      <c r="F718" s="59"/>
      <c r="G718" s="60"/>
      <c r="H718" s="61" t="str">
        <f t="shared" si="1"/>
        <v/>
      </c>
    </row>
    <row r="719">
      <c r="A719" s="56"/>
      <c r="C719" s="57"/>
      <c r="D719" s="58"/>
      <c r="E719" s="50"/>
      <c r="F719" s="59"/>
      <c r="G719" s="60"/>
      <c r="H719" s="61" t="str">
        <f t="shared" si="1"/>
        <v/>
      </c>
    </row>
    <row r="720">
      <c r="A720" s="56"/>
      <c r="C720" s="57"/>
      <c r="D720" s="58"/>
      <c r="E720" s="50"/>
      <c r="F720" s="59"/>
      <c r="G720" s="60"/>
      <c r="H720" s="61" t="str">
        <f t="shared" si="1"/>
        <v/>
      </c>
    </row>
    <row r="721">
      <c r="A721" s="56"/>
      <c r="C721" s="57"/>
      <c r="D721" s="58"/>
      <c r="E721" s="50"/>
      <c r="F721" s="59"/>
      <c r="G721" s="60"/>
      <c r="H721" s="61" t="str">
        <f t="shared" si="1"/>
        <v/>
      </c>
    </row>
    <row r="722">
      <c r="A722" s="56"/>
      <c r="C722" s="57"/>
      <c r="D722" s="58"/>
      <c r="E722" s="50"/>
      <c r="F722" s="59"/>
      <c r="G722" s="60"/>
      <c r="H722" s="61" t="str">
        <f t="shared" si="1"/>
        <v/>
      </c>
    </row>
    <row r="723">
      <c r="A723" s="56"/>
      <c r="C723" s="57"/>
      <c r="D723" s="58"/>
      <c r="E723" s="50"/>
      <c r="F723" s="59"/>
      <c r="G723" s="60"/>
      <c r="H723" s="61" t="str">
        <f t="shared" si="1"/>
        <v/>
      </c>
    </row>
    <row r="724">
      <c r="A724" s="56"/>
      <c r="C724" s="57"/>
      <c r="D724" s="58"/>
      <c r="E724" s="50"/>
      <c r="F724" s="59"/>
      <c r="G724" s="60"/>
      <c r="H724" s="61" t="str">
        <f t="shared" si="1"/>
        <v/>
      </c>
    </row>
    <row r="725">
      <c r="A725" s="56"/>
      <c r="C725" s="57"/>
      <c r="D725" s="58"/>
      <c r="E725" s="50"/>
      <c r="F725" s="59"/>
      <c r="G725" s="60"/>
      <c r="H725" s="61" t="str">
        <f t="shared" si="1"/>
        <v/>
      </c>
    </row>
    <row r="726">
      <c r="A726" s="56"/>
      <c r="C726" s="57"/>
      <c r="D726" s="58"/>
      <c r="E726" s="50"/>
      <c r="F726" s="59"/>
      <c r="G726" s="60"/>
      <c r="H726" s="61" t="str">
        <f t="shared" si="1"/>
        <v/>
      </c>
    </row>
    <row r="727">
      <c r="A727" s="56"/>
      <c r="C727" s="57"/>
      <c r="D727" s="58"/>
      <c r="E727" s="50"/>
      <c r="F727" s="59"/>
      <c r="G727" s="60"/>
      <c r="H727" s="61" t="str">
        <f t="shared" si="1"/>
        <v/>
      </c>
    </row>
    <row r="728">
      <c r="A728" s="56"/>
      <c r="C728" s="57"/>
      <c r="D728" s="58"/>
      <c r="E728" s="50"/>
      <c r="F728" s="59"/>
      <c r="G728" s="60"/>
      <c r="H728" s="61" t="str">
        <f t="shared" si="1"/>
        <v/>
      </c>
    </row>
    <row r="729">
      <c r="A729" s="56"/>
      <c r="C729" s="57"/>
      <c r="D729" s="58"/>
      <c r="E729" s="50"/>
      <c r="F729" s="59"/>
      <c r="G729" s="60"/>
      <c r="H729" s="61" t="str">
        <f t="shared" si="1"/>
        <v/>
      </c>
    </row>
    <row r="730">
      <c r="A730" s="56"/>
      <c r="C730" s="57"/>
      <c r="D730" s="58"/>
      <c r="E730" s="50"/>
      <c r="F730" s="59"/>
      <c r="G730" s="60"/>
      <c r="H730" s="61" t="str">
        <f t="shared" si="1"/>
        <v/>
      </c>
    </row>
    <row r="731">
      <c r="A731" s="56"/>
      <c r="C731" s="57"/>
      <c r="D731" s="58"/>
      <c r="E731" s="50"/>
      <c r="F731" s="59"/>
      <c r="G731" s="60"/>
      <c r="H731" s="61" t="str">
        <f t="shared" si="1"/>
        <v/>
      </c>
    </row>
    <row r="732">
      <c r="A732" s="56"/>
      <c r="C732" s="57"/>
      <c r="D732" s="58"/>
      <c r="E732" s="50"/>
      <c r="F732" s="59"/>
      <c r="G732" s="60"/>
      <c r="H732" s="61" t="str">
        <f t="shared" si="1"/>
        <v/>
      </c>
    </row>
    <row r="733">
      <c r="A733" s="56"/>
      <c r="C733" s="57"/>
      <c r="D733" s="58"/>
      <c r="E733" s="50"/>
      <c r="F733" s="59"/>
      <c r="G733" s="60"/>
      <c r="H733" s="61" t="str">
        <f t="shared" si="1"/>
        <v/>
      </c>
    </row>
    <row r="734">
      <c r="A734" s="56"/>
      <c r="C734" s="57"/>
      <c r="D734" s="58"/>
      <c r="E734" s="50"/>
      <c r="F734" s="59"/>
      <c r="G734" s="60"/>
      <c r="H734" s="61" t="str">
        <f t="shared" si="1"/>
        <v/>
      </c>
    </row>
    <row r="735">
      <c r="A735" s="56"/>
      <c r="C735" s="57"/>
      <c r="D735" s="58"/>
      <c r="E735" s="50"/>
      <c r="F735" s="59"/>
      <c r="G735" s="60"/>
      <c r="H735" s="61" t="str">
        <f t="shared" si="1"/>
        <v/>
      </c>
    </row>
    <row r="736">
      <c r="A736" s="56"/>
      <c r="C736" s="57"/>
      <c r="D736" s="58"/>
      <c r="E736" s="50"/>
      <c r="F736" s="59"/>
      <c r="G736" s="60"/>
      <c r="H736" s="61" t="str">
        <f t="shared" si="1"/>
        <v/>
      </c>
    </row>
    <row r="737">
      <c r="A737" s="56"/>
      <c r="C737" s="57"/>
      <c r="D737" s="58"/>
      <c r="E737" s="50"/>
      <c r="F737" s="59"/>
      <c r="G737" s="60"/>
      <c r="H737" s="61" t="str">
        <f t="shared" si="1"/>
        <v/>
      </c>
    </row>
    <row r="738">
      <c r="A738" s="56"/>
      <c r="C738" s="57"/>
      <c r="D738" s="58"/>
      <c r="E738" s="50"/>
      <c r="F738" s="59"/>
      <c r="G738" s="60"/>
      <c r="H738" s="61" t="str">
        <f t="shared" si="1"/>
        <v/>
      </c>
    </row>
    <row r="739">
      <c r="A739" s="56"/>
      <c r="C739" s="57"/>
      <c r="D739" s="58"/>
      <c r="E739" s="50"/>
      <c r="F739" s="59"/>
      <c r="G739" s="60"/>
      <c r="H739" s="61" t="str">
        <f t="shared" si="1"/>
        <v/>
      </c>
    </row>
    <row r="740">
      <c r="A740" s="56"/>
      <c r="C740" s="57"/>
      <c r="D740" s="58"/>
      <c r="E740" s="50"/>
      <c r="F740" s="59"/>
      <c r="G740" s="60"/>
      <c r="H740" s="61" t="str">
        <f t="shared" si="1"/>
        <v/>
      </c>
    </row>
    <row r="741">
      <c r="A741" s="56"/>
      <c r="C741" s="57"/>
      <c r="D741" s="58"/>
      <c r="E741" s="50"/>
      <c r="F741" s="59"/>
      <c r="G741" s="60"/>
      <c r="H741" s="61" t="str">
        <f t="shared" si="1"/>
        <v/>
      </c>
    </row>
    <row r="742">
      <c r="A742" s="56"/>
      <c r="C742" s="57"/>
      <c r="D742" s="58"/>
      <c r="E742" s="50"/>
      <c r="F742" s="59"/>
      <c r="G742" s="60"/>
      <c r="H742" s="61" t="str">
        <f t="shared" si="1"/>
        <v/>
      </c>
    </row>
    <row r="743">
      <c r="A743" s="56"/>
      <c r="C743" s="57"/>
      <c r="D743" s="58"/>
      <c r="E743" s="50"/>
      <c r="F743" s="59"/>
      <c r="G743" s="60"/>
      <c r="H743" s="61" t="str">
        <f t="shared" si="1"/>
        <v/>
      </c>
    </row>
    <row r="744">
      <c r="A744" s="56"/>
      <c r="C744" s="57"/>
      <c r="D744" s="58"/>
      <c r="E744" s="50"/>
      <c r="F744" s="59"/>
      <c r="G744" s="60"/>
      <c r="H744" s="61" t="str">
        <f t="shared" si="1"/>
        <v/>
      </c>
    </row>
    <row r="745">
      <c r="A745" s="56"/>
      <c r="C745" s="57"/>
      <c r="D745" s="58"/>
      <c r="E745" s="50"/>
      <c r="F745" s="59"/>
      <c r="G745" s="60"/>
      <c r="H745" s="61" t="str">
        <f t="shared" si="1"/>
        <v/>
      </c>
    </row>
    <row r="746">
      <c r="A746" s="56"/>
      <c r="C746" s="57"/>
      <c r="D746" s="58"/>
      <c r="E746" s="50"/>
      <c r="F746" s="59"/>
      <c r="G746" s="60"/>
      <c r="H746" s="61" t="str">
        <f t="shared" si="1"/>
        <v/>
      </c>
    </row>
    <row r="747">
      <c r="A747" s="56"/>
      <c r="C747" s="57"/>
      <c r="D747" s="58"/>
      <c r="E747" s="50"/>
      <c r="F747" s="59"/>
      <c r="G747" s="60"/>
      <c r="H747" s="61" t="str">
        <f t="shared" si="1"/>
        <v/>
      </c>
    </row>
    <row r="748">
      <c r="A748" s="56"/>
      <c r="C748" s="57"/>
      <c r="D748" s="58"/>
      <c r="E748" s="50"/>
      <c r="F748" s="59"/>
      <c r="G748" s="60"/>
      <c r="H748" s="61" t="str">
        <f t="shared" si="1"/>
        <v/>
      </c>
    </row>
    <row r="749">
      <c r="A749" s="56"/>
      <c r="C749" s="57"/>
      <c r="D749" s="58"/>
      <c r="E749" s="50"/>
      <c r="F749" s="59"/>
      <c r="G749" s="60"/>
      <c r="H749" s="61" t="str">
        <f t="shared" si="1"/>
        <v/>
      </c>
    </row>
    <row r="750">
      <c r="A750" s="56"/>
      <c r="C750" s="57"/>
      <c r="D750" s="58"/>
      <c r="E750" s="50"/>
      <c r="F750" s="59"/>
      <c r="G750" s="60"/>
      <c r="H750" s="61" t="str">
        <f t="shared" si="1"/>
        <v/>
      </c>
    </row>
    <row r="751">
      <c r="A751" s="56"/>
      <c r="C751" s="57"/>
      <c r="D751" s="58"/>
      <c r="E751" s="50"/>
      <c r="F751" s="59"/>
      <c r="G751" s="60"/>
      <c r="H751" s="61" t="str">
        <f t="shared" si="1"/>
        <v/>
      </c>
    </row>
    <row r="752">
      <c r="A752" s="56"/>
      <c r="C752" s="57"/>
      <c r="D752" s="58"/>
      <c r="E752" s="50"/>
      <c r="F752" s="59"/>
      <c r="G752" s="60"/>
      <c r="H752" s="61" t="str">
        <f t="shared" si="1"/>
        <v/>
      </c>
    </row>
    <row r="753">
      <c r="A753" s="56"/>
      <c r="C753" s="57"/>
      <c r="D753" s="58"/>
      <c r="E753" s="50"/>
      <c r="F753" s="59"/>
      <c r="G753" s="60"/>
      <c r="H753" s="61" t="str">
        <f t="shared" si="1"/>
        <v/>
      </c>
    </row>
    <row r="754">
      <c r="A754" s="56"/>
      <c r="C754" s="57"/>
      <c r="D754" s="58"/>
      <c r="E754" s="50"/>
      <c r="F754" s="59"/>
      <c r="G754" s="60"/>
      <c r="H754" s="61" t="str">
        <f t="shared" si="1"/>
        <v/>
      </c>
    </row>
    <row r="755">
      <c r="A755" s="56"/>
      <c r="C755" s="57"/>
      <c r="D755" s="58"/>
      <c r="E755" s="50"/>
      <c r="F755" s="59"/>
      <c r="G755" s="60"/>
      <c r="H755" s="61" t="str">
        <f t="shared" si="1"/>
        <v/>
      </c>
    </row>
    <row r="756">
      <c r="A756" s="56"/>
      <c r="C756" s="57"/>
      <c r="D756" s="58"/>
      <c r="E756" s="50"/>
      <c r="F756" s="59"/>
      <c r="G756" s="60"/>
      <c r="H756" s="61" t="str">
        <f t="shared" si="1"/>
        <v/>
      </c>
    </row>
    <row r="757">
      <c r="A757" s="56"/>
      <c r="C757" s="57"/>
      <c r="D757" s="58"/>
      <c r="E757" s="50"/>
      <c r="F757" s="59"/>
      <c r="G757" s="60"/>
      <c r="H757" s="61" t="str">
        <f t="shared" si="1"/>
        <v/>
      </c>
    </row>
    <row r="758">
      <c r="A758" s="56"/>
      <c r="C758" s="57"/>
      <c r="D758" s="58"/>
      <c r="E758" s="50"/>
      <c r="F758" s="59"/>
      <c r="G758" s="60"/>
      <c r="H758" s="61" t="str">
        <f t="shared" si="1"/>
        <v/>
      </c>
    </row>
    <row r="759">
      <c r="A759" s="56"/>
      <c r="C759" s="57"/>
      <c r="D759" s="58"/>
      <c r="E759" s="50"/>
      <c r="F759" s="59"/>
      <c r="G759" s="60"/>
      <c r="H759" s="61" t="str">
        <f t="shared" si="1"/>
        <v/>
      </c>
    </row>
    <row r="760">
      <c r="A760" s="56"/>
      <c r="C760" s="57"/>
      <c r="D760" s="58"/>
      <c r="E760" s="50"/>
      <c r="F760" s="59"/>
      <c r="G760" s="60"/>
      <c r="H760" s="61" t="str">
        <f t="shared" si="1"/>
        <v/>
      </c>
    </row>
    <row r="761">
      <c r="A761" s="56"/>
      <c r="C761" s="57"/>
      <c r="D761" s="58"/>
      <c r="E761" s="50"/>
      <c r="F761" s="59"/>
      <c r="G761" s="60"/>
      <c r="H761" s="61" t="str">
        <f t="shared" si="1"/>
        <v/>
      </c>
    </row>
    <row r="762">
      <c r="A762" s="56"/>
      <c r="C762" s="57"/>
      <c r="D762" s="58"/>
      <c r="E762" s="50"/>
      <c r="F762" s="59"/>
      <c r="G762" s="60"/>
      <c r="H762" s="61" t="str">
        <f t="shared" si="1"/>
        <v/>
      </c>
    </row>
    <row r="763">
      <c r="A763" s="56"/>
      <c r="C763" s="57"/>
      <c r="D763" s="58"/>
      <c r="E763" s="50"/>
      <c r="F763" s="59"/>
      <c r="G763" s="60"/>
      <c r="H763" s="61" t="str">
        <f t="shared" si="1"/>
        <v/>
      </c>
    </row>
    <row r="764">
      <c r="A764" s="56"/>
      <c r="C764" s="57"/>
      <c r="D764" s="58"/>
      <c r="E764" s="50"/>
      <c r="F764" s="59"/>
      <c r="G764" s="60"/>
      <c r="H764" s="61" t="str">
        <f t="shared" si="1"/>
        <v/>
      </c>
    </row>
    <row r="765">
      <c r="A765" s="56"/>
      <c r="C765" s="57"/>
      <c r="D765" s="58"/>
      <c r="E765" s="50"/>
      <c r="F765" s="59"/>
      <c r="G765" s="60"/>
      <c r="H765" s="61" t="str">
        <f t="shared" si="1"/>
        <v/>
      </c>
    </row>
    <row r="766">
      <c r="A766" s="56"/>
      <c r="C766" s="57"/>
      <c r="D766" s="58"/>
      <c r="E766" s="50"/>
      <c r="F766" s="59"/>
      <c r="G766" s="60"/>
      <c r="H766" s="61" t="str">
        <f t="shared" si="1"/>
        <v/>
      </c>
    </row>
    <row r="767">
      <c r="A767" s="56"/>
      <c r="C767" s="57"/>
      <c r="D767" s="58"/>
      <c r="E767" s="50"/>
      <c r="F767" s="59"/>
      <c r="G767" s="60"/>
      <c r="H767" s="61" t="str">
        <f t="shared" si="1"/>
        <v/>
      </c>
    </row>
    <row r="768">
      <c r="A768" s="56"/>
      <c r="C768" s="57"/>
      <c r="D768" s="58"/>
      <c r="E768" s="50"/>
      <c r="F768" s="59"/>
      <c r="G768" s="60"/>
      <c r="H768" s="61" t="str">
        <f t="shared" si="1"/>
        <v/>
      </c>
    </row>
    <row r="769">
      <c r="A769" s="56"/>
      <c r="C769" s="57"/>
      <c r="D769" s="58"/>
      <c r="E769" s="50"/>
      <c r="F769" s="59"/>
      <c r="G769" s="60"/>
      <c r="H769" s="61" t="str">
        <f t="shared" si="1"/>
        <v/>
      </c>
    </row>
    <row r="770">
      <c r="A770" s="56"/>
      <c r="C770" s="57"/>
      <c r="D770" s="58"/>
      <c r="E770" s="50"/>
      <c r="F770" s="59"/>
      <c r="G770" s="60"/>
      <c r="H770" s="61" t="str">
        <f t="shared" si="1"/>
        <v/>
      </c>
    </row>
    <row r="771">
      <c r="A771" s="56"/>
      <c r="C771" s="57"/>
      <c r="D771" s="58"/>
      <c r="E771" s="50"/>
      <c r="F771" s="59"/>
      <c r="G771" s="60"/>
      <c r="H771" s="61" t="str">
        <f t="shared" si="1"/>
        <v/>
      </c>
    </row>
    <row r="772">
      <c r="A772" s="56"/>
      <c r="C772" s="57"/>
      <c r="D772" s="58"/>
      <c r="E772" s="50"/>
      <c r="F772" s="59"/>
      <c r="G772" s="60"/>
      <c r="H772" s="61" t="str">
        <f t="shared" si="1"/>
        <v/>
      </c>
    </row>
    <row r="773">
      <c r="A773" s="56"/>
      <c r="C773" s="57"/>
      <c r="D773" s="58"/>
      <c r="E773" s="50"/>
      <c r="F773" s="59"/>
      <c r="G773" s="60"/>
      <c r="H773" s="61" t="str">
        <f t="shared" si="1"/>
        <v/>
      </c>
    </row>
    <row r="774">
      <c r="A774" s="56"/>
      <c r="C774" s="57"/>
      <c r="D774" s="58"/>
      <c r="E774" s="50"/>
      <c r="F774" s="59"/>
      <c r="G774" s="60"/>
      <c r="H774" s="61" t="str">
        <f t="shared" si="1"/>
        <v/>
      </c>
    </row>
    <row r="775">
      <c r="A775" s="56"/>
      <c r="C775" s="57"/>
      <c r="D775" s="58"/>
      <c r="E775" s="50"/>
      <c r="F775" s="59"/>
      <c r="G775" s="60"/>
      <c r="H775" s="61" t="str">
        <f t="shared" si="1"/>
        <v/>
      </c>
    </row>
    <row r="776">
      <c r="A776" s="56"/>
      <c r="C776" s="57"/>
      <c r="D776" s="58"/>
      <c r="E776" s="50"/>
      <c r="F776" s="59"/>
      <c r="G776" s="60"/>
      <c r="H776" s="61" t="str">
        <f t="shared" si="1"/>
        <v/>
      </c>
    </row>
    <row r="777">
      <c r="A777" s="56"/>
      <c r="C777" s="57"/>
      <c r="D777" s="58"/>
      <c r="E777" s="50"/>
      <c r="F777" s="59"/>
      <c r="G777" s="60"/>
      <c r="H777" s="61" t="str">
        <f t="shared" si="1"/>
        <v/>
      </c>
    </row>
    <row r="778">
      <c r="A778" s="56"/>
      <c r="C778" s="57"/>
      <c r="D778" s="58"/>
      <c r="E778" s="50"/>
      <c r="F778" s="59"/>
      <c r="G778" s="60"/>
      <c r="H778" s="61" t="str">
        <f t="shared" si="1"/>
        <v/>
      </c>
    </row>
    <row r="779">
      <c r="A779" s="56"/>
      <c r="C779" s="57"/>
      <c r="D779" s="58"/>
      <c r="E779" s="50"/>
      <c r="F779" s="59"/>
      <c r="G779" s="60"/>
      <c r="H779" s="61" t="str">
        <f t="shared" si="1"/>
        <v/>
      </c>
    </row>
    <row r="780">
      <c r="A780" s="56"/>
      <c r="C780" s="57"/>
      <c r="D780" s="58"/>
      <c r="E780" s="50"/>
      <c r="F780" s="59"/>
      <c r="G780" s="60"/>
      <c r="H780" s="61" t="str">
        <f t="shared" si="1"/>
        <v/>
      </c>
    </row>
    <row r="781">
      <c r="A781" s="56"/>
      <c r="C781" s="57"/>
      <c r="D781" s="58"/>
      <c r="E781" s="50"/>
      <c r="F781" s="59"/>
      <c r="G781" s="60"/>
      <c r="H781" s="61" t="str">
        <f t="shared" si="1"/>
        <v/>
      </c>
    </row>
    <row r="782">
      <c r="A782" s="56"/>
      <c r="C782" s="57"/>
      <c r="D782" s="58"/>
      <c r="E782" s="50"/>
      <c r="F782" s="59"/>
      <c r="G782" s="60"/>
      <c r="H782" s="61" t="str">
        <f t="shared" si="1"/>
        <v/>
      </c>
    </row>
    <row r="783">
      <c r="A783" s="56"/>
      <c r="C783" s="57"/>
      <c r="D783" s="58"/>
      <c r="E783" s="50"/>
      <c r="F783" s="59"/>
      <c r="G783" s="60"/>
      <c r="H783" s="61" t="str">
        <f t="shared" si="1"/>
        <v/>
      </c>
    </row>
    <row r="784">
      <c r="A784" s="56"/>
      <c r="C784" s="57"/>
      <c r="D784" s="58"/>
      <c r="E784" s="50"/>
      <c r="F784" s="59"/>
      <c r="G784" s="60"/>
      <c r="H784" s="61" t="str">
        <f t="shared" si="1"/>
        <v/>
      </c>
    </row>
    <row r="785">
      <c r="A785" s="56"/>
      <c r="C785" s="57"/>
      <c r="D785" s="58"/>
      <c r="E785" s="50"/>
      <c r="F785" s="59"/>
      <c r="G785" s="60"/>
      <c r="H785" s="61" t="str">
        <f t="shared" si="1"/>
        <v/>
      </c>
    </row>
    <row r="786">
      <c r="A786" s="56"/>
      <c r="C786" s="57"/>
      <c r="D786" s="58"/>
      <c r="E786" s="50"/>
      <c r="F786" s="59"/>
      <c r="G786" s="60"/>
      <c r="H786" s="61" t="str">
        <f t="shared" si="1"/>
        <v/>
      </c>
    </row>
    <row r="787">
      <c r="A787" s="56"/>
      <c r="C787" s="57"/>
      <c r="D787" s="58"/>
      <c r="E787" s="50"/>
      <c r="F787" s="59"/>
      <c r="G787" s="60"/>
      <c r="H787" s="61" t="str">
        <f t="shared" si="1"/>
        <v/>
      </c>
    </row>
    <row r="788">
      <c r="A788" s="56"/>
      <c r="C788" s="57"/>
      <c r="D788" s="58"/>
      <c r="E788" s="50"/>
      <c r="F788" s="59"/>
      <c r="G788" s="60"/>
      <c r="H788" s="61" t="str">
        <f t="shared" si="1"/>
        <v/>
      </c>
    </row>
    <row r="789">
      <c r="A789" s="56"/>
      <c r="C789" s="57"/>
      <c r="D789" s="58"/>
      <c r="E789" s="50"/>
      <c r="F789" s="59"/>
      <c r="G789" s="60"/>
      <c r="H789" s="61" t="str">
        <f t="shared" si="1"/>
        <v/>
      </c>
    </row>
    <row r="790">
      <c r="A790" s="56"/>
      <c r="C790" s="57"/>
      <c r="D790" s="58"/>
      <c r="E790" s="50"/>
      <c r="F790" s="59"/>
      <c r="G790" s="60"/>
      <c r="H790" s="61" t="str">
        <f t="shared" si="1"/>
        <v/>
      </c>
    </row>
    <row r="791">
      <c r="A791" s="56"/>
      <c r="C791" s="57"/>
      <c r="D791" s="58"/>
      <c r="E791" s="50"/>
      <c r="F791" s="59"/>
      <c r="G791" s="60"/>
      <c r="H791" s="61" t="str">
        <f t="shared" si="1"/>
        <v/>
      </c>
    </row>
    <row r="792">
      <c r="A792" s="56"/>
      <c r="C792" s="57"/>
      <c r="D792" s="58"/>
      <c r="E792" s="50"/>
      <c r="F792" s="59"/>
      <c r="G792" s="60"/>
      <c r="H792" s="61" t="str">
        <f t="shared" si="1"/>
        <v/>
      </c>
    </row>
    <row r="793">
      <c r="A793" s="56"/>
      <c r="C793" s="57"/>
      <c r="D793" s="58"/>
      <c r="E793" s="50"/>
      <c r="F793" s="59"/>
      <c r="G793" s="60"/>
      <c r="H793" s="61" t="str">
        <f t="shared" si="1"/>
        <v/>
      </c>
    </row>
    <row r="794">
      <c r="A794" s="56"/>
      <c r="C794" s="57"/>
      <c r="D794" s="58"/>
      <c r="E794" s="50"/>
      <c r="F794" s="59"/>
      <c r="G794" s="60"/>
      <c r="H794" s="61" t="str">
        <f t="shared" si="1"/>
        <v/>
      </c>
    </row>
    <row r="795">
      <c r="A795" s="56"/>
      <c r="C795" s="57"/>
      <c r="D795" s="58"/>
      <c r="E795" s="50"/>
      <c r="F795" s="59"/>
      <c r="G795" s="60"/>
      <c r="H795" s="61" t="str">
        <f t="shared" si="1"/>
        <v/>
      </c>
    </row>
    <row r="796">
      <c r="A796" s="56"/>
      <c r="C796" s="57"/>
      <c r="D796" s="58"/>
      <c r="E796" s="50"/>
      <c r="F796" s="59"/>
      <c r="G796" s="60"/>
      <c r="H796" s="61" t="str">
        <f t="shared" si="1"/>
        <v/>
      </c>
    </row>
    <row r="797">
      <c r="A797" s="56"/>
      <c r="C797" s="57"/>
      <c r="D797" s="58"/>
      <c r="E797" s="50"/>
      <c r="F797" s="59"/>
      <c r="G797" s="60"/>
      <c r="H797" s="61" t="str">
        <f t="shared" si="1"/>
        <v/>
      </c>
    </row>
    <row r="798">
      <c r="A798" s="56"/>
      <c r="C798" s="57"/>
      <c r="D798" s="58"/>
      <c r="E798" s="50"/>
      <c r="F798" s="59"/>
      <c r="G798" s="60"/>
      <c r="H798" s="61" t="str">
        <f t="shared" si="1"/>
        <v/>
      </c>
    </row>
    <row r="799">
      <c r="A799" s="56"/>
      <c r="C799" s="57"/>
      <c r="D799" s="58"/>
      <c r="E799" s="50"/>
      <c r="F799" s="59"/>
      <c r="G799" s="60"/>
      <c r="H799" s="61" t="str">
        <f t="shared" si="1"/>
        <v/>
      </c>
    </row>
    <row r="800">
      <c r="A800" s="56"/>
      <c r="C800" s="57"/>
      <c r="D800" s="58"/>
      <c r="E800" s="50"/>
      <c r="F800" s="59"/>
      <c r="G800" s="60"/>
      <c r="H800" s="61" t="str">
        <f t="shared" si="1"/>
        <v/>
      </c>
    </row>
    <row r="801">
      <c r="A801" s="56"/>
      <c r="C801" s="57"/>
      <c r="D801" s="58"/>
      <c r="E801" s="50"/>
      <c r="F801" s="59"/>
      <c r="G801" s="60"/>
      <c r="H801" s="61" t="str">
        <f t="shared" si="1"/>
        <v/>
      </c>
    </row>
    <row r="802">
      <c r="A802" s="56"/>
      <c r="C802" s="57"/>
      <c r="D802" s="58"/>
      <c r="E802" s="50"/>
      <c r="F802" s="59"/>
      <c r="G802" s="60"/>
      <c r="H802" s="61" t="str">
        <f t="shared" si="1"/>
        <v/>
      </c>
    </row>
    <row r="803">
      <c r="A803" s="56"/>
      <c r="C803" s="57"/>
      <c r="D803" s="58"/>
      <c r="E803" s="50"/>
      <c r="F803" s="59"/>
      <c r="G803" s="60"/>
      <c r="H803" s="61" t="str">
        <f t="shared" si="1"/>
        <v/>
      </c>
    </row>
    <row r="804">
      <c r="A804" s="56"/>
      <c r="C804" s="57"/>
      <c r="D804" s="58"/>
      <c r="E804" s="50"/>
      <c r="F804" s="59"/>
      <c r="G804" s="60"/>
      <c r="H804" s="61" t="str">
        <f t="shared" si="1"/>
        <v/>
      </c>
    </row>
    <row r="805">
      <c r="A805" s="56"/>
      <c r="C805" s="57"/>
      <c r="D805" s="58"/>
      <c r="E805" s="50"/>
      <c r="F805" s="59"/>
      <c r="G805" s="60"/>
      <c r="H805" s="61" t="str">
        <f t="shared" si="1"/>
        <v/>
      </c>
    </row>
    <row r="806">
      <c r="A806" s="56"/>
      <c r="C806" s="57"/>
      <c r="D806" s="58"/>
      <c r="E806" s="50"/>
      <c r="F806" s="59"/>
      <c r="G806" s="60"/>
      <c r="H806" s="61" t="str">
        <f t="shared" si="1"/>
        <v/>
      </c>
    </row>
    <row r="807">
      <c r="A807" s="56"/>
      <c r="C807" s="57"/>
      <c r="D807" s="58"/>
      <c r="E807" s="50"/>
      <c r="F807" s="59"/>
      <c r="G807" s="60"/>
      <c r="H807" s="61" t="str">
        <f t="shared" si="1"/>
        <v/>
      </c>
    </row>
    <row r="808">
      <c r="A808" s="56"/>
      <c r="C808" s="57"/>
      <c r="D808" s="58"/>
      <c r="E808" s="50"/>
      <c r="F808" s="59"/>
      <c r="G808" s="60"/>
      <c r="H808" s="61" t="str">
        <f t="shared" si="1"/>
        <v/>
      </c>
    </row>
    <row r="809">
      <c r="A809" s="56"/>
      <c r="C809" s="57"/>
      <c r="D809" s="58"/>
      <c r="E809" s="50"/>
      <c r="F809" s="59"/>
      <c r="G809" s="60"/>
      <c r="H809" s="61" t="str">
        <f t="shared" si="1"/>
        <v/>
      </c>
    </row>
    <row r="810">
      <c r="A810" s="56"/>
      <c r="C810" s="57"/>
      <c r="D810" s="58"/>
      <c r="E810" s="50"/>
      <c r="F810" s="59"/>
      <c r="G810" s="60"/>
      <c r="H810" s="61" t="str">
        <f t="shared" si="1"/>
        <v/>
      </c>
    </row>
    <row r="811">
      <c r="A811" s="56"/>
      <c r="C811" s="57"/>
      <c r="D811" s="58"/>
      <c r="E811" s="50"/>
      <c r="F811" s="59"/>
      <c r="G811" s="60"/>
      <c r="H811" s="61" t="str">
        <f t="shared" si="1"/>
        <v/>
      </c>
    </row>
    <row r="812">
      <c r="A812" s="56"/>
      <c r="C812" s="57"/>
      <c r="D812" s="58"/>
      <c r="E812" s="50"/>
      <c r="F812" s="59"/>
      <c r="G812" s="60"/>
      <c r="H812" s="61" t="str">
        <f t="shared" si="1"/>
        <v/>
      </c>
    </row>
    <row r="813">
      <c r="A813" s="56"/>
      <c r="C813" s="57"/>
      <c r="D813" s="58"/>
      <c r="E813" s="50"/>
      <c r="F813" s="59"/>
      <c r="G813" s="60"/>
      <c r="H813" s="61" t="str">
        <f t="shared" si="1"/>
        <v/>
      </c>
    </row>
    <row r="814">
      <c r="A814" s="56"/>
      <c r="C814" s="57"/>
      <c r="D814" s="58"/>
      <c r="E814" s="50"/>
      <c r="F814" s="59"/>
      <c r="G814" s="60"/>
      <c r="H814" s="61" t="str">
        <f t="shared" si="1"/>
        <v/>
      </c>
    </row>
    <row r="815">
      <c r="A815" s="56"/>
      <c r="C815" s="57"/>
      <c r="D815" s="58"/>
      <c r="E815" s="50"/>
      <c r="F815" s="59"/>
      <c r="G815" s="60"/>
      <c r="H815" s="61" t="str">
        <f t="shared" si="1"/>
        <v/>
      </c>
    </row>
    <row r="816">
      <c r="A816" s="56"/>
      <c r="C816" s="57"/>
      <c r="D816" s="58"/>
      <c r="E816" s="50"/>
      <c r="F816" s="59"/>
      <c r="G816" s="60"/>
      <c r="H816" s="61" t="str">
        <f t="shared" si="1"/>
        <v/>
      </c>
    </row>
    <row r="817">
      <c r="A817" s="56"/>
      <c r="C817" s="57"/>
      <c r="D817" s="58"/>
      <c r="E817" s="50"/>
      <c r="F817" s="59"/>
      <c r="G817" s="60"/>
      <c r="H817" s="61" t="str">
        <f t="shared" si="1"/>
        <v/>
      </c>
    </row>
    <row r="818">
      <c r="A818" s="56"/>
      <c r="C818" s="57"/>
      <c r="D818" s="58"/>
      <c r="E818" s="50"/>
      <c r="F818" s="59"/>
      <c r="G818" s="60"/>
      <c r="H818" s="61" t="str">
        <f t="shared" si="1"/>
        <v/>
      </c>
    </row>
    <row r="819">
      <c r="A819" s="56"/>
      <c r="C819" s="57"/>
      <c r="D819" s="58"/>
      <c r="E819" s="50"/>
      <c r="F819" s="59"/>
      <c r="G819" s="60"/>
      <c r="H819" s="61" t="str">
        <f t="shared" si="1"/>
        <v/>
      </c>
    </row>
    <row r="820">
      <c r="A820" s="56"/>
      <c r="C820" s="57"/>
      <c r="D820" s="58"/>
      <c r="E820" s="50"/>
      <c r="F820" s="59"/>
      <c r="G820" s="60"/>
      <c r="H820" s="61" t="str">
        <f t="shared" si="1"/>
        <v/>
      </c>
    </row>
    <row r="821">
      <c r="A821" s="56"/>
      <c r="C821" s="57"/>
      <c r="D821" s="58"/>
      <c r="E821" s="50"/>
      <c r="F821" s="59"/>
      <c r="G821" s="60"/>
      <c r="H821" s="61" t="str">
        <f t="shared" si="1"/>
        <v/>
      </c>
    </row>
    <row r="822">
      <c r="A822" s="56"/>
      <c r="C822" s="57"/>
      <c r="D822" s="58"/>
      <c r="E822" s="50"/>
      <c r="F822" s="59"/>
      <c r="G822" s="60"/>
      <c r="H822" s="61" t="str">
        <f t="shared" si="1"/>
        <v/>
      </c>
    </row>
    <row r="823">
      <c r="A823" s="56"/>
      <c r="C823" s="57"/>
      <c r="D823" s="58"/>
      <c r="E823" s="50"/>
      <c r="F823" s="59"/>
      <c r="G823" s="60"/>
      <c r="H823" s="61" t="str">
        <f t="shared" si="1"/>
        <v/>
      </c>
    </row>
    <row r="824">
      <c r="A824" s="56"/>
      <c r="C824" s="57"/>
      <c r="D824" s="58"/>
      <c r="E824" s="50"/>
      <c r="F824" s="59"/>
      <c r="G824" s="60"/>
      <c r="H824" s="61" t="str">
        <f t="shared" si="1"/>
        <v/>
      </c>
    </row>
    <row r="825">
      <c r="A825" s="56"/>
      <c r="C825" s="57"/>
      <c r="D825" s="58"/>
      <c r="E825" s="50"/>
      <c r="F825" s="59"/>
      <c r="G825" s="60"/>
      <c r="H825" s="61" t="str">
        <f t="shared" si="1"/>
        <v/>
      </c>
    </row>
    <row r="826">
      <c r="A826" s="56"/>
      <c r="C826" s="57"/>
      <c r="D826" s="58"/>
      <c r="E826" s="50"/>
      <c r="F826" s="59"/>
      <c r="G826" s="60"/>
      <c r="H826" s="61" t="str">
        <f t="shared" si="1"/>
        <v/>
      </c>
    </row>
    <row r="827">
      <c r="A827" s="56"/>
      <c r="C827" s="57"/>
      <c r="D827" s="58"/>
      <c r="E827" s="50"/>
      <c r="F827" s="59"/>
      <c r="G827" s="60"/>
      <c r="H827" s="61" t="str">
        <f t="shared" si="1"/>
        <v/>
      </c>
    </row>
    <row r="828">
      <c r="A828" s="56"/>
      <c r="C828" s="57"/>
      <c r="D828" s="58"/>
      <c r="E828" s="50"/>
      <c r="F828" s="59"/>
      <c r="G828" s="60"/>
      <c r="H828" s="61" t="str">
        <f t="shared" si="1"/>
        <v/>
      </c>
    </row>
    <row r="829">
      <c r="A829" s="56"/>
      <c r="C829" s="57"/>
      <c r="D829" s="58"/>
      <c r="E829" s="50"/>
      <c r="F829" s="59"/>
      <c r="G829" s="60"/>
      <c r="H829" s="61" t="str">
        <f t="shared" si="1"/>
        <v/>
      </c>
    </row>
    <row r="830">
      <c r="A830" s="56"/>
      <c r="C830" s="57"/>
      <c r="D830" s="58"/>
      <c r="E830" s="50"/>
      <c r="F830" s="59"/>
      <c r="G830" s="60"/>
      <c r="H830" s="61" t="str">
        <f t="shared" si="1"/>
        <v/>
      </c>
    </row>
    <row r="831">
      <c r="A831" s="56"/>
      <c r="C831" s="57"/>
      <c r="D831" s="58"/>
      <c r="E831" s="50"/>
      <c r="F831" s="59"/>
      <c r="G831" s="60"/>
      <c r="H831" s="61" t="str">
        <f t="shared" si="1"/>
        <v/>
      </c>
    </row>
    <row r="832">
      <c r="A832" s="56"/>
      <c r="C832" s="57"/>
      <c r="D832" s="58"/>
      <c r="E832" s="50"/>
      <c r="F832" s="59"/>
      <c r="G832" s="60"/>
      <c r="H832" s="61" t="str">
        <f t="shared" si="1"/>
        <v/>
      </c>
    </row>
    <row r="833">
      <c r="A833" s="56"/>
      <c r="C833" s="57"/>
      <c r="D833" s="58"/>
      <c r="E833" s="50"/>
      <c r="F833" s="59"/>
      <c r="G833" s="60"/>
      <c r="H833" s="61" t="str">
        <f t="shared" si="1"/>
        <v/>
      </c>
    </row>
    <row r="834">
      <c r="A834" s="56"/>
      <c r="C834" s="57"/>
      <c r="D834" s="58"/>
      <c r="E834" s="50"/>
      <c r="F834" s="59"/>
      <c r="G834" s="60"/>
      <c r="H834" s="61" t="str">
        <f t="shared" si="1"/>
        <v/>
      </c>
    </row>
    <row r="835">
      <c r="A835" s="56"/>
      <c r="C835" s="57"/>
      <c r="D835" s="58"/>
      <c r="E835" s="50"/>
      <c r="F835" s="59"/>
      <c r="G835" s="60"/>
      <c r="H835" s="61" t="str">
        <f t="shared" si="1"/>
        <v/>
      </c>
    </row>
    <row r="836">
      <c r="A836" s="56"/>
      <c r="C836" s="57"/>
      <c r="D836" s="58"/>
      <c r="E836" s="50"/>
      <c r="F836" s="59"/>
      <c r="G836" s="60"/>
      <c r="H836" s="61" t="str">
        <f t="shared" si="1"/>
        <v/>
      </c>
    </row>
    <row r="837">
      <c r="A837" s="56"/>
      <c r="C837" s="57"/>
      <c r="D837" s="58"/>
      <c r="E837" s="50"/>
      <c r="F837" s="59"/>
      <c r="G837" s="60"/>
      <c r="H837" s="61" t="str">
        <f t="shared" si="1"/>
        <v/>
      </c>
    </row>
    <row r="838">
      <c r="A838" s="56"/>
      <c r="C838" s="57"/>
      <c r="D838" s="58"/>
      <c r="E838" s="50"/>
      <c r="F838" s="59"/>
      <c r="G838" s="60"/>
      <c r="H838" s="61" t="str">
        <f t="shared" si="1"/>
        <v/>
      </c>
    </row>
    <row r="839">
      <c r="A839" s="56"/>
      <c r="C839" s="57"/>
      <c r="D839" s="58"/>
      <c r="E839" s="50"/>
      <c r="F839" s="59"/>
      <c r="G839" s="60"/>
      <c r="H839" s="61" t="str">
        <f t="shared" si="1"/>
        <v/>
      </c>
    </row>
    <row r="840">
      <c r="A840" s="56"/>
      <c r="C840" s="57"/>
      <c r="D840" s="58"/>
      <c r="E840" s="50"/>
      <c r="F840" s="59"/>
      <c r="G840" s="60"/>
      <c r="H840" s="61" t="str">
        <f t="shared" si="1"/>
        <v/>
      </c>
    </row>
    <row r="841">
      <c r="A841" s="56"/>
      <c r="C841" s="57"/>
      <c r="D841" s="58"/>
      <c r="E841" s="50"/>
      <c r="F841" s="59"/>
      <c r="G841" s="60"/>
      <c r="H841" s="61" t="str">
        <f t="shared" si="1"/>
        <v/>
      </c>
    </row>
    <row r="842">
      <c r="A842" s="56"/>
      <c r="C842" s="57"/>
      <c r="D842" s="58"/>
      <c r="E842" s="50"/>
      <c r="F842" s="59"/>
      <c r="G842" s="60"/>
      <c r="H842" s="61" t="str">
        <f t="shared" si="1"/>
        <v/>
      </c>
    </row>
    <row r="843">
      <c r="A843" s="56"/>
      <c r="C843" s="57"/>
      <c r="D843" s="58"/>
      <c r="E843" s="50"/>
      <c r="F843" s="59"/>
      <c r="G843" s="60"/>
      <c r="H843" s="61" t="str">
        <f t="shared" si="1"/>
        <v/>
      </c>
    </row>
    <row r="844">
      <c r="A844" s="56"/>
      <c r="C844" s="57"/>
      <c r="D844" s="58"/>
      <c r="E844" s="50"/>
      <c r="F844" s="59"/>
      <c r="G844" s="60"/>
      <c r="H844" s="61" t="str">
        <f t="shared" si="1"/>
        <v/>
      </c>
    </row>
    <row r="845">
      <c r="A845" s="56"/>
      <c r="C845" s="57"/>
      <c r="D845" s="58"/>
      <c r="E845" s="50"/>
      <c r="F845" s="59"/>
      <c r="G845" s="60"/>
      <c r="H845" s="61" t="str">
        <f t="shared" si="1"/>
        <v/>
      </c>
    </row>
    <row r="846">
      <c r="A846" s="56"/>
      <c r="C846" s="57"/>
      <c r="D846" s="58"/>
      <c r="E846" s="50"/>
      <c r="F846" s="59"/>
      <c r="G846" s="60"/>
      <c r="H846" s="61" t="str">
        <f t="shared" si="1"/>
        <v/>
      </c>
    </row>
    <row r="847">
      <c r="A847" s="56"/>
      <c r="C847" s="57"/>
      <c r="D847" s="58"/>
      <c r="E847" s="50"/>
      <c r="F847" s="59"/>
      <c r="G847" s="60"/>
      <c r="H847" s="61" t="str">
        <f t="shared" si="1"/>
        <v/>
      </c>
    </row>
    <row r="848">
      <c r="A848" s="56"/>
      <c r="C848" s="57"/>
      <c r="D848" s="58"/>
      <c r="E848" s="50"/>
      <c r="F848" s="59"/>
      <c r="G848" s="60"/>
      <c r="H848" s="61" t="str">
        <f t="shared" si="1"/>
        <v/>
      </c>
    </row>
    <row r="849">
      <c r="A849" s="56"/>
      <c r="C849" s="57"/>
      <c r="D849" s="58"/>
      <c r="E849" s="50"/>
      <c r="F849" s="59"/>
      <c r="G849" s="60"/>
      <c r="H849" s="61" t="str">
        <f t="shared" si="1"/>
        <v/>
      </c>
    </row>
    <row r="850">
      <c r="A850" s="56"/>
      <c r="C850" s="57"/>
      <c r="D850" s="58"/>
      <c r="E850" s="50"/>
      <c r="F850" s="59"/>
      <c r="G850" s="60"/>
      <c r="H850" s="61" t="str">
        <f t="shared" si="1"/>
        <v/>
      </c>
    </row>
    <row r="851">
      <c r="A851" s="56"/>
      <c r="C851" s="57"/>
      <c r="D851" s="58"/>
      <c r="E851" s="50"/>
      <c r="F851" s="59"/>
      <c r="G851" s="60"/>
      <c r="H851" s="61" t="str">
        <f t="shared" si="1"/>
        <v/>
      </c>
    </row>
    <row r="852">
      <c r="A852" s="56"/>
      <c r="C852" s="57"/>
      <c r="D852" s="58"/>
      <c r="E852" s="50"/>
      <c r="F852" s="59"/>
      <c r="G852" s="60"/>
      <c r="H852" s="61" t="str">
        <f t="shared" si="1"/>
        <v/>
      </c>
    </row>
    <row r="853">
      <c r="A853" s="56"/>
      <c r="C853" s="57"/>
      <c r="D853" s="58"/>
      <c r="E853" s="50"/>
      <c r="F853" s="59"/>
      <c r="G853" s="60"/>
      <c r="H853" s="61" t="str">
        <f t="shared" si="1"/>
        <v/>
      </c>
    </row>
    <row r="854">
      <c r="A854" s="56"/>
      <c r="C854" s="57"/>
      <c r="D854" s="58"/>
      <c r="E854" s="50"/>
      <c r="F854" s="59"/>
      <c r="G854" s="60"/>
      <c r="H854" s="61" t="str">
        <f t="shared" si="1"/>
        <v/>
      </c>
    </row>
    <row r="855">
      <c r="A855" s="56"/>
      <c r="C855" s="57"/>
      <c r="D855" s="58"/>
      <c r="E855" s="50"/>
      <c r="F855" s="59"/>
      <c r="G855" s="60"/>
      <c r="H855" s="61" t="str">
        <f t="shared" si="1"/>
        <v/>
      </c>
    </row>
    <row r="856">
      <c r="A856" s="56"/>
      <c r="C856" s="57"/>
      <c r="D856" s="58"/>
      <c r="E856" s="50"/>
      <c r="F856" s="59"/>
      <c r="G856" s="60"/>
      <c r="H856" s="61" t="str">
        <f t="shared" si="1"/>
        <v/>
      </c>
    </row>
    <row r="857">
      <c r="A857" s="56"/>
      <c r="C857" s="57"/>
      <c r="D857" s="58"/>
      <c r="E857" s="50"/>
      <c r="F857" s="59"/>
      <c r="G857" s="60"/>
      <c r="H857" s="61" t="str">
        <f t="shared" si="1"/>
        <v/>
      </c>
    </row>
    <row r="858">
      <c r="A858" s="56"/>
      <c r="C858" s="57"/>
      <c r="D858" s="58"/>
      <c r="E858" s="50"/>
      <c r="F858" s="59"/>
      <c r="G858" s="60"/>
      <c r="H858" s="61" t="str">
        <f t="shared" si="1"/>
        <v/>
      </c>
    </row>
    <row r="859">
      <c r="A859" s="56"/>
      <c r="C859" s="57"/>
      <c r="D859" s="58"/>
      <c r="E859" s="50"/>
      <c r="F859" s="59"/>
      <c r="G859" s="60"/>
      <c r="H859" s="61" t="str">
        <f t="shared" si="1"/>
        <v/>
      </c>
    </row>
    <row r="860">
      <c r="A860" s="56"/>
      <c r="C860" s="57"/>
      <c r="D860" s="58"/>
      <c r="E860" s="50"/>
      <c r="F860" s="59"/>
      <c r="G860" s="60"/>
      <c r="H860" s="61" t="str">
        <f t="shared" si="1"/>
        <v/>
      </c>
    </row>
    <row r="861">
      <c r="A861" s="56"/>
      <c r="C861" s="57"/>
      <c r="D861" s="58"/>
      <c r="E861" s="50"/>
      <c r="F861" s="59"/>
      <c r="G861" s="60"/>
      <c r="H861" s="61" t="str">
        <f t="shared" si="1"/>
        <v/>
      </c>
    </row>
    <row r="862">
      <c r="A862" s="56"/>
      <c r="C862" s="57"/>
      <c r="D862" s="58"/>
      <c r="E862" s="50"/>
      <c r="F862" s="59"/>
      <c r="G862" s="60"/>
      <c r="H862" s="61" t="str">
        <f t="shared" si="1"/>
        <v/>
      </c>
    </row>
    <row r="863">
      <c r="A863" s="56"/>
      <c r="C863" s="57"/>
      <c r="D863" s="58"/>
      <c r="E863" s="50"/>
      <c r="F863" s="59"/>
      <c r="G863" s="60"/>
      <c r="H863" s="61" t="str">
        <f t="shared" si="1"/>
        <v/>
      </c>
    </row>
    <row r="864">
      <c r="A864" s="56"/>
      <c r="C864" s="57"/>
      <c r="D864" s="58"/>
      <c r="E864" s="50"/>
      <c r="F864" s="59"/>
      <c r="G864" s="60"/>
      <c r="H864" s="61" t="str">
        <f t="shared" si="1"/>
        <v/>
      </c>
    </row>
    <row r="865">
      <c r="A865" s="56"/>
      <c r="C865" s="57"/>
      <c r="D865" s="58"/>
      <c r="E865" s="50"/>
      <c r="F865" s="59"/>
      <c r="G865" s="60"/>
      <c r="H865" s="61" t="str">
        <f t="shared" si="1"/>
        <v/>
      </c>
    </row>
    <row r="866">
      <c r="A866" s="56"/>
      <c r="C866" s="57"/>
      <c r="D866" s="58"/>
      <c r="E866" s="50"/>
      <c r="F866" s="59"/>
      <c r="G866" s="60"/>
      <c r="H866" s="61" t="str">
        <f t="shared" si="1"/>
        <v/>
      </c>
    </row>
    <row r="867">
      <c r="A867" s="56"/>
      <c r="C867" s="57"/>
      <c r="D867" s="58"/>
      <c r="E867" s="50"/>
      <c r="F867" s="59"/>
      <c r="G867" s="60"/>
      <c r="H867" s="61" t="str">
        <f t="shared" si="1"/>
        <v/>
      </c>
    </row>
    <row r="868">
      <c r="A868" s="56"/>
      <c r="C868" s="57"/>
      <c r="D868" s="58"/>
      <c r="E868" s="50"/>
      <c r="F868" s="59"/>
      <c r="G868" s="60"/>
      <c r="H868" s="61" t="str">
        <f t="shared" si="1"/>
        <v/>
      </c>
    </row>
    <row r="869">
      <c r="A869" s="56"/>
      <c r="C869" s="57"/>
      <c r="D869" s="58"/>
      <c r="E869" s="50"/>
      <c r="F869" s="59"/>
      <c r="G869" s="60"/>
      <c r="H869" s="61" t="str">
        <f t="shared" si="1"/>
        <v/>
      </c>
    </row>
    <row r="870">
      <c r="A870" s="56"/>
      <c r="C870" s="57"/>
      <c r="D870" s="58"/>
      <c r="E870" s="50"/>
      <c r="F870" s="59"/>
      <c r="G870" s="60"/>
      <c r="H870" s="61" t="str">
        <f t="shared" si="1"/>
        <v/>
      </c>
    </row>
    <row r="871">
      <c r="A871" s="56"/>
      <c r="C871" s="57"/>
      <c r="D871" s="58"/>
      <c r="E871" s="50"/>
      <c r="F871" s="59"/>
      <c r="G871" s="60"/>
      <c r="H871" s="61" t="str">
        <f t="shared" si="1"/>
        <v/>
      </c>
    </row>
    <row r="872">
      <c r="A872" s="56"/>
      <c r="C872" s="57"/>
      <c r="D872" s="58"/>
      <c r="E872" s="50"/>
      <c r="F872" s="59"/>
      <c r="G872" s="60"/>
      <c r="H872" s="61" t="str">
        <f t="shared" si="1"/>
        <v/>
      </c>
    </row>
    <row r="873">
      <c r="A873" s="56"/>
      <c r="C873" s="57"/>
      <c r="D873" s="58"/>
      <c r="E873" s="50"/>
      <c r="F873" s="59"/>
      <c r="G873" s="60"/>
      <c r="H873" s="61" t="str">
        <f t="shared" si="1"/>
        <v/>
      </c>
    </row>
    <row r="874">
      <c r="A874" s="56"/>
      <c r="C874" s="57"/>
      <c r="D874" s="58"/>
      <c r="E874" s="50"/>
      <c r="F874" s="59"/>
      <c r="G874" s="60"/>
      <c r="H874" s="61" t="str">
        <f t="shared" si="1"/>
        <v/>
      </c>
    </row>
    <row r="875">
      <c r="A875" s="56"/>
      <c r="C875" s="57"/>
      <c r="D875" s="58"/>
      <c r="E875" s="50"/>
      <c r="F875" s="59"/>
      <c r="G875" s="60"/>
      <c r="H875" s="61" t="str">
        <f t="shared" si="1"/>
        <v/>
      </c>
    </row>
    <row r="876">
      <c r="A876" s="56"/>
      <c r="C876" s="57"/>
      <c r="D876" s="58"/>
      <c r="E876" s="50"/>
      <c r="F876" s="59"/>
      <c r="G876" s="60"/>
      <c r="H876" s="61" t="str">
        <f t="shared" si="1"/>
        <v/>
      </c>
    </row>
    <row r="877">
      <c r="A877" s="56"/>
      <c r="C877" s="57"/>
      <c r="D877" s="58"/>
      <c r="E877" s="50"/>
      <c r="F877" s="59"/>
      <c r="G877" s="60"/>
      <c r="H877" s="61" t="str">
        <f t="shared" si="1"/>
        <v/>
      </c>
    </row>
    <row r="878">
      <c r="A878" s="56"/>
      <c r="C878" s="57"/>
      <c r="D878" s="58"/>
      <c r="E878" s="50"/>
      <c r="F878" s="59"/>
      <c r="G878" s="60"/>
      <c r="H878" s="61" t="str">
        <f t="shared" si="1"/>
        <v/>
      </c>
    </row>
    <row r="879">
      <c r="A879" s="56"/>
      <c r="C879" s="57"/>
      <c r="D879" s="58"/>
      <c r="E879" s="50"/>
      <c r="F879" s="59"/>
      <c r="G879" s="60"/>
      <c r="H879" s="61" t="str">
        <f t="shared" si="1"/>
        <v/>
      </c>
    </row>
    <row r="880">
      <c r="A880" s="56"/>
      <c r="C880" s="57"/>
      <c r="D880" s="58"/>
      <c r="E880" s="50"/>
      <c r="F880" s="59"/>
      <c r="G880" s="60"/>
      <c r="H880" s="61" t="str">
        <f t="shared" si="1"/>
        <v/>
      </c>
    </row>
    <row r="881">
      <c r="A881" s="56"/>
      <c r="C881" s="57"/>
      <c r="D881" s="58"/>
      <c r="E881" s="50"/>
      <c r="F881" s="59"/>
      <c r="G881" s="60"/>
      <c r="H881" s="61" t="str">
        <f t="shared" si="1"/>
        <v/>
      </c>
    </row>
    <row r="882">
      <c r="A882" s="56"/>
      <c r="C882" s="57"/>
      <c r="D882" s="58"/>
      <c r="E882" s="50"/>
      <c r="F882" s="59"/>
      <c r="G882" s="60"/>
      <c r="H882" s="61" t="str">
        <f t="shared" si="1"/>
        <v/>
      </c>
    </row>
    <row r="883">
      <c r="A883" s="56"/>
      <c r="C883" s="57"/>
      <c r="D883" s="58"/>
      <c r="E883" s="50"/>
      <c r="F883" s="59"/>
      <c r="G883" s="60"/>
      <c r="H883" s="61" t="str">
        <f t="shared" si="1"/>
        <v/>
      </c>
    </row>
    <row r="884">
      <c r="A884" s="56"/>
      <c r="C884" s="57"/>
      <c r="D884" s="58"/>
      <c r="E884" s="50"/>
      <c r="F884" s="59"/>
      <c r="G884" s="60"/>
      <c r="H884" s="61" t="str">
        <f t="shared" si="1"/>
        <v/>
      </c>
    </row>
    <row r="885">
      <c r="A885" s="56"/>
      <c r="C885" s="57"/>
      <c r="D885" s="58"/>
      <c r="E885" s="50"/>
      <c r="F885" s="59"/>
      <c r="G885" s="60"/>
      <c r="H885" s="61" t="str">
        <f t="shared" si="1"/>
        <v/>
      </c>
    </row>
    <row r="886">
      <c r="A886" s="56"/>
      <c r="C886" s="57"/>
      <c r="D886" s="58"/>
      <c r="E886" s="50"/>
      <c r="F886" s="59"/>
      <c r="G886" s="60"/>
      <c r="H886" s="61" t="str">
        <f t="shared" si="1"/>
        <v/>
      </c>
    </row>
    <row r="887">
      <c r="A887" s="56"/>
      <c r="C887" s="57"/>
      <c r="D887" s="58"/>
      <c r="E887" s="50"/>
      <c r="F887" s="59"/>
      <c r="G887" s="60"/>
      <c r="H887" s="61" t="str">
        <f t="shared" si="1"/>
        <v/>
      </c>
    </row>
    <row r="888">
      <c r="A888" s="56"/>
      <c r="C888" s="57"/>
      <c r="D888" s="58"/>
      <c r="E888" s="50"/>
      <c r="F888" s="59"/>
      <c r="G888" s="60"/>
      <c r="H888" s="61" t="str">
        <f t="shared" si="1"/>
        <v/>
      </c>
    </row>
    <row r="889">
      <c r="A889" s="56"/>
      <c r="C889" s="57"/>
      <c r="D889" s="58"/>
      <c r="E889" s="50"/>
      <c r="F889" s="59"/>
      <c r="G889" s="60"/>
      <c r="H889" s="61" t="str">
        <f t="shared" si="1"/>
        <v/>
      </c>
    </row>
    <row r="890">
      <c r="A890" s="56"/>
      <c r="C890" s="57"/>
      <c r="D890" s="58"/>
      <c r="E890" s="50"/>
      <c r="F890" s="59"/>
      <c r="G890" s="60"/>
      <c r="H890" s="61" t="str">
        <f t="shared" si="1"/>
        <v/>
      </c>
    </row>
    <row r="891">
      <c r="A891" s="56"/>
      <c r="C891" s="57"/>
      <c r="D891" s="58"/>
      <c r="E891" s="50"/>
      <c r="F891" s="59"/>
      <c r="G891" s="60"/>
      <c r="H891" s="61" t="str">
        <f t="shared" si="1"/>
        <v/>
      </c>
    </row>
    <row r="892">
      <c r="A892" s="56"/>
      <c r="C892" s="57"/>
      <c r="D892" s="58"/>
      <c r="E892" s="50"/>
      <c r="F892" s="59"/>
      <c r="G892" s="60"/>
      <c r="H892" s="61" t="str">
        <f t="shared" si="1"/>
        <v/>
      </c>
    </row>
    <row r="893">
      <c r="A893" s="56"/>
      <c r="C893" s="57"/>
      <c r="D893" s="58"/>
      <c r="E893" s="50"/>
      <c r="F893" s="59"/>
      <c r="G893" s="60"/>
      <c r="H893" s="61" t="str">
        <f t="shared" si="1"/>
        <v/>
      </c>
    </row>
    <row r="894">
      <c r="A894" s="56"/>
      <c r="C894" s="57"/>
      <c r="D894" s="58"/>
      <c r="E894" s="50"/>
      <c r="F894" s="59"/>
      <c r="G894" s="60"/>
      <c r="H894" s="61" t="str">
        <f t="shared" si="1"/>
        <v/>
      </c>
    </row>
    <row r="895">
      <c r="A895" s="56"/>
      <c r="C895" s="57"/>
      <c r="D895" s="58"/>
      <c r="E895" s="50"/>
      <c r="F895" s="59"/>
      <c r="G895" s="60"/>
      <c r="H895" s="61" t="str">
        <f t="shared" si="1"/>
        <v/>
      </c>
    </row>
    <row r="896">
      <c r="A896" s="56"/>
      <c r="C896" s="57"/>
      <c r="D896" s="58"/>
      <c r="E896" s="50"/>
      <c r="F896" s="59"/>
      <c r="G896" s="60"/>
      <c r="H896" s="61" t="str">
        <f t="shared" si="1"/>
        <v/>
      </c>
    </row>
    <row r="897">
      <c r="A897" s="56"/>
      <c r="C897" s="57"/>
      <c r="D897" s="58"/>
      <c r="E897" s="50"/>
      <c r="F897" s="59"/>
      <c r="G897" s="60"/>
      <c r="H897" s="61" t="str">
        <f t="shared" si="1"/>
        <v/>
      </c>
    </row>
    <row r="898">
      <c r="A898" s="56"/>
      <c r="C898" s="57"/>
      <c r="D898" s="58"/>
      <c r="E898" s="50"/>
      <c r="F898" s="59"/>
      <c r="G898" s="60"/>
      <c r="H898" s="61" t="str">
        <f t="shared" si="1"/>
        <v/>
      </c>
    </row>
    <row r="899">
      <c r="A899" s="56"/>
      <c r="C899" s="57"/>
      <c r="D899" s="58"/>
      <c r="E899" s="50"/>
      <c r="F899" s="59"/>
      <c r="G899" s="60"/>
      <c r="H899" s="61" t="str">
        <f t="shared" si="1"/>
        <v/>
      </c>
    </row>
    <row r="900">
      <c r="A900" s="56"/>
      <c r="C900" s="57"/>
      <c r="D900" s="58"/>
      <c r="E900" s="50"/>
      <c r="F900" s="59"/>
      <c r="G900" s="60"/>
      <c r="H900" s="61" t="str">
        <f t="shared" si="1"/>
        <v/>
      </c>
    </row>
    <row r="901">
      <c r="A901" s="56"/>
      <c r="C901" s="57"/>
      <c r="D901" s="58"/>
      <c r="E901" s="50"/>
      <c r="F901" s="59"/>
      <c r="G901" s="60"/>
      <c r="H901" s="61" t="str">
        <f t="shared" si="1"/>
        <v/>
      </c>
    </row>
    <row r="902">
      <c r="A902" s="56"/>
      <c r="C902" s="57"/>
      <c r="D902" s="58"/>
      <c r="E902" s="50"/>
      <c r="F902" s="59"/>
      <c r="G902" s="60"/>
      <c r="H902" s="61" t="str">
        <f t="shared" si="1"/>
        <v/>
      </c>
    </row>
    <row r="903">
      <c r="A903" s="56"/>
      <c r="C903" s="57"/>
      <c r="D903" s="58"/>
      <c r="E903" s="50"/>
      <c r="F903" s="59"/>
      <c r="G903" s="60"/>
      <c r="H903" s="61" t="str">
        <f t="shared" si="1"/>
        <v/>
      </c>
    </row>
    <row r="904">
      <c r="A904" s="56"/>
      <c r="C904" s="57"/>
      <c r="D904" s="58"/>
      <c r="E904" s="50"/>
      <c r="F904" s="59"/>
      <c r="G904" s="60"/>
      <c r="H904" s="61" t="str">
        <f t="shared" si="1"/>
        <v/>
      </c>
    </row>
    <row r="905">
      <c r="A905" s="56"/>
      <c r="C905" s="57"/>
      <c r="D905" s="58"/>
      <c r="E905" s="50"/>
      <c r="F905" s="59"/>
      <c r="G905" s="60"/>
      <c r="H905" s="61" t="str">
        <f t="shared" si="1"/>
        <v/>
      </c>
    </row>
    <row r="906">
      <c r="A906" s="56"/>
      <c r="C906" s="57"/>
      <c r="D906" s="58"/>
      <c r="E906" s="50"/>
      <c r="F906" s="59"/>
      <c r="G906" s="60"/>
      <c r="H906" s="61" t="str">
        <f t="shared" si="1"/>
        <v/>
      </c>
    </row>
    <row r="907">
      <c r="A907" s="56"/>
      <c r="C907" s="57"/>
      <c r="D907" s="58"/>
      <c r="E907" s="50"/>
      <c r="F907" s="59"/>
      <c r="G907" s="60"/>
      <c r="H907" s="61" t="str">
        <f t="shared" si="1"/>
        <v/>
      </c>
    </row>
    <row r="908">
      <c r="A908" s="56"/>
      <c r="C908" s="57"/>
      <c r="D908" s="58"/>
      <c r="E908" s="50"/>
      <c r="F908" s="59"/>
      <c r="G908" s="60"/>
      <c r="H908" s="61" t="str">
        <f t="shared" si="1"/>
        <v/>
      </c>
    </row>
    <row r="909">
      <c r="A909" s="56"/>
      <c r="C909" s="57"/>
      <c r="D909" s="58"/>
      <c r="E909" s="50"/>
      <c r="F909" s="59"/>
      <c r="G909" s="60"/>
      <c r="H909" s="61" t="str">
        <f t="shared" si="1"/>
        <v/>
      </c>
    </row>
    <row r="910">
      <c r="A910" s="56"/>
      <c r="C910" s="57"/>
      <c r="D910" s="58"/>
      <c r="E910" s="50"/>
      <c r="F910" s="59"/>
      <c r="G910" s="60"/>
      <c r="H910" s="61" t="str">
        <f t="shared" si="1"/>
        <v/>
      </c>
    </row>
    <row r="911">
      <c r="A911" s="56"/>
      <c r="C911" s="57"/>
      <c r="D911" s="58"/>
      <c r="E911" s="50"/>
      <c r="F911" s="59"/>
      <c r="G911" s="60"/>
      <c r="H911" s="61" t="str">
        <f t="shared" si="1"/>
        <v/>
      </c>
    </row>
    <row r="912">
      <c r="A912" s="56"/>
      <c r="C912" s="57"/>
      <c r="D912" s="58"/>
      <c r="E912" s="50"/>
      <c r="F912" s="59"/>
      <c r="G912" s="60"/>
      <c r="H912" s="61" t="str">
        <f t="shared" si="1"/>
        <v/>
      </c>
    </row>
    <row r="913">
      <c r="A913" s="56"/>
      <c r="C913" s="57"/>
      <c r="D913" s="58"/>
      <c r="E913" s="50"/>
      <c r="F913" s="59"/>
      <c r="G913" s="60"/>
      <c r="H913" s="61" t="str">
        <f t="shared" si="1"/>
        <v/>
      </c>
    </row>
    <row r="914">
      <c r="A914" s="56"/>
      <c r="C914" s="57"/>
      <c r="D914" s="58"/>
      <c r="E914" s="50"/>
      <c r="F914" s="59"/>
      <c r="G914" s="60"/>
      <c r="H914" s="61" t="str">
        <f t="shared" si="1"/>
        <v/>
      </c>
    </row>
    <row r="915">
      <c r="A915" s="56"/>
      <c r="C915" s="57"/>
      <c r="D915" s="58"/>
      <c r="E915" s="50"/>
      <c r="F915" s="59"/>
      <c r="G915" s="60"/>
      <c r="H915" s="61" t="str">
        <f t="shared" si="1"/>
        <v/>
      </c>
    </row>
    <row r="916">
      <c r="A916" s="56"/>
      <c r="C916" s="57"/>
      <c r="D916" s="58"/>
      <c r="E916" s="50"/>
      <c r="F916" s="59"/>
      <c r="G916" s="60"/>
      <c r="H916" s="61" t="str">
        <f t="shared" si="1"/>
        <v/>
      </c>
    </row>
    <row r="917">
      <c r="A917" s="56"/>
      <c r="C917" s="57"/>
      <c r="D917" s="58"/>
      <c r="E917" s="50"/>
      <c r="F917" s="59"/>
      <c r="G917" s="60"/>
      <c r="H917" s="61" t="str">
        <f t="shared" si="1"/>
        <v/>
      </c>
    </row>
    <row r="918">
      <c r="A918" s="56"/>
      <c r="C918" s="57"/>
      <c r="D918" s="58"/>
      <c r="E918" s="50"/>
      <c r="F918" s="59"/>
      <c r="G918" s="60"/>
      <c r="H918" s="61" t="str">
        <f t="shared" si="1"/>
        <v/>
      </c>
    </row>
    <row r="919">
      <c r="A919" s="56"/>
      <c r="C919" s="57"/>
      <c r="D919" s="58"/>
      <c r="E919" s="50"/>
      <c r="F919" s="59"/>
      <c r="G919" s="60"/>
      <c r="H919" s="61" t="str">
        <f t="shared" si="1"/>
        <v/>
      </c>
    </row>
    <row r="920">
      <c r="A920" s="56"/>
      <c r="C920" s="57"/>
      <c r="D920" s="58"/>
      <c r="E920" s="50"/>
      <c r="F920" s="59"/>
      <c r="G920" s="60"/>
      <c r="H920" s="61" t="str">
        <f t="shared" si="1"/>
        <v/>
      </c>
    </row>
    <row r="921">
      <c r="A921" s="56"/>
      <c r="C921" s="57"/>
      <c r="D921" s="58"/>
      <c r="E921" s="50"/>
      <c r="F921" s="59"/>
      <c r="G921" s="60"/>
      <c r="H921" s="61" t="str">
        <f t="shared" si="1"/>
        <v/>
      </c>
    </row>
    <row r="922">
      <c r="A922" s="56"/>
      <c r="C922" s="57"/>
      <c r="D922" s="58"/>
      <c r="E922" s="50"/>
      <c r="F922" s="59"/>
      <c r="G922" s="60"/>
      <c r="H922" s="61" t="str">
        <f t="shared" si="1"/>
        <v/>
      </c>
    </row>
    <row r="923">
      <c r="A923" s="56"/>
      <c r="C923" s="57"/>
      <c r="D923" s="58"/>
      <c r="E923" s="50"/>
      <c r="F923" s="59"/>
      <c r="G923" s="60"/>
      <c r="H923" s="61" t="str">
        <f t="shared" si="1"/>
        <v/>
      </c>
    </row>
    <row r="924">
      <c r="A924" s="56"/>
      <c r="C924" s="57"/>
      <c r="D924" s="58"/>
      <c r="E924" s="50"/>
      <c r="F924" s="59"/>
      <c r="G924" s="60"/>
      <c r="H924" s="61" t="str">
        <f t="shared" si="1"/>
        <v/>
      </c>
    </row>
    <row r="925">
      <c r="A925" s="56"/>
      <c r="C925" s="57"/>
      <c r="D925" s="58"/>
      <c r="E925" s="50"/>
      <c r="F925" s="59"/>
      <c r="G925" s="60"/>
      <c r="H925" s="61" t="str">
        <f t="shared" si="1"/>
        <v/>
      </c>
    </row>
    <row r="926">
      <c r="A926" s="56"/>
      <c r="C926" s="57"/>
      <c r="D926" s="58"/>
      <c r="E926" s="50"/>
      <c r="F926" s="59"/>
      <c r="G926" s="60"/>
      <c r="H926" s="61" t="str">
        <f t="shared" si="1"/>
        <v/>
      </c>
    </row>
    <row r="927">
      <c r="A927" s="56"/>
      <c r="C927" s="57"/>
      <c r="D927" s="58"/>
      <c r="E927" s="50"/>
      <c r="F927" s="59"/>
      <c r="G927" s="60"/>
      <c r="H927" s="61" t="str">
        <f t="shared" si="1"/>
        <v/>
      </c>
    </row>
    <row r="928">
      <c r="A928" s="56"/>
      <c r="C928" s="57"/>
      <c r="D928" s="58"/>
      <c r="E928" s="50"/>
      <c r="F928" s="59"/>
      <c r="G928" s="60"/>
      <c r="H928" s="61" t="str">
        <f t="shared" si="1"/>
        <v/>
      </c>
    </row>
    <row r="929">
      <c r="A929" s="56"/>
      <c r="C929" s="57"/>
      <c r="D929" s="58"/>
      <c r="E929" s="50"/>
      <c r="F929" s="59"/>
      <c r="G929" s="60"/>
      <c r="H929" s="61" t="str">
        <f t="shared" si="1"/>
        <v/>
      </c>
    </row>
    <row r="930">
      <c r="A930" s="56"/>
      <c r="C930" s="57"/>
      <c r="D930" s="58"/>
      <c r="E930" s="50"/>
      <c r="F930" s="59"/>
      <c r="G930" s="60"/>
      <c r="H930" s="61" t="str">
        <f t="shared" si="1"/>
        <v/>
      </c>
    </row>
    <row r="931">
      <c r="A931" s="56"/>
      <c r="C931" s="57"/>
      <c r="D931" s="58"/>
      <c r="E931" s="50"/>
      <c r="F931" s="59"/>
      <c r="G931" s="60"/>
      <c r="H931" s="61" t="str">
        <f t="shared" si="1"/>
        <v/>
      </c>
    </row>
    <row r="932">
      <c r="A932" s="56"/>
      <c r="C932" s="57"/>
      <c r="D932" s="58"/>
      <c r="E932" s="50"/>
      <c r="F932" s="59"/>
      <c r="G932" s="60"/>
      <c r="H932" s="61" t="str">
        <f t="shared" si="1"/>
        <v/>
      </c>
    </row>
    <row r="933">
      <c r="A933" s="56"/>
      <c r="C933" s="57"/>
      <c r="D933" s="58"/>
      <c r="E933" s="50"/>
      <c r="F933" s="59"/>
      <c r="G933" s="60"/>
      <c r="H933" s="61" t="str">
        <f t="shared" si="1"/>
        <v/>
      </c>
    </row>
    <row r="934">
      <c r="A934" s="56"/>
      <c r="C934" s="57"/>
      <c r="D934" s="58"/>
      <c r="E934" s="50"/>
      <c r="F934" s="59"/>
      <c r="G934" s="60"/>
      <c r="H934" s="61" t="str">
        <f t="shared" si="1"/>
        <v/>
      </c>
    </row>
    <row r="935">
      <c r="A935" s="56"/>
      <c r="C935" s="57"/>
      <c r="D935" s="58"/>
      <c r="E935" s="50"/>
      <c r="F935" s="59"/>
      <c r="G935" s="60"/>
      <c r="H935" s="61" t="str">
        <f t="shared" si="1"/>
        <v/>
      </c>
    </row>
    <row r="936">
      <c r="A936" s="56"/>
      <c r="C936" s="57"/>
      <c r="D936" s="58"/>
      <c r="E936" s="50"/>
      <c r="F936" s="59"/>
      <c r="G936" s="60"/>
      <c r="H936" s="61" t="str">
        <f t="shared" si="1"/>
        <v/>
      </c>
    </row>
    <row r="937">
      <c r="A937" s="56"/>
      <c r="C937" s="57"/>
      <c r="D937" s="58"/>
      <c r="E937" s="50"/>
      <c r="F937" s="59"/>
      <c r="G937" s="60"/>
      <c r="H937" s="61" t="str">
        <f t="shared" si="1"/>
        <v/>
      </c>
    </row>
    <row r="938">
      <c r="A938" s="56"/>
      <c r="C938" s="57"/>
      <c r="D938" s="58"/>
      <c r="E938" s="50"/>
      <c r="F938" s="59"/>
      <c r="G938" s="60"/>
      <c r="H938" s="61" t="str">
        <f t="shared" si="1"/>
        <v/>
      </c>
    </row>
    <row r="939">
      <c r="A939" s="56"/>
      <c r="C939" s="57"/>
      <c r="D939" s="58"/>
      <c r="E939" s="50"/>
      <c r="F939" s="59"/>
      <c r="G939" s="60"/>
      <c r="H939" s="61" t="str">
        <f t="shared" si="1"/>
        <v/>
      </c>
    </row>
    <row r="940">
      <c r="A940" s="56"/>
      <c r="C940" s="57"/>
      <c r="D940" s="58"/>
      <c r="E940" s="50"/>
      <c r="F940" s="59"/>
      <c r="G940" s="60"/>
      <c r="H940" s="61" t="str">
        <f t="shared" si="1"/>
        <v/>
      </c>
    </row>
    <row r="941">
      <c r="A941" s="56"/>
      <c r="C941" s="57"/>
      <c r="D941" s="58"/>
      <c r="E941" s="50"/>
      <c r="F941" s="59"/>
      <c r="G941" s="60"/>
      <c r="H941" s="61" t="str">
        <f t="shared" si="1"/>
        <v/>
      </c>
    </row>
    <row r="942">
      <c r="A942" s="56"/>
      <c r="C942" s="57"/>
      <c r="D942" s="58"/>
      <c r="E942" s="50"/>
      <c r="F942" s="59"/>
      <c r="G942" s="60"/>
      <c r="H942" s="61" t="str">
        <f t="shared" si="1"/>
        <v/>
      </c>
    </row>
    <row r="943">
      <c r="A943" s="56"/>
      <c r="C943" s="57"/>
      <c r="D943" s="58"/>
      <c r="E943" s="50"/>
      <c r="F943" s="59"/>
      <c r="G943" s="60"/>
      <c r="H943" s="61" t="str">
        <f t="shared" si="1"/>
        <v/>
      </c>
    </row>
    <row r="944">
      <c r="A944" s="56"/>
      <c r="C944" s="57"/>
      <c r="D944" s="58"/>
      <c r="E944" s="50"/>
      <c r="F944" s="59"/>
      <c r="G944" s="60"/>
      <c r="H944" s="61" t="str">
        <f t="shared" si="1"/>
        <v/>
      </c>
    </row>
    <row r="945">
      <c r="A945" s="56"/>
      <c r="C945" s="57"/>
      <c r="D945" s="58"/>
      <c r="E945" s="50"/>
      <c r="F945" s="59"/>
      <c r="G945" s="60"/>
      <c r="H945" s="61" t="str">
        <f t="shared" si="1"/>
        <v/>
      </c>
    </row>
    <row r="946">
      <c r="A946" s="56"/>
      <c r="C946" s="57"/>
      <c r="D946" s="58"/>
      <c r="E946" s="50"/>
      <c r="F946" s="59"/>
      <c r="G946" s="60"/>
      <c r="H946" s="61" t="str">
        <f t="shared" si="1"/>
        <v/>
      </c>
    </row>
    <row r="947">
      <c r="A947" s="56"/>
      <c r="C947" s="57"/>
      <c r="D947" s="58"/>
      <c r="E947" s="50"/>
      <c r="F947" s="59"/>
      <c r="G947" s="60"/>
      <c r="H947" s="61" t="str">
        <f t="shared" si="1"/>
        <v/>
      </c>
    </row>
    <row r="948">
      <c r="A948" s="56"/>
      <c r="C948" s="57"/>
      <c r="D948" s="58"/>
      <c r="E948" s="50"/>
      <c r="F948" s="59"/>
      <c r="G948" s="60"/>
      <c r="H948" s="61" t="str">
        <f t="shared" si="1"/>
        <v/>
      </c>
    </row>
    <row r="949">
      <c r="A949" s="56"/>
      <c r="C949" s="57"/>
      <c r="D949" s="58"/>
      <c r="E949" s="50"/>
      <c r="F949" s="59"/>
      <c r="G949" s="60"/>
      <c r="H949" s="61" t="str">
        <f t="shared" si="1"/>
        <v/>
      </c>
    </row>
    <row r="950">
      <c r="A950" s="56"/>
      <c r="C950" s="57"/>
      <c r="D950" s="58"/>
      <c r="E950" s="50"/>
      <c r="F950" s="59"/>
      <c r="G950" s="60"/>
      <c r="H950" s="61" t="str">
        <f t="shared" si="1"/>
        <v/>
      </c>
    </row>
    <row r="951">
      <c r="A951" s="56"/>
      <c r="C951" s="57"/>
      <c r="D951" s="58"/>
      <c r="E951" s="50"/>
      <c r="F951" s="59"/>
      <c r="G951" s="60"/>
      <c r="H951" s="61" t="str">
        <f t="shared" si="1"/>
        <v/>
      </c>
    </row>
    <row r="952">
      <c r="A952" s="56"/>
      <c r="C952" s="57"/>
      <c r="D952" s="58"/>
      <c r="E952" s="50"/>
      <c r="F952" s="59"/>
      <c r="G952" s="60"/>
      <c r="H952" s="61" t="str">
        <f t="shared" si="1"/>
        <v/>
      </c>
    </row>
    <row r="953">
      <c r="A953" s="56"/>
      <c r="C953" s="57"/>
      <c r="D953" s="58"/>
      <c r="E953" s="50"/>
      <c r="F953" s="59"/>
      <c r="G953" s="60"/>
      <c r="H953" s="61" t="str">
        <f t="shared" si="1"/>
        <v/>
      </c>
    </row>
    <row r="954">
      <c r="A954" s="56"/>
      <c r="C954" s="57"/>
      <c r="D954" s="58"/>
      <c r="E954" s="50"/>
      <c r="F954" s="59"/>
      <c r="G954" s="60"/>
      <c r="H954" s="61" t="str">
        <f t="shared" si="1"/>
        <v/>
      </c>
    </row>
    <row r="955">
      <c r="A955" s="56"/>
      <c r="C955" s="57"/>
      <c r="D955" s="58"/>
      <c r="E955" s="50"/>
      <c r="F955" s="59"/>
      <c r="G955" s="60"/>
      <c r="H955" s="61" t="str">
        <f t="shared" si="1"/>
        <v/>
      </c>
    </row>
    <row r="956">
      <c r="A956" s="56"/>
      <c r="C956" s="57"/>
      <c r="D956" s="58"/>
      <c r="E956" s="50"/>
      <c r="F956" s="59"/>
      <c r="G956" s="60"/>
      <c r="H956" s="61" t="str">
        <f t="shared" si="1"/>
        <v/>
      </c>
    </row>
    <row r="957">
      <c r="A957" s="56"/>
      <c r="C957" s="57"/>
      <c r="D957" s="58"/>
      <c r="E957" s="50"/>
      <c r="F957" s="59"/>
      <c r="G957" s="60"/>
      <c r="H957" s="61" t="str">
        <f t="shared" si="1"/>
        <v/>
      </c>
    </row>
    <row r="958">
      <c r="A958" s="56"/>
      <c r="C958" s="57"/>
      <c r="D958" s="58"/>
      <c r="E958" s="50"/>
      <c r="F958" s="59"/>
      <c r="G958" s="60"/>
      <c r="H958" s="61" t="str">
        <f t="shared" si="1"/>
        <v/>
      </c>
    </row>
    <row r="959">
      <c r="A959" s="56"/>
      <c r="C959" s="57"/>
      <c r="D959" s="58"/>
      <c r="E959" s="50"/>
      <c r="F959" s="59"/>
      <c r="G959" s="60"/>
      <c r="H959" s="61" t="str">
        <f t="shared" si="1"/>
        <v/>
      </c>
    </row>
    <row r="960">
      <c r="A960" s="56"/>
      <c r="C960" s="57"/>
      <c r="D960" s="58"/>
      <c r="E960" s="50"/>
      <c r="F960" s="59"/>
      <c r="G960" s="60"/>
      <c r="H960" s="61" t="str">
        <f t="shared" si="1"/>
        <v/>
      </c>
    </row>
    <row r="961">
      <c r="A961" s="56"/>
      <c r="C961" s="57"/>
      <c r="D961" s="58"/>
      <c r="E961" s="50"/>
      <c r="F961" s="59"/>
      <c r="G961" s="60"/>
      <c r="H961" s="61" t="str">
        <f t="shared" si="1"/>
        <v/>
      </c>
    </row>
    <row r="962">
      <c r="A962" s="56"/>
      <c r="C962" s="57"/>
      <c r="D962" s="58"/>
      <c r="E962" s="50"/>
      <c r="F962" s="59"/>
      <c r="G962" s="60"/>
      <c r="H962" s="61" t="str">
        <f t="shared" si="1"/>
        <v/>
      </c>
    </row>
    <row r="963">
      <c r="A963" s="56"/>
      <c r="C963" s="57"/>
      <c r="D963" s="58"/>
      <c r="E963" s="50"/>
      <c r="F963" s="59"/>
      <c r="G963" s="60"/>
      <c r="H963" s="61" t="str">
        <f t="shared" si="1"/>
        <v/>
      </c>
    </row>
    <row r="964">
      <c r="A964" s="56"/>
      <c r="C964" s="57"/>
      <c r="D964" s="58"/>
      <c r="E964" s="50"/>
      <c r="F964" s="59"/>
      <c r="G964" s="60"/>
      <c r="H964" s="61" t="str">
        <f t="shared" si="1"/>
        <v/>
      </c>
    </row>
    <row r="965">
      <c r="A965" s="56"/>
      <c r="C965" s="57"/>
      <c r="D965" s="58"/>
      <c r="E965" s="50"/>
      <c r="F965" s="59"/>
      <c r="G965" s="60"/>
      <c r="H965" s="61" t="str">
        <f t="shared" si="1"/>
        <v/>
      </c>
    </row>
    <row r="966">
      <c r="A966" s="56"/>
      <c r="C966" s="57"/>
      <c r="D966" s="58"/>
      <c r="E966" s="50"/>
      <c r="F966" s="59"/>
      <c r="G966" s="60"/>
      <c r="H966" s="61" t="str">
        <f t="shared" si="1"/>
        <v/>
      </c>
    </row>
    <row r="967">
      <c r="A967" s="56"/>
      <c r="C967" s="57"/>
      <c r="D967" s="58"/>
      <c r="E967" s="50"/>
      <c r="F967" s="59"/>
      <c r="G967" s="60"/>
      <c r="H967" s="61" t="str">
        <f t="shared" si="1"/>
        <v/>
      </c>
    </row>
    <row r="968">
      <c r="A968" s="56"/>
      <c r="C968" s="57"/>
      <c r="D968" s="58"/>
      <c r="E968" s="50"/>
      <c r="F968" s="59"/>
      <c r="G968" s="60"/>
      <c r="H968" s="61" t="str">
        <f t="shared" si="1"/>
        <v/>
      </c>
    </row>
    <row r="969">
      <c r="A969" s="56"/>
      <c r="C969" s="57"/>
      <c r="D969" s="58"/>
      <c r="E969" s="50"/>
      <c r="F969" s="59"/>
      <c r="G969" s="60"/>
      <c r="H969" s="61" t="str">
        <f t="shared" si="1"/>
        <v/>
      </c>
    </row>
    <row r="970">
      <c r="A970" s="56"/>
      <c r="C970" s="57"/>
      <c r="D970" s="58"/>
      <c r="E970" s="50"/>
      <c r="F970" s="59"/>
      <c r="G970" s="60"/>
      <c r="H970" s="61" t="str">
        <f t="shared" si="1"/>
        <v/>
      </c>
    </row>
    <row r="971">
      <c r="A971" s="56"/>
      <c r="C971" s="57"/>
      <c r="D971" s="58"/>
      <c r="E971" s="50"/>
      <c r="F971" s="59"/>
      <c r="G971" s="60"/>
      <c r="H971" s="61" t="str">
        <f t="shared" si="1"/>
        <v/>
      </c>
    </row>
    <row r="972">
      <c r="A972" s="56"/>
      <c r="C972" s="57"/>
      <c r="D972" s="58"/>
      <c r="E972" s="50"/>
      <c r="F972" s="59"/>
      <c r="G972" s="60"/>
      <c r="H972" s="61" t="str">
        <f t="shared" si="1"/>
        <v/>
      </c>
    </row>
    <row r="973">
      <c r="A973" s="56"/>
      <c r="C973" s="57"/>
      <c r="D973" s="58"/>
      <c r="E973" s="50"/>
      <c r="F973" s="59"/>
      <c r="G973" s="60"/>
      <c r="H973" s="61" t="str">
        <f t="shared" si="1"/>
        <v/>
      </c>
    </row>
    <row r="974">
      <c r="A974" s="56"/>
      <c r="C974" s="57"/>
      <c r="D974" s="58"/>
      <c r="E974" s="50"/>
      <c r="F974" s="59"/>
      <c r="G974" s="60"/>
      <c r="H974" s="61" t="str">
        <f t="shared" si="1"/>
        <v/>
      </c>
    </row>
    <row r="975">
      <c r="A975" s="56"/>
      <c r="C975" s="57"/>
      <c r="D975" s="58"/>
      <c r="E975" s="50"/>
      <c r="F975" s="59"/>
      <c r="G975" s="60"/>
      <c r="H975" s="61" t="str">
        <f t="shared" si="1"/>
        <v/>
      </c>
    </row>
    <row r="976">
      <c r="A976" s="56"/>
      <c r="C976" s="57"/>
      <c r="D976" s="58"/>
      <c r="E976" s="50"/>
      <c r="F976" s="59"/>
      <c r="G976" s="60"/>
      <c r="H976" s="61" t="str">
        <f t="shared" si="1"/>
        <v/>
      </c>
    </row>
    <row r="977">
      <c r="A977" s="56"/>
      <c r="C977" s="57"/>
      <c r="D977" s="58"/>
      <c r="E977" s="50"/>
      <c r="F977" s="59"/>
      <c r="G977" s="60"/>
      <c r="H977" s="61" t="str">
        <f t="shared" si="1"/>
        <v/>
      </c>
    </row>
    <row r="978">
      <c r="A978" s="56"/>
      <c r="C978" s="57"/>
      <c r="D978" s="58"/>
      <c r="E978" s="50"/>
      <c r="F978" s="59"/>
      <c r="G978" s="60"/>
      <c r="H978" s="61" t="str">
        <f t="shared" si="1"/>
        <v/>
      </c>
    </row>
    <row r="979">
      <c r="A979" s="56"/>
      <c r="C979" s="57"/>
      <c r="D979" s="58"/>
      <c r="E979" s="50"/>
      <c r="F979" s="59"/>
      <c r="G979" s="60"/>
      <c r="H979" s="61" t="str">
        <f t="shared" si="1"/>
        <v/>
      </c>
    </row>
    <row r="980">
      <c r="A980" s="56"/>
      <c r="C980" s="57"/>
      <c r="D980" s="58"/>
      <c r="E980" s="50"/>
      <c r="F980" s="59"/>
      <c r="G980" s="60"/>
      <c r="H980" s="61" t="str">
        <f t="shared" si="1"/>
        <v/>
      </c>
    </row>
    <row r="981">
      <c r="A981" s="56"/>
      <c r="C981" s="57"/>
      <c r="D981" s="58"/>
      <c r="E981" s="50"/>
      <c r="F981" s="59"/>
      <c r="G981" s="60"/>
      <c r="H981" s="61" t="str">
        <f t="shared" si="1"/>
        <v/>
      </c>
    </row>
    <row r="982">
      <c r="A982" s="56"/>
      <c r="C982" s="57"/>
      <c r="D982" s="58"/>
      <c r="E982" s="50"/>
      <c r="F982" s="59"/>
      <c r="G982" s="60"/>
      <c r="H982" s="61" t="str">
        <f t="shared" si="1"/>
        <v/>
      </c>
    </row>
    <row r="983">
      <c r="A983" s="56"/>
      <c r="C983" s="57"/>
      <c r="D983" s="58"/>
      <c r="E983" s="50"/>
      <c r="F983" s="59"/>
      <c r="G983" s="60"/>
      <c r="H983" s="61" t="str">
        <f t="shared" si="1"/>
        <v/>
      </c>
    </row>
    <row r="984">
      <c r="A984" s="56"/>
      <c r="C984" s="57"/>
      <c r="D984" s="58"/>
      <c r="E984" s="50"/>
      <c r="F984" s="59"/>
      <c r="G984" s="60"/>
      <c r="H984" s="61" t="str">
        <f t="shared" si="1"/>
        <v/>
      </c>
    </row>
    <row r="985">
      <c r="A985" s="56"/>
      <c r="C985" s="57"/>
      <c r="D985" s="58"/>
      <c r="E985" s="50"/>
      <c r="F985" s="59"/>
      <c r="G985" s="60"/>
      <c r="H985" s="61" t="str">
        <f t="shared" si="1"/>
        <v/>
      </c>
    </row>
    <row r="986">
      <c r="A986" s="56"/>
      <c r="C986" s="57"/>
      <c r="D986" s="58"/>
      <c r="E986" s="50"/>
      <c r="F986" s="59"/>
      <c r="G986" s="60"/>
      <c r="H986" s="61" t="str">
        <f t="shared" si="1"/>
        <v/>
      </c>
    </row>
    <row r="987">
      <c r="A987" s="56"/>
      <c r="C987" s="57"/>
      <c r="D987" s="58"/>
      <c r="E987" s="50"/>
      <c r="F987" s="59"/>
      <c r="G987" s="60"/>
      <c r="H987" s="61" t="str">
        <f t="shared" si="1"/>
        <v/>
      </c>
    </row>
    <row r="988">
      <c r="A988" s="56"/>
      <c r="C988" s="57"/>
      <c r="D988" s="58"/>
      <c r="E988" s="50"/>
      <c r="F988" s="59"/>
      <c r="G988" s="60"/>
      <c r="H988" s="61" t="str">
        <f t="shared" si="1"/>
        <v/>
      </c>
    </row>
    <row r="989">
      <c r="A989" s="56"/>
      <c r="C989" s="57"/>
      <c r="D989" s="58"/>
      <c r="E989" s="50"/>
      <c r="F989" s="59"/>
      <c r="G989" s="60"/>
      <c r="H989" s="61" t="str">
        <f t="shared" si="1"/>
        <v/>
      </c>
    </row>
    <row r="990">
      <c r="A990" s="56"/>
      <c r="C990" s="57"/>
      <c r="D990" s="58"/>
      <c r="E990" s="50"/>
      <c r="F990" s="59"/>
      <c r="G990" s="60"/>
      <c r="H990" s="61" t="str">
        <f t="shared" si="1"/>
        <v/>
      </c>
    </row>
    <row r="991">
      <c r="A991" s="56"/>
      <c r="C991" s="57"/>
      <c r="D991" s="58"/>
      <c r="E991" s="50"/>
      <c r="F991" s="59"/>
      <c r="G991" s="60"/>
      <c r="H991" s="61" t="str">
        <f t="shared" si="1"/>
        <v/>
      </c>
    </row>
    <row r="992">
      <c r="A992" s="56"/>
      <c r="C992" s="57"/>
      <c r="D992" s="58"/>
      <c r="E992" s="50"/>
      <c r="F992" s="59"/>
      <c r="G992" s="60"/>
      <c r="H992" s="61" t="str">
        <f t="shared" si="1"/>
        <v/>
      </c>
    </row>
    <row r="993">
      <c r="A993" s="56"/>
      <c r="C993" s="57"/>
      <c r="D993" s="58"/>
      <c r="E993" s="50"/>
      <c r="F993" s="59"/>
      <c r="G993" s="60"/>
      <c r="H993" s="61" t="str">
        <f t="shared" si="1"/>
        <v/>
      </c>
    </row>
    <row r="994">
      <c r="A994" s="56"/>
      <c r="C994" s="57"/>
      <c r="D994" s="58"/>
      <c r="E994" s="50"/>
      <c r="F994" s="59"/>
      <c r="G994" s="60"/>
      <c r="H994" s="61" t="str">
        <f t="shared" si="1"/>
        <v/>
      </c>
    </row>
    <row r="995">
      <c r="A995" s="56"/>
      <c r="C995" s="57"/>
      <c r="D995" s="58"/>
      <c r="E995" s="50"/>
      <c r="F995" s="59"/>
      <c r="G995" s="60"/>
      <c r="H995" s="61" t="str">
        <f t="shared" si="1"/>
        <v/>
      </c>
    </row>
    <row r="996">
      <c r="A996" s="56"/>
      <c r="C996" s="57"/>
      <c r="D996" s="58"/>
      <c r="E996" s="50"/>
      <c r="F996" s="59"/>
      <c r="G996" s="60"/>
      <c r="H996" s="61" t="str">
        <f t="shared" si="1"/>
        <v/>
      </c>
    </row>
    <row r="997">
      <c r="A997" s="56"/>
      <c r="C997" s="57"/>
      <c r="D997" s="58"/>
      <c r="E997" s="50"/>
      <c r="F997" s="59"/>
      <c r="G997" s="60"/>
      <c r="H997" s="61" t="str">
        <f t="shared" si="1"/>
        <v/>
      </c>
    </row>
    <row r="998">
      <c r="A998" s="56"/>
      <c r="C998" s="57"/>
      <c r="D998" s="58"/>
      <c r="E998" s="50"/>
      <c r="F998" s="59"/>
      <c r="G998" s="60"/>
      <c r="H998" s="61" t="str">
        <f t="shared" si="1"/>
        <v/>
      </c>
    </row>
    <row r="999">
      <c r="A999" s="56"/>
      <c r="C999" s="57"/>
      <c r="D999" s="58"/>
      <c r="E999" s="50"/>
      <c r="F999" s="59"/>
      <c r="G999" s="60"/>
      <c r="H999" s="61" t="str">
        <f t="shared" si="1"/>
        <v/>
      </c>
    </row>
    <row r="1000">
      <c r="A1000" s="56"/>
      <c r="C1000" s="57"/>
      <c r="D1000" s="58"/>
      <c r="E1000" s="50"/>
      <c r="F1000" s="59"/>
      <c r="G1000" s="60"/>
      <c r="H1000" s="61" t="str">
        <f t="shared" si="1"/>
        <v/>
      </c>
    </row>
    <row r="1001">
      <c r="A1001" s="56"/>
      <c r="C1001" s="57"/>
      <c r="D1001" s="58"/>
      <c r="E1001" s="50"/>
      <c r="F1001" s="59"/>
      <c r="G1001" s="60"/>
      <c r="H1001" s="61" t="str">
        <f t="shared" si="1"/>
        <v/>
      </c>
    </row>
    <row r="1002">
      <c r="A1002" s="56"/>
      <c r="C1002" s="57"/>
      <c r="D1002" s="58"/>
      <c r="E1002" s="50"/>
      <c r="F1002" s="59"/>
      <c r="G1002" s="60"/>
      <c r="H1002" s="61" t="str">
        <f t="shared" si="1"/>
        <v/>
      </c>
    </row>
    <row r="1003">
      <c r="A1003" s="56"/>
      <c r="C1003" s="57"/>
      <c r="D1003" s="58"/>
      <c r="E1003" s="50"/>
      <c r="F1003" s="59"/>
      <c r="G1003" s="60"/>
      <c r="H1003" s="61" t="str">
        <f t="shared" si="1"/>
        <v/>
      </c>
    </row>
    <row r="1004">
      <c r="A1004" s="56"/>
      <c r="C1004" s="57"/>
      <c r="D1004" s="58"/>
      <c r="E1004" s="50"/>
      <c r="F1004" s="59"/>
      <c r="G1004" s="60"/>
      <c r="H1004" s="61" t="str">
        <f t="shared" si="1"/>
        <v/>
      </c>
    </row>
    <row r="1005">
      <c r="A1005" s="56"/>
      <c r="C1005" s="57"/>
      <c r="D1005" s="58"/>
      <c r="E1005" s="50"/>
      <c r="F1005" s="59"/>
      <c r="G1005" s="60"/>
      <c r="H1005" s="61" t="str">
        <f t="shared" si="1"/>
        <v/>
      </c>
    </row>
    <row r="1006">
      <c r="A1006" s="56"/>
      <c r="C1006" s="57"/>
      <c r="D1006" s="58"/>
      <c r="E1006" s="50"/>
      <c r="F1006" s="59"/>
      <c r="G1006" s="60"/>
      <c r="H1006" s="61" t="str">
        <f t="shared" si="1"/>
        <v/>
      </c>
    </row>
    <row r="1007">
      <c r="A1007" s="56"/>
      <c r="C1007" s="57"/>
      <c r="D1007" s="58"/>
      <c r="E1007" s="50"/>
      <c r="F1007" s="59"/>
      <c r="G1007" s="60"/>
      <c r="H1007" s="61" t="str">
        <f t="shared" si="1"/>
        <v/>
      </c>
    </row>
    <row r="1008">
      <c r="A1008" s="56"/>
      <c r="C1008" s="57"/>
      <c r="D1008" s="58"/>
      <c r="E1008" s="50"/>
      <c r="F1008" s="59"/>
      <c r="G1008" s="60"/>
      <c r="H1008" s="61" t="str">
        <f t="shared" si="1"/>
        <v/>
      </c>
    </row>
    <row r="1009">
      <c r="A1009" s="56"/>
      <c r="C1009" s="57"/>
      <c r="D1009" s="58"/>
      <c r="E1009" s="50"/>
      <c r="F1009" s="59"/>
      <c r="G1009" s="60"/>
      <c r="H1009" s="61" t="str">
        <f t="shared" si="1"/>
        <v/>
      </c>
    </row>
    <row r="1010">
      <c r="A1010" s="56"/>
      <c r="C1010" s="57"/>
      <c r="D1010" s="58"/>
      <c r="E1010" s="50"/>
      <c r="F1010" s="59"/>
      <c r="G1010" s="60"/>
      <c r="H1010" s="61" t="str">
        <f t="shared" si="1"/>
        <v/>
      </c>
    </row>
    <row r="1011">
      <c r="A1011" s="56"/>
      <c r="C1011" s="57"/>
      <c r="D1011" s="58"/>
      <c r="E1011" s="50"/>
      <c r="F1011" s="59"/>
      <c r="G1011" s="60"/>
      <c r="H1011" s="61" t="str">
        <f t="shared" si="1"/>
        <v/>
      </c>
    </row>
    <row r="1012">
      <c r="A1012" s="56"/>
      <c r="C1012" s="57"/>
      <c r="D1012" s="58"/>
      <c r="E1012" s="50"/>
      <c r="F1012" s="59"/>
      <c r="G1012" s="60"/>
      <c r="H1012" s="61" t="str">
        <f t="shared" si="1"/>
        <v/>
      </c>
    </row>
    <row r="1013">
      <c r="A1013" s="56"/>
      <c r="C1013" s="57"/>
      <c r="D1013" s="58"/>
      <c r="E1013" s="50"/>
      <c r="F1013" s="59"/>
      <c r="G1013" s="60"/>
      <c r="H1013" s="61" t="str">
        <f t="shared" si="1"/>
        <v/>
      </c>
    </row>
    <row r="1014">
      <c r="A1014" s="56"/>
      <c r="C1014" s="57"/>
      <c r="D1014" s="58"/>
      <c r="E1014" s="50"/>
      <c r="F1014" s="59"/>
      <c r="G1014" s="60"/>
      <c r="H1014" s="61" t="str">
        <f t="shared" si="1"/>
        <v/>
      </c>
    </row>
    <row r="1015">
      <c r="A1015" s="56"/>
      <c r="C1015" s="57"/>
      <c r="D1015" s="58"/>
      <c r="E1015" s="50"/>
      <c r="F1015" s="59"/>
      <c r="G1015" s="60"/>
      <c r="H1015" s="61" t="str">
        <f t="shared" si="1"/>
        <v/>
      </c>
    </row>
    <row r="1016">
      <c r="A1016" s="56"/>
      <c r="C1016" s="57"/>
      <c r="D1016" s="58"/>
      <c r="E1016" s="50"/>
      <c r="F1016" s="59"/>
      <c r="G1016" s="60"/>
      <c r="H1016" s="61" t="str">
        <f t="shared" si="1"/>
        <v/>
      </c>
    </row>
    <row r="1017">
      <c r="A1017" s="56"/>
      <c r="C1017" s="57"/>
      <c r="D1017" s="58"/>
      <c r="E1017" s="50"/>
      <c r="F1017" s="59"/>
      <c r="G1017" s="60"/>
      <c r="H1017" s="61" t="str">
        <f t="shared" si="1"/>
        <v/>
      </c>
    </row>
    <row r="1018">
      <c r="A1018" s="56"/>
      <c r="C1018" s="57"/>
      <c r="D1018" s="58"/>
      <c r="E1018" s="50"/>
      <c r="F1018" s="59"/>
      <c r="G1018" s="60"/>
      <c r="H1018" s="61" t="str">
        <f t="shared" si="1"/>
        <v/>
      </c>
    </row>
    <row r="1019">
      <c r="A1019" s="56"/>
      <c r="C1019" s="57"/>
      <c r="D1019" s="58"/>
      <c r="E1019" s="50"/>
      <c r="F1019" s="59"/>
      <c r="G1019" s="60"/>
      <c r="H1019" s="61" t="str">
        <f t="shared" si="1"/>
        <v/>
      </c>
    </row>
    <row r="1020">
      <c r="A1020" s="56"/>
      <c r="C1020" s="57"/>
      <c r="D1020" s="58"/>
      <c r="E1020" s="50"/>
      <c r="F1020" s="59"/>
      <c r="G1020" s="60"/>
      <c r="H1020" s="61" t="str">
        <f t="shared" si="1"/>
        <v/>
      </c>
    </row>
    <row r="1021">
      <c r="A1021" s="56"/>
      <c r="C1021" s="57"/>
      <c r="D1021" s="58"/>
      <c r="E1021" s="50"/>
      <c r="F1021" s="59"/>
      <c r="G1021" s="60"/>
      <c r="H1021" s="61" t="str">
        <f t="shared" si="1"/>
        <v/>
      </c>
    </row>
    <row r="1022">
      <c r="A1022" s="56"/>
      <c r="C1022" s="57"/>
      <c r="D1022" s="58"/>
      <c r="E1022" s="50"/>
      <c r="F1022" s="59"/>
      <c r="G1022" s="60"/>
      <c r="H1022" s="61" t="str">
        <f t="shared" si="1"/>
        <v/>
      </c>
    </row>
    <row r="1023">
      <c r="A1023" s="56"/>
      <c r="C1023" s="57"/>
      <c r="D1023" s="58"/>
      <c r="E1023" s="50"/>
      <c r="F1023" s="59"/>
      <c r="G1023" s="60"/>
      <c r="H1023" s="61" t="str">
        <f t="shared" si="1"/>
        <v/>
      </c>
    </row>
    <row r="1024">
      <c r="A1024" s="56"/>
      <c r="C1024" s="57"/>
      <c r="D1024" s="58"/>
      <c r="E1024" s="50"/>
      <c r="F1024" s="59"/>
      <c r="G1024" s="60"/>
      <c r="H1024" s="61" t="str">
        <f t="shared" si="1"/>
        <v/>
      </c>
    </row>
    <row r="1025">
      <c r="A1025" s="56"/>
      <c r="C1025" s="57"/>
      <c r="D1025" s="58"/>
      <c r="E1025" s="50"/>
      <c r="F1025" s="59"/>
      <c r="G1025" s="60"/>
      <c r="H1025" s="61" t="str">
        <f t="shared" si="1"/>
        <v/>
      </c>
    </row>
    <row r="1026">
      <c r="A1026" s="56"/>
      <c r="C1026" s="57"/>
      <c r="D1026" s="58"/>
      <c r="E1026" s="50"/>
      <c r="F1026" s="59"/>
      <c r="G1026" s="60"/>
      <c r="H1026" s="61" t="str">
        <f t="shared" si="1"/>
        <v/>
      </c>
    </row>
    <row r="1027">
      <c r="A1027" s="56"/>
      <c r="C1027" s="57"/>
      <c r="D1027" s="58"/>
      <c r="E1027" s="50"/>
      <c r="F1027" s="59"/>
      <c r="G1027" s="60"/>
      <c r="H1027" s="61" t="str">
        <f t="shared" si="1"/>
        <v/>
      </c>
    </row>
    <row r="1028">
      <c r="A1028" s="56"/>
      <c r="C1028" s="57"/>
      <c r="D1028" s="58"/>
      <c r="E1028" s="50"/>
      <c r="F1028" s="59"/>
      <c r="G1028" s="60"/>
      <c r="H1028" s="61" t="str">
        <f t="shared" si="1"/>
        <v/>
      </c>
    </row>
    <row r="1029">
      <c r="A1029" s="56"/>
      <c r="C1029" s="57"/>
      <c r="D1029" s="58"/>
      <c r="E1029" s="50"/>
      <c r="F1029" s="59"/>
      <c r="G1029" s="60"/>
      <c r="H1029" s="61" t="str">
        <f t="shared" si="1"/>
        <v/>
      </c>
    </row>
    <row r="1030">
      <c r="A1030" s="56"/>
      <c r="C1030" s="57"/>
      <c r="D1030" s="58"/>
      <c r="E1030" s="50"/>
      <c r="F1030" s="59"/>
      <c r="G1030" s="60"/>
      <c r="H1030" s="61" t="str">
        <f t="shared" si="1"/>
        <v/>
      </c>
    </row>
    <row r="1031">
      <c r="A1031" s="56"/>
      <c r="C1031" s="57"/>
      <c r="D1031" s="58"/>
      <c r="E1031" s="50"/>
      <c r="F1031" s="59"/>
      <c r="G1031" s="60"/>
      <c r="H1031" s="61" t="str">
        <f t="shared" si="1"/>
        <v/>
      </c>
    </row>
    <row r="1032">
      <c r="A1032" s="56"/>
      <c r="C1032" s="57"/>
      <c r="D1032" s="58"/>
      <c r="E1032" s="50"/>
      <c r="F1032" s="59"/>
      <c r="G1032" s="60"/>
      <c r="H1032" s="61" t="str">
        <f t="shared" si="1"/>
        <v/>
      </c>
    </row>
    <row r="1033">
      <c r="A1033" s="56"/>
      <c r="C1033" s="57"/>
      <c r="D1033" s="58"/>
      <c r="E1033" s="50"/>
      <c r="F1033" s="59"/>
      <c r="G1033" s="60"/>
      <c r="H1033" s="61" t="str">
        <f t="shared" si="1"/>
        <v/>
      </c>
    </row>
    <row r="1034">
      <c r="A1034" s="56"/>
      <c r="C1034" s="57"/>
      <c r="D1034" s="58"/>
      <c r="E1034" s="50"/>
      <c r="F1034" s="59"/>
      <c r="G1034" s="60"/>
      <c r="H1034" s="61" t="str">
        <f t="shared" si="1"/>
        <v/>
      </c>
    </row>
    <row r="1035">
      <c r="A1035" s="56"/>
      <c r="C1035" s="57"/>
      <c r="D1035" s="58"/>
      <c r="E1035" s="50"/>
      <c r="F1035" s="59"/>
      <c r="G1035" s="60"/>
      <c r="H1035" s="61" t="str">
        <f t="shared" si="1"/>
        <v/>
      </c>
    </row>
    <row r="1036">
      <c r="A1036" s="56"/>
      <c r="C1036" s="57"/>
      <c r="D1036" s="58"/>
      <c r="E1036" s="50"/>
      <c r="F1036" s="59"/>
      <c r="G1036" s="60"/>
      <c r="H1036" s="61" t="str">
        <f t="shared" si="1"/>
        <v/>
      </c>
    </row>
    <row r="1037">
      <c r="A1037" s="56"/>
      <c r="C1037" s="57"/>
      <c r="D1037" s="58"/>
      <c r="E1037" s="50"/>
      <c r="F1037" s="59"/>
      <c r="G1037" s="60"/>
      <c r="H1037" s="61" t="str">
        <f t="shared" si="1"/>
        <v/>
      </c>
    </row>
    <row r="1038">
      <c r="A1038" s="56"/>
      <c r="C1038" s="57"/>
      <c r="D1038" s="58"/>
      <c r="E1038" s="50"/>
      <c r="F1038" s="59"/>
      <c r="G1038" s="60"/>
      <c r="H1038" s="61" t="str">
        <f t="shared" si="1"/>
        <v/>
      </c>
    </row>
    <row r="1039">
      <c r="A1039" s="56"/>
      <c r="C1039" s="57"/>
      <c r="D1039" s="58"/>
      <c r="E1039" s="50"/>
      <c r="F1039" s="59"/>
      <c r="G1039" s="60"/>
      <c r="H1039" s="61" t="str">
        <f t="shared" si="1"/>
        <v/>
      </c>
    </row>
    <row r="1040">
      <c r="A1040" s="56"/>
      <c r="C1040" s="57"/>
      <c r="D1040" s="58"/>
      <c r="E1040" s="50"/>
      <c r="F1040" s="59"/>
      <c r="G1040" s="60"/>
      <c r="H1040" s="61" t="str">
        <f t="shared" si="1"/>
        <v/>
      </c>
    </row>
    <row r="1041">
      <c r="A1041" s="56"/>
      <c r="C1041" s="57"/>
      <c r="D1041" s="58"/>
      <c r="E1041" s="50"/>
      <c r="F1041" s="59"/>
      <c r="G1041" s="60"/>
      <c r="H1041" s="61" t="str">
        <f t="shared" si="1"/>
        <v/>
      </c>
    </row>
    <row r="1042">
      <c r="A1042" s="56"/>
      <c r="C1042" s="57"/>
      <c r="D1042" s="58"/>
      <c r="E1042" s="50"/>
      <c r="F1042" s="59"/>
      <c r="G1042" s="60"/>
      <c r="H1042" s="61" t="str">
        <f t="shared" si="1"/>
        <v/>
      </c>
    </row>
    <row r="1043">
      <c r="A1043" s="56"/>
      <c r="C1043" s="57"/>
      <c r="D1043" s="58"/>
      <c r="E1043" s="50"/>
      <c r="F1043" s="59"/>
      <c r="G1043" s="60"/>
      <c r="H1043" s="61" t="str">
        <f t="shared" si="1"/>
        <v/>
      </c>
    </row>
    <row r="1044">
      <c r="A1044" s="56"/>
      <c r="C1044" s="57"/>
      <c r="D1044" s="58"/>
      <c r="E1044" s="50"/>
      <c r="F1044" s="59"/>
      <c r="G1044" s="60"/>
      <c r="H1044" s="61" t="str">
        <f t="shared" si="1"/>
        <v/>
      </c>
    </row>
    <row r="1045">
      <c r="A1045" s="56"/>
      <c r="C1045" s="57"/>
      <c r="D1045" s="58"/>
      <c r="E1045" s="50"/>
      <c r="F1045" s="59"/>
      <c r="G1045" s="60"/>
      <c r="H1045" s="61" t="str">
        <f t="shared" si="1"/>
        <v/>
      </c>
    </row>
    <row r="1046">
      <c r="A1046" s="56"/>
      <c r="C1046" s="57"/>
      <c r="D1046" s="58"/>
      <c r="E1046" s="50"/>
      <c r="F1046" s="59"/>
      <c r="G1046" s="60"/>
      <c r="H1046" s="61" t="str">
        <f t="shared" si="1"/>
        <v/>
      </c>
    </row>
    <row r="1047">
      <c r="A1047" s="56"/>
      <c r="C1047" s="57"/>
      <c r="D1047" s="58"/>
      <c r="E1047" s="50"/>
      <c r="F1047" s="59"/>
      <c r="G1047" s="60"/>
      <c r="H1047" s="61" t="str">
        <f t="shared" si="1"/>
        <v/>
      </c>
    </row>
    <row r="1048">
      <c r="A1048" s="56"/>
      <c r="C1048" s="57"/>
      <c r="D1048" s="58"/>
      <c r="E1048" s="50"/>
      <c r="F1048" s="59"/>
      <c r="G1048" s="60"/>
      <c r="H1048" s="61" t="str">
        <f t="shared" si="1"/>
        <v/>
      </c>
    </row>
    <row r="1049">
      <c r="A1049" s="56"/>
      <c r="C1049" s="57"/>
      <c r="D1049" s="58"/>
      <c r="E1049" s="50"/>
      <c r="F1049" s="59"/>
      <c r="G1049" s="60"/>
      <c r="H1049" s="61" t="str">
        <f t="shared" si="1"/>
        <v/>
      </c>
    </row>
    <row r="1050">
      <c r="A1050" s="56"/>
      <c r="C1050" s="57"/>
      <c r="D1050" s="58"/>
      <c r="E1050" s="50"/>
      <c r="F1050" s="59"/>
      <c r="G1050" s="60"/>
      <c r="H1050" s="61" t="str">
        <f t="shared" si="1"/>
        <v/>
      </c>
    </row>
    <row r="1051">
      <c r="A1051" s="56"/>
      <c r="C1051" s="57"/>
      <c r="D1051" s="58"/>
      <c r="E1051" s="50"/>
      <c r="F1051" s="59"/>
      <c r="G1051" s="60"/>
      <c r="H1051" s="61" t="str">
        <f t="shared" si="1"/>
        <v/>
      </c>
    </row>
    <row r="1052">
      <c r="A1052" s="56"/>
      <c r="C1052" s="57"/>
      <c r="D1052" s="58"/>
      <c r="E1052" s="50"/>
      <c r="F1052" s="59"/>
      <c r="G1052" s="60"/>
      <c r="H1052" s="61" t="str">
        <f t="shared" si="1"/>
        <v/>
      </c>
    </row>
    <row r="1053">
      <c r="A1053" s="56"/>
      <c r="C1053" s="57"/>
      <c r="D1053" s="58"/>
      <c r="E1053" s="50"/>
      <c r="F1053" s="59"/>
      <c r="G1053" s="60"/>
      <c r="H1053" s="61" t="str">
        <f t="shared" si="1"/>
        <v/>
      </c>
    </row>
    <row r="1054">
      <c r="A1054" s="56"/>
      <c r="C1054" s="57"/>
      <c r="D1054" s="58"/>
      <c r="E1054" s="50"/>
      <c r="F1054" s="59"/>
      <c r="G1054" s="60"/>
      <c r="H1054" s="61" t="str">
        <f t="shared" si="1"/>
        <v/>
      </c>
    </row>
    <row r="1055">
      <c r="A1055" s="56"/>
      <c r="C1055" s="57"/>
      <c r="D1055" s="58"/>
      <c r="E1055" s="50"/>
      <c r="F1055" s="59"/>
      <c r="G1055" s="60"/>
      <c r="H1055" s="61" t="str">
        <f t="shared" si="1"/>
        <v/>
      </c>
    </row>
    <row r="1056">
      <c r="A1056" s="56"/>
      <c r="C1056" s="57"/>
      <c r="D1056" s="58"/>
      <c r="E1056" s="50"/>
      <c r="F1056" s="59"/>
      <c r="G1056" s="60"/>
      <c r="H1056" s="61" t="str">
        <f t="shared" si="1"/>
        <v/>
      </c>
    </row>
    <row r="1057">
      <c r="A1057" s="56"/>
      <c r="C1057" s="57"/>
      <c r="D1057" s="58"/>
      <c r="E1057" s="50"/>
      <c r="F1057" s="59"/>
      <c r="G1057" s="60"/>
      <c r="H1057" s="61" t="str">
        <f t="shared" si="1"/>
        <v/>
      </c>
    </row>
    <row r="1058">
      <c r="A1058" s="56"/>
      <c r="C1058" s="57"/>
      <c r="D1058" s="58"/>
      <c r="E1058" s="50"/>
      <c r="F1058" s="59"/>
      <c r="G1058" s="60"/>
      <c r="H1058" s="61" t="str">
        <f t="shared" si="1"/>
        <v/>
      </c>
    </row>
    <row r="1059">
      <c r="A1059" s="56"/>
      <c r="C1059" s="57"/>
      <c r="D1059" s="58"/>
      <c r="E1059" s="50"/>
      <c r="F1059" s="59"/>
      <c r="G1059" s="60"/>
      <c r="H1059" s="61" t="str">
        <f t="shared" si="1"/>
        <v/>
      </c>
    </row>
    <row r="1060">
      <c r="A1060" s="56"/>
      <c r="C1060" s="57"/>
      <c r="D1060" s="58"/>
      <c r="E1060" s="50"/>
      <c r="F1060" s="59"/>
      <c r="G1060" s="60"/>
      <c r="H1060" s="61" t="str">
        <f t="shared" si="1"/>
        <v/>
      </c>
    </row>
    <row r="1061">
      <c r="A1061" s="56"/>
      <c r="C1061" s="57"/>
      <c r="D1061" s="58"/>
      <c r="E1061" s="50"/>
      <c r="F1061" s="59"/>
      <c r="G1061" s="60"/>
      <c r="H1061" s="61" t="str">
        <f t="shared" si="1"/>
        <v/>
      </c>
    </row>
    <row r="1062">
      <c r="A1062" s="56"/>
      <c r="C1062" s="57"/>
      <c r="D1062" s="58"/>
      <c r="E1062" s="50"/>
      <c r="F1062" s="59"/>
      <c r="G1062" s="60"/>
      <c r="H1062" s="61" t="str">
        <f t="shared" si="1"/>
        <v/>
      </c>
    </row>
    <row r="1063">
      <c r="A1063" s="56"/>
      <c r="C1063" s="57"/>
      <c r="D1063" s="58"/>
      <c r="E1063" s="50"/>
      <c r="F1063" s="59"/>
      <c r="G1063" s="60"/>
      <c r="H1063" s="61" t="str">
        <f t="shared" si="1"/>
        <v/>
      </c>
    </row>
    <row r="1064">
      <c r="A1064" s="56"/>
      <c r="C1064" s="57"/>
      <c r="D1064" s="58"/>
      <c r="E1064" s="50"/>
      <c r="F1064" s="59"/>
      <c r="G1064" s="60"/>
      <c r="H1064" s="61" t="str">
        <f t="shared" si="1"/>
        <v/>
      </c>
    </row>
    <row r="1065">
      <c r="A1065" s="56"/>
      <c r="C1065" s="57"/>
      <c r="D1065" s="58"/>
      <c r="E1065" s="50"/>
      <c r="F1065" s="59"/>
      <c r="G1065" s="60"/>
      <c r="H1065" s="61" t="str">
        <f t="shared" si="1"/>
        <v/>
      </c>
    </row>
    <row r="1066">
      <c r="A1066" s="56"/>
      <c r="C1066" s="57"/>
      <c r="D1066" s="58"/>
      <c r="E1066" s="50"/>
      <c r="F1066" s="59"/>
      <c r="G1066" s="60"/>
      <c r="H1066" s="61" t="str">
        <f t="shared" si="1"/>
        <v/>
      </c>
    </row>
    <row r="1067">
      <c r="A1067" s="56"/>
      <c r="C1067" s="57"/>
      <c r="D1067" s="58"/>
      <c r="E1067" s="50"/>
      <c r="F1067" s="59"/>
      <c r="G1067" s="60"/>
      <c r="H1067" s="61" t="str">
        <f t="shared" si="1"/>
        <v/>
      </c>
    </row>
    <row r="1068">
      <c r="A1068" s="56"/>
      <c r="C1068" s="57"/>
      <c r="D1068" s="58"/>
      <c r="E1068" s="50"/>
      <c r="F1068" s="59"/>
      <c r="G1068" s="60"/>
      <c r="H1068" s="61" t="str">
        <f t="shared" si="1"/>
        <v/>
      </c>
    </row>
    <row r="1069">
      <c r="A1069" s="56"/>
      <c r="C1069" s="57"/>
      <c r="D1069" s="58"/>
      <c r="E1069" s="50"/>
      <c r="F1069" s="59"/>
      <c r="G1069" s="60"/>
      <c r="H1069" s="61" t="str">
        <f t="shared" si="1"/>
        <v/>
      </c>
    </row>
    <row r="1070">
      <c r="A1070" s="56"/>
      <c r="C1070" s="57"/>
      <c r="D1070" s="58"/>
      <c r="E1070" s="50"/>
      <c r="F1070" s="59"/>
      <c r="G1070" s="60"/>
      <c r="H1070" s="61" t="str">
        <f t="shared" si="1"/>
        <v/>
      </c>
    </row>
    <row r="1071">
      <c r="A1071" s="56"/>
      <c r="C1071" s="57"/>
      <c r="D1071" s="58"/>
      <c r="E1071" s="50"/>
      <c r="F1071" s="59"/>
      <c r="G1071" s="60"/>
      <c r="H1071" s="61" t="str">
        <f t="shared" si="1"/>
        <v/>
      </c>
    </row>
    <row r="1072">
      <c r="A1072" s="56"/>
      <c r="C1072" s="57"/>
      <c r="D1072" s="58"/>
      <c r="E1072" s="50"/>
      <c r="F1072" s="59"/>
      <c r="G1072" s="60"/>
      <c r="H1072" s="61" t="str">
        <f t="shared" si="1"/>
        <v/>
      </c>
    </row>
    <row r="1073">
      <c r="A1073" s="56"/>
      <c r="C1073" s="57"/>
      <c r="D1073" s="58"/>
      <c r="E1073" s="50"/>
      <c r="F1073" s="59"/>
      <c r="G1073" s="60"/>
      <c r="H1073" s="61" t="str">
        <f t="shared" si="1"/>
        <v/>
      </c>
    </row>
    <row r="1074">
      <c r="A1074" s="56"/>
      <c r="C1074" s="57"/>
      <c r="D1074" s="58"/>
      <c r="E1074" s="50"/>
      <c r="F1074" s="59"/>
      <c r="G1074" s="60"/>
      <c r="H1074" s="61" t="str">
        <f t="shared" si="1"/>
        <v/>
      </c>
    </row>
    <row r="1075">
      <c r="A1075" s="56"/>
      <c r="C1075" s="57"/>
      <c r="D1075" s="58"/>
      <c r="E1075" s="50"/>
      <c r="F1075" s="59"/>
      <c r="G1075" s="60"/>
      <c r="H1075" s="61" t="str">
        <f t="shared" si="1"/>
        <v/>
      </c>
    </row>
    <row r="1076">
      <c r="A1076" s="56"/>
      <c r="C1076" s="57"/>
      <c r="D1076" s="58"/>
      <c r="E1076" s="50"/>
      <c r="F1076" s="59"/>
      <c r="G1076" s="60"/>
      <c r="H1076" s="61" t="str">
        <f t="shared" si="1"/>
        <v/>
      </c>
    </row>
    <row r="1077">
      <c r="A1077" s="56"/>
      <c r="C1077" s="57"/>
      <c r="D1077" s="58"/>
      <c r="E1077" s="50"/>
      <c r="F1077" s="59"/>
      <c r="G1077" s="60"/>
      <c r="H1077" s="61" t="str">
        <f t="shared" si="1"/>
        <v/>
      </c>
    </row>
    <row r="1078">
      <c r="A1078" s="56"/>
      <c r="C1078" s="57"/>
      <c r="D1078" s="58"/>
      <c r="E1078" s="50"/>
      <c r="F1078" s="59"/>
      <c r="G1078" s="60"/>
      <c r="H1078" s="61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175</v>
      </c>
      <c r="B1" s="9" t="s">
        <v>65</v>
      </c>
      <c r="C1" s="9" t="s">
        <v>66</v>
      </c>
    </row>
    <row r="2">
      <c r="A2" s="62" t="s">
        <v>176</v>
      </c>
      <c r="B2" s="17" t="s">
        <v>177</v>
      </c>
      <c r="C2" s="17" t="s">
        <v>178</v>
      </c>
    </row>
    <row r="3">
      <c r="A3" s="62" t="s">
        <v>179</v>
      </c>
      <c r="B3" t="s">
        <v>177</v>
      </c>
      <c r="C3" t="s">
        <v>180</v>
      </c>
    </row>
    <row r="4">
      <c r="A4" s="62" t="s">
        <v>181</v>
      </c>
      <c r="B4" t="s">
        <v>182</v>
      </c>
      <c r="C4" t="s">
        <v>183</v>
      </c>
    </row>
    <row r="5">
      <c r="A5" s="62" t="s">
        <v>184</v>
      </c>
      <c r="B5" s="17" t="s">
        <v>182</v>
      </c>
      <c r="C5" s="17" t="s">
        <v>185</v>
      </c>
    </row>
    <row r="6">
      <c r="A6" s="62" t="s">
        <v>92</v>
      </c>
      <c r="B6" t="s">
        <v>186</v>
      </c>
      <c r="C6" t="s">
        <v>187</v>
      </c>
    </row>
    <row r="7">
      <c r="A7" s="62" t="s">
        <v>188</v>
      </c>
      <c r="B7" s="17" t="s">
        <v>186</v>
      </c>
      <c r="C7" s="17" t="s">
        <v>189</v>
      </c>
    </row>
    <row r="8">
      <c r="A8" s="62" t="s">
        <v>190</v>
      </c>
      <c r="B8" s="17" t="s">
        <v>186</v>
      </c>
      <c r="C8" s="17" t="s">
        <v>191</v>
      </c>
    </row>
    <row r="9">
      <c r="A9" s="62" t="s">
        <v>74</v>
      </c>
      <c r="B9" t="s">
        <v>192</v>
      </c>
      <c r="C9" t="s">
        <v>193</v>
      </c>
    </row>
    <row r="10">
      <c r="A10" s="62" t="s">
        <v>194</v>
      </c>
      <c r="B10" s="17" t="s">
        <v>192</v>
      </c>
      <c r="C10" s="17" t="s">
        <v>195</v>
      </c>
    </row>
    <row r="11">
      <c r="A11" s="62" t="s">
        <v>119</v>
      </c>
      <c r="B11" t="s">
        <v>196</v>
      </c>
      <c r="C11" t="s">
        <v>197</v>
      </c>
    </row>
    <row r="12">
      <c r="A12" s="62" t="s">
        <v>198</v>
      </c>
      <c r="B12" s="17" t="s">
        <v>196</v>
      </c>
      <c r="C12" s="17" t="s">
        <v>199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2.0"/>
    <col customWidth="1" min="5" max="5" width="75.14"/>
  </cols>
  <sheetData>
    <row r="1">
      <c r="A1" s="63" t="s">
        <v>200</v>
      </c>
      <c r="B1" s="63" t="s">
        <v>201</v>
      </c>
      <c r="C1" s="63" t="s">
        <v>202</v>
      </c>
      <c r="D1" s="63" t="s">
        <v>203</v>
      </c>
      <c r="E1" s="63" t="s">
        <v>204</v>
      </c>
    </row>
    <row r="2">
      <c r="A2" s="64">
        <f t="array" ref="A2">IF(ISNUMBER(INDEX(Investment!$T:$T,ROWS(Investment!$T:$T))),COUNTIFS(Investment!$W2:$W6,"&lt;&gt;HOLD*",Investment!$T2:$T6,"&lt;&gt;0"),0)</f>
        <v>2</v>
      </c>
      <c r="B2" s="65">
        <v>2.0</v>
      </c>
      <c r="C2" s="66">
        <v>44114.71121359954</v>
      </c>
      <c r="D2" s="19" t="s">
        <v>205</v>
      </c>
      <c r="E2" s="19" t="s">
        <v>206</v>
      </c>
    </row>
    <row r="3">
      <c r="A3" s="64">
        <f>IF(DateTime!$B$12,COUNTIFS(Investment!$AQ2:$AQ6,"&gt;"&amp;DateTime!B1-TIME(0,30,0),Investment!$AQ2:$AQ6,"&lt;"&amp;DateTime!B1-TIME(0,15,0)),0)</f>
        <v>0</v>
      </c>
      <c r="B3" s="65"/>
      <c r="C3" s="66"/>
      <c r="D3" s="19" t="s">
        <v>207</v>
      </c>
      <c r="E3" s="19" t="s">
        <v>208</v>
      </c>
    </row>
    <row r="4">
      <c r="A4" s="64">
        <f>COUNTIFS(Historic!$H:$H,"XXXXXX")</f>
        <v>0</v>
      </c>
      <c r="B4" s="65"/>
      <c r="C4" s="66"/>
      <c r="D4" s="19" t="s">
        <v>209</v>
      </c>
      <c r="E4" s="19" t="s">
        <v>210</v>
      </c>
    </row>
    <row r="5">
      <c r="A5" s="64">
        <f>IF(AND(DateTime!$B$6&gt;=28,Allocation!$B$12&lt;&gt;Allocation!$B$13,Allocation!$B$13&lt;&gt;Allocation!$B$14),Allocation!$B$13,0)</f>
        <v>0</v>
      </c>
      <c r="B5" s="65"/>
      <c r="C5" s="66"/>
      <c r="D5" s="19" t="s">
        <v>211</v>
      </c>
      <c r="E5" s="19" t="s">
        <v>212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7.57"/>
  </cols>
  <sheetData>
    <row r="1">
      <c r="A1" s="67" t="s">
        <v>213</v>
      </c>
      <c r="B1" s="68">
        <f>NOW()</f>
        <v>44115.02055</v>
      </c>
    </row>
    <row r="2">
      <c r="A2" s="67" t="s">
        <v>46</v>
      </c>
      <c r="B2" s="69">
        <f>DATEVALUE($B$1)</f>
        <v>44115</v>
      </c>
    </row>
    <row r="3">
      <c r="A3" s="67" t="s">
        <v>214</v>
      </c>
      <c r="B3" s="70">
        <f>TIMEVALUE($B$1)</f>
        <v>0.02055555556</v>
      </c>
    </row>
    <row r="4">
      <c r="A4" s="67" t="s">
        <v>215</v>
      </c>
      <c r="B4">
        <f>YEAR($B$1)</f>
        <v>2020</v>
      </c>
    </row>
    <row r="5">
      <c r="A5" s="67" t="s">
        <v>216</v>
      </c>
      <c r="B5">
        <f>MONTH($B$1)</f>
        <v>10</v>
      </c>
    </row>
    <row r="6">
      <c r="A6" s="67" t="s">
        <v>217</v>
      </c>
      <c r="B6">
        <f>DAY($B$1)</f>
        <v>11</v>
      </c>
    </row>
    <row r="7">
      <c r="A7" s="67" t="s">
        <v>218</v>
      </c>
      <c r="B7">
        <f>WEEKDAY($B$1,2)</f>
        <v>7</v>
      </c>
    </row>
    <row r="8">
      <c r="A8" s="71" t="s">
        <v>219</v>
      </c>
      <c r="B8" s="72">
        <v>1.0</v>
      </c>
    </row>
    <row r="9">
      <c r="A9" s="67" t="s">
        <v>220</v>
      </c>
      <c r="B9" s="19">
        <v>5.0</v>
      </c>
    </row>
    <row r="10">
      <c r="A10" s="67" t="s">
        <v>221</v>
      </c>
      <c r="B10" s="73">
        <f>TIME(9,0,0)</f>
        <v>0.375</v>
      </c>
    </row>
    <row r="11">
      <c r="A11" s="67" t="s">
        <v>222</v>
      </c>
      <c r="B11" s="73">
        <f>TIME(17,35,0)</f>
        <v>0.7326388889</v>
      </c>
    </row>
    <row r="12">
      <c r="A12" s="67" t="s">
        <v>223</v>
      </c>
      <c r="B12" s="19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224</v>
      </c>
      <c r="E1" s="9" t="s">
        <v>225</v>
      </c>
    </row>
    <row r="2">
      <c r="A2" t="str">
        <f>IFERROR(__xludf.DUMMYFUNCTION("""COMPUTED_VALUE"""),"iShares Treasury Bond 20+ UCITS")</f>
        <v>iShares Treasury Bond 20+ UCITS</v>
      </c>
      <c r="B2" s="74">
        <f>IF($A2&lt;&gt;"",SUMIFS(Historic!E:E,Historic!$C:$C,$A2),)</f>
        <v>86886</v>
      </c>
      <c r="C2" s="74">
        <f>IF($A2&lt;&gt;"",SUMIFS(Historic!G:G,Historic!$C:$C,$A2),)</f>
        <v>-362779.66</v>
      </c>
      <c r="D2" s="75">
        <f>IF(AND($A2&lt;&gt;"",MAXIFS(Investment!$M:$M,Investment!$H:$H,LEFT($A2,30)&amp;"*")),MAXIFS(Investment!$M:$M,Investment!$H:$H,LEFT($A2,30)&amp;"*"),)</f>
        <v>5.062</v>
      </c>
      <c r="E2" s="76">
        <f>IF(AND($A2&lt;&gt;"",MAXIFS(Investment!$AI:$AI,Investment!$H:$H,LEFT($A2,30)&amp;"*")),MAXIFS(Investment!$AI:$AI,Investment!$H:$H,LEFT($A2,30)&amp;"*"),)</f>
        <v>5.171534241</v>
      </c>
    </row>
    <row r="3">
      <c r="A3" t="str">
        <f>IFERROR(__xludf.DUMMYFUNCTION("""COMPUTED_VALUE"""),"iShares Treasury Bond 7-10 UCITS")</f>
        <v>iShares Treasury Bond 7-10 UCITS</v>
      </c>
      <c r="B3" s="74">
        <f>IF($A3&lt;&gt;"",SUMIFS(Historic!E:E,Historic!$C:$C,$A3),)</f>
        <v>1032</v>
      </c>
      <c r="C3" s="74">
        <f>IF($A3&lt;&gt;"",SUMIFS(Historic!G:G,Historic!$C:$C,$A3),)</f>
        <v>-170147.17</v>
      </c>
      <c r="D3" s="75">
        <f>IF(AND($A3&lt;&gt;"",MAXIFS(Investment!$M:$M,Investment!$H:$H,LEFT($A3,30)&amp;"*")),MAXIFS(Investment!$M:$M,Investment!$H:$H,LEFT($A3,30)&amp;"*"),)</f>
        <v>188.22</v>
      </c>
      <c r="E3" s="76">
        <f>IF(AND($A3&lt;&gt;"",MAXIFS(Investment!$AI:$AI,Investment!$H:$H,LEFT($A3,30)&amp;"*")),MAXIFS(Investment!$AI:$AI,Investment!$H:$H,LEFT($A3,30)&amp;"*"),)</f>
        <v>192.7244747</v>
      </c>
    </row>
    <row r="4">
      <c r="A4" t="str">
        <f>IFERROR(__xludf.DUMMYFUNCTION("""COMPUTED_VALUE"""),"Vanguard S&amp;P 500 UCITS")</f>
        <v>Vanguard S&amp;P 500 UCITS</v>
      </c>
      <c r="B4" s="74">
        <f>IF($A4&lt;&gt;"",SUMIFS(Historic!E:E,Historic!$C:$C,$A4),)</f>
        <v>6688</v>
      </c>
      <c r="C4" s="74">
        <f>IF($A4&lt;&gt;"",SUMIFS(Historic!G:G,Historic!$C:$C,$A4),)</f>
        <v>-271654.92</v>
      </c>
      <c r="D4" s="75">
        <f>IF(AND($A4&lt;&gt;"",MAXIFS(Investment!$M:$M,Investment!$H:$H,LEFT($A4,30)&amp;"*")),MAXIFS(Investment!$M:$M,Investment!$H:$H,LEFT($A4,30)&amp;"*"),)</f>
        <v>55.64</v>
      </c>
      <c r="E4" s="76">
        <f>IF(AND($A4&lt;&gt;"",MAXIFS(Investment!$AI:$AI,Investment!$H:$H,LEFT($A4,30)&amp;"*")),MAXIFS(Investment!$AI:$AI,Investment!$H:$H,LEFT($A4,30)&amp;"*"),)</f>
        <v>52.71538911</v>
      </c>
    </row>
    <row r="5">
      <c r="B5" s="74" t="str">
        <f>IF($A5&lt;&gt;"",SUMIFS(Historic!E:E,Historic!$C:$C,$A5),)</f>
        <v/>
      </c>
      <c r="C5" s="74" t="str">
        <f>IF($A5&lt;&gt;"",SUMIFS(Historic!G:G,Historic!$C:$C,$A5),)</f>
        <v/>
      </c>
      <c r="D5" s="75" t="str">
        <f>IF(AND($A5&lt;&gt;"",MAXIFS(Investment!$M:$M,Investment!$H:$H,LEFT($A5,30)&amp;"*")),MAXIFS(Investment!$M:$M,Investment!$H:$H,LEFT($A5,30)&amp;"*"),)</f>
        <v/>
      </c>
      <c r="E5" s="76" t="str">
        <f>IF(AND($A5&lt;&gt;"",MAXIFS(Investment!$AI:$AI,Investment!$H:$H,LEFT($A5,30)&amp;"*")),MAXIFS(Investment!$AI:$AI,Investment!$H:$H,LEFT($A5,30)&amp;"*"),)</f>
        <v/>
      </c>
    </row>
    <row r="6">
      <c r="A6" t="str">
        <f>IFERROR(__xludf.DUMMYFUNCTION("""COMPUTED_VALUE"""),"ETFS All Commodities ETC")</f>
        <v>ETFS All Commodities ETC</v>
      </c>
      <c r="B6" s="74">
        <f>IF($A6&lt;&gt;"",SUMIFS(Historic!E:E,Historic!$C:$C,$A6),)</f>
        <v>23046</v>
      </c>
      <c r="C6" s="74">
        <f>IF($A6&lt;&gt;"",SUMIFS(Historic!G:G,Historic!$C:$C,$A6),)</f>
        <v>-158228.19</v>
      </c>
      <c r="D6" s="75">
        <f>IF(AND($A6&lt;&gt;"",MAXIFS(Investment!$M:$M,Investment!$H:$H,LEFT($A6,30)&amp;"*")),MAXIFS(Investment!$M:$M,Investment!$H:$H,LEFT($A6,30)&amp;"*"),)</f>
        <v>6.38</v>
      </c>
      <c r="E6" s="76">
        <f>IF(AND($A6&lt;&gt;"",MAXIFS(Investment!$AI:$AI,Investment!$H:$H,LEFT($A6,30)&amp;"*")),MAXIFS(Investment!$AI:$AI,Investment!$H:$H,LEFT($A6,30)&amp;"*"),)</f>
        <v>6.528245136</v>
      </c>
    </row>
    <row r="7">
      <c r="A7" t="str">
        <f>IFERROR(__xludf.DUMMYFUNCTION("""COMPUTED_VALUE"""),"ETFS Physical Gold")</f>
        <v>ETFS Physical Gold</v>
      </c>
      <c r="B7" s="74">
        <f>IF($A7&lt;&gt;"",SUMIFS(Historic!E:E,Historic!$C:$C,$A7),)</f>
        <v>286</v>
      </c>
      <c r="C7" s="74">
        <f>IF($A7&lt;&gt;"",SUMIFS(Historic!G:G,Historic!$C:$C,$A7),)</f>
        <v>-23756.49</v>
      </c>
      <c r="D7" s="75">
        <f>IF(AND($A7&lt;&gt;"",MAXIFS(Investment!$M:$M,Investment!$H:$H,LEFT($A7,30)&amp;"*")),MAXIFS(Investment!$M:$M,Investment!$H:$H,LEFT($A7,30)&amp;"*"),)</f>
        <v>154.55</v>
      </c>
      <c r="E7" s="76">
        <f>IF(AND($A7&lt;&gt;"",MAXIFS(Investment!$AI:$AI,Investment!$H:$H,LEFT($A7,30)&amp;"*")),MAXIFS(Investment!$AI:$AI,Investment!$H:$H,LEFT($A7,30)&amp;"*"),)</f>
        <v>142.5279377</v>
      </c>
    </row>
    <row r="8">
      <c r="A8" t="str">
        <f>IFERROR(__xludf.DUMMYFUNCTION("""COMPUTED_VALUE"""),"Vanguard Intermediate-Term Treasury ETF")</f>
        <v>Vanguard Intermediate-Term Treasury ETF</v>
      </c>
      <c r="B8" s="74">
        <f>IF($A8&lt;&gt;"",SUMIFS(Historic!E:E,Historic!$C:$C,$A8),)</f>
        <v>0</v>
      </c>
      <c r="C8" s="74">
        <f>IF($A8&lt;&gt;"",SUMIFS(Historic!G:G,Historic!$C:$C,$A8),)</f>
        <v>-1799.24</v>
      </c>
      <c r="D8" s="75" t="str">
        <f>IF(AND($A8&lt;&gt;"",MAXIFS(Investment!$M:$M,Investment!$H:$H,LEFT($A8,30)&amp;"*")),MAXIFS(Investment!$M:$M,Investment!$H:$H,LEFT($A8,30)&amp;"*"),)</f>
        <v/>
      </c>
      <c r="E8" s="76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4">
        <f>IF($A9&lt;&gt;"",SUMIFS(Historic!E:E,Historic!$C:$C,$A9),)</f>
        <v>0</v>
      </c>
      <c r="C9" s="74">
        <f>IF($A9&lt;&gt;"",SUMIFS(Historic!G:G,Historic!$C:$C,$A9),)</f>
        <v>27424.27</v>
      </c>
      <c r="D9" s="75">
        <f>IF(AND($A9&lt;&gt;"",MAXIFS(Investment!$M:$M,Investment!$H:$H,LEFT($A9,30)&amp;"*")),MAXIFS(Investment!$M:$M,Investment!$H:$H,LEFT($A9,30)&amp;"*"),)</f>
        <v>5.062</v>
      </c>
      <c r="E9" s="76">
        <f>IF(AND($A9&lt;&gt;"",MAXIFS(Investment!$AI:$AI,Investment!$H:$H,LEFT($A9,30)&amp;"*")),MAXIFS(Investment!$AI:$AI,Investment!$H:$H,LEFT($A9,30)&amp;"*"),)</f>
        <v>5.171534241</v>
      </c>
    </row>
    <row r="10">
      <c r="A10" t="str">
        <f>IFERROR(__xludf.DUMMYFUNCTION("""COMPUTED_VALUE"""),"Vanguard Extended Duration Treasury ETF")</f>
        <v>Vanguard Extended Duration Treasury ETF</v>
      </c>
      <c r="B10" s="74">
        <f>IF($A10&lt;&gt;"",SUMIFS(Historic!E:E,Historic!$C:$C,$A10),)</f>
        <v>0</v>
      </c>
      <c r="C10" s="74">
        <f>IF($A10&lt;&gt;"",SUMIFS(Historic!G:G,Historic!$C:$C,$A10),)</f>
        <v>-4857.35</v>
      </c>
      <c r="D10" s="75" t="str">
        <f>IF(AND($A10&lt;&gt;"",MAXIFS(Investment!$M:$M,Investment!$H:$H,LEFT($A10,30)&amp;"*")),MAXIFS(Investment!$M:$M,Investment!$H:$H,LEFT($A10,30)&amp;"*"),)</f>
        <v/>
      </c>
      <c r="E10" s="76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4">
        <f>IF($A11&lt;&gt;"",SUMIFS(Historic!E:E,Historic!$C:$C,$A11),)</f>
        <v>0</v>
      </c>
      <c r="C11" s="74">
        <f>IF($A11&lt;&gt;"",SUMIFS(Historic!G:G,Historic!$C:$C,$A11),)</f>
        <v>140.23</v>
      </c>
      <c r="D11" s="75" t="str">
        <f>IF(AND($A11&lt;&gt;"",MAXIFS(Investment!$M:$M,Investment!$H:$H,LEFT($A11,30)&amp;"*")),MAXIFS(Investment!$M:$M,Investment!$H:$H,LEFT($A11,30)&amp;"*"),)</f>
        <v/>
      </c>
      <c r="E11" s="76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4">
        <f>IF($A12&lt;&gt;"",SUMIFS(Historic!E:E,Historic!$C:$C,$A12),)</f>
        <v>0</v>
      </c>
      <c r="C12" s="74">
        <f>IF($A12&lt;&gt;"",SUMIFS(Historic!G:G,Historic!$C:$C,$A12),)</f>
        <v>-345.82</v>
      </c>
      <c r="D12" s="75" t="str">
        <f>IF(AND($A12&lt;&gt;"",MAXIFS(Investment!$M:$M,Investment!$H:$H,LEFT($A12,30)&amp;"*")),MAXIFS(Investment!$M:$M,Investment!$H:$H,LEFT($A12,30)&amp;"*"),)</f>
        <v/>
      </c>
      <c r="E12" s="76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4">
        <f>IF($A13&lt;&gt;"",SUMIFS(Historic!E:E,Historic!$C:$C,$A13),)</f>
        <v>0</v>
      </c>
      <c r="C13" s="74">
        <f>IF($A13&lt;&gt;"",SUMIFS(Historic!G:G,Historic!$C:$C,$A13),)</f>
        <v>-296.42</v>
      </c>
      <c r="D13" s="75" t="str">
        <f>IF(AND($A13&lt;&gt;"",MAXIFS(Investment!$M:$M,Investment!$H:$H,LEFT($A13,30)&amp;"*")),MAXIFS(Investment!$M:$M,Investment!$H:$H,LEFT($A13,30)&amp;"*"),)</f>
        <v/>
      </c>
      <c r="E13" s="76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4">
        <f>IF($A14&lt;&gt;"",SUMIFS(Historic!E:E,Historic!$C:$C,$A14),)</f>
        <v>0</v>
      </c>
      <c r="C14" s="74">
        <f>IF($A14&lt;&gt;"",SUMIFS(Historic!G:G,Historic!$C:$C,$A14),)</f>
        <v>1880.34</v>
      </c>
      <c r="D14" s="75" t="str">
        <f>IF(AND($A14&lt;&gt;"",MAXIFS(Investment!$M:$M,Investment!$H:$H,LEFT($A14,30)&amp;"*")),MAXIFS(Investment!$M:$M,Investment!$H:$H,LEFT($A14,30)&amp;"*"),)</f>
        <v/>
      </c>
      <c r="E14" s="76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4">
        <f>IF($A15&lt;&gt;"",SUMIFS(Historic!E:E,Historic!$C:$C,$A15),)</f>
        <v>0</v>
      </c>
      <c r="C15" s="74">
        <f>IF($A15&lt;&gt;"",SUMIFS(Historic!G:G,Historic!$C:$C,$A15),)</f>
        <v>-24138.28</v>
      </c>
      <c r="D15" s="75" t="str">
        <f>IF(AND($A15&lt;&gt;"",MAXIFS(Investment!$M:$M,Investment!$H:$H,LEFT($A15,30)&amp;"*")),MAXIFS(Investment!$M:$M,Investment!$H:$H,LEFT($A15,30)&amp;"*"),)</f>
        <v/>
      </c>
      <c r="E15" s="76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4">
        <f>IF($A16&lt;&gt;"",SUMIFS(Historic!E:E,Historic!$C:$C,$A16),)</f>
        <v>0</v>
      </c>
      <c r="C16" s="74">
        <f>IF($A16&lt;&gt;"",SUMIFS(Historic!G:G,Historic!$C:$C,$A16),)</f>
        <v>1451.96</v>
      </c>
      <c r="D16" s="75" t="str">
        <f>IF(AND($A16&lt;&gt;"",MAXIFS(Investment!$M:$M,Investment!$H:$H,LEFT($A16,30)&amp;"*")),MAXIFS(Investment!$M:$M,Investment!$H:$H,LEFT($A16,30)&amp;"*"),)</f>
        <v/>
      </c>
      <c r="E16" s="76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4">
        <f>IF($A17&lt;&gt;"",SUMIFS(Historic!E:E,Historic!$C:$C,$A17),)</f>
        <v>0</v>
      </c>
      <c r="C17" s="74">
        <f>IF($A17&lt;&gt;"",SUMIFS(Historic!G:G,Historic!$C:$C,$A17),)</f>
        <v>1091.52</v>
      </c>
      <c r="D17" s="75" t="str">
        <f>IF(AND($A17&lt;&gt;"",MAXIFS(Investment!$M:$M,Investment!$H:$H,LEFT($A17,30)&amp;"*")),MAXIFS(Investment!$M:$M,Investment!$H:$H,LEFT($A17,30)&amp;"*"),)</f>
        <v/>
      </c>
      <c r="E17" s="76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4">
        <f>IF($A18&lt;&gt;"",SUMIFS(Historic!E:E,Historic!$C:$C,$A18),)</f>
        <v>0</v>
      </c>
      <c r="C18" s="74">
        <f>IF($A18&lt;&gt;"",SUMIFS(Historic!G:G,Historic!$C:$C,$A18),)</f>
        <v>-690.07</v>
      </c>
      <c r="D18" s="75" t="str">
        <f>IF(AND($A18&lt;&gt;"",MAXIFS(Investment!$M:$M,Investment!$H:$H,LEFT($A18,30)&amp;"*")),MAXIFS(Investment!$M:$M,Investment!$H:$H,LEFT($A18,30)&amp;"*"),)</f>
        <v/>
      </c>
      <c r="E18" s="76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4">
        <f>IF($A19&lt;&gt;"",SUMIFS(Historic!E:E,Historic!$C:$C,$A19),)</f>
        <v>0</v>
      </c>
      <c r="C19" s="74">
        <f>IF($A19&lt;&gt;"",SUMIFS(Historic!G:G,Historic!$C:$C,$A19),)</f>
        <v>1209.7</v>
      </c>
      <c r="D19" s="75" t="str">
        <f>IF(AND($A19&lt;&gt;"",MAXIFS(Investment!$M:$M,Investment!$H:$H,LEFT($A19,30)&amp;"*")),MAXIFS(Investment!$M:$M,Investment!$H:$H,LEFT($A19,30)&amp;"*"),)</f>
        <v/>
      </c>
      <c r="E19" s="76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4">
        <f>IF($A20&lt;&gt;"",SUMIFS(Historic!E:E,Historic!$C:$C,$A20),)</f>
        <v>0</v>
      </c>
      <c r="C20" s="74">
        <f>IF($A20&lt;&gt;"",SUMIFS(Historic!G:G,Historic!$C:$C,$A20),)</f>
        <v>3485.4</v>
      </c>
      <c r="D20" s="75" t="str">
        <f>IF(AND($A20&lt;&gt;"",MAXIFS(Investment!$M:$M,Investment!$H:$H,LEFT($A20,30)&amp;"*")),MAXIFS(Investment!$M:$M,Investment!$H:$H,LEFT($A20,30)&amp;"*"),)</f>
        <v/>
      </c>
      <c r="E20" s="76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4">
        <f>IF($A21&lt;&gt;"",SUMIFS(Historic!E:E,Historic!$C:$C,$A21),)</f>
        <v>0</v>
      </c>
      <c r="C21" s="74">
        <f>IF($A21&lt;&gt;"",SUMIFS(Historic!G:G,Historic!$C:$C,$A21),)</f>
        <v>-5.5</v>
      </c>
      <c r="D21" s="75" t="str">
        <f>IF(AND($A21&lt;&gt;"",MAXIFS(Investment!$M:$M,Investment!$H:$H,LEFT($A21,30)&amp;"*")),MAXIFS(Investment!$M:$M,Investment!$H:$H,LEFT($A21,30)&amp;"*"),)</f>
        <v/>
      </c>
      <c r="E21" s="76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4">
        <f>IF($A22&lt;&gt;"",SUMIFS(Historic!E:E,Historic!$C:$C,$A22),)</f>
        <v>0</v>
      </c>
      <c r="C22" s="74">
        <f>IF($A22&lt;&gt;"",SUMIFS(Historic!G:G,Historic!$C:$C,$A22),)</f>
        <v>-32.19</v>
      </c>
      <c r="D22" s="75" t="str">
        <f>IF(AND($A22&lt;&gt;"",MAXIFS(Investment!$M:$M,Investment!$H:$H,LEFT($A22,30)&amp;"*")),MAXIFS(Investment!$M:$M,Investment!$H:$H,LEFT($A22,30)&amp;"*"),)</f>
        <v/>
      </c>
      <c r="E22" s="76" t="str">
        <f>IF(AND($A22&lt;&gt;"",MAXIFS(Investment!$AI:$AI,Investment!$H:$H,LEFT($A22,30)&amp;"*")),MAXIFS(Investment!$AI:$AI,Investment!$H:$H,LEFT($A22,30)&amp;"*"),)</f>
        <v/>
      </c>
    </row>
    <row r="23">
      <c r="A23" s="77" t="str">
        <f>IFERROR(__xludf.DUMMYFUNCTION("""COMPUTED_VALUE"""),"UNIBAIL RODAMCO SE")</f>
        <v>UNIBAIL RODAMCO SE</v>
      </c>
      <c r="B23" s="74">
        <f>IF($A23&lt;&gt;"",SUMIFS(Historic!E:E,Historic!$C:$C,$A23),)</f>
        <v>0</v>
      </c>
      <c r="C23" s="74">
        <f>IF($A23&lt;&gt;"",SUMIFS(Historic!G:G,Historic!$C:$C,$A23),)</f>
        <v>107.7</v>
      </c>
      <c r="D23" s="75" t="str">
        <f>IF(AND($A23&lt;&gt;"",MAXIFS(Investment!$M:$M,Investment!$H:$H,LEFT($A23,30)&amp;"*")),MAXIFS(Investment!$M:$M,Investment!$H:$H,LEFT($A23,30)&amp;"*"),)</f>
        <v/>
      </c>
      <c r="E23" s="76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4">
        <f>IF($A24&lt;&gt;"",SUMIFS(Historic!E:E,Historic!$C:$C,$A24),)</f>
        <v>0</v>
      </c>
      <c r="C24" s="74">
        <f>IF($A24&lt;&gt;"",SUMIFS(Historic!G:G,Historic!$C:$C,$A24),)</f>
        <v>-68.12</v>
      </c>
      <c r="D24" s="75" t="str">
        <f>IF(AND($A24&lt;&gt;"",MAXIFS(Investment!$M:$M,Investment!$H:$H,LEFT($A24,30)&amp;"*")),MAXIFS(Investment!$M:$M,Investment!$H:$H,LEFT($A24,30)&amp;"*"),)</f>
        <v/>
      </c>
      <c r="E24" s="76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4">
        <f>IF($A25&lt;&gt;"",SUMIFS(Historic!E:E,Historic!$C:$C,$A25),)</f>
        <v>0</v>
      </c>
      <c r="C25" s="74">
        <f>IF($A25&lt;&gt;"",SUMIFS(Historic!G:G,Historic!$C:$C,$A25),)</f>
        <v>123.37</v>
      </c>
      <c r="D25" s="75" t="str">
        <f>IF(AND($A25&lt;&gt;"",MAXIFS(Investment!$M:$M,Investment!$H:$H,LEFT($A25,30)&amp;"*")),MAXIFS(Investment!$M:$M,Investment!$H:$H,LEFT($A25,30)&amp;"*"),)</f>
        <v/>
      </c>
      <c r="E25" s="76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4">
        <f>IF($A26&lt;&gt;"",SUMIFS(Historic!E:E,Historic!$C:$C,$A26),)</f>
        <v>0</v>
      </c>
      <c r="C26" s="74">
        <f>IF($A26&lt;&gt;"",SUMIFS(Historic!G:G,Historic!$C:$C,$A26),)</f>
        <v>217.06</v>
      </c>
      <c r="D26" s="75" t="str">
        <f>IF(AND($A26&lt;&gt;"",MAXIFS(Investment!$M:$M,Investment!$H:$H,LEFT($A26,30)&amp;"*")),MAXIFS(Investment!$M:$M,Investment!$H:$H,LEFT($A26,30)&amp;"*"),)</f>
        <v/>
      </c>
      <c r="E26" s="76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4">
        <f>IF($A27&lt;&gt;"",SUMIFS(Historic!E:E,Historic!$C:$C,$A27),)</f>
        <v>0</v>
      </c>
      <c r="C27" s="74">
        <f>IF($A27&lt;&gt;"",SUMIFS(Historic!G:G,Historic!$C:$C,$A27),)</f>
        <v>137.91</v>
      </c>
      <c r="D27" s="75" t="str">
        <f>IF(AND($A27&lt;&gt;"",MAXIFS(Investment!$M:$M,Investment!$H:$H,LEFT($A27,30)&amp;"*")),MAXIFS(Investment!$M:$M,Investment!$H:$H,LEFT($A27,30)&amp;"*"),)</f>
        <v/>
      </c>
      <c r="E27" s="76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4">
        <f>IF($A28&lt;&gt;"",SUMIFS(Historic!E:E,Historic!$C:$C,$A28),)</f>
        <v>0</v>
      </c>
      <c r="C28" s="74">
        <f>IF($A28&lt;&gt;"",SUMIFS(Historic!G:G,Historic!$C:$C,$A28),)</f>
        <v>1049.82</v>
      </c>
      <c r="D28" s="75" t="str">
        <f>IF(AND($A28&lt;&gt;"",MAXIFS(Investment!$M:$M,Investment!$H:$H,LEFT($A28,30)&amp;"*")),MAXIFS(Investment!$M:$M,Investment!$H:$H,LEFT($A28,30)&amp;"*"),)</f>
        <v/>
      </c>
      <c r="E28" s="76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4">
        <f>IF($A29&lt;&gt;"",SUMIFS(Historic!E:E,Historic!$C:$C,$A29),)</f>
        <v>0</v>
      </c>
      <c r="C29" s="74">
        <f>IF($A29&lt;&gt;"",SUMIFS(Historic!G:G,Historic!$C:$C,$A29),)</f>
        <v>460.31</v>
      </c>
      <c r="D29" s="75" t="str">
        <f>IF(AND($A29&lt;&gt;"",MAXIFS(Investment!$M:$M,Investment!$H:$H,LEFT($A29,30)&amp;"*")),MAXIFS(Investment!$M:$M,Investment!$H:$H,LEFT($A29,30)&amp;"*"),)</f>
        <v/>
      </c>
      <c r="E29" s="76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4">
        <f>IF($A30&lt;&gt;"",SUMIFS(Historic!E:E,Historic!$C:$C,$A30),)</f>
        <v>0</v>
      </c>
      <c r="C30" s="74">
        <f>IF($A30&lt;&gt;"",SUMIFS(Historic!G:G,Historic!$C:$C,$A30),)</f>
        <v>-532.01</v>
      </c>
      <c r="D30" s="75" t="str">
        <f>IF(AND($A30&lt;&gt;"",MAXIFS(Investment!$M:$M,Investment!$H:$H,LEFT($A30,30)&amp;"*")),MAXIFS(Investment!$M:$M,Investment!$H:$H,LEFT($A30,30)&amp;"*"),)</f>
        <v/>
      </c>
      <c r="E30" s="76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4">
        <f>IF($A31&lt;&gt;"",SUMIFS(Historic!E:E,Historic!$C:$C,$A31),)</f>
        <v>0</v>
      </c>
      <c r="C31" s="74">
        <f>IF($A31&lt;&gt;"",SUMIFS(Historic!G:G,Historic!$C:$C,$A31),)</f>
        <v>173.19</v>
      </c>
      <c r="D31" s="75" t="str">
        <f>IF(AND($A31&lt;&gt;"",MAXIFS(Investment!$M:$M,Investment!$H:$H,LEFT($A31,30)&amp;"*")),MAXIFS(Investment!$M:$M,Investment!$H:$H,LEFT($A31,30)&amp;"*"),)</f>
        <v/>
      </c>
      <c r="E31" s="76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4">
        <f>IF($A32&lt;&gt;"",SUMIFS(Historic!E:E,Historic!$C:$C,$A32),)</f>
        <v>0</v>
      </c>
      <c r="C32" s="74">
        <f>IF($A32&lt;&gt;"",SUMIFS(Historic!G:G,Historic!$C:$C,$A32),)</f>
        <v>401.01</v>
      </c>
      <c r="D32" s="75" t="str">
        <f>IF(AND($A32&lt;&gt;"",MAXIFS(Investment!$M:$M,Investment!$H:$H,LEFT($A32,30)&amp;"*")),MAXIFS(Investment!$M:$M,Investment!$H:$H,LEFT($A32,30)&amp;"*"),)</f>
        <v/>
      </c>
      <c r="E32" s="76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78" t="s">
        <v>1</v>
      </c>
      <c r="B1" s="79">
        <f>B$37+B$29+B$18</f>
        <v>313359.7796</v>
      </c>
    </row>
    <row r="2" ht="14.25" customHeight="1">
      <c r="A2" s="80" t="s">
        <v>226</v>
      </c>
      <c r="B2" s="81">
        <f>$B$3/$B$7</f>
        <v>1.17464323</v>
      </c>
    </row>
    <row r="3" ht="14.25" customHeight="1">
      <c r="A3" s="82" t="s">
        <v>227</v>
      </c>
      <c r="B3" s="83">
        <f>B$37-B$46</f>
        <v>202222.002</v>
      </c>
    </row>
    <row r="4" ht="14.25" customHeight="1">
      <c r="A4" s="82" t="s">
        <v>228</v>
      </c>
      <c r="B4" s="84">
        <f>B3/B$7/B$8</f>
        <v>0.1234287801</v>
      </c>
    </row>
    <row r="5" ht="14.25" customHeight="1">
      <c r="A5" s="82" t="s">
        <v>229</v>
      </c>
      <c r="B5" s="83">
        <f>SUMIF(Historic!D:D,"=DIVIDEND",Historic!G:G)</f>
        <v>38887.45</v>
      </c>
    </row>
    <row r="6" ht="14.25" customHeight="1">
      <c r="A6" s="82" t="s">
        <v>230</v>
      </c>
      <c r="B6" s="84">
        <f>B5/B$7/B$8</f>
        <v>0.02373545147</v>
      </c>
    </row>
    <row r="7" ht="14.25" customHeight="1">
      <c r="A7" s="82" t="s">
        <v>231</v>
      </c>
      <c r="B7" s="85">
        <f>AVERAGE(Evolution!J:J)</f>
        <v>172156.104</v>
      </c>
    </row>
    <row r="8" ht="14.25" hidden="1" customHeight="1">
      <c r="A8" s="82" t="s">
        <v>232</v>
      </c>
      <c r="B8" s="86">
        <f t="array" ref="B8">(DateTime!$B$2-INDEX(Historic!A:A, ROWS(Historic!A:A)))/365.25</f>
        <v>9.516769336</v>
      </c>
    </row>
    <row r="9" ht="14.25" customHeight="1">
      <c r="A9" s="82" t="s">
        <v>232</v>
      </c>
      <c r="B9" s="87" t="str">
        <f>ROUNDUP(B8*12) &amp; " months (" &amp; ROUNDUP(B8,1) &amp;  " years)"</f>
        <v>115 months (9.6 years)</v>
      </c>
    </row>
    <row r="10" ht="14.25" customHeight="1">
      <c r="A10" s="82" t="s">
        <v>233</v>
      </c>
      <c r="B10" s="88" t="str">
        <f>ROUNDUP(B1/-B14) &amp; " months (" &amp; ROUNDUP(B1/-B14/12,1) &amp;  " years)"</f>
        <v>252 months (21 years)</v>
      </c>
    </row>
    <row r="11" ht="14.25" customHeight="1">
      <c r="A11" s="82" t="s">
        <v>234</v>
      </c>
      <c r="B11" s="88" t="str">
        <f>ROUNDUP(B12/(B13+B14)) &amp; " months (" &amp; ROUNDUP(B12/(B13+B14)/12,1) &amp;  " years)"</f>
        <v>1166 months (97.2 years)</v>
      </c>
    </row>
    <row r="12" ht="14.25" customHeight="1">
      <c r="A12" s="82" t="s">
        <v>235</v>
      </c>
      <c r="B12" s="83">
        <f>B$1+B$14*12/$B6</f>
        <v>-315447.1641</v>
      </c>
    </row>
    <row r="13" ht="14.25" customHeight="1">
      <c r="A13" s="89" t="s">
        <v>236</v>
      </c>
      <c r="B13" s="90">
        <f>(B46+B29+B18)/(12*B8)</f>
        <v>973.1749441</v>
      </c>
    </row>
    <row r="14" ht="14.25" customHeight="1">
      <c r="A14" s="91" t="s">
        <v>8</v>
      </c>
      <c r="B14" s="92">
        <f>AVERAGE(Expenses!B:B)</f>
        <v>-1243.751391</v>
      </c>
    </row>
    <row r="15" ht="14.25" customHeight="1">
      <c r="A15" s="93" t="s">
        <v>237</v>
      </c>
      <c r="B15" s="94">
        <f>-B$14/B$13</f>
        <v>1.278034745</v>
      </c>
    </row>
    <row r="16" ht="14.25" customHeight="1">
      <c r="A16" s="93" t="s">
        <v>7</v>
      </c>
      <c r="B16" s="95">
        <f t="array" ref="B16">INDEX(Expenses!B:B,2)</f>
        <v>-1019.21</v>
      </c>
    </row>
    <row r="17" ht="14.25" customHeight="1">
      <c r="A17" s="93" t="s">
        <v>9</v>
      </c>
      <c r="B17" s="95">
        <f>B$22+B$14</f>
        <v>-732.7640575</v>
      </c>
    </row>
    <row r="18" ht="14.25" customHeight="1">
      <c r="A18" s="93" t="s">
        <v>2</v>
      </c>
      <c r="B18" s="96">
        <f>SUM(BankAccount!B:B)</f>
        <v>1048.95</v>
      </c>
    </row>
    <row r="19" ht="14.25" customHeight="1">
      <c r="A19" s="93" t="s">
        <v>238</v>
      </c>
      <c r="B19" s="97">
        <f>$B$21/$B$47*1000</f>
        <v>0.22145205</v>
      </c>
    </row>
    <row r="20" ht="14.25" customHeight="1">
      <c r="A20" s="93" t="s">
        <v>10</v>
      </c>
      <c r="B20" s="96">
        <f>MAX(ROUNDUP(SUM(Budget!B:B,Client!B:B,-$B$18)/100)*100,0)</f>
        <v>0</v>
      </c>
    </row>
    <row r="21" ht="14.25" customHeight="1">
      <c r="A21" s="93" t="s">
        <v>34</v>
      </c>
      <c r="B21" s="97">
        <f t="array" ref="B21">INDEX(Investment!$AV:$AV,ROWS(Investment!$AV:$AV))+$B$57</f>
        <v>38.31309363</v>
      </c>
    </row>
    <row r="22" ht="14.25" customHeight="1">
      <c r="A22" s="93" t="s">
        <v>239</v>
      </c>
      <c r="B22" s="97">
        <f t="array" ref="B22">INDEX(AllocationHistoric!N:N,2)</f>
        <v>510.9873338</v>
      </c>
    </row>
    <row r="23" ht="14.25" customHeight="1">
      <c r="A23" s="93" t="s">
        <v>240</v>
      </c>
      <c r="B23" s="96">
        <f>AVERAGE(OFFSET(AllocationHistoric!$O:$O,1,0,12,1))</f>
        <v>-29.99164057</v>
      </c>
    </row>
    <row r="24" ht="14.25" customHeight="1">
      <c r="A24" s="93" t="s">
        <v>37</v>
      </c>
      <c r="B24" s="96">
        <f>AVERAGE(OFFSET(AllocationHistoric!$H:$H,1,0,12,1))</f>
        <v>5647.439</v>
      </c>
    </row>
    <row r="25" ht="14.25" customHeight="1">
      <c r="A25" s="93" t="s">
        <v>38</v>
      </c>
      <c r="B25" s="98">
        <f>B27+B24</f>
        <v>7684.842</v>
      </c>
    </row>
    <row r="26" ht="14.25" customHeight="1">
      <c r="A26" s="93" t="s">
        <v>39</v>
      </c>
      <c r="B26" s="98">
        <f t="array" ref="B26">INDEX(AllocationHistoric!$B:$B,2)+$B$24+SUMIFS(Historic!G:G,Historic!D:D,"APPROVISIONNEMENT",Historic!A:A,"&gt;"&amp;EOMONTH(DateTime!B2,-1))</f>
        <v>384776.699</v>
      </c>
    </row>
    <row r="27" ht="14.25" customHeight="1">
      <c r="A27" s="93" t="s">
        <v>40</v>
      </c>
      <c r="B27" s="98">
        <f>$B$37-$B$26</f>
        <v>2037.403</v>
      </c>
    </row>
    <row r="28" ht="14.25" customHeight="1">
      <c r="A28" s="99" t="s">
        <v>41</v>
      </c>
      <c r="B28" s="100">
        <f>$B$27/$B$24+1</f>
        <v>1.360765827</v>
      </c>
    </row>
    <row r="29" ht="14.25" customHeight="1">
      <c r="A29" s="101" t="s">
        <v>241</v>
      </c>
      <c r="B29" s="102">
        <f>SUM(B$30:B$32)</f>
        <v>-74503.2724</v>
      </c>
    </row>
    <row r="30" ht="14.25" customHeight="1">
      <c r="A30" s="101" t="s">
        <v>3</v>
      </c>
      <c r="B30" s="102">
        <f>SUMIF(Budget!J:J,"&gt;0")</f>
        <v>9300</v>
      </c>
    </row>
    <row r="31" ht="14.25" customHeight="1">
      <c r="A31" s="101" t="s">
        <v>4</v>
      </c>
      <c r="B31" s="102">
        <f>SUMIF(Budget!J:J,"&lt;0")</f>
        <v>-24848.85</v>
      </c>
    </row>
    <row r="32" ht="14.25" customHeight="1">
      <c r="A32" s="103" t="s">
        <v>5</v>
      </c>
      <c r="B32" s="104">
        <f>-SUM(Client!J:J)</f>
        <v>-58954.4224</v>
      </c>
    </row>
    <row r="33" ht="14.25" hidden="1" customHeight="1">
      <c r="A33" s="105" t="s">
        <v>242</v>
      </c>
      <c r="B33" s="106">
        <f t="array" ref="B33">(DateTime!$B$2-INDEX(Evolution!A:A, ROWS(Evolution!A:A)))/365.25</f>
        <v>4.960985626</v>
      </c>
    </row>
    <row r="34" ht="14.25" customHeight="1">
      <c r="A34" s="107" t="s">
        <v>242</v>
      </c>
      <c r="B34" s="108" t="str">
        <f>ROUNDUP(B33*12) &amp; " months (" &amp; ROUNDUP(B33,1) &amp;  " years)"</f>
        <v>60 months (5 years)</v>
      </c>
    </row>
    <row r="35" ht="14.25" customHeight="1">
      <c r="A35" s="109" t="s">
        <v>19</v>
      </c>
      <c r="B35" s="110">
        <f t="array" ref="B35">INDEX(Investment!O:O,ROWS(Investment!O:O))+INDEX(Investment!AM:AM,ROWS(Investment!AM:AM))</f>
        <v>1197415.072</v>
      </c>
    </row>
    <row r="36" ht="14.25" customHeight="1">
      <c r="A36" s="109" t="s">
        <v>20</v>
      </c>
      <c r="B36" s="110">
        <f>SUMIFS(Historic!G:G,Historic!$H:$H,"&lt;&gt;XXXXXX")</f>
        <v>-810600.97</v>
      </c>
    </row>
    <row r="37" ht="14.25" customHeight="1">
      <c r="A37" s="109" t="s">
        <v>21</v>
      </c>
      <c r="B37" s="110">
        <f>B35+B36</f>
        <v>386814.102</v>
      </c>
    </row>
    <row r="38" ht="14.25" customHeight="1">
      <c r="A38" s="109" t="s">
        <v>22</v>
      </c>
      <c r="B38" s="111">
        <f>$B$37+$B44-SUMIFS(Historic!G:G,Historic!$A:$A,"&gt;" &amp; DATE(2017,4,20),Historic!$B:$B,"")</f>
        <v>213805.572</v>
      </c>
    </row>
    <row r="39" ht="14.25" customHeight="1">
      <c r="A39" s="109" t="s">
        <v>23</v>
      </c>
      <c r="B39" s="112">
        <f>B38/B$7/B$33</f>
        <v>0.2503390643</v>
      </c>
    </row>
    <row r="40" ht="14.25" customHeight="1">
      <c r="A40" s="109" t="s">
        <v>243</v>
      </c>
      <c r="B40" s="110">
        <f>B38-B42-B44</f>
        <v>194083.542</v>
      </c>
    </row>
    <row r="41" ht="14.25" customHeight="1">
      <c r="A41" s="109" t="s">
        <v>244</v>
      </c>
      <c r="B41" s="112">
        <f>B40/B$7/B$33</f>
        <v>0.2272470818</v>
      </c>
    </row>
    <row r="42" ht="14.25" customHeight="1">
      <c r="A42" s="109" t="s">
        <v>245</v>
      </c>
      <c r="B42" s="110">
        <f>SUMIFS(Historic!G:G,Historic!D:D,"=DIVIDEND",Historic!B:B,"&lt;&gt;",Historic!H:H,"&lt;&gt;XXXXXX")</f>
        <v>35485.36</v>
      </c>
    </row>
    <row r="43" ht="14.25" customHeight="1">
      <c r="A43" s="113" t="s">
        <v>246</v>
      </c>
      <c r="B43" s="112">
        <f>B42/B$7/B$33</f>
        <v>0.04154883213</v>
      </c>
    </row>
    <row r="44" ht="14.25" customHeight="1">
      <c r="A44" s="113" t="s">
        <v>247</v>
      </c>
      <c r="B44" s="110">
        <f t="array" ref="B44">INDEX(Investment!AF:AF,ROWS(Investment!AF:AF))</f>
        <v>-15763.33</v>
      </c>
    </row>
    <row r="45" ht="14.25" customHeight="1">
      <c r="A45" s="113" t="s">
        <v>248</v>
      </c>
      <c r="B45" s="112">
        <f>B44/B$7/B$33</f>
        <v>-0.01845684959</v>
      </c>
    </row>
    <row r="46" ht="14.25" customHeight="1">
      <c r="A46" s="114" t="s">
        <v>13</v>
      </c>
      <c r="B46" s="115">
        <f>SUMIF(Historic!D:D,"=APPROVISIONNEMENT",Historic!G:G)</f>
        <v>184592.1</v>
      </c>
    </row>
    <row r="47" ht="14.25" customHeight="1">
      <c r="A47" s="116" t="s">
        <v>15</v>
      </c>
      <c r="B47" s="117">
        <f>B37-B38</f>
        <v>173008.53</v>
      </c>
    </row>
    <row r="48" ht="14.25" customHeight="1">
      <c r="A48" s="116" t="s">
        <v>14</v>
      </c>
      <c r="B48" s="117">
        <f t="array" ref="B48">$B$47-$B$46+$B$38-INDEX(Investment!$AD:$AD,ROWS(Investment!$AD:$AD))</f>
        <v>-8626.65</v>
      </c>
    </row>
    <row r="49" ht="14.25" customHeight="1">
      <c r="A49" s="116" t="s">
        <v>25</v>
      </c>
      <c r="B49" s="117">
        <f>Allocation!B12</f>
        <v>556000</v>
      </c>
    </row>
    <row r="50" ht="14.25" customHeight="1">
      <c r="A50" s="116" t="s">
        <v>28</v>
      </c>
      <c r="B50" s="118" t="str">
        <f>ROUND($B$37/($B$37+$B$49)*100,1)&amp;"% ("&amp;ROUND($B$37/($B$37-$B$36)*100,1)&amp;"%)"</f>
        <v>41% (32.3%)</v>
      </c>
    </row>
    <row r="51" ht="14.25" customHeight="1">
      <c r="A51" s="116" t="s">
        <v>26</v>
      </c>
      <c r="B51" s="117">
        <f>Allocation!B11</f>
        <v>27589.5804</v>
      </c>
    </row>
    <row r="52" ht="14.25" customHeight="1">
      <c r="A52" s="116" t="s">
        <v>27</v>
      </c>
      <c r="B52" s="117">
        <f>Allocation!B13</f>
        <v>892000</v>
      </c>
    </row>
    <row r="53" ht="14.25" hidden="1" customHeight="1">
      <c r="A53" s="116" t="s">
        <v>249</v>
      </c>
      <c r="B53" s="117" t="str">
        <f>Allocation!B14</f>
        <v/>
      </c>
    </row>
    <row r="54" ht="14.25" customHeight="1">
      <c r="A54" s="119" t="s">
        <v>250</v>
      </c>
      <c r="B54" s="120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0.02252390591</v>
      </c>
    </row>
    <row r="55" ht="14.25" customHeight="1">
      <c r="A55" s="121" t="s">
        <v>251</v>
      </c>
      <c r="B55" s="122">
        <v>-0.0047</v>
      </c>
    </row>
    <row r="56" ht="14.25" customHeight="1">
      <c r="A56" s="121" t="s">
        <v>29</v>
      </c>
      <c r="B56" s="122">
        <f>MAX(B55,0)+1.25/100</f>
        <v>0.0125</v>
      </c>
    </row>
    <row r="57" ht="14.25" customHeight="1">
      <c r="A57" s="121" t="s">
        <v>11</v>
      </c>
      <c r="B57" s="123">
        <f>ROUND(MIN(Interest!J:J),2)</f>
        <v>-1298.62</v>
      </c>
    </row>
    <row r="58" ht="14.25" customHeight="1">
      <c r="A58" s="124" t="s">
        <v>252</v>
      </c>
      <c r="B58" s="125">
        <f t="array" ref="B58">INDEX(Investment!$P:$P,ROWS(Investment!$P:$P))-INDEX(Investment!$O:$O,ROWS(Investment!$O:$O))</f>
        <v>71606.99547</v>
      </c>
    </row>
    <row r="59" ht="14.25" customHeight="1">
      <c r="A59" s="126" t="s">
        <v>16</v>
      </c>
      <c r="B59" s="127">
        <f t="array" ref="B59">INDEX(Investment!X:X,ROWS(Investment!X:X))</f>
        <v>0</v>
      </c>
    </row>
    <row r="60" ht="14.25" customHeight="1">
      <c r="A60" s="93" t="s">
        <v>17</v>
      </c>
      <c r="B60" s="127">
        <f>AVERAGEIFS(Evolution!$G:$G,Evolution!$G:$G,"&lt;&gt;0",Evolution!$A:$A,"&gt;=" &amp; DATE(DateTime!$B$4-1,DateTime!$B$5,DateTime!$B$6))</f>
        <v>498.9665689</v>
      </c>
    </row>
    <row r="61" ht="14.25" customHeight="1">
      <c r="A61" s="126" t="s">
        <v>32</v>
      </c>
      <c r="B61" s="128">
        <f>(COUNTIFS(Historic!$J:$J,"&lt;&gt;",Historic!$D:$D,"&lt;&gt;COST")-1)/(DateTime!$B$2-MINIFS(Historic!$A:$A,Historic!$J:$J,"&lt;&gt;'"))*365.25/12</f>
        <v>13.41184156</v>
      </c>
    </row>
    <row r="62" ht="14.25" customHeight="1">
      <c r="A62" s="126" t="s">
        <v>31</v>
      </c>
      <c r="B62" s="98">
        <f>AVERAGE(Historic!$J:$J)</f>
        <v>336.2956744</v>
      </c>
    </row>
    <row r="63" ht="14.25" customHeight="1">
      <c r="A63" s="126" t="s">
        <v>33</v>
      </c>
      <c r="B63" s="129">
        <f>B61*B62</f>
        <v>4510.3443</v>
      </c>
    </row>
    <row r="64" ht="14.25" customHeight="1">
      <c r="A64" s="126" t="s">
        <v>35</v>
      </c>
      <c r="B64" s="129">
        <f>B63+B21</f>
        <v>4548.657394</v>
      </c>
    </row>
    <row r="65" ht="14.25" customHeight="1">
      <c r="A65" s="126" t="s">
        <v>253</v>
      </c>
      <c r="B65" s="98">
        <f>SUM(Historic!$I:$I)/(COUNT(Evolution!A:A)-1)</f>
        <v>162.2129724</v>
      </c>
    </row>
    <row r="66" ht="14.25" customHeight="1">
      <c r="A66" s="126" t="s">
        <v>254</v>
      </c>
      <c r="B66" s="98">
        <f>AVERAGE(Historic!$I:$I)</f>
        <v>345.3829899</v>
      </c>
    </row>
    <row r="67" ht="14.25" customHeight="1">
      <c r="A67" s="126" t="s">
        <v>255</v>
      </c>
      <c r="B67" s="129">
        <f>B66*B61</f>
        <v>4632.221937</v>
      </c>
    </row>
    <row r="68" ht="14.25" customHeight="1">
      <c r="A68" s="126" t="s">
        <v>256</v>
      </c>
      <c r="B68" s="130">
        <f t="array" ref="B68">INDEX(Investment!AL:AL,ROWS(Investment!AL:AL))</f>
        <v>0.002430077486</v>
      </c>
    </row>
    <row r="69" ht="14.25" customHeight="1">
      <c r="A69" s="126" t="s">
        <v>257</v>
      </c>
      <c r="B69" s="131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173d (5.8m)</v>
      </c>
    </row>
    <row r="70" ht="14.25" customHeight="1">
      <c r="A70" s="126" t="s">
        <v>258</v>
      </c>
      <c r="B70" s="132">
        <f t="array" ref="B70">INDEX(Investment!AQ:AQ,ROWS(Investment!AQ:AQ))</f>
        <v>1.270758403</v>
      </c>
    </row>
    <row r="71" ht="14.25" customHeight="1">
      <c r="A71" s="126" t="s">
        <v>259</v>
      </c>
      <c r="B71" s="133" t="s">
        <v>260</v>
      </c>
    </row>
  </sheetData>
  <conditionalFormatting sqref="A1:B71">
    <cfRule type="expression" dxfId="0" priority="1">
      <formula>IFERROR(MATCH($A1,SPLIT(TEXTJOIN(";",TRUE,INDIRECT("Settings!$B$1:$F$7")),";"),0),-1)&gt;0</formula>
    </cfRule>
  </conditionalFormatting>
  <conditionalFormatting sqref="B55">
    <cfRule type="expression" dxfId="1" priority="2">
      <formula>ISFORMULA($B55)</formula>
    </cfRule>
  </conditionalFormatting>
  <hyperlinks>
    <hyperlink r:id="rId2" ref="B71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2.86"/>
    <col customWidth="1" hidden="1" min="41" max="41" width="13.86"/>
    <col customWidth="1" hidden="1" min="42" max="42" width="11.14"/>
    <col customWidth="1" hidden="1" min="43" max="43" width="17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4" t="s">
        <v>65</v>
      </c>
      <c r="B1" s="135" t="s">
        <v>261</v>
      </c>
      <c r="C1" s="135" t="s">
        <v>262</v>
      </c>
      <c r="D1" s="136" t="s">
        <v>263</v>
      </c>
      <c r="E1" s="136" t="s">
        <v>264</v>
      </c>
      <c r="F1" s="135" t="s">
        <v>175</v>
      </c>
      <c r="G1" s="135" t="s">
        <v>265</v>
      </c>
      <c r="H1" s="135" t="s">
        <v>66</v>
      </c>
      <c r="I1" s="135" t="s">
        <v>266</v>
      </c>
      <c r="J1" s="135" t="s">
        <v>267</v>
      </c>
      <c r="K1" s="137" t="s">
        <v>268</v>
      </c>
      <c r="L1" s="138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38" t="s">
        <v>69</v>
      </c>
      <c r="N1" s="139" t="s">
        <v>269</v>
      </c>
      <c r="O1" s="139" t="s">
        <v>270</v>
      </c>
      <c r="P1" s="140" t="s">
        <v>271</v>
      </c>
      <c r="Q1" s="63" t="s">
        <v>272</v>
      </c>
      <c r="R1" s="63" t="s">
        <v>273</v>
      </c>
      <c r="S1" s="63" t="s">
        <v>274</v>
      </c>
      <c r="T1" s="63" t="s">
        <v>275</v>
      </c>
      <c r="U1" s="63" t="s">
        <v>276</v>
      </c>
      <c r="V1" s="141" t="s">
        <v>277</v>
      </c>
      <c r="W1" s="142" t="s">
        <v>277</v>
      </c>
      <c r="X1" s="143" t="s">
        <v>278</v>
      </c>
      <c r="Y1" s="144" t="s">
        <v>279</v>
      </c>
      <c r="Z1" s="145" t="s">
        <v>280</v>
      </c>
      <c r="AA1" s="145" t="s">
        <v>279</v>
      </c>
      <c r="AB1" s="145" t="s">
        <v>281</v>
      </c>
      <c r="AC1" s="144" t="s">
        <v>279</v>
      </c>
      <c r="AD1" s="146" t="s">
        <v>282</v>
      </c>
      <c r="AE1" s="147" t="s">
        <v>279</v>
      </c>
      <c r="AF1" s="148" t="s">
        <v>283</v>
      </c>
      <c r="AG1" s="135" t="s">
        <v>284</v>
      </c>
      <c r="AH1" s="135" t="s">
        <v>285</v>
      </c>
      <c r="AI1" s="135" t="s">
        <v>286</v>
      </c>
      <c r="AJ1" s="135" t="s">
        <v>287</v>
      </c>
      <c r="AK1" s="135" t="s">
        <v>288</v>
      </c>
      <c r="AL1" s="135" t="s">
        <v>289</v>
      </c>
      <c r="AM1" s="149" t="s">
        <v>290</v>
      </c>
      <c r="AN1" s="141" t="s">
        <v>275</v>
      </c>
      <c r="AO1" s="141" t="s">
        <v>291</v>
      </c>
      <c r="AP1" s="141" t="s">
        <v>292</v>
      </c>
      <c r="AQ1" s="141" t="s">
        <v>293</v>
      </c>
      <c r="AR1" s="150" t="s">
        <v>294</v>
      </c>
      <c r="AS1" s="151" t="s">
        <v>295</v>
      </c>
      <c r="AT1" s="152" t="s">
        <v>296</v>
      </c>
      <c r="AU1" s="138" t="s">
        <v>297</v>
      </c>
      <c r="AV1" s="153" t="s">
        <v>298</v>
      </c>
      <c r="AW1" s="154" t="s">
        <v>299</v>
      </c>
      <c r="AX1" s="154" t="s">
        <v>300</v>
      </c>
      <c r="AY1" s="154" t="s">
        <v>301</v>
      </c>
      <c r="AZ1" s="155" t="s">
        <v>302</v>
      </c>
      <c r="BA1" s="154" t="s">
        <v>303</v>
      </c>
      <c r="BB1" s="154" t="s">
        <v>304</v>
      </c>
      <c r="BC1" s="155" t="s">
        <v>305</v>
      </c>
      <c r="BD1" s="154" t="s">
        <v>306</v>
      </c>
      <c r="BE1" s="154" t="s">
        <v>307</v>
      </c>
      <c r="BF1" s="156" t="s">
        <v>308</v>
      </c>
      <c r="BG1" s="157" t="s">
        <v>309</v>
      </c>
    </row>
    <row r="2">
      <c r="A2" s="158" t="s">
        <v>192</v>
      </c>
      <c r="B2" s="159">
        <v>0.4</v>
      </c>
      <c r="C2" s="160"/>
      <c r="D2" s="161" t="s">
        <v>310</v>
      </c>
      <c r="E2" s="162" t="s">
        <v>311</v>
      </c>
      <c r="F2" s="163" t="s">
        <v>74</v>
      </c>
      <c r="G2" s="164" t="str">
        <f>IFERROR(__xludf.DUMMYFUNCTION("INDEX(SPLIT($E2,"" ""),1,1)"),"IS04")</f>
        <v>IS04</v>
      </c>
      <c r="H2" s="164" t="str">
        <f>IFERROR(__xludf.DUMMYFUNCTION("TRIM(INDEX(SPLIT(SPLIT($E2,$I2,FALSE),"" | "",FALSE),1,2))"),"iShares Treasury Bond 20+ UCITS")</f>
        <v>iShares Treasury Bond 20+ UCITS</v>
      </c>
      <c r="I2" s="164" t="str">
        <f>IFERROR(__xludf.DUMMYFUNCTION("INDEX(SPLIT(SPLIT($E2,""ETF "",FALSE),"" ""),1,COLUMNS(SPLIT(SPLIT($E2,""ETF "",FALSE),"" "")))"),"Xetra")</f>
        <v>Xetra</v>
      </c>
      <c r="J2" s="164" t="str">
        <f t="shared" ref="J2:J6" si="2">SWITCH($I2,"XETRA","GR","Amsterdam","NA","Paris","FP")</f>
        <v>GR</v>
      </c>
      <c r="K2" s="165">
        <f>SUMIFS(Historic!$E:$E,Historic!$C:$C,$H2)</f>
        <v>86886</v>
      </c>
      <c r="L2" s="166"/>
      <c r="M2" s="167">
        <v>5.062</v>
      </c>
      <c r="N2" s="15">
        <f>IF($K2,-SUMIFS(Historic!G:G,Historic!D:D,"&lt;&gt;DIVIDEND",Historic!C:C,"=" &amp; H2)-$AM2,0)</f>
        <v>371284.59</v>
      </c>
      <c r="O2" s="168">
        <f t="shared" ref="O2:O6" si="3">M2*K2</f>
        <v>439816.932</v>
      </c>
      <c r="P2" s="169">
        <f t="shared" ref="P2:P6" si="4">$P$7*$B2*(1-$AJ2)</f>
        <v>518592.7361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0">
        <f t="shared" ref="R2:R6" si="5">RANK($AH2,$AH$2:$AH$6)-1</f>
        <v>3</v>
      </c>
      <c r="S2" s="171">
        <f t="shared" ref="S2:S6" si="6">ROUNDUP(-T2/$M2)</f>
        <v>15562</v>
      </c>
      <c r="T2" s="172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$62),ROUNDUP(1000/$M2)*$M2*SIGN($M2-$AI2),-ROUNDDOWN(((-$V2-$AH2)*$P2+$U2)/$M2)*$M2),IF($N2=0,-$O$7/SUMIFS($B$2:$B$5,$K$2:$K$5,"&gt;0")*$B2,0)))</f>
        <v>-78774.844</v>
      </c>
      <c r="U2" s="173">
        <f t="shared" ref="U2:U6" si="7">ROUNDDOWN((INDEX($U:$U,ROWS($U:$U))-SUMIFS(U:U,R:R,"&lt;"&amp;R2))/$M2)*$M2</f>
        <v>0</v>
      </c>
      <c r="V2" s="174">
        <f t="array" ref="V2">INDEX(Price!$G:$K,2,ROW()-1)</f>
        <v>-0.001326568262</v>
      </c>
      <c r="W2" s="174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0),$V2&lt;AVERAGEIFS(INDEX(Price!$G:$K,0,ROW()-1),INDEX(Price!$G:$K,0,ROW()-1),"&lt;0")*2),"BUY",IF(OR(AND($T2&gt;0,N2&lt;&gt;0),$V2&gt;AVERAGEIFS(INDEX(Price!$G:$K,0,ROW()-1),INDEX(Price!$G:$K,0,ROW()-1),"&gt;0")*2),"HOLD","HOLD")),"HOLD") &amp; " (" &amp; ROUND($V2*100,2) &amp; "%)"</f>
        <v>BUY (-0.13%)</v>
      </c>
      <c r="X2" s="169">
        <f t="array" ref="X2">($M2-INDEX(Price!$B:$F,MIN(3,COLUMNS(Price!$B:$F)),ROW()-1))*($K2-SUMIFS(Historic!$E:$E,Historic!$C:$C,$H2,Historic!$A:$A,DateTime!$B$2))+SUMIFS(Historic!$I:$I,Historic!$C:$C,$H2,Historic!$A:$A,DateTime!$B$2)</f>
        <v>0</v>
      </c>
      <c r="Y2" s="175">
        <f t="shared" ref="Y2:Y6" si="8">IF(OR(X2=0,$N2=0),0,X2/$N2)</f>
        <v>0</v>
      </c>
      <c r="Z2" s="18">
        <f>SUMIFS(Historic!G:G,Historic!D:D,"=DIVIDEND",Historic!C:C,"=" &amp; H2,Historic!H:H,"&lt;&gt;XXXXXX")</f>
        <v>8504.93</v>
      </c>
      <c r="AA2" s="174">
        <f t="shared" ref="AA2:AA6" si="9">IF(OR(Z2=0,$N2=0),0,Z2/$N2)</f>
        <v>0.02290676809</v>
      </c>
      <c r="AB2" s="18">
        <f t="shared" ref="AB2:AB6" si="10">O2-N2</f>
        <v>68532.342</v>
      </c>
      <c r="AC2" s="175">
        <f t="shared" ref="AC2:AC6" si="11">IF(OR(AB2=0,$N2=0),0,AB2/$N2)</f>
        <v>0.1845817032</v>
      </c>
      <c r="AD2" s="176">
        <f t="shared" ref="AD2:AE2" si="1">Z2+AB2</f>
        <v>77037.272</v>
      </c>
      <c r="AE2" s="177">
        <f t="shared" si="1"/>
        <v>0.2074884713</v>
      </c>
      <c r="AF2" s="178">
        <f>IF(AND($T2,OR($C2="",AND($Q2&lt;&gt;0,$T2&lt;&gt;0,OR(ABS($T2)&lt;=1000,SIGN($T2)&lt;&gt;SIGN($Q2))))),2+0.02/100*ABS($T2),0)+IF(Dashboard!$B$49&lt;-Dashboard!$B$36,$T2*4/100/360*(EOMONTH(DateTime!$B$2,0)-DateTime!$B$2),0)</f>
        <v>-157.3002401</v>
      </c>
      <c r="AG2" s="168">
        <f t="shared" ref="AG2:AG6" si="13">$S2*$AI2+$T2-$AF2</f>
        <v>1861.872102</v>
      </c>
      <c r="AH2" s="179">
        <f t="shared" ref="AH2:AH6" si="14">IF(OR($P2=0,$O2=0),0,1-$P2/$O2)</f>
        <v>-0.1791104397</v>
      </c>
      <c r="AI2" s="180">
        <f t="array" ref="AI2">AVERAGEIFS(OFFSET(INDEX(Price!$B:$F,0,ROW()-1),0,0,ROWS(Price!$B:$F),1),Price!$A:$A,"&gt;" &amp; DATE(DateTime!$B$4-1,DateTime!$B$5,DateTime!$B$6))</f>
        <v>5.171534241</v>
      </c>
      <c r="AJ2" s="174">
        <f t="shared" ref="AJ2:AJ6" si="15">1-$AI2/$M2</f>
        <v>-0.02163853047</v>
      </c>
      <c r="AK2" s="180">
        <f t="array" ref="AK2">AVERAGEIFS(OFFSET(INDEX(Price!$B:$F,0,ROW()-1),0,0,ROWS(Price!$B:$F),1),Price!$A:$A,"&lt;=" &amp; DATE(DateTime!$B$4,IF(DateTime!$B$5&gt;0,DateTime!$B$5-1,1),DateTime!$B$6))</f>
        <v>5.142452713</v>
      </c>
      <c r="AL2" s="174">
        <f t="shared" ref="AL2:AL6" si="16">1-$AK2/$AI2</f>
        <v>0.005623384998</v>
      </c>
      <c r="AM2" s="181">
        <v>0.0</v>
      </c>
      <c r="AN2" s="168">
        <f t="shared" ref="AN2:AN6" si="17">ROUNDDOWN(($P2-$O2)/$M2)*$M2</f>
        <v>78774.844</v>
      </c>
      <c r="AO2" s="168">
        <f t="shared" ref="AO2:AO6" si="18">$AI2*$K2</f>
        <v>449333.9241</v>
      </c>
      <c r="AP2" s="180">
        <f t="shared" ref="AP2:AP6" si="19">IF($K2&lt;&gt;0,$N2/$K2,)</f>
        <v>4.273238381</v>
      </c>
      <c r="AQ2" s="182">
        <v>44113.749793599534</v>
      </c>
      <c r="AR2" s="183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4">
        <f>IF(MAXIFS(Historic!$A:$A,Historic!$C:$C,LEFT($H2,40)&amp;"*",Historic!$D:$D,"DIVIDEND",Historic!$A:$A,"&lt;"&amp;AR2)&lt;&gt;0,EDATE(AR2,ROUNDUP((AR2-MAXIFS(Historic!$A:$A,Historic!$C:$C,LEFT($H2,40)&amp;"*",Historic!$D:$D,"DIVIDEND",Historic!$A:$A,"&lt;"&amp;AR2))/365.25*12)),)</f>
        <v>44189</v>
      </c>
      <c r="AT2" s="185" t="str">
        <f>IF($AS2,$AS2-DateTime!$B$2&amp;"d ("&amp;ROUND(($AS2-DateTime!$B$2)/30,1) &amp; "m)",)</f>
        <v>74d (2.5m)</v>
      </c>
      <c r="AU2" s="172">
        <f>IF($AR2,SUMIFS(Historic!$G:$G,Historic!$C:$C,LEFT($H2,40)&amp;"*",Historic!$D:$D,"DIVIDEND",Historic!$A:$A,"&gt;="&amp;$AR2)/SUMIFS(Historic!$E:$E,Historic!$C:$C,LEFT($H2,40)&amp;"*",Historic!$A:$A,"&lt;="&amp;$AR2)*$K2,)</f>
        <v>4015.536507</v>
      </c>
      <c r="AV2" s="186">
        <f t="shared" ref="AV2:AV6" si="20">ROUND(IF($AS2,12/DATEDIF($AR2,$AS2,"M"),1),0)*$AU2/12</f>
        <v>669.2560845</v>
      </c>
      <c r="AW2" s="187">
        <f t="shared" ref="AW2:AW6" si="21">$O2/$O$7</f>
        <v>0.3673053248</v>
      </c>
      <c r="AX2" s="188">
        <f>MAX($B2*AVERAGE(Historic!$J:$J),0)*MAX(ABS($AH2*100),1)*(1-$BE2)*5</f>
        <v>1247.042696</v>
      </c>
      <c r="AY2" s="188">
        <f>MAX($B2*AVERAGE(Historic!$J:$J),0)*MAX(ABS($AH2*100),1)</f>
        <v>2409.362644</v>
      </c>
      <c r="AZ2" s="189">
        <f t="array" ref="AZ2">(1-(1/100))*MAX(INDEX(Price!$B:$G,0,ROW()-1))</f>
        <v>5.87862</v>
      </c>
      <c r="BA2" s="189">
        <f t="array" ref="BA2">MAX(INDEX(Price!$B:$G,0,ROW()-1))</f>
        <v>5.938</v>
      </c>
      <c r="BB2" s="187">
        <f t="array" ref="BB2">$M2/MAX(INDEX(Price!$B:$F,0,ROW()-1))</f>
        <v>0.852475581</v>
      </c>
      <c r="BC2" s="189">
        <f t="array" ref="BC2">(1+(1/100))*MIN(INDEX(Price!$B:$G,0,ROW()-1))</f>
        <v>4.58338</v>
      </c>
      <c r="BD2" s="189">
        <f t="array" ref="BD2">MIN(INDEX(Price!$B:$G,0,ROW()-1))</f>
        <v>4.538</v>
      </c>
      <c r="BE2" s="187">
        <f t="array" ref="BE2">MIN(INDEX(Price!$B:$F,0,ROW()-1))/$M2</f>
        <v>0.8964836033</v>
      </c>
      <c r="BF2" s="190" t="str">
        <f>IF(AND($AJ2&lt;0.1,$BE2&gt;0.95),MIN(-AH2*($O2-($BF$7*$B2*(1-$AJ2))/(1+$BE2)),Allocation!$B$11)*$B2,)</f>
        <v/>
      </c>
      <c r="BG2" s="191" t="str">
        <f t="shared" ref="BG2:BG6" si="22">IF(AND($AJ2&gt;0.1,$BB2&gt;0.95),$O2-($BG$7*$B2*(1-$AJ2))/(1+$BB2),)</f>
        <v/>
      </c>
    </row>
    <row r="3">
      <c r="A3" s="158" t="s">
        <v>196</v>
      </c>
      <c r="B3" s="159">
        <v>0.3</v>
      </c>
      <c r="C3" s="192" t="s">
        <v>312</v>
      </c>
      <c r="D3" s="161" t="s">
        <v>313</v>
      </c>
      <c r="E3" s="162" t="s">
        <v>314</v>
      </c>
      <c r="F3" s="163" t="s">
        <v>119</v>
      </c>
      <c r="G3" s="164" t="str">
        <f>IFERROR(__xludf.DUMMYFUNCTION("INDEX(SPLIT($E3,"" ""),1,1)"),"VUSA")</f>
        <v>VUSA</v>
      </c>
      <c r="H3" s="164" t="str">
        <f>IFERROR(__xludf.DUMMYFUNCTION("TRIM(INDEX(SPLIT(SPLIT($E3,$I3,FALSE),"" | "",FALSE),1,2))"),"Vanguard S&amp;P 500 UCITS")</f>
        <v>Vanguard S&amp;P 500 UCITS</v>
      </c>
      <c r="I3" s="164" t="str">
        <f>IFERROR(__xludf.DUMMYFUNCTION("INDEX(SPLIT(SPLIT($E3,""ETF "",FALSE),"" ""),1,COLUMNS(SPLIT(SPLIT($E3,""ETF "",FALSE),"" "")))"),"Amsterdam")</f>
        <v>Amsterdam</v>
      </c>
      <c r="J3" s="164" t="str">
        <f t="shared" si="2"/>
        <v>NA</v>
      </c>
      <c r="K3" s="165">
        <f>SUMIFS(Historic!$E:$E,Historic!$C:$C,$H3)</f>
        <v>6688</v>
      </c>
      <c r="L3" s="166"/>
      <c r="M3" s="167">
        <v>55.64</v>
      </c>
      <c r="N3" s="15">
        <f>IF($K3,-SUMIFS(Historic!G:G,Historic!D:D,"&lt;&gt;DIVIDEND",Historic!C:C,"=" &amp; H3)-$AM3,0)</f>
        <v>283927.28</v>
      </c>
      <c r="O3" s="168">
        <f t="shared" si="3"/>
        <v>372120.32</v>
      </c>
      <c r="P3" s="169">
        <f t="shared" si="4"/>
        <v>360695.5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0">
        <f t="shared" si="5"/>
        <v>1</v>
      </c>
      <c r="S3" s="171">
        <f t="shared" si="6"/>
        <v>-229</v>
      </c>
      <c r="T3" s="172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$62),ROUNDUP(1000/$M3)*$M3*SIGN($M3-$AI3),-ROUNDDOWN(((-$V3-$AH3)*$P3+$U3)/$M3)*$M3),IF($N3=0,-$O$7/SUMIFS($B$2:$B$5,$K$2:$K$5,"&gt;0")*$B3,0)))</f>
        <v>12741.56</v>
      </c>
      <c r="U3" s="173">
        <f t="shared" si="7"/>
        <v>0</v>
      </c>
      <c r="V3" s="174">
        <f t="array" ref="V3">INDEX(Price!$G:$K,2,ROW()-1)</f>
        <v>0.004628054788</v>
      </c>
      <c r="W3" s="174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0),$V3&lt;AVERAGEIFS(INDEX(Price!$G:$K,0,ROW()-1),INDEX(Price!$G:$K,0,ROW()-1),"&lt;0")*2),"BUY",IF(OR(AND($T3&gt;0,N3&lt;&gt;0),$V3&gt;AVERAGEIFS(INDEX(Price!$G:$K,0,ROW()-1),INDEX(Price!$G:$K,0,ROW()-1),"&gt;0")*2),"HOLD","HOLD")),"HOLD") &amp; " (" &amp; ROUND($V3*100,2) &amp; "%)"</f>
        <v>HOLD (0.46%)</v>
      </c>
      <c r="X3" s="169">
        <f t="array" ref="X3">($M3-INDEX(Price!$B:$F,MIN(3,COLUMNS(Price!$B:$F)),ROW()-1))*($K3-SUMIFS(Historic!$E:$E,Historic!$C:$C,$H3,Historic!$A:$A,DateTime!$B$2))+SUMIFS(Historic!$I:$I,Historic!$C:$C,$H3,Historic!$A:$A,DateTime!$B$2)</f>
        <v>0</v>
      </c>
      <c r="Y3" s="175">
        <f t="shared" si="8"/>
        <v>0</v>
      </c>
      <c r="Z3" s="18">
        <f>SUMIFS(Historic!G:G,Historic!D:D,"=DIVIDEND",Historic!C:C,"=" &amp; H3,Historic!H:H,"&lt;&gt;XXXXXX")</f>
        <v>12272.36</v>
      </c>
      <c r="AA3" s="174">
        <f t="shared" si="9"/>
        <v>0.04322360289</v>
      </c>
      <c r="AB3" s="18">
        <f t="shared" si="10"/>
        <v>88193.04</v>
      </c>
      <c r="AC3" s="175">
        <f t="shared" si="11"/>
        <v>0.3106184091</v>
      </c>
      <c r="AD3" s="176">
        <f t="shared" ref="AD3:AE3" si="12">Z3+AB3</f>
        <v>100465.4</v>
      </c>
      <c r="AE3" s="177">
        <f t="shared" si="12"/>
        <v>0.3538420119</v>
      </c>
      <c r="AF3" s="178">
        <f>IF(AND($T3,OR($C3="",AND($Q3&lt;&gt;0,$T3&lt;&gt;0,OR(ABS($T3)&lt;=1000,SIGN($T3)&lt;&gt;SIGN($Q3))))),2+0.02/100*ABS($T3),0)+IF(Dashboard!$B$49&lt;-Dashboard!$B$36,$T3*4/100/360*(EOMONTH(DateTime!$B$2,0)-DateTime!$B$2),0)</f>
        <v>28.31457778</v>
      </c>
      <c r="AG3" s="168">
        <f t="shared" si="13"/>
        <v>641.4213172</v>
      </c>
      <c r="AH3" s="179">
        <f t="shared" si="14"/>
        <v>0.03070195141</v>
      </c>
      <c r="AI3" s="180">
        <f t="array" ref="AI3">AVERAGEIFS(OFFSET(INDEX(Price!$B:$F,0,ROW()-1),0,0,ROWS(Price!$B:$F),1),Price!$A:$A,"&gt;" &amp; DATE(DateTime!$B$4-1,DateTime!$B$5,DateTime!$B$6))</f>
        <v>52.71538911</v>
      </c>
      <c r="AJ3" s="174">
        <f t="shared" si="15"/>
        <v>0.0525631002</v>
      </c>
      <c r="AK3" s="180">
        <f t="array" ref="AK3">AVERAGEIFS(OFFSET(INDEX(Price!$B:$F,0,ROW()-1),0,0,ROWS(Price!$B:$F),1),Price!$A:$A,"&lt;=" &amp; DATE(DateTime!$B$4,IF(DateTime!$B$5&gt;0,DateTime!$B$5-1,1),DateTime!$B$6))</f>
        <v>52.4589845</v>
      </c>
      <c r="AL3" s="174">
        <f t="shared" si="16"/>
        <v>0.004863942262</v>
      </c>
      <c r="AM3" s="181">
        <v>0.0</v>
      </c>
      <c r="AN3" s="168">
        <f t="shared" si="17"/>
        <v>-11406.2</v>
      </c>
      <c r="AO3" s="168">
        <f t="shared" si="18"/>
        <v>352560.5223</v>
      </c>
      <c r="AP3" s="180">
        <f t="shared" si="19"/>
        <v>42.45324163</v>
      </c>
      <c r="AQ3" s="182">
        <v>44113.749793599534</v>
      </c>
      <c r="AR3" s="183">
        <f>IF(MAXIFS(Historic!$A:$A,Historic!$C:$C,LEFT($H3,40)&amp;"*",Historic!$D:$D,"DIVIDEND",Historic!$G:$G,"&gt;0")&lt;&gt;0,MAXIFS(Historic!$A:$A,Historic!$C:$C,LEFT($H3,40)&amp;"*",Historic!$D:$D,"DIVIDEND",Historic!$G:$G,"&gt;0"),)</f>
        <v>44111</v>
      </c>
      <c r="AS3" s="184">
        <f>IF(MAXIFS(Historic!$A:$A,Historic!$C:$C,LEFT($H3,40)&amp;"*",Historic!$D:$D,"DIVIDEND",Historic!$A:$A,"&lt;"&amp;AR3)&lt;&gt;0,EDATE(AR3,ROUNDUP((AR3-MAXIFS(Historic!$A:$A,Historic!$C:$C,LEFT($H3,40)&amp;"*",Historic!$D:$D,"DIVIDEND",Historic!$A:$A,"&lt;"&amp;AR3))/365.25*12)),)</f>
        <v>44234</v>
      </c>
      <c r="AT3" s="185" t="str">
        <f>IF($AS3,$AS3-DateTime!$B$2&amp;"d ("&amp;ROUND(($AS3-DateTime!$B$2)/30,1) &amp; "m)",)</f>
        <v>119d (4m)</v>
      </c>
      <c r="AU3" s="172">
        <f>IF($AR3,SUMIFS(Historic!$G:$G,Historic!$C:$C,LEFT($H3,40)&amp;"*",Historic!$D:$D,"DIVIDEND",Historic!$A:$A,"&gt;="&amp;$AR3)/SUMIFS(Historic!$E:$E,Historic!$C:$C,LEFT($H3,40)&amp;"*",Historic!$A:$A,"&lt;="&amp;$AR3)*$K3,)</f>
        <v>1424.14</v>
      </c>
      <c r="AV3" s="186">
        <f t="shared" si="20"/>
        <v>356.035</v>
      </c>
      <c r="AW3" s="187">
        <f t="shared" si="21"/>
        <v>0.3107696977</v>
      </c>
      <c r="AX3" s="188">
        <f>MAX($B3*AVERAGE(Historic!$J:$J),0)*MAX(ABS($AH3*100),1)*(1-$BE3)*5</f>
        <v>445.3601778</v>
      </c>
      <c r="AY3" s="188">
        <f>MAX($B3*AVERAGE(Historic!$J:$J),0)*MAX(ABS($AH3*100),1)</f>
        <v>309.7480036</v>
      </c>
      <c r="AZ3" s="189">
        <f t="array" ref="AZ3">(1-(1/100))*MAX(INDEX(Price!$B:$G,0,ROW()-1))</f>
        <v>59.1327</v>
      </c>
      <c r="BA3" s="189">
        <f t="array" ref="BA3">MAX(INDEX(Price!$B:$G,0,ROW()-1))</f>
        <v>59.73</v>
      </c>
      <c r="BB3" s="187">
        <f t="array" ref="BB3">$M3/MAX(INDEX(Price!$B:$F,0,ROW()-1))</f>
        <v>0.9315251967</v>
      </c>
      <c r="BC3" s="189">
        <f t="array" ref="BC3">(1+(1/100))*MIN(INDEX(Price!$B:$G,0,ROW()-1))</f>
        <v>40.0364</v>
      </c>
      <c r="BD3" s="189">
        <f t="array" ref="BD3">MIN(INDEX(Price!$B:$G,0,ROW()-1))</f>
        <v>39.64</v>
      </c>
      <c r="BE3" s="187">
        <f t="array" ref="BE3">MIN(INDEX(Price!$B:$F,0,ROW()-1))/$M3</f>
        <v>0.7124370956</v>
      </c>
      <c r="BF3" s="190" t="str">
        <f>IF(AND($AJ3&lt;0.1,$BE3&gt;0.95),MIN(-AH3*($O3-($BF$7*$B3*(1-$AJ3))/(1+$BE3)),Allocation!$B$11)*$B3,)</f>
        <v/>
      </c>
      <c r="BG3" s="191" t="str">
        <f t="shared" si="22"/>
        <v/>
      </c>
    </row>
    <row r="4">
      <c r="A4" s="158" t="s">
        <v>186</v>
      </c>
      <c r="B4" s="159">
        <v>0.15</v>
      </c>
      <c r="C4" s="192" t="s">
        <v>312</v>
      </c>
      <c r="D4" s="161" t="s">
        <v>315</v>
      </c>
      <c r="E4" s="162" t="s">
        <v>316</v>
      </c>
      <c r="F4" s="163" t="s">
        <v>92</v>
      </c>
      <c r="G4" s="164" t="str">
        <f>IFERROR(__xludf.DUMMYFUNCTION("INDEX(SPLIT($E4,"" ""),1,1)"),"BTMA")</f>
        <v>BTMA</v>
      </c>
      <c r="H4" s="164" t="str">
        <f>IFERROR(__xludf.DUMMYFUNCTION("TRIM(INDEX(SPLIT(SPLIT($E4,$I4,FALSE),"" | "",FALSE),1,2))"),"iShares Treasury Bond 7-10 UCITS")</f>
        <v>iShares Treasury Bond 7-10 UCITS</v>
      </c>
      <c r="I4" s="164" t="str">
        <f>IFERROR(__xludf.DUMMYFUNCTION("INDEX(SPLIT(SPLIT($E4,""ETF "",FALSE),"" ""),1,COLUMNS(SPLIT(SPLIT($E4,""ETF "",FALSE),"" "")))"),"Amsterdam")</f>
        <v>Amsterdam</v>
      </c>
      <c r="J4" s="164" t="str">
        <f t="shared" si="2"/>
        <v>NA</v>
      </c>
      <c r="K4" s="165">
        <f>SUMIFS(Historic!$E:$E,Historic!$C:$C,$H4)</f>
        <v>1032</v>
      </c>
      <c r="L4" s="166"/>
      <c r="M4" s="167">
        <v>188.22</v>
      </c>
      <c r="N4" s="15">
        <f>IF($K4,-SUMIFS(Historic!G:G,Historic!D:D,"&lt;&gt;DIVIDEND",Historic!C:C,"=" &amp; H4)-$AM4,0)</f>
        <v>175436.49</v>
      </c>
      <c r="O4" s="168">
        <f t="shared" si="3"/>
        <v>194243.04</v>
      </c>
      <c r="P4" s="169">
        <f t="shared" si="4"/>
        <v>194908.8391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0">
        <f t="shared" si="5"/>
        <v>2</v>
      </c>
      <c r="S4" s="171">
        <f t="shared" si="6"/>
        <v>3</v>
      </c>
      <c r="T4" s="172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$62),ROUNDUP(1000/$M4)*$M4*SIGN($M4-$AI4),-ROUNDDOWN(((-$V4-$AH4)*$P4+$U4)/$M4)*$M4),IF($N4=0,-$O$7/SUMIFS($B$2:$B$5,$K$2:$K$5,"&gt;0")*$B4,0)))</f>
        <v>-564.66</v>
      </c>
      <c r="U4" s="173">
        <f t="shared" si="7"/>
        <v>0</v>
      </c>
      <c r="V4" s="174">
        <f t="array" ref="V4">INDEX(Price!$G:$K,2,ROW()-1)</f>
        <v>-0.001261268632</v>
      </c>
      <c r="W4" s="174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0),$V4&lt;AVERAGEIFS(INDEX(Price!$G:$K,0,ROW()-1),INDEX(Price!$G:$K,0,ROW()-1),"&lt;0")*2),"BUY",IF(OR(AND($T4&gt;0,N4&lt;&gt;0),$V4&gt;AVERAGEIFS(INDEX(Price!$G:$K,0,ROW()-1),INDEX(Price!$G:$K,0,ROW()-1),"&gt;0")*2),"HOLD","HOLD")),"HOLD") &amp; " (" &amp; ROUND($V4*100,2) &amp; "%)"</f>
        <v>BUY (-0.13%)</v>
      </c>
      <c r="X4" s="169">
        <f t="array" ref="X4">($M4-INDEX(Price!$B:$F,MIN(3,COLUMNS(Price!$B:$F)),ROW()-1))*($K4-SUMIFS(Historic!$E:$E,Historic!$C:$C,$H4,Historic!$A:$A,DateTime!$B$2))+SUMIFS(Historic!$I:$I,Historic!$C:$C,$H4,Historic!$A:$A,DateTime!$B$2)</f>
        <v>0</v>
      </c>
      <c r="Y4" s="175">
        <f t="shared" si="8"/>
        <v>0</v>
      </c>
      <c r="Z4" s="18">
        <f>SUMIFS(Historic!G:G,Historic!D:D,"=DIVIDEND",Historic!C:C,"=" &amp; H4,Historic!H:H,"&lt;&gt;XXXXXX")</f>
        <v>5289.32</v>
      </c>
      <c r="AA4" s="174">
        <f t="shared" si="9"/>
        <v>0.030149486</v>
      </c>
      <c r="AB4" s="18">
        <f t="shared" si="10"/>
        <v>18806.55</v>
      </c>
      <c r="AC4" s="175">
        <f t="shared" si="11"/>
        <v>0.1071986221</v>
      </c>
      <c r="AD4" s="176">
        <f t="shared" ref="AD4:AE4" si="23">Z4+AB4</f>
        <v>24095.87</v>
      </c>
      <c r="AE4" s="177">
        <f t="shared" si="23"/>
        <v>0.1373481081</v>
      </c>
      <c r="AF4" s="178">
        <f>IF(AND($T4,OR($C4="",AND($Q4&lt;&gt;0,$T4&lt;&gt;0,OR(ABS($T4)&lt;=1000,SIGN($T4)&lt;&gt;SIGN($Q4))))),2+0.02/100*ABS($T4),0)+IF(Dashboard!$B$49&lt;-Dashboard!$B$36,$T4*4/100/360*(EOMONTH(DateTime!$B$2,0)-DateTime!$B$2),0)</f>
        <v>-1.2548</v>
      </c>
      <c r="AG4" s="168">
        <f t="shared" si="13"/>
        <v>14.76822412</v>
      </c>
      <c r="AH4" s="179">
        <f t="shared" si="14"/>
        <v>-0.003427660187</v>
      </c>
      <c r="AI4" s="180">
        <f t="array" ref="AI4">AVERAGEIFS(OFFSET(INDEX(Price!$B:$F,0,ROW()-1),0,0,ROWS(Price!$B:$F),1),Price!$A:$A,"&gt;" &amp; DATE(DateTime!$B$4-1,DateTime!$B$5,DateTime!$B$6))</f>
        <v>192.7244747</v>
      </c>
      <c r="AJ4" s="174">
        <f t="shared" si="15"/>
        <v>-0.02393196636</v>
      </c>
      <c r="AK4" s="180">
        <f t="array" ref="AK4">AVERAGEIFS(OFFSET(INDEX(Price!$B:$F,0,ROW()-1),0,0,ROWS(Price!$B:$F),1),Price!$A:$A,"&lt;=" &amp; DATE(DateTime!$B$4,IF(DateTime!$B$5&gt;0,DateTime!$B$5-1,1),DateTime!$B$6))</f>
        <v>192.6131783</v>
      </c>
      <c r="AL4" s="174">
        <f t="shared" si="16"/>
        <v>0.0005774897753</v>
      </c>
      <c r="AM4" s="181">
        <v>0.0</v>
      </c>
      <c r="AN4" s="168">
        <f t="shared" si="17"/>
        <v>564.66</v>
      </c>
      <c r="AO4" s="168">
        <f t="shared" si="18"/>
        <v>198891.6579</v>
      </c>
      <c r="AP4" s="180">
        <f t="shared" si="19"/>
        <v>169.9965988</v>
      </c>
      <c r="AQ4" s="182">
        <v>44113.749793599534</v>
      </c>
      <c r="AR4" s="183">
        <f>IF(MAXIFS(Historic!$A:$A,Historic!$C:$C,LEFT($H4,40)&amp;"*",Historic!$D:$D,"DIVIDEND",Historic!$G:$G,"&gt;0")&lt;&gt;0,MAXIFS(Historic!$A:$A,Historic!$C:$C,LEFT($H4,40)&amp;"*",Historic!$D:$D,"DIVIDEND",Historic!$G:$G,"&gt;0"),)</f>
        <v>43978</v>
      </c>
      <c r="AS4" s="184">
        <f>IF(MAXIFS(Historic!$A:$A,Historic!$C:$C,LEFT($H4,40)&amp;"*",Historic!$D:$D,"DIVIDEND",Historic!$A:$A,"&lt;"&amp;AR4)&lt;&gt;0,EDATE(AR4,ROUNDUP((AR4-MAXIFS(Historic!$A:$A,Historic!$C:$C,LEFT($H4,40)&amp;"*",Historic!$D:$D,"DIVIDEND",Historic!$A:$A,"&lt;"&amp;AR4))/365.25*12)),)</f>
        <v>44162</v>
      </c>
      <c r="AT4" s="185" t="str">
        <f>IF($AS4,$AS4-DateTime!$B$2&amp;"d ("&amp;ROUND(($AS4-DateTime!$B$2)/30,1) &amp; "m)",)</f>
        <v>47d (1.6m)</v>
      </c>
      <c r="AU4" s="172">
        <f>IF($AR4,SUMIFS(Historic!$G:$G,Historic!$C:$C,LEFT($H4,40)&amp;"*",Historic!$D:$D,"DIVIDEND",Historic!$A:$A,"&gt;="&amp;$AR4)/SUMIFS(Historic!$E:$E,Historic!$C:$C,LEFT($H4,40)&amp;"*",Historic!$A:$A,"&lt;="&amp;$AR4)*$K4,)</f>
        <v>1869.852055</v>
      </c>
      <c r="AV4" s="186">
        <f t="shared" si="20"/>
        <v>311.6420091</v>
      </c>
      <c r="AW4" s="187">
        <f t="shared" si="21"/>
        <v>0.1622186362</v>
      </c>
      <c r="AX4" s="188">
        <f>MAX($B4*AVERAGE(Historic!$J:$J),0)*MAX(ABS($AH4*100),1)*(1-$BE4)*5</f>
        <v>10.41208714</v>
      </c>
      <c r="AY4" s="188">
        <f>MAX($B4*AVERAGE(Historic!$J:$J),0)*MAX(ABS($AH4*100),1)</f>
        <v>50.44435115</v>
      </c>
      <c r="AZ4" s="189">
        <f t="array" ref="AZ4">(1-(1/100))*MAX(INDEX(Price!$B:$G,0,ROW()-1))</f>
        <v>206.6328</v>
      </c>
      <c r="BA4" s="189">
        <f t="array" ref="BA4">MAX(INDEX(Price!$B:$G,0,ROW()-1))</f>
        <v>208.72</v>
      </c>
      <c r="BB4" s="187">
        <f t="array" ref="BB4">$M4/MAX(INDEX(Price!$B:$F,0,ROW()-1))</f>
        <v>0.9017822921</v>
      </c>
      <c r="BC4" s="189">
        <f t="array" ref="BC4">(1+(1/100))*MIN(INDEX(Price!$B:$G,0,ROW()-1))</f>
        <v>182.2545</v>
      </c>
      <c r="BD4" s="189">
        <f t="array" ref="BD4">MIN(INDEX(Price!$B:$G,0,ROW()-1))</f>
        <v>180.45</v>
      </c>
      <c r="BE4" s="187">
        <f t="array" ref="BE4">MIN(INDEX(Price!$B:$F,0,ROW()-1))/$M4</f>
        <v>0.9587185209</v>
      </c>
      <c r="BF4" s="190">
        <f>IF(AND($AJ4&lt;0.1,$BE4&gt;0.95),MIN(-AH4*($O4-($BF$7*$B4*(1-$AJ4))/(1+$BE4)),Allocation!$B$11)*$B4,)</f>
        <v>46.81004342</v>
      </c>
      <c r="BG4" s="191" t="str">
        <f t="shared" si="22"/>
        <v/>
      </c>
    </row>
    <row r="5">
      <c r="A5" s="158" t="s">
        <v>182</v>
      </c>
      <c r="B5" s="159">
        <v>0.075</v>
      </c>
      <c r="C5" s="192" t="s">
        <v>312</v>
      </c>
      <c r="D5" s="193" t="s">
        <v>317</v>
      </c>
      <c r="E5" s="162" t="s">
        <v>318</v>
      </c>
      <c r="F5" s="163" t="s">
        <v>181</v>
      </c>
      <c r="G5" s="164" t="str">
        <f>IFERROR(__xludf.DUMMYFUNCTION("INDEX(SPLIT($E5,"" ""),1,1)"),"PHAU")</f>
        <v>PHAU</v>
      </c>
      <c r="H5" s="164" t="str">
        <f>IFERROR(__xludf.DUMMYFUNCTION("TRIM(INDEX(SPLIT(SPLIT($E5,$I5,FALSE),"" | "",FALSE),1,2))"),"ETFS Physical Gold")</f>
        <v>ETFS Physical Gold</v>
      </c>
      <c r="I5" s="164" t="str">
        <f>IFERROR(__xludf.DUMMYFUNCTION("INDEX(SPLIT(SPLIT($E5,""ETF "",FALSE),"" ""),1,COLUMNS(SPLIT(SPLIT($E5,""ETF "",FALSE),"" "")))"),"Amsterdam")</f>
        <v>Amsterdam</v>
      </c>
      <c r="J5" s="164" t="str">
        <f t="shared" si="2"/>
        <v>NA</v>
      </c>
      <c r="K5" s="165">
        <f>SUMIFS(Historic!$E:$E,Historic!$C:$C,$H5)</f>
        <v>286</v>
      </c>
      <c r="L5" s="166"/>
      <c r="M5" s="167">
        <v>154.55</v>
      </c>
      <c r="N5" s="15">
        <f>IF($K5,-SUMIFS(Historic!G:G,Historic!D:D,"&lt;&gt;DIVIDEND",Historic!C:C,"=" &amp; H5)-$AM5,0)</f>
        <v>23756.49</v>
      </c>
      <c r="O5" s="168">
        <f t="shared" si="3"/>
        <v>44201.3</v>
      </c>
      <c r="P5" s="169">
        <f t="shared" si="4"/>
        <v>87773.09846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0">
        <f t="shared" si="5"/>
        <v>4</v>
      </c>
      <c r="S5" s="171">
        <f t="shared" si="6"/>
        <v>0</v>
      </c>
      <c r="T5" s="172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$62),ROUNDUP(1000/$M5)*$M5*SIGN($M5-$AI5),-ROUNDDOWN(((-$V5-$AH5)*$P5+$U5)/$M5)*$M5),IF($N5=0,-$O$7/SUMIFS($B$2:$B$5,$K$2:$K$5,"&gt;0")*$B5,0)))</f>
        <v>0</v>
      </c>
      <c r="U5" s="173">
        <f t="shared" si="7"/>
        <v>0</v>
      </c>
      <c r="V5" s="174">
        <f t="array" ref="V5">INDEX(Price!$G:$K,2,ROW()-1)</f>
        <v>0.005710427123</v>
      </c>
      <c r="W5" s="174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0),$V5&lt;AVERAGEIFS(INDEX(Price!$G:$K,0,ROW()-1),INDEX(Price!$G:$K,0,ROW()-1),"&lt;0")*2),"BUY",IF(OR(AND($T5&gt;0,N5&lt;&gt;0),$V5&gt;AVERAGEIFS(INDEX(Price!$G:$K,0,ROW()-1),INDEX(Price!$G:$K,0,ROW()-1),"&gt;0")*2),"HOLD","HOLD")),"HOLD") &amp; " (" &amp; ROUND($V5*100,2) &amp; "%)"</f>
        <v>HOLD (0.57%)</v>
      </c>
      <c r="X5" s="169">
        <f t="array" ref="X5">($M5-INDEX(Price!$B:$F,MIN(3,COLUMNS(Price!$B:$F)),ROW()-1))*($K5-SUMIFS(Historic!$E:$E,Historic!$C:$C,$H5,Historic!$A:$A,DateTime!$B$2))+SUMIFS(Historic!$I:$I,Historic!$C:$C,$H5,Historic!$A:$A,DateTime!$B$2)</f>
        <v>0</v>
      </c>
      <c r="Y5" s="175">
        <f t="shared" si="8"/>
        <v>0</v>
      </c>
      <c r="Z5" s="18">
        <f>SUMIFS(Historic!G:G,Historic!D:D,"=DIVIDEND",Historic!C:C,"=" &amp; H5,Historic!H:H,"&lt;&gt;XXXXXX")</f>
        <v>0</v>
      </c>
      <c r="AA5" s="174">
        <f t="shared" si="9"/>
        <v>0</v>
      </c>
      <c r="AB5" s="18">
        <f t="shared" si="10"/>
        <v>20444.81</v>
      </c>
      <c r="AC5" s="175">
        <f t="shared" si="11"/>
        <v>0.8605989353</v>
      </c>
      <c r="AD5" s="176">
        <f t="shared" ref="AD5:AE5" si="24">Z5+AB5</f>
        <v>20444.81</v>
      </c>
      <c r="AE5" s="177">
        <f t="shared" si="24"/>
        <v>0.8605989353</v>
      </c>
      <c r="AF5" s="178">
        <f>IF(AND($T5,OR($C5="",AND($Q5&lt;&gt;0,$T5&lt;&gt;0,OR(ABS($T5)&lt;=1000,SIGN($T5)&lt;&gt;SIGN($Q5))))),2+0.02/100*ABS($T5),0)+IF(Dashboard!$B$49&lt;-Dashboard!$B$36,$T5*4/100/360*(EOMONTH(DateTime!$B$2,0)-DateTime!$B$2),0)</f>
        <v>0</v>
      </c>
      <c r="AG5" s="168">
        <f t="shared" si="13"/>
        <v>0</v>
      </c>
      <c r="AH5" s="179">
        <f t="shared" si="14"/>
        <v>-0.9857583026</v>
      </c>
      <c r="AI5" s="180">
        <f t="array" ref="AI5">AVERAGEIFS(OFFSET(INDEX(Price!$B:$F,0,ROW()-1),0,0,ROWS(Price!$B:$F),1),Price!$A:$A,"&gt;" &amp; DATE(DateTime!$B$4-1,DateTime!$B$5,DateTime!$B$6))</f>
        <v>142.5279377</v>
      </c>
      <c r="AJ5" s="174">
        <f t="shared" si="15"/>
        <v>0.07778752673</v>
      </c>
      <c r="AK5" s="180">
        <f t="array" ref="AK5">AVERAGEIFS(OFFSET(INDEX(Price!$B:$F,0,ROW()-1),0,0,ROWS(Price!$B:$F),1),Price!$A:$A,"&lt;=" &amp; DATE(DateTime!$B$4,IF(DateTime!$B$5&gt;0,DateTime!$B$5-1,1),DateTime!$B$6))</f>
        <v>140.4322093</v>
      </c>
      <c r="AL5" s="174">
        <f t="shared" si="16"/>
        <v>0.01470398347</v>
      </c>
      <c r="AM5" s="181">
        <v>0.0</v>
      </c>
      <c r="AN5" s="168">
        <f t="shared" si="17"/>
        <v>43428.55</v>
      </c>
      <c r="AO5" s="168">
        <f t="shared" si="18"/>
        <v>40762.99019</v>
      </c>
      <c r="AP5" s="180">
        <f t="shared" si="19"/>
        <v>83.06465035</v>
      </c>
      <c r="AQ5" s="182">
        <v>44113.72482664352</v>
      </c>
      <c r="AR5" s="183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4" t="str">
        <f>IF(MAXIFS(Historic!$A:$A,Historic!$C:$C,LEFT($H5,40)&amp;"*",Historic!$D:$D,"DIVIDEND",Historic!$A:$A,"&lt;"&amp;AR5)&lt;&gt;0,EDATE(AR5,ROUNDUP((AR5-MAXIFS(Historic!$A:$A,Historic!$C:$C,LEFT($H5,40)&amp;"*",Historic!$D:$D,"DIVIDEND",Historic!$A:$A,"&lt;"&amp;AR5))/365.25*12)),)</f>
        <v/>
      </c>
      <c r="AT5" s="185" t="str">
        <f>IF($AS5,$AS5-DateTime!$B$2&amp;"d ("&amp;ROUND(($AS5-DateTime!$B$2)/30,1) &amp; "m)",)</f>
        <v/>
      </c>
      <c r="AU5" s="172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6">
        <f t="shared" si="20"/>
        <v>0</v>
      </c>
      <c r="AW5" s="187">
        <f t="shared" si="21"/>
        <v>0.03691393322</v>
      </c>
      <c r="AX5" s="188">
        <f>MAX($B5*AVERAGE(Historic!$J:$J),0)*MAX(ABS($AH5*100),1)*(1-$BE5)*5</f>
        <v>2333.467261</v>
      </c>
      <c r="AY5" s="188">
        <f>MAX($B5*AVERAGE(Historic!$J:$J),0)*MAX(ABS($AH5*100),1)</f>
        <v>2486.296898</v>
      </c>
      <c r="AZ5" s="189">
        <f t="array" ref="AZ5">(1-(1/100))*MAX(INDEX(Price!$B:$G,0,ROW()-1))</f>
        <v>162.7362</v>
      </c>
      <c r="BA5" s="189">
        <f t="array" ref="BA5">MAX(INDEX(Price!$B:$G,0,ROW()-1))</f>
        <v>164.38</v>
      </c>
      <c r="BB5" s="187">
        <f t="array" ref="BB5">$M5/MAX(INDEX(Price!$B:$F,0,ROW()-1))</f>
        <v>0.9401995377</v>
      </c>
      <c r="BC5" s="189">
        <f t="array" ref="BC5">(1+(1/100))*MIN(INDEX(Price!$B:$G,0,ROW()-1))</f>
        <v>126.7954</v>
      </c>
      <c r="BD5" s="189">
        <f t="array" ref="BD5">MIN(INDEX(Price!$B:$G,0,ROW()-1))</f>
        <v>125.54</v>
      </c>
      <c r="BE5" s="187">
        <f t="array" ref="BE5">MIN(INDEX(Price!$B:$F,0,ROW()-1))/$M5</f>
        <v>0.8122937561</v>
      </c>
      <c r="BF5" s="190" t="str">
        <f>IF(AND($AJ5&lt;0.1,$BE5&gt;0.95),MIN(-AH5*($O5-($BF$7*$B5*(1-$AJ5))/(1+$BE5)),Allocation!$B$11)*$B5,)</f>
        <v/>
      </c>
      <c r="BG5" s="191" t="str">
        <f t="shared" si="22"/>
        <v/>
      </c>
    </row>
    <row r="6">
      <c r="A6" s="158" t="s">
        <v>177</v>
      </c>
      <c r="B6" s="159">
        <v>0.075</v>
      </c>
      <c r="C6" s="192" t="s">
        <v>312</v>
      </c>
      <c r="D6" s="193" t="s">
        <v>319</v>
      </c>
      <c r="E6" s="162" t="s">
        <v>320</v>
      </c>
      <c r="F6" s="163" t="s">
        <v>179</v>
      </c>
      <c r="G6" s="164" t="str">
        <f>IFERROR(__xludf.DUMMYFUNCTION("INDEX(SPLIT($E6,"" ""),1,1)"),"AIGCP")</f>
        <v>AIGCP</v>
      </c>
      <c r="H6" s="164" t="str">
        <f>IFERROR(__xludf.DUMMYFUNCTION("TRIM(INDEX(SPLIT(SPLIT($E6,$I6,FALSE),"" | "",FALSE),1,2))"),"ETFS All Commodities ETC")</f>
        <v>ETFS All Commodities ETC</v>
      </c>
      <c r="I6" s="164" t="str">
        <f>IFERROR(__xludf.DUMMYFUNCTION("INDEX(SPLIT(SPLIT($E6,""ETF "",FALSE),"" ""),1,COLUMNS(SPLIT(SPLIT($E6,""ETF "",FALSE),"" "")))"),"Paris")</f>
        <v>Paris</v>
      </c>
      <c r="J6" s="164" t="str">
        <f t="shared" si="2"/>
        <v>FP</v>
      </c>
      <c r="K6" s="165">
        <f>SUMIFS(Historic!$E:$E,Historic!$C:$C,$H6)</f>
        <v>23046</v>
      </c>
      <c r="L6" s="166"/>
      <c r="M6" s="194">
        <v>6.38</v>
      </c>
      <c r="N6" s="15">
        <f>IF($K6,-SUMIFS(Historic!G:G,Historic!D:D,"&lt;&gt;DIVIDEND",Historic!C:C,"=" &amp; H6)-$AM6,0)</f>
        <v>158228.18</v>
      </c>
      <c r="O6" s="168">
        <f t="shared" si="3"/>
        <v>147033.48</v>
      </c>
      <c r="P6" s="169">
        <f t="shared" si="4"/>
        <v>97388.1717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0">
        <f t="shared" si="5"/>
        <v>0</v>
      </c>
      <c r="S6" s="171">
        <f t="shared" si="6"/>
        <v>0</v>
      </c>
      <c r="T6" s="172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$62),ROUNDUP(1000/$M6)*$M6*SIGN($M6-$AI6),-ROUNDDOWN(((-$V6-$AH6)*$P6+$U6)/$M6)*$M6),IF($N6=0,-$O$7/SUMIFS($B$2:$B$5,$K$2:$K$5,"&gt;0")*$B6,0)))</f>
        <v>0</v>
      </c>
      <c r="U6" s="173">
        <f t="shared" si="7"/>
        <v>223.3</v>
      </c>
      <c r="V6" s="174">
        <f t="array" ref="V6">INDEX(Price!$G:$K,2,ROW()-1)</f>
        <v>0.00577188786</v>
      </c>
      <c r="W6" s="174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0),$V6&lt;AVERAGEIFS(INDEX(Price!$G:$K,0,ROW()-1),INDEX(Price!$G:$K,0,ROW()-1),"&lt;0")*2),"BUY",IF(OR(AND($T6&gt;0,N6&lt;&gt;0),$V6&gt;AVERAGEIFS(INDEX(Price!$G:$K,0,ROW()-1),INDEX(Price!$G:$K,0,ROW()-1),"&gt;0")*2),"HOLD","HOLD")),"HOLD") &amp; " (" &amp; ROUND($V6*100,2) &amp; "%)"</f>
        <v>HOLD (0.58%)</v>
      </c>
      <c r="X6" s="169">
        <f t="array" ref="X6">($M6-INDEX(Price!$B:$F,MIN(3,COLUMNS(Price!$B:$F)),ROW()-1))*($K6-SUMIFS(Historic!$E:$E,Historic!$C:$C,$H6,Historic!$A:$A,DateTime!$B$2))+SUMIFS(Historic!$I:$I,Historic!$C:$C,$H6,Historic!$A:$A,DateTime!$B$2)</f>
        <v>0</v>
      </c>
      <c r="Y6" s="175">
        <f t="shared" si="8"/>
        <v>0</v>
      </c>
      <c r="Z6" s="18">
        <f>SUMIFS(Historic!G:G,Historic!D:D,"=DIVIDEND",Historic!C:C,"=" &amp; H6,Historic!H:H,"&lt;&gt;XXXXXX")</f>
        <v>0</v>
      </c>
      <c r="AA6" s="174">
        <f t="shared" si="9"/>
        <v>0</v>
      </c>
      <c r="AB6" s="18">
        <f t="shared" si="10"/>
        <v>-11194.7</v>
      </c>
      <c r="AC6" s="175">
        <f t="shared" si="11"/>
        <v>-0.07075035559</v>
      </c>
      <c r="AD6" s="195">
        <f t="shared" ref="AD6:AE6" si="25">Z6+AB6</f>
        <v>-11194.7</v>
      </c>
      <c r="AE6" s="177">
        <f t="shared" si="25"/>
        <v>-0.07075035559</v>
      </c>
      <c r="AF6" s="178">
        <f>IF(AND($T6,OR($C6="",AND($Q6&lt;&gt;0,$T6&lt;&gt;0,OR(ABS($T6)&lt;=1000,SIGN($T6)&lt;&gt;SIGN($Q6))))),2+0.02/100*ABS($T6),0)+IF(Dashboard!$B$49&lt;-Dashboard!$B$36,$T6*4/100/360*(EOMONTH(DateTime!$B$2,0)-DateTime!$B$2),0)</f>
        <v>0</v>
      </c>
      <c r="AG6" s="168">
        <f t="shared" si="13"/>
        <v>0</v>
      </c>
      <c r="AH6" s="179">
        <f t="shared" si="14"/>
        <v>0.337646285</v>
      </c>
      <c r="AI6" s="180">
        <f t="array" ref="AI6">AVERAGEIFS(OFFSET(INDEX(Price!$B:$F,0,ROW()-1),0,0,ROWS(Price!$B:$F),1),Price!$A:$A,"&gt;" &amp; DATE(DateTime!$B$4-1,DateTime!$B$5,DateTime!$B$6))</f>
        <v>6.528245136</v>
      </c>
      <c r="AJ6" s="174">
        <f t="shared" si="15"/>
        <v>-0.02323591476</v>
      </c>
      <c r="AK6" s="180">
        <f t="array" ref="AK6">AVERAGEIFS(OFFSET(INDEX(Price!$B:$F,0,ROW()-1),0,0,ROWS(Price!$B:$F),1),Price!$A:$A,"&lt;=" &amp; DATE(DateTime!$B$4,IF(DateTime!$B$5&gt;0,DateTime!$B$5-1,1),DateTime!$B$6))</f>
        <v>6.623062016</v>
      </c>
      <c r="AL6" s="174">
        <f t="shared" si="16"/>
        <v>-0.0145240991</v>
      </c>
      <c r="AM6" s="181">
        <v>0.01</v>
      </c>
      <c r="AN6" s="168">
        <f t="shared" si="17"/>
        <v>-49642.78</v>
      </c>
      <c r="AO6" s="168">
        <f t="shared" si="18"/>
        <v>150449.9374</v>
      </c>
      <c r="AP6" s="180">
        <f t="shared" si="19"/>
        <v>6.865754578</v>
      </c>
      <c r="AQ6" s="182">
        <v>44113.749793599534</v>
      </c>
      <c r="AR6" s="183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4" t="str">
        <f>IF(MAXIFS(Historic!$A:$A,Historic!$C:$C,LEFT($H6,40)&amp;"*",Historic!$D:$D,"DIVIDEND",Historic!$A:$A,"&lt;"&amp;AR6)&lt;&gt;0,EDATE(AR6,ROUNDUP((AR6-MAXIFS(Historic!$A:$A,Historic!$C:$C,LEFT($H6,40)&amp;"*",Historic!$D:$D,"DIVIDEND",Historic!$A:$A,"&lt;"&amp;AR6))/365.25*12)),)</f>
        <v/>
      </c>
      <c r="AT6" s="185" t="str">
        <f>IF($AS6,$AS6-DateTime!$B$2&amp;"d ("&amp;ROUND(($AS6-DateTime!$B$2)/30,1) &amp; "m)",)</f>
        <v/>
      </c>
      <c r="AU6" s="172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6">
        <f t="shared" si="20"/>
        <v>0</v>
      </c>
      <c r="AW6" s="187">
        <f t="shared" si="21"/>
        <v>0.1227924079</v>
      </c>
      <c r="AX6" s="188">
        <f>MAX($B6*AVERAGE(Historic!$J:$J),0)*MAX(ABS($AH6*100),1)*(1-$BE6)*5</f>
        <v>463.8511637</v>
      </c>
      <c r="AY6" s="188">
        <f>MAX($B6*AVERAGE(Historic!$J:$J),0)*MAX(ABS($AH6*100),1)</f>
        <v>851.6173884</v>
      </c>
      <c r="AZ6" s="189">
        <f t="array" ref="AZ6">(1-(1/100))*MAX(INDEX(Price!$B:$G,0,ROW()-1))</f>
        <v>7.46163</v>
      </c>
      <c r="BA6" s="189">
        <f t="array" ref="BA6">MAX(INDEX(Price!$B:$G,0,ROW()-1))</f>
        <v>7.537</v>
      </c>
      <c r="BB6" s="187">
        <f t="array" ref="BB6">$M6/MAX(INDEX(Price!$B:$F,0,ROW()-1))</f>
        <v>0.8464906461</v>
      </c>
      <c r="BC6" s="189">
        <f t="array" ref="BC6">(1+(1/100))*MIN(INDEX(Price!$B:$G,0,ROW()-1))</f>
        <v>5.74185</v>
      </c>
      <c r="BD6" s="189">
        <f t="array" ref="BD6">MIN(INDEX(Price!$B:$G,0,ROW()-1))</f>
        <v>5.685</v>
      </c>
      <c r="BE6" s="187">
        <f t="array" ref="BE6">MIN(INDEX(Price!$B:$F,0,ROW()-1))/$M6</f>
        <v>0.8910658307</v>
      </c>
      <c r="BF6" s="190" t="str">
        <f>IF(AND($AJ6&lt;0.1,$BE6&gt;0.95),MIN(-AH6*($O6-($BF$7*$B6*(1-$AJ6))/(1+$BE6)),Allocation!$B$11)*$B6,)</f>
        <v/>
      </c>
      <c r="BG6" s="191" t="str">
        <f t="shared" si="22"/>
        <v/>
      </c>
    </row>
    <row r="7">
      <c r="A7" s="196" t="s">
        <v>321</v>
      </c>
      <c r="B7" s="197">
        <f>SUM(OFFSET(B:B,1,0,ROW()-2,1))</f>
        <v>1</v>
      </c>
      <c r="C7" s="198"/>
      <c r="D7" s="199"/>
      <c r="E7" s="200"/>
      <c r="F7" s="201"/>
      <c r="G7" s="202"/>
      <c r="H7" s="203" t="s">
        <v>321</v>
      </c>
      <c r="I7" s="198"/>
      <c r="J7" s="198"/>
      <c r="K7" s="204"/>
      <c r="L7" s="205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6"/>
      <c r="N7" s="207">
        <f>SUM(N$1:N$6)+$AM$7</f>
        <v>1012633.03</v>
      </c>
      <c r="O7" s="207">
        <f>SUM(OFFSET(O:O,1,0,ROW()-2,1))</f>
        <v>1197415.072</v>
      </c>
      <c r="P7" s="208">
        <f>(Allocation!$B$17+Dashboard!$B$20+Dashboard!$B$57+$AU$7)*(1+$AJ$7)</f>
        <v>1269022.067</v>
      </c>
      <c r="Q7" s="209"/>
      <c r="R7" s="207"/>
      <c r="S7" s="207">
        <f>$P$7-$O$7</f>
        <v>71606.99547</v>
      </c>
      <c r="T7" s="207">
        <f>SUMIFS(OFFSET(T:T,1,0,ROW()-2,1),OFFSET(W:W,1,0,ROW()-2,1),"&lt;&gt;HOLD*")</f>
        <v>-79339.504</v>
      </c>
      <c r="U7" s="210">
        <f>$P$7*(1-$AJ$7)-$O$7-$AN7</f>
        <v>224.199374</v>
      </c>
      <c r="V7" s="209"/>
      <c r="W7" s="211" t="str">
        <f>IFERROR(__xludf.DUMMYFUNCTION("INDEX(SPLIT(IFERROR(VLOOKUP(""SELL*"",OFFSET($W:$W,1,0,ROW()-2,1),1,FALSE),IFERROR(VLOOKUP(""BUY*"",OFFSET($W:$W,1,0,ROW()-2,1),1,FALSE),""HOLD"")),"" ""),1,1)"),"BUY")</f>
        <v>BUY</v>
      </c>
      <c r="X7" s="208">
        <f>SUM(OFFSET(X:X,1,0,ROW()-2,1))</f>
        <v>0</v>
      </c>
      <c r="Y7" s="212">
        <f>IF(OR(X$7=0,$N$7=0),0,X$7/$N$7)</f>
        <v>0</v>
      </c>
      <c r="Z7" s="207">
        <f>SUM(OFFSET(Z:Z,1,0,ROW()-2,1))</f>
        <v>26066.61</v>
      </c>
      <c r="AA7" s="213">
        <f>IF(OR(Z$7=0,$N$7=0),0,Z$7/$N$7)</f>
        <v>0.0257414179</v>
      </c>
      <c r="AB7" s="207">
        <f>SUM(OFFSET(AB:AB,1,0,ROW()-2,1))</f>
        <v>184782.042</v>
      </c>
      <c r="AC7" s="212">
        <f>IF(OR(AB$7=0,$N$7=0),0,AB$7/$N$7)</f>
        <v>0.182476807</v>
      </c>
      <c r="AD7" s="214">
        <f>SUM(OFFSET(AD:AD,1,0,ROW()-2,1))</f>
        <v>210848.652</v>
      </c>
      <c r="AE7" s="213">
        <f>$AA$7+$AC$7</f>
        <v>0.2082182249</v>
      </c>
      <c r="AF7" s="215">
        <f t="array" ref="AF7">SUMIFS(Historic!G:G,Historic!D:D,"=COST",Historic!A:A,"&gt;="&amp;INDEX(Evolution!A:A, ROWS(Evolution!A:A)))</f>
        <v>-15763.33</v>
      </c>
      <c r="AG7" s="216">
        <f>SUM(OFFSET(AG:AG,1,0,ROW()-2,1))</f>
        <v>2518.061644</v>
      </c>
      <c r="AH7" s="217">
        <f>SUMPRODUCT(OFFSET(AH:AH,1,0,ROW()-2,1),OFFSET($AW:$AW,1,0,ROW()-2,1))</f>
        <v>-0.0517308282</v>
      </c>
      <c r="AI7" s="207"/>
      <c r="AJ7" s="213">
        <f>SUMPRODUCT(OFFSET(AJ:AJ,1,0,ROW()-2,1),OFFSET($B:$B,1,0,ROW()-2,1))</f>
        <v>0.007615093814</v>
      </c>
      <c r="AK7" s="217"/>
      <c r="AL7" s="217">
        <f>SUMPRODUCT(OFFSET(AL:AL,1,0,ROW()-2,1),OFFSET($AW:$AW,1,0,ROW()-2,1))</f>
        <v>0.002430077486</v>
      </c>
      <c r="AM7" s="218">
        <v>0.0</v>
      </c>
      <c r="AN7" s="207">
        <f t="shared" ref="AN7:AO7" si="26">SUM(AN$1:AN$6)</f>
        <v>61719.074</v>
      </c>
      <c r="AO7" s="207">
        <f t="shared" si="26"/>
        <v>1191999.032</v>
      </c>
      <c r="AP7" s="219"/>
      <c r="AQ7" s="220">
        <f>DateTime!$B$1-MAX($AQ2:$AQ6)</f>
        <v>1.270758403</v>
      </c>
      <c r="AR7" s="221"/>
      <c r="AS7" s="222"/>
      <c r="AT7" s="223"/>
      <c r="AU7" s="216">
        <f>SUMIFS(OFFSET($AU:$AU,1,0,ROW()-2,1),OFFSET($AS:$AS,1,0,ROW()-2,1),"&lt;="&amp;DateTime!$B$2+15)</f>
        <v>0</v>
      </c>
      <c r="AV7" s="224">
        <f>SUM(OFFSET(AV:AV,1,0,ROW()-2,1))</f>
        <v>1336.933094</v>
      </c>
      <c r="AW7" s="225"/>
      <c r="AX7" s="225"/>
      <c r="AY7" s="225"/>
      <c r="AZ7" s="226"/>
      <c r="BA7" s="225"/>
      <c r="BB7" s="225"/>
      <c r="BC7" s="226"/>
      <c r="BD7" s="225"/>
      <c r="BE7" s="225"/>
      <c r="BF7" s="227">
        <f>AllocationHistoric!$B$2+AllocationHistoric!$C$2+Allocation!$B$15</f>
        <v>1316092.694</v>
      </c>
      <c r="BG7" s="228">
        <f>AllocationHistoric!$B$2+AllocationHistoric!$C$2+Allocation!$B$15</f>
        <v>1316092.694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174</v>
      </c>
      <c r="I1" s="9" t="s">
        <v>322</v>
      </c>
      <c r="J1" s="9" t="s">
        <v>323</v>
      </c>
    </row>
    <row r="2">
      <c r="A2" s="184">
        <v>44113.0</v>
      </c>
      <c r="B2" s="229" t="s">
        <v>192</v>
      </c>
      <c r="C2" s="230" t="s">
        <v>193</v>
      </c>
      <c r="D2" s="231" t="s">
        <v>308</v>
      </c>
      <c r="E2" s="231">
        <v>49514.0</v>
      </c>
      <c r="F2" s="232">
        <v>5.049</v>
      </c>
      <c r="G2" s="233">
        <v>-249996.19</v>
      </c>
      <c r="H2" s="234" t="s">
        <v>324</v>
      </c>
      <c r="I2" s="235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643.678</v>
      </c>
      <c r="J2" s="235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6067.156421</v>
      </c>
    </row>
    <row r="3">
      <c r="A3" s="184">
        <v>44113.0</v>
      </c>
      <c r="B3" s="229" t="s">
        <v>192</v>
      </c>
      <c r="C3" s="230" t="s">
        <v>193</v>
      </c>
      <c r="D3" s="231" t="s">
        <v>325</v>
      </c>
      <c r="E3" s="231"/>
      <c r="F3" s="232"/>
      <c r="G3" s="233">
        <v>-52.0</v>
      </c>
      <c r="H3" s="234" t="s">
        <v>326</v>
      </c>
      <c r="I3" s="235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-52</v>
      </c>
      <c r="J3" s="235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-52</v>
      </c>
    </row>
    <row r="4">
      <c r="A4" s="184">
        <v>44113.0</v>
      </c>
      <c r="B4" s="229" t="s">
        <v>186</v>
      </c>
      <c r="C4" s="230" t="s">
        <v>187</v>
      </c>
      <c r="D4" s="231" t="s">
        <v>308</v>
      </c>
      <c r="E4" s="231">
        <v>9.0</v>
      </c>
      <c r="F4" s="232">
        <v>188.55</v>
      </c>
      <c r="G4" s="233">
        <v>-1696.95</v>
      </c>
      <c r="H4" s="234" t="s">
        <v>327</v>
      </c>
      <c r="I4" s="235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-2.97</v>
      </c>
      <c r="J4" s="235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37.57027237</v>
      </c>
    </row>
    <row r="5">
      <c r="A5" s="184">
        <v>44112.0</v>
      </c>
      <c r="B5" s="229" t="s">
        <v>186</v>
      </c>
      <c r="C5" s="230" t="s">
        <v>187</v>
      </c>
      <c r="D5" s="231" t="s">
        <v>308</v>
      </c>
      <c r="E5" s="231">
        <v>7.0</v>
      </c>
      <c r="F5" s="232">
        <v>189.0</v>
      </c>
      <c r="G5" s="233">
        <v>-1323.0</v>
      </c>
      <c r="H5" s="234" t="s">
        <v>328</v>
      </c>
      <c r="I5" s="235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-5.46</v>
      </c>
      <c r="J5" s="235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26.07132296</v>
      </c>
    </row>
    <row r="6">
      <c r="A6" s="184">
        <v>44111.0</v>
      </c>
      <c r="B6" s="229" t="s">
        <v>196</v>
      </c>
      <c r="C6" s="230" t="s">
        <v>197</v>
      </c>
      <c r="D6" s="231" t="s">
        <v>329</v>
      </c>
      <c r="E6" s="231"/>
      <c r="F6" s="232"/>
      <c r="G6" s="233">
        <v>1677.14</v>
      </c>
      <c r="H6" s="234" t="s">
        <v>330</v>
      </c>
      <c r="I6" s="235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5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4">
        <v>44111.0</v>
      </c>
      <c r="B7" s="229" t="s">
        <v>196</v>
      </c>
      <c r="C7" s="230" t="s">
        <v>197</v>
      </c>
      <c r="D7" s="231" t="s">
        <v>329</v>
      </c>
      <c r="E7" s="231"/>
      <c r="F7" s="232"/>
      <c r="G7" s="233">
        <v>-253.0</v>
      </c>
      <c r="H7" s="234" t="s">
        <v>331</v>
      </c>
      <c r="I7" s="235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5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4">
        <v>44110.0</v>
      </c>
      <c r="B8" s="229"/>
      <c r="C8" s="230"/>
      <c r="D8" s="231" t="s">
        <v>332</v>
      </c>
      <c r="E8" s="231"/>
      <c r="F8" s="232"/>
      <c r="G8" s="233">
        <v>-1000.0</v>
      </c>
      <c r="H8" s="234" t="s">
        <v>333</v>
      </c>
      <c r="I8" s="235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5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4">
        <v>44105.0</v>
      </c>
      <c r="B9" s="229" t="s">
        <v>186</v>
      </c>
      <c r="C9" s="230" t="s">
        <v>187</v>
      </c>
      <c r="D9" s="231" t="s">
        <v>308</v>
      </c>
      <c r="E9" s="231">
        <v>10.0</v>
      </c>
      <c r="F9" s="232">
        <v>190.55</v>
      </c>
      <c r="G9" s="233">
        <v>-1905.5</v>
      </c>
      <c r="H9" s="236" t="s">
        <v>334</v>
      </c>
      <c r="I9" s="235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-23.3</v>
      </c>
      <c r="J9" s="235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21.74474708</v>
      </c>
    </row>
    <row r="10">
      <c r="A10" s="184">
        <v>44104.0</v>
      </c>
      <c r="B10" s="229"/>
      <c r="C10" s="230"/>
      <c r="D10" s="231" t="s">
        <v>325</v>
      </c>
      <c r="E10" s="231"/>
      <c r="F10" s="232"/>
      <c r="G10" s="233">
        <v>-729.38</v>
      </c>
      <c r="H10" s="234" t="s">
        <v>335</v>
      </c>
      <c r="I10" s="235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5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4">
        <v>44104.0</v>
      </c>
      <c r="B11" s="229"/>
      <c r="C11" s="230"/>
      <c r="D11" s="231" t="s">
        <v>325</v>
      </c>
      <c r="E11" s="231"/>
      <c r="F11" s="232"/>
      <c r="G11" s="233">
        <v>-0.82</v>
      </c>
      <c r="H11" s="234" t="s">
        <v>336</v>
      </c>
      <c r="I11" s="235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5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4">
        <v>44104.0</v>
      </c>
      <c r="B12" s="229" t="s">
        <v>186</v>
      </c>
      <c r="C12" s="230" t="s">
        <v>187</v>
      </c>
      <c r="D12" s="231" t="s">
        <v>308</v>
      </c>
      <c r="E12" s="231">
        <v>50.0</v>
      </c>
      <c r="F12" s="232">
        <v>191.16</v>
      </c>
      <c r="G12" s="233">
        <v>-9558.0</v>
      </c>
      <c r="H12" s="230" t="s">
        <v>337</v>
      </c>
      <c r="I12" s="235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-147</v>
      </c>
      <c r="J12" s="235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78.22373541</v>
      </c>
    </row>
    <row r="13">
      <c r="A13" s="184">
        <v>44096.0</v>
      </c>
      <c r="B13" s="229"/>
      <c r="C13" s="230"/>
      <c r="D13" s="231" t="s">
        <v>332</v>
      </c>
      <c r="E13" s="231"/>
      <c r="F13" s="232"/>
      <c r="G13" s="233">
        <v>40000.0</v>
      </c>
      <c r="H13" s="230" t="s">
        <v>338</v>
      </c>
      <c r="I13" s="235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35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4">
        <v>44090.0</v>
      </c>
      <c r="B14" s="229"/>
      <c r="C14" s="230"/>
      <c r="D14" s="231" t="s">
        <v>332</v>
      </c>
      <c r="E14" s="231"/>
      <c r="F14" s="232"/>
      <c r="G14" s="233">
        <v>-1500.0</v>
      </c>
      <c r="H14" s="230" t="s">
        <v>339</v>
      </c>
      <c r="I14" s="235" t="str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/>
      </c>
      <c r="J14" s="235" t="str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/>
      </c>
    </row>
    <row r="15">
      <c r="A15" s="184">
        <v>44085.0</v>
      </c>
      <c r="B15" s="229"/>
      <c r="C15" s="230"/>
      <c r="D15" s="231" t="s">
        <v>332</v>
      </c>
      <c r="E15" s="231"/>
      <c r="F15" s="232"/>
      <c r="G15" s="233">
        <v>-1000.0</v>
      </c>
      <c r="H15" s="230" t="s">
        <v>333</v>
      </c>
      <c r="I15" s="235" t="str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/>
      </c>
      <c r="J15" s="235" t="str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/>
      </c>
    </row>
    <row r="16">
      <c r="A16" s="184">
        <v>44077.0</v>
      </c>
      <c r="B16" s="229" t="s">
        <v>196</v>
      </c>
      <c r="C16" s="230" t="s">
        <v>197</v>
      </c>
      <c r="D16" s="231" t="s">
        <v>309</v>
      </c>
      <c r="E16" s="231">
        <v>-2048.0</v>
      </c>
      <c r="F16" s="232">
        <v>57.4</v>
      </c>
      <c r="G16" s="233">
        <v>117555.2</v>
      </c>
      <c r="H16" s="230" t="s">
        <v>340</v>
      </c>
      <c r="I16" s="235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3604.48</v>
      </c>
      <c r="J16" s="235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9594.083113</v>
      </c>
    </row>
    <row r="17">
      <c r="A17" s="184">
        <v>44076.0</v>
      </c>
      <c r="B17" s="229" t="s">
        <v>186</v>
      </c>
      <c r="C17" s="230" t="s">
        <v>187</v>
      </c>
      <c r="D17" s="231" t="s">
        <v>308</v>
      </c>
      <c r="E17" s="231">
        <v>6.0</v>
      </c>
      <c r="F17" s="232">
        <v>188.37</v>
      </c>
      <c r="G17" s="233">
        <v>-1130.22</v>
      </c>
      <c r="H17" s="230" t="s">
        <v>341</v>
      </c>
      <c r="I17" s="235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-0.9</v>
      </c>
      <c r="J17" s="235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26.12684825</v>
      </c>
    </row>
    <row r="18">
      <c r="A18" s="184">
        <v>44075.0</v>
      </c>
      <c r="B18" s="229" t="s">
        <v>186</v>
      </c>
      <c r="C18" s="230" t="s">
        <v>187</v>
      </c>
      <c r="D18" s="231" t="s">
        <v>308</v>
      </c>
      <c r="E18" s="231">
        <v>6.0</v>
      </c>
      <c r="F18" s="232">
        <v>185.9</v>
      </c>
      <c r="G18" s="233">
        <v>-1115.4</v>
      </c>
      <c r="H18" s="230" t="s">
        <v>342</v>
      </c>
      <c r="I18" s="235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13.92</v>
      </c>
      <c r="J18" s="235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40.94684825</v>
      </c>
    </row>
    <row r="19">
      <c r="A19" s="184">
        <v>44074.0</v>
      </c>
      <c r="B19" s="229"/>
      <c r="C19" s="230"/>
      <c r="D19" s="231" t="s">
        <v>325</v>
      </c>
      <c r="E19" s="231"/>
      <c r="F19" s="232"/>
      <c r="G19" s="233">
        <v>-680.17</v>
      </c>
      <c r="H19" s="230" t="s">
        <v>343</v>
      </c>
      <c r="I19" s="235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5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4">
        <v>44074.0</v>
      </c>
      <c r="B20" s="229" t="s">
        <v>186</v>
      </c>
      <c r="C20" s="230" t="s">
        <v>187</v>
      </c>
      <c r="D20" s="231" t="s">
        <v>308</v>
      </c>
      <c r="E20" s="231">
        <v>10.0</v>
      </c>
      <c r="F20" s="232">
        <v>186.8</v>
      </c>
      <c r="G20" s="233">
        <v>-1868.0</v>
      </c>
      <c r="H20" s="230" t="s">
        <v>344</v>
      </c>
      <c r="I20" s="235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>14.2</v>
      </c>
      <c r="J20" s="235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>59.24474708</v>
      </c>
    </row>
    <row r="21">
      <c r="A21" s="184">
        <v>44070.0</v>
      </c>
      <c r="B21" s="229" t="s">
        <v>186</v>
      </c>
      <c r="C21" s="230" t="s">
        <v>187</v>
      </c>
      <c r="D21" s="231" t="s">
        <v>308</v>
      </c>
      <c r="E21" s="231">
        <v>6.0</v>
      </c>
      <c r="F21" s="232">
        <v>188.98</v>
      </c>
      <c r="G21" s="233">
        <v>-1133.88</v>
      </c>
      <c r="H21" s="230" t="s">
        <v>345</v>
      </c>
      <c r="I21" s="235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-4.56</v>
      </c>
      <c r="J21" s="235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22.46684825</v>
      </c>
    </row>
    <row r="22">
      <c r="A22" s="184">
        <v>44069.0</v>
      </c>
      <c r="B22" s="229" t="s">
        <v>186</v>
      </c>
      <c r="C22" s="230" t="s">
        <v>187</v>
      </c>
      <c r="D22" s="231" t="s">
        <v>308</v>
      </c>
      <c r="E22" s="231">
        <v>6.0</v>
      </c>
      <c r="F22" s="232">
        <v>188.65</v>
      </c>
      <c r="G22" s="233">
        <v>-1131.9</v>
      </c>
      <c r="H22" s="230" t="s">
        <v>346</v>
      </c>
      <c r="I22" s="235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-2.58</v>
      </c>
      <c r="J22" s="235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24.44684825</v>
      </c>
    </row>
    <row r="23">
      <c r="A23" s="184">
        <v>44068.0</v>
      </c>
      <c r="B23" s="229" t="s">
        <v>186</v>
      </c>
      <c r="C23" s="230" t="s">
        <v>187</v>
      </c>
      <c r="D23" s="231" t="s">
        <v>308</v>
      </c>
      <c r="E23" s="231">
        <v>484.0</v>
      </c>
      <c r="F23" s="232">
        <v>188.69</v>
      </c>
      <c r="G23" s="233">
        <v>-91325.96</v>
      </c>
      <c r="H23" s="230" t="s">
        <v>347</v>
      </c>
      <c r="I23" s="235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-227.48</v>
      </c>
      <c r="J23" s="235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1952.685759</v>
      </c>
    </row>
    <row r="24">
      <c r="A24" s="184">
        <v>44043.0</v>
      </c>
      <c r="B24" s="229"/>
      <c r="C24" s="230"/>
      <c r="D24" s="231" t="s">
        <v>325</v>
      </c>
      <c r="E24" s="231"/>
      <c r="F24" s="232"/>
      <c r="G24" s="233">
        <v>-690.94</v>
      </c>
      <c r="H24" s="230" t="s">
        <v>348</v>
      </c>
      <c r="I24" s="235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5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4">
        <v>44012.0</v>
      </c>
      <c r="B25" s="229"/>
      <c r="C25" s="230"/>
      <c r="D25" s="231" t="s">
        <v>325</v>
      </c>
      <c r="E25" s="231"/>
      <c r="F25" s="232"/>
      <c r="G25" s="233">
        <v>-631.25</v>
      </c>
      <c r="H25" s="230" t="s">
        <v>349</v>
      </c>
      <c r="I25" s="235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5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4">
        <v>44007.0</v>
      </c>
      <c r="B26" s="229" t="s">
        <v>192</v>
      </c>
      <c r="C26" s="230" t="s">
        <v>193</v>
      </c>
      <c r="D26" s="231" t="s">
        <v>329</v>
      </c>
      <c r="E26" s="231"/>
      <c r="F26" s="232"/>
      <c r="G26" s="233">
        <v>-421.7</v>
      </c>
      <c r="H26" s="230" t="s">
        <v>350</v>
      </c>
      <c r="I26" s="235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35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4">
        <v>44006.0</v>
      </c>
      <c r="B27" s="229" t="s">
        <v>196</v>
      </c>
      <c r="C27" s="230" t="s">
        <v>197</v>
      </c>
      <c r="D27" s="231" t="s">
        <v>329</v>
      </c>
      <c r="E27" s="231"/>
      <c r="F27" s="232"/>
      <c r="G27" s="233">
        <v>1706.05</v>
      </c>
      <c r="H27" s="230" t="s">
        <v>351</v>
      </c>
      <c r="I27" s="235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35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184">
        <v>44006.0</v>
      </c>
      <c r="B28" s="229" t="s">
        <v>192</v>
      </c>
      <c r="C28" s="230" t="s">
        <v>193</v>
      </c>
      <c r="D28" s="231" t="s">
        <v>329</v>
      </c>
      <c r="E28" s="231"/>
      <c r="F28" s="232"/>
      <c r="G28" s="233">
        <v>2148.89</v>
      </c>
      <c r="H28" s="230" t="s">
        <v>352</v>
      </c>
      <c r="I28" s="235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35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4">
        <v>43985.0</v>
      </c>
      <c r="B29" s="229"/>
      <c r="C29" s="230"/>
      <c r="D29" s="231" t="s">
        <v>332</v>
      </c>
      <c r="E29" s="231"/>
      <c r="F29" s="232"/>
      <c r="G29" s="233">
        <v>-100000.0</v>
      </c>
      <c r="H29" s="230" t="s">
        <v>353</v>
      </c>
      <c r="I29" s="235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35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4">
        <v>43984.0</v>
      </c>
      <c r="B30" s="229"/>
      <c r="C30" s="230"/>
      <c r="D30" s="231" t="s">
        <v>332</v>
      </c>
      <c r="E30" s="231"/>
      <c r="F30" s="232"/>
      <c r="G30" s="233">
        <v>-400.0</v>
      </c>
      <c r="H30" s="230" t="s">
        <v>354</v>
      </c>
      <c r="I30" s="235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35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4">
        <v>43982.0</v>
      </c>
      <c r="B31" s="229"/>
      <c r="C31" s="230"/>
      <c r="D31" s="231" t="s">
        <v>325</v>
      </c>
      <c r="E31" s="231"/>
      <c r="F31" s="232"/>
      <c r="G31" s="233">
        <v>-544.65</v>
      </c>
      <c r="H31" s="230" t="s">
        <v>355</v>
      </c>
      <c r="I31" s="235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5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4">
        <v>43978.0</v>
      </c>
      <c r="B32" s="229" t="s">
        <v>186</v>
      </c>
      <c r="C32" s="230" t="s">
        <v>187</v>
      </c>
      <c r="D32" s="231" t="s">
        <v>329</v>
      </c>
      <c r="E32" s="231"/>
      <c r="F32" s="232"/>
      <c r="G32" s="233">
        <v>874.6</v>
      </c>
      <c r="H32" s="230" t="s">
        <v>356</v>
      </c>
      <c r="I32" s="235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5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4">
        <v>43978.0</v>
      </c>
      <c r="B33" s="229" t="s">
        <v>186</v>
      </c>
      <c r="C33" s="230" t="s">
        <v>187</v>
      </c>
      <c r="D33" s="231" t="s">
        <v>329</v>
      </c>
      <c r="E33" s="231"/>
      <c r="F33" s="232"/>
      <c r="G33" s="233">
        <v>-81.0</v>
      </c>
      <c r="H33" s="230" t="s">
        <v>357</v>
      </c>
      <c r="I33" s="235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35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4">
        <v>43952.0</v>
      </c>
      <c r="B34" s="229"/>
      <c r="C34" s="230"/>
      <c r="D34" s="231" t="s">
        <v>332</v>
      </c>
      <c r="E34" s="231"/>
      <c r="F34" s="232"/>
      <c r="G34" s="233">
        <v>-400.0</v>
      </c>
      <c r="H34" s="230" t="s">
        <v>354</v>
      </c>
      <c r="I34" s="235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35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84">
        <v>43951.0</v>
      </c>
      <c r="B35" s="229"/>
      <c r="C35" s="230"/>
      <c r="D35" s="231" t="s">
        <v>325</v>
      </c>
      <c r="E35" s="231"/>
      <c r="F35" s="232"/>
      <c r="G35" s="233">
        <v>-704.17</v>
      </c>
      <c r="H35" s="230" t="s">
        <v>358</v>
      </c>
      <c r="I35" s="235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35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4">
        <v>43948.0</v>
      </c>
      <c r="B36" s="229" t="s">
        <v>177</v>
      </c>
      <c r="C36" s="230" t="s">
        <v>180</v>
      </c>
      <c r="D36" s="231" t="s">
        <v>308</v>
      </c>
      <c r="E36" s="231">
        <v>177.0</v>
      </c>
      <c r="F36" s="232">
        <v>5.68</v>
      </c>
      <c r="G36" s="233">
        <v>-1005.36</v>
      </c>
      <c r="H36" s="230" t="s">
        <v>359</v>
      </c>
      <c r="I36" s="235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123.9</v>
      </c>
      <c r="J36" s="235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150.1393891</v>
      </c>
    </row>
    <row r="37">
      <c r="A37" s="184">
        <v>43948.0</v>
      </c>
      <c r="B37" s="229" t="s">
        <v>177</v>
      </c>
      <c r="C37" s="230" t="s">
        <v>180</v>
      </c>
      <c r="D37" s="231" t="s">
        <v>308</v>
      </c>
      <c r="E37" s="231">
        <v>176.0</v>
      </c>
      <c r="F37" s="232">
        <v>5.71</v>
      </c>
      <c r="G37" s="233">
        <v>-1004.96</v>
      </c>
      <c r="H37" s="230" t="s">
        <v>360</v>
      </c>
      <c r="I37" s="235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117.92</v>
      </c>
      <c r="J37" s="235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144.011144</v>
      </c>
    </row>
    <row r="38">
      <c r="A38" s="184">
        <v>43948.0</v>
      </c>
      <c r="B38" s="229" t="s">
        <v>177</v>
      </c>
      <c r="C38" s="230" t="s">
        <v>180</v>
      </c>
      <c r="D38" s="231" t="s">
        <v>308</v>
      </c>
      <c r="E38" s="231">
        <v>705.0</v>
      </c>
      <c r="F38" s="232">
        <v>5.73</v>
      </c>
      <c r="G38" s="233">
        <v>-4039.65</v>
      </c>
      <c r="H38" s="230" t="s">
        <v>361</v>
      </c>
      <c r="I38" s="235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458.25</v>
      </c>
      <c r="J38" s="235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562.762821</v>
      </c>
    </row>
    <row r="39">
      <c r="A39" s="184">
        <v>43945.0</v>
      </c>
      <c r="B39" s="229" t="s">
        <v>177</v>
      </c>
      <c r="C39" s="230" t="s">
        <v>180</v>
      </c>
      <c r="D39" s="231" t="s">
        <v>308</v>
      </c>
      <c r="E39" s="231">
        <v>174.0</v>
      </c>
      <c r="F39" s="232">
        <v>5.77</v>
      </c>
      <c r="G39" s="233">
        <v>-1003.98</v>
      </c>
      <c r="H39" s="230" t="s">
        <v>362</v>
      </c>
      <c r="I39" s="235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106.14</v>
      </c>
      <c r="J39" s="235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131.9346537</v>
      </c>
    </row>
    <row r="40">
      <c r="A40" s="184">
        <v>43942.0</v>
      </c>
      <c r="B40" s="229" t="s">
        <v>196</v>
      </c>
      <c r="C40" s="230" t="s">
        <v>197</v>
      </c>
      <c r="D40" s="231" t="s">
        <v>309</v>
      </c>
      <c r="E40" s="231">
        <v>-2384.0</v>
      </c>
      <c r="F40" s="232">
        <v>48.55</v>
      </c>
      <c r="G40" s="233">
        <v>115743.2</v>
      </c>
      <c r="H40" s="230" t="s">
        <v>363</v>
      </c>
      <c r="I40" s="235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-16902.56</v>
      </c>
      <c r="J40" s="235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-9930.287626</v>
      </c>
    </row>
    <row r="41">
      <c r="A41" s="184">
        <v>43942.0</v>
      </c>
      <c r="B41" s="229" t="s">
        <v>177</v>
      </c>
      <c r="C41" s="230" t="s">
        <v>180</v>
      </c>
      <c r="D41" s="231" t="s">
        <v>308</v>
      </c>
      <c r="E41" s="231">
        <v>174.0</v>
      </c>
      <c r="F41" s="232">
        <v>5.75</v>
      </c>
      <c r="G41" s="233">
        <v>-1000.5</v>
      </c>
      <c r="H41" s="230" t="s">
        <v>364</v>
      </c>
      <c r="I41" s="235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109.62</v>
      </c>
      <c r="J41" s="235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135.4146537</v>
      </c>
    </row>
    <row r="42">
      <c r="A42" s="184">
        <v>43942.0</v>
      </c>
      <c r="B42" s="229" t="s">
        <v>177</v>
      </c>
      <c r="C42" s="230" t="s">
        <v>180</v>
      </c>
      <c r="D42" s="231" t="s">
        <v>308</v>
      </c>
      <c r="E42" s="231">
        <v>174.0</v>
      </c>
      <c r="F42" s="232">
        <v>5.77</v>
      </c>
      <c r="G42" s="233">
        <v>-1003.98</v>
      </c>
      <c r="H42" s="230" t="s">
        <v>362</v>
      </c>
      <c r="I42" s="235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106.14</v>
      </c>
      <c r="J42" s="235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131.9346537</v>
      </c>
    </row>
    <row r="43">
      <c r="A43" s="184">
        <v>43935.0</v>
      </c>
      <c r="B43" s="229" t="s">
        <v>182</v>
      </c>
      <c r="C43" s="230" t="s">
        <v>183</v>
      </c>
      <c r="D43" s="231" t="s">
        <v>309</v>
      </c>
      <c r="E43" s="231">
        <v>-7.0</v>
      </c>
      <c r="F43" s="232">
        <v>150.25</v>
      </c>
      <c r="G43" s="233">
        <v>1051.75</v>
      </c>
      <c r="H43" s="230" t="s">
        <v>365</v>
      </c>
      <c r="I43" s="235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-30.1</v>
      </c>
      <c r="J43" s="235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54.0544358</v>
      </c>
    </row>
    <row r="44">
      <c r="A44" s="184">
        <v>43935.0</v>
      </c>
      <c r="B44" s="229" t="s">
        <v>182</v>
      </c>
      <c r="C44" s="230" t="s">
        <v>183</v>
      </c>
      <c r="D44" s="231" t="s">
        <v>309</v>
      </c>
      <c r="E44" s="231">
        <v>-17.0</v>
      </c>
      <c r="F44" s="232">
        <v>149.35</v>
      </c>
      <c r="G44" s="233">
        <v>2538.95</v>
      </c>
      <c r="H44" s="230" t="s">
        <v>366</v>
      </c>
      <c r="I44" s="235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-88.4</v>
      </c>
      <c r="J44" s="235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115.9750584</v>
      </c>
    </row>
    <row r="45">
      <c r="A45" s="184">
        <v>43930.0</v>
      </c>
      <c r="B45" s="229" t="s">
        <v>196</v>
      </c>
      <c r="C45" s="230" t="s">
        <v>197</v>
      </c>
      <c r="D45" s="231" t="s">
        <v>329</v>
      </c>
      <c r="E45" s="231"/>
      <c r="F45" s="232"/>
      <c r="G45" s="233">
        <v>-276.34</v>
      </c>
      <c r="H45" s="230" t="s">
        <v>367</v>
      </c>
      <c r="I45" s="235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35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4">
        <v>43929.0</v>
      </c>
      <c r="B46" s="229"/>
      <c r="C46" s="230"/>
      <c r="D46" s="231" t="s">
        <v>332</v>
      </c>
      <c r="E46" s="231"/>
      <c r="F46" s="232"/>
      <c r="G46" s="233">
        <v>-100.0</v>
      </c>
      <c r="H46" s="230" t="s">
        <v>368</v>
      </c>
      <c r="I46" s="235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35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4">
        <v>43929.0</v>
      </c>
      <c r="B47" s="229" t="s">
        <v>196</v>
      </c>
      <c r="C47" s="230" t="s">
        <v>197</v>
      </c>
      <c r="D47" s="231" t="s">
        <v>329</v>
      </c>
      <c r="E47" s="231"/>
      <c r="F47" s="232"/>
      <c r="G47" s="233">
        <v>3216.38</v>
      </c>
      <c r="H47" s="230" t="s">
        <v>369</v>
      </c>
      <c r="I47" s="235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35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4">
        <v>43928.0</v>
      </c>
      <c r="B48" s="229" t="s">
        <v>182</v>
      </c>
      <c r="C48" s="230" t="s">
        <v>183</v>
      </c>
      <c r="D48" s="231" t="s">
        <v>309</v>
      </c>
      <c r="E48" s="231">
        <v>-22.0</v>
      </c>
      <c r="F48" s="232">
        <v>145.55</v>
      </c>
      <c r="G48" s="233">
        <v>3202.1</v>
      </c>
      <c r="H48" s="230" t="s">
        <v>370</v>
      </c>
      <c r="I48" s="235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-198</v>
      </c>
      <c r="J48" s="235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66.48536965</v>
      </c>
    </row>
    <row r="49">
      <c r="A49" s="184">
        <v>43924.0</v>
      </c>
      <c r="B49" s="229" t="s">
        <v>192</v>
      </c>
      <c r="C49" s="230" t="s">
        <v>193</v>
      </c>
      <c r="D49" s="231" t="s">
        <v>309</v>
      </c>
      <c r="E49" s="231">
        <v>-290.0</v>
      </c>
      <c r="F49" s="232">
        <v>5.875</v>
      </c>
      <c r="G49" s="233">
        <v>1703.75</v>
      </c>
      <c r="H49" s="230" t="s">
        <v>371</v>
      </c>
      <c r="I49" s="235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235.77</v>
      </c>
      <c r="J49" s="235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204.00507</v>
      </c>
    </row>
    <row r="50">
      <c r="A50" s="184">
        <v>43924.0</v>
      </c>
      <c r="B50" s="229" t="s">
        <v>192</v>
      </c>
      <c r="C50" s="230" t="s">
        <v>193</v>
      </c>
      <c r="D50" s="231" t="s">
        <v>325</v>
      </c>
      <c r="E50" s="231"/>
      <c r="F50" s="232"/>
      <c r="G50" s="233">
        <v>-2.34</v>
      </c>
      <c r="H50" s="230" t="s">
        <v>372</v>
      </c>
      <c r="I50" s="235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-2.34</v>
      </c>
      <c r="J50" s="235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-2.34</v>
      </c>
    </row>
    <row r="51">
      <c r="A51" s="184">
        <v>43924.0</v>
      </c>
      <c r="B51" s="229" t="s">
        <v>192</v>
      </c>
      <c r="C51" s="230" t="s">
        <v>193</v>
      </c>
      <c r="D51" s="231" t="s">
        <v>309</v>
      </c>
      <c r="E51" s="231">
        <v>-186.0</v>
      </c>
      <c r="F51" s="232">
        <v>5.89</v>
      </c>
      <c r="G51" s="233">
        <v>1095.54</v>
      </c>
      <c r="H51" s="230" t="s">
        <v>373</v>
      </c>
      <c r="I51" s="235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154.008</v>
      </c>
      <c r="J51" s="235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133.6346311</v>
      </c>
    </row>
    <row r="52">
      <c r="A52" s="184">
        <v>43924.0</v>
      </c>
      <c r="B52" s="229" t="s">
        <v>192</v>
      </c>
      <c r="C52" s="230" t="s">
        <v>193</v>
      </c>
      <c r="D52" s="231" t="s">
        <v>325</v>
      </c>
      <c r="E52" s="231"/>
      <c r="F52" s="232"/>
      <c r="G52" s="233">
        <v>-2.22</v>
      </c>
      <c r="H52" s="230" t="s">
        <v>374</v>
      </c>
      <c r="I52" s="235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-2.22</v>
      </c>
      <c r="J52" s="235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-2.22</v>
      </c>
    </row>
    <row r="53">
      <c r="A53" s="184">
        <v>43924.0</v>
      </c>
      <c r="B53" s="229" t="s">
        <v>186</v>
      </c>
      <c r="C53" s="230" t="s">
        <v>187</v>
      </c>
      <c r="D53" s="231" t="s">
        <v>309</v>
      </c>
      <c r="E53" s="231">
        <v>-5.0</v>
      </c>
      <c r="F53" s="232">
        <v>208.05</v>
      </c>
      <c r="G53" s="233">
        <v>1040.25</v>
      </c>
      <c r="H53" s="230" t="s">
        <v>375</v>
      </c>
      <c r="I53" s="235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99.15</v>
      </c>
      <c r="J53" s="235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76.62762646</v>
      </c>
    </row>
    <row r="54">
      <c r="A54" s="184">
        <v>43924.0</v>
      </c>
      <c r="B54" s="229" t="s">
        <v>186</v>
      </c>
      <c r="C54" s="230" t="s">
        <v>187</v>
      </c>
      <c r="D54" s="231" t="s">
        <v>309</v>
      </c>
      <c r="E54" s="231">
        <v>-10.0</v>
      </c>
      <c r="F54" s="232">
        <v>207.67</v>
      </c>
      <c r="G54" s="233">
        <v>2076.7</v>
      </c>
      <c r="H54" s="230" t="s">
        <v>376</v>
      </c>
      <c r="I54" s="235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194.5</v>
      </c>
      <c r="J54" s="235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149.4552529</v>
      </c>
    </row>
    <row r="55">
      <c r="A55" s="184">
        <v>43923.0</v>
      </c>
      <c r="B55" s="229" t="s">
        <v>192</v>
      </c>
      <c r="C55" s="230" t="s">
        <v>193</v>
      </c>
      <c r="D55" s="231" t="s">
        <v>309</v>
      </c>
      <c r="E55" s="231">
        <v>-437.0</v>
      </c>
      <c r="F55" s="232">
        <v>5.855</v>
      </c>
      <c r="G55" s="233">
        <v>2558.64</v>
      </c>
      <c r="H55" s="230" t="s">
        <v>377</v>
      </c>
      <c r="I55" s="235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346.546</v>
      </c>
      <c r="J55" s="235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298.6795366</v>
      </c>
    </row>
    <row r="56">
      <c r="A56" s="184">
        <v>43923.0</v>
      </c>
      <c r="B56" s="229" t="s">
        <v>192</v>
      </c>
      <c r="C56" s="230" t="s">
        <v>193</v>
      </c>
      <c r="D56" s="231" t="s">
        <v>325</v>
      </c>
      <c r="E56" s="231"/>
      <c r="F56" s="232"/>
      <c r="G56" s="233">
        <v>-2.51</v>
      </c>
      <c r="H56" s="230" t="s">
        <v>378</v>
      </c>
      <c r="I56" s="235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-2.51</v>
      </c>
      <c r="J56" s="235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-2.51</v>
      </c>
    </row>
    <row r="57">
      <c r="A57" s="184">
        <v>43923.0</v>
      </c>
      <c r="B57" s="229" t="s">
        <v>177</v>
      </c>
      <c r="C57" s="230" t="s">
        <v>180</v>
      </c>
      <c r="D57" s="231" t="s">
        <v>308</v>
      </c>
      <c r="E57" s="231">
        <v>174.0</v>
      </c>
      <c r="F57" s="232">
        <v>5.77</v>
      </c>
      <c r="G57" s="233">
        <v>-1003.98</v>
      </c>
      <c r="H57" s="230" t="s">
        <v>362</v>
      </c>
      <c r="I57" s="235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106.14</v>
      </c>
      <c r="J57" s="235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131.9346537</v>
      </c>
    </row>
    <row r="58">
      <c r="A58" s="184">
        <v>43923.0</v>
      </c>
      <c r="B58" s="229" t="s">
        <v>192</v>
      </c>
      <c r="C58" s="230" t="s">
        <v>193</v>
      </c>
      <c r="D58" s="231" t="s">
        <v>309</v>
      </c>
      <c r="E58" s="231">
        <v>-248.0</v>
      </c>
      <c r="F58" s="232">
        <v>5.8162</v>
      </c>
      <c r="G58" s="233">
        <v>1442.42</v>
      </c>
      <c r="H58" s="230" t="s">
        <v>379</v>
      </c>
      <c r="I58" s="235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187.044</v>
      </c>
      <c r="J58" s="235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159.8795082</v>
      </c>
    </row>
    <row r="59">
      <c r="A59" s="184">
        <v>43923.0</v>
      </c>
      <c r="B59" s="229" t="s">
        <v>192</v>
      </c>
      <c r="C59" s="230" t="s">
        <v>193</v>
      </c>
      <c r="D59" s="231" t="s">
        <v>325</v>
      </c>
      <c r="E59" s="231"/>
      <c r="F59" s="232"/>
      <c r="G59" s="233">
        <v>-2.29</v>
      </c>
      <c r="H59" s="230" t="s">
        <v>380</v>
      </c>
      <c r="I59" s="235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-2.29</v>
      </c>
      <c r="J59" s="235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-2.29</v>
      </c>
    </row>
    <row r="60">
      <c r="A60" s="184">
        <v>43923.0</v>
      </c>
      <c r="B60" s="229" t="s">
        <v>186</v>
      </c>
      <c r="C60" s="230" t="s">
        <v>187</v>
      </c>
      <c r="D60" s="231" t="s">
        <v>309</v>
      </c>
      <c r="E60" s="231">
        <v>-2.0</v>
      </c>
      <c r="F60" s="232">
        <v>206.97</v>
      </c>
      <c r="G60" s="233">
        <v>413.94</v>
      </c>
      <c r="H60" s="230" t="s">
        <v>381</v>
      </c>
      <c r="I60" s="235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37.5</v>
      </c>
      <c r="J60" s="235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28.49105058</v>
      </c>
    </row>
    <row r="61">
      <c r="A61" s="184">
        <v>43923.0</v>
      </c>
      <c r="B61" s="229" t="s">
        <v>186</v>
      </c>
      <c r="C61" s="230" t="s">
        <v>187</v>
      </c>
      <c r="D61" s="231" t="s">
        <v>309</v>
      </c>
      <c r="E61" s="231">
        <v>-29.0</v>
      </c>
      <c r="F61" s="232">
        <v>206.97</v>
      </c>
      <c r="G61" s="233">
        <v>6002.13</v>
      </c>
      <c r="H61" s="230" t="s">
        <v>382</v>
      </c>
      <c r="I61" s="235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543.75</v>
      </c>
      <c r="J61" s="235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413.1202335</v>
      </c>
    </row>
    <row r="62">
      <c r="A62" s="184">
        <v>43923.0</v>
      </c>
      <c r="B62" s="229" t="s">
        <v>177</v>
      </c>
      <c r="C62" s="230" t="s">
        <v>180</v>
      </c>
      <c r="D62" s="231" t="s">
        <v>308</v>
      </c>
      <c r="E62" s="231">
        <v>174.0</v>
      </c>
      <c r="F62" s="232">
        <v>5.77</v>
      </c>
      <c r="G62" s="233">
        <v>-1003.98</v>
      </c>
      <c r="H62" s="230" t="s">
        <v>362</v>
      </c>
      <c r="I62" s="235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106.14</v>
      </c>
      <c r="J62" s="235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131.9346537</v>
      </c>
    </row>
    <row r="63">
      <c r="A63" s="184">
        <v>43923.0</v>
      </c>
      <c r="B63" s="229" t="s">
        <v>192</v>
      </c>
      <c r="C63" s="230" t="s">
        <v>193</v>
      </c>
      <c r="D63" s="231" t="s">
        <v>309</v>
      </c>
      <c r="E63" s="231">
        <v>-316.0</v>
      </c>
      <c r="F63" s="232">
        <v>5.8002</v>
      </c>
      <c r="G63" s="233">
        <v>1832.86</v>
      </c>
      <c r="H63" s="230" t="s">
        <v>383</v>
      </c>
      <c r="I63" s="235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233.268</v>
      </c>
      <c r="J63" s="235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198.6551798</v>
      </c>
    </row>
    <row r="64">
      <c r="A64" s="184">
        <v>43923.0</v>
      </c>
      <c r="B64" s="229" t="s">
        <v>192</v>
      </c>
      <c r="C64" s="230" t="s">
        <v>193</v>
      </c>
      <c r="D64" s="231" t="s">
        <v>325</v>
      </c>
      <c r="E64" s="231"/>
      <c r="F64" s="232"/>
      <c r="G64" s="233">
        <v>-2.37</v>
      </c>
      <c r="H64" s="230" t="s">
        <v>384</v>
      </c>
      <c r="I64" s="235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-2.37</v>
      </c>
      <c r="J64" s="235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-2.37</v>
      </c>
    </row>
    <row r="65">
      <c r="A65" s="184">
        <v>43923.0</v>
      </c>
      <c r="B65" s="229" t="s">
        <v>177</v>
      </c>
      <c r="C65" s="230" t="s">
        <v>180</v>
      </c>
      <c r="D65" s="231" t="s">
        <v>308</v>
      </c>
      <c r="E65" s="231">
        <v>20.0</v>
      </c>
      <c r="F65" s="232">
        <v>5.77</v>
      </c>
      <c r="G65" s="233">
        <v>-115.4</v>
      </c>
      <c r="H65" s="230" t="s">
        <v>385</v>
      </c>
      <c r="I65" s="235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12.2</v>
      </c>
      <c r="J65" s="235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15.16490272</v>
      </c>
    </row>
    <row r="66">
      <c r="A66" s="184">
        <v>43923.0</v>
      </c>
      <c r="B66" s="229" t="s">
        <v>177</v>
      </c>
      <c r="C66" s="230" t="s">
        <v>180</v>
      </c>
      <c r="D66" s="231" t="s">
        <v>308</v>
      </c>
      <c r="E66" s="231">
        <v>153.0</v>
      </c>
      <c r="F66" s="232">
        <v>5.77</v>
      </c>
      <c r="G66" s="233">
        <v>-882.81</v>
      </c>
      <c r="H66" s="230" t="s">
        <v>386</v>
      </c>
      <c r="I66" s="235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93.33</v>
      </c>
      <c r="J66" s="235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116.0115058</v>
      </c>
    </row>
    <row r="67">
      <c r="A67" s="184">
        <v>43923.0</v>
      </c>
      <c r="B67" s="229" t="s">
        <v>177</v>
      </c>
      <c r="C67" s="230" t="s">
        <v>180</v>
      </c>
      <c r="D67" s="231" t="s">
        <v>308</v>
      </c>
      <c r="E67" s="231">
        <v>1.0</v>
      </c>
      <c r="F67" s="232">
        <v>5.77</v>
      </c>
      <c r="G67" s="233">
        <v>-5.77</v>
      </c>
      <c r="H67" s="230" t="s">
        <v>387</v>
      </c>
      <c r="I67" s="235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0.61</v>
      </c>
      <c r="J67" s="235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0.7582451362</v>
      </c>
    </row>
    <row r="68">
      <c r="A68" s="184">
        <v>43922.0</v>
      </c>
      <c r="B68" s="229"/>
      <c r="C68" s="230"/>
      <c r="D68" s="231" t="s">
        <v>332</v>
      </c>
      <c r="E68" s="231"/>
      <c r="F68" s="232"/>
      <c r="G68" s="233">
        <v>-200.0</v>
      </c>
      <c r="H68" s="230" t="s">
        <v>388</v>
      </c>
      <c r="I68" s="235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5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4">
        <v>43922.0</v>
      </c>
      <c r="B69" s="229" t="s">
        <v>177</v>
      </c>
      <c r="C69" s="230" t="s">
        <v>180</v>
      </c>
      <c r="D69" s="231" t="s">
        <v>308</v>
      </c>
      <c r="E69" s="231">
        <v>174.0</v>
      </c>
      <c r="F69" s="232">
        <v>5.772</v>
      </c>
      <c r="G69" s="233">
        <v>-1004.33</v>
      </c>
      <c r="H69" s="230" t="s">
        <v>389</v>
      </c>
      <c r="I69" s="235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105.79</v>
      </c>
      <c r="J69" s="235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131.5846537</v>
      </c>
    </row>
    <row r="70">
      <c r="A70" s="184">
        <v>43922.0</v>
      </c>
      <c r="B70" s="229" t="s">
        <v>192</v>
      </c>
      <c r="C70" s="230" t="s">
        <v>193</v>
      </c>
      <c r="D70" s="231" t="s">
        <v>309</v>
      </c>
      <c r="E70" s="231">
        <v>-7555.0</v>
      </c>
      <c r="F70" s="232">
        <v>5.771</v>
      </c>
      <c r="G70" s="233">
        <v>43599.9</v>
      </c>
      <c r="H70" s="230" t="s">
        <v>390</v>
      </c>
      <c r="I70" s="235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5356.49</v>
      </c>
      <c r="J70" s="235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4528.958807</v>
      </c>
    </row>
    <row r="71">
      <c r="A71" s="184">
        <v>43922.0</v>
      </c>
      <c r="B71" s="229" t="s">
        <v>192</v>
      </c>
      <c r="C71" s="230" t="s">
        <v>193</v>
      </c>
      <c r="D71" s="231" t="s">
        <v>325</v>
      </c>
      <c r="E71" s="231"/>
      <c r="F71" s="232"/>
      <c r="G71" s="233">
        <v>-10.72</v>
      </c>
      <c r="H71" s="230" t="s">
        <v>391</v>
      </c>
      <c r="I71" s="235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-10.72</v>
      </c>
      <c r="J71" s="235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-10.72</v>
      </c>
    </row>
    <row r="72">
      <c r="A72" s="184">
        <v>43921.0</v>
      </c>
      <c r="B72" s="229"/>
      <c r="C72" s="230"/>
      <c r="D72" s="231" t="s">
        <v>325</v>
      </c>
      <c r="E72" s="231"/>
      <c r="F72" s="232"/>
      <c r="G72" s="233">
        <v>-806.35</v>
      </c>
      <c r="H72" s="230" t="s">
        <v>392</v>
      </c>
      <c r="I72" s="235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5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4">
        <v>43917.0</v>
      </c>
      <c r="B73" s="229" t="s">
        <v>177</v>
      </c>
      <c r="C73" s="230" t="s">
        <v>180</v>
      </c>
      <c r="D73" s="231" t="s">
        <v>308</v>
      </c>
      <c r="E73" s="231">
        <v>80.0</v>
      </c>
      <c r="F73" s="232">
        <v>5.888</v>
      </c>
      <c r="G73" s="233">
        <v>-471.04</v>
      </c>
      <c r="H73" s="230" t="s">
        <v>393</v>
      </c>
      <c r="I73" s="235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39.36</v>
      </c>
      <c r="J73" s="235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51.21961089</v>
      </c>
    </row>
    <row r="74">
      <c r="A74" s="184">
        <v>43917.0</v>
      </c>
      <c r="B74" s="229" t="s">
        <v>177</v>
      </c>
      <c r="C74" s="230" t="s">
        <v>180</v>
      </c>
      <c r="D74" s="231" t="s">
        <v>308</v>
      </c>
      <c r="E74" s="231">
        <v>90.0</v>
      </c>
      <c r="F74" s="232">
        <v>5.888</v>
      </c>
      <c r="G74" s="233">
        <v>-529.92</v>
      </c>
      <c r="H74" s="230" t="s">
        <v>394</v>
      </c>
      <c r="I74" s="235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44.28</v>
      </c>
      <c r="J74" s="235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57.62206226</v>
      </c>
    </row>
    <row r="75">
      <c r="A75" s="184">
        <v>43913.0</v>
      </c>
      <c r="B75" s="229" t="s">
        <v>196</v>
      </c>
      <c r="C75" s="230" t="s">
        <v>197</v>
      </c>
      <c r="D75" s="231" t="s">
        <v>308</v>
      </c>
      <c r="E75" s="231">
        <v>311.0</v>
      </c>
      <c r="F75" s="232">
        <v>39.055</v>
      </c>
      <c r="G75" s="233">
        <v>-12146.1</v>
      </c>
      <c r="H75" s="230" t="s">
        <v>395</v>
      </c>
      <c r="I75" s="235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5157.94</v>
      </c>
      <c r="J75" s="235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4248.386012</v>
      </c>
    </row>
    <row r="76">
      <c r="A76" s="184">
        <v>43913.0</v>
      </c>
      <c r="B76" s="229" t="s">
        <v>196</v>
      </c>
      <c r="C76" s="230" t="s">
        <v>197</v>
      </c>
      <c r="D76" s="231" t="s">
        <v>308</v>
      </c>
      <c r="E76" s="231">
        <v>32.0</v>
      </c>
      <c r="F76" s="232">
        <v>39.5</v>
      </c>
      <c r="G76" s="233">
        <v>-1264.0</v>
      </c>
      <c r="H76" s="230" t="s">
        <v>396</v>
      </c>
      <c r="I76" s="235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516.48</v>
      </c>
      <c r="J76" s="235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422.8924514</v>
      </c>
    </row>
    <row r="77">
      <c r="A77" s="184">
        <v>43913.0</v>
      </c>
      <c r="B77" s="229" t="s">
        <v>196</v>
      </c>
      <c r="C77" s="230" t="s">
        <v>197</v>
      </c>
      <c r="D77" s="231" t="s">
        <v>308</v>
      </c>
      <c r="E77" s="231">
        <v>36.0</v>
      </c>
      <c r="F77" s="232">
        <v>39.55</v>
      </c>
      <c r="G77" s="233">
        <v>-1423.8</v>
      </c>
      <c r="H77" s="230" t="s">
        <v>397</v>
      </c>
      <c r="I77" s="235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579.24</v>
      </c>
      <c r="J77" s="235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473.9540078</v>
      </c>
    </row>
    <row r="78">
      <c r="A78" s="184">
        <v>43913.0</v>
      </c>
      <c r="B78" s="229" t="s">
        <v>196</v>
      </c>
      <c r="C78" s="230" t="s">
        <v>197</v>
      </c>
      <c r="D78" s="231" t="s">
        <v>308</v>
      </c>
      <c r="E78" s="231">
        <v>36.0</v>
      </c>
      <c r="F78" s="232">
        <v>39.89</v>
      </c>
      <c r="G78" s="233">
        <v>-1436.04</v>
      </c>
      <c r="H78" s="230" t="s">
        <v>398</v>
      </c>
      <c r="I78" s="235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567</v>
      </c>
      <c r="J78" s="235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461.7140078</v>
      </c>
    </row>
    <row r="79">
      <c r="A79" s="184">
        <v>43913.0</v>
      </c>
      <c r="B79" s="229" t="s">
        <v>196</v>
      </c>
      <c r="C79" s="230" t="s">
        <v>197</v>
      </c>
      <c r="D79" s="231" t="s">
        <v>308</v>
      </c>
      <c r="E79" s="231">
        <v>26.0</v>
      </c>
      <c r="F79" s="232">
        <v>39.955</v>
      </c>
      <c r="G79" s="233">
        <v>-1038.83</v>
      </c>
      <c r="H79" s="230" t="s">
        <v>399</v>
      </c>
      <c r="I79" s="235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407.81</v>
      </c>
      <c r="J79" s="235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331.7701167</v>
      </c>
    </row>
    <row r="80">
      <c r="A80" s="184">
        <v>43913.0</v>
      </c>
      <c r="B80" s="229" t="s">
        <v>196</v>
      </c>
      <c r="C80" s="230" t="s">
        <v>197</v>
      </c>
      <c r="D80" s="231" t="s">
        <v>308</v>
      </c>
      <c r="E80" s="231">
        <v>46.0</v>
      </c>
      <c r="F80" s="232">
        <v>40.0</v>
      </c>
      <c r="G80" s="233">
        <v>-1840.0</v>
      </c>
      <c r="H80" s="230" t="s">
        <v>400</v>
      </c>
      <c r="I80" s="235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719.44</v>
      </c>
      <c r="J80" s="235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584.9078988</v>
      </c>
    </row>
    <row r="81">
      <c r="A81" s="184">
        <v>43913.0</v>
      </c>
      <c r="B81" s="229" t="s">
        <v>196</v>
      </c>
      <c r="C81" s="230" t="s">
        <v>197</v>
      </c>
      <c r="D81" s="231" t="s">
        <v>308</v>
      </c>
      <c r="E81" s="231">
        <v>80.0</v>
      </c>
      <c r="F81" s="232">
        <v>40.11</v>
      </c>
      <c r="G81" s="233">
        <v>-3208.8</v>
      </c>
      <c r="H81" s="230" t="s">
        <v>401</v>
      </c>
      <c r="I81" s="235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1242.4</v>
      </c>
      <c r="J81" s="235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1008.431128</v>
      </c>
    </row>
    <row r="82">
      <c r="A82" s="184">
        <v>43906.0</v>
      </c>
      <c r="B82" s="229" t="s">
        <v>192</v>
      </c>
      <c r="C82" s="230" t="s">
        <v>193</v>
      </c>
      <c r="D82" s="231" t="s">
        <v>309</v>
      </c>
      <c r="E82" s="231">
        <v>-6581.0</v>
      </c>
      <c r="F82" s="232">
        <v>5.35</v>
      </c>
      <c r="G82" s="233">
        <v>35208.35</v>
      </c>
      <c r="H82" s="230" t="s">
        <v>402</v>
      </c>
      <c r="I82" s="235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1895.328</v>
      </c>
      <c r="J82" s="235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1174.483158</v>
      </c>
    </row>
    <row r="83">
      <c r="A83" s="184">
        <v>43906.0</v>
      </c>
      <c r="B83" s="229" t="s">
        <v>192</v>
      </c>
      <c r="C83" s="230" t="s">
        <v>193</v>
      </c>
      <c r="D83" s="231" t="s">
        <v>325</v>
      </c>
      <c r="E83" s="231"/>
      <c r="F83" s="232"/>
      <c r="G83" s="233">
        <v>-9.04</v>
      </c>
      <c r="H83" s="230" t="s">
        <v>403</v>
      </c>
      <c r="I83" s="235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-9.04</v>
      </c>
      <c r="J83" s="235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-9.04</v>
      </c>
    </row>
    <row r="84">
      <c r="A84" s="184">
        <v>43906.0</v>
      </c>
      <c r="B84" s="229" t="s">
        <v>186</v>
      </c>
      <c r="C84" s="230" t="s">
        <v>187</v>
      </c>
      <c r="D84" s="231" t="s">
        <v>309</v>
      </c>
      <c r="E84" s="231">
        <v>-6.0</v>
      </c>
      <c r="F84" s="232">
        <v>197.79</v>
      </c>
      <c r="G84" s="233">
        <v>1186.74</v>
      </c>
      <c r="H84" s="230" t="s">
        <v>404</v>
      </c>
      <c r="I84" s="235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57.42</v>
      </c>
      <c r="J84" s="235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30.39315175</v>
      </c>
    </row>
    <row r="85">
      <c r="A85" s="184">
        <v>43902.0</v>
      </c>
      <c r="B85" s="229" t="s">
        <v>196</v>
      </c>
      <c r="C85" s="230" t="s">
        <v>197</v>
      </c>
      <c r="D85" s="231" t="s">
        <v>308</v>
      </c>
      <c r="E85" s="231">
        <v>125.0</v>
      </c>
      <c r="F85" s="232">
        <v>42.7</v>
      </c>
      <c r="G85" s="233">
        <v>-5337.5</v>
      </c>
      <c r="H85" s="230" t="s">
        <v>405</v>
      </c>
      <c r="I85" s="235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1617.5</v>
      </c>
      <c r="J85" s="235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1251.923638</v>
      </c>
    </row>
    <row r="86">
      <c r="A86" s="184">
        <v>43902.0</v>
      </c>
      <c r="B86" s="229" t="s">
        <v>196</v>
      </c>
      <c r="C86" s="230" t="s">
        <v>197</v>
      </c>
      <c r="D86" s="231" t="s">
        <v>308</v>
      </c>
      <c r="E86" s="231">
        <v>77.0</v>
      </c>
      <c r="F86" s="232">
        <v>42.7</v>
      </c>
      <c r="G86" s="233">
        <v>-3287.9</v>
      </c>
      <c r="H86" s="230" t="s">
        <v>406</v>
      </c>
      <c r="I86" s="235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996.38</v>
      </c>
      <c r="J86" s="235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771.1849611</v>
      </c>
    </row>
    <row r="87">
      <c r="A87" s="184">
        <v>43902.0</v>
      </c>
      <c r="B87" s="229" t="s">
        <v>186</v>
      </c>
      <c r="C87" s="230" t="s">
        <v>187</v>
      </c>
      <c r="D87" s="231" t="s">
        <v>309</v>
      </c>
      <c r="E87" s="231">
        <v>-6.0</v>
      </c>
      <c r="F87" s="232">
        <v>198.05</v>
      </c>
      <c r="G87" s="233">
        <v>1188.3</v>
      </c>
      <c r="H87" s="230" t="s">
        <v>407</v>
      </c>
      <c r="I87" s="235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58.98</v>
      </c>
      <c r="J87" s="235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31.95315175</v>
      </c>
    </row>
    <row r="88">
      <c r="A88" s="184">
        <v>43902.0</v>
      </c>
      <c r="B88" s="229" t="s">
        <v>186</v>
      </c>
      <c r="C88" s="230" t="s">
        <v>187</v>
      </c>
      <c r="D88" s="231" t="s">
        <v>309</v>
      </c>
      <c r="E88" s="231">
        <v>-6.0</v>
      </c>
      <c r="F88" s="232">
        <v>197.05</v>
      </c>
      <c r="G88" s="233">
        <v>1182.3</v>
      </c>
      <c r="H88" s="230" t="s">
        <v>408</v>
      </c>
      <c r="I88" s="235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52.98</v>
      </c>
      <c r="J88" s="235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25.95315175</v>
      </c>
    </row>
    <row r="89">
      <c r="A89" s="184">
        <v>43901.0</v>
      </c>
      <c r="B89" s="229" t="s">
        <v>186</v>
      </c>
      <c r="C89" s="230" t="s">
        <v>187</v>
      </c>
      <c r="D89" s="231" t="s">
        <v>309</v>
      </c>
      <c r="E89" s="231">
        <v>-26.0</v>
      </c>
      <c r="F89" s="232">
        <v>196.25</v>
      </c>
      <c r="G89" s="233">
        <v>5102.5</v>
      </c>
      <c r="H89" s="230" t="s">
        <v>409</v>
      </c>
      <c r="I89" s="235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208.78</v>
      </c>
      <c r="J89" s="235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91.66365759</v>
      </c>
    </row>
    <row r="90">
      <c r="A90" s="184">
        <v>43901.0</v>
      </c>
      <c r="B90" s="229" t="s">
        <v>186</v>
      </c>
      <c r="C90" s="230" t="s">
        <v>187</v>
      </c>
      <c r="D90" s="231" t="s">
        <v>309</v>
      </c>
      <c r="E90" s="231">
        <v>-3.0</v>
      </c>
      <c r="F90" s="232">
        <v>196.25</v>
      </c>
      <c r="G90" s="233">
        <v>588.75</v>
      </c>
      <c r="H90" s="230" t="s">
        <v>410</v>
      </c>
      <c r="I90" s="235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24.09</v>
      </c>
      <c r="J90" s="235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10.57657588</v>
      </c>
    </row>
    <row r="91">
      <c r="A91" s="184">
        <v>43899.0</v>
      </c>
      <c r="B91" s="229" t="s">
        <v>196</v>
      </c>
      <c r="C91" s="230" t="s">
        <v>197</v>
      </c>
      <c r="D91" s="231" t="s">
        <v>308</v>
      </c>
      <c r="E91" s="231">
        <v>35.0</v>
      </c>
      <c r="F91" s="232">
        <v>45.3</v>
      </c>
      <c r="G91" s="233">
        <v>-1585.5</v>
      </c>
      <c r="H91" s="230" t="s">
        <v>411</v>
      </c>
      <c r="I91" s="235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361.9</v>
      </c>
      <c r="J91" s="235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259.5386187</v>
      </c>
    </row>
    <row r="92">
      <c r="A92" s="184">
        <v>43899.0</v>
      </c>
      <c r="B92" s="229" t="s">
        <v>196</v>
      </c>
      <c r="C92" s="230" t="s">
        <v>197</v>
      </c>
      <c r="D92" s="231" t="s">
        <v>308</v>
      </c>
      <c r="E92" s="231">
        <v>173.0</v>
      </c>
      <c r="F92" s="232">
        <v>45.41</v>
      </c>
      <c r="G92" s="233">
        <v>-7855.93</v>
      </c>
      <c r="H92" s="230" t="s">
        <v>412</v>
      </c>
      <c r="I92" s="235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1769.79</v>
      </c>
      <c r="J92" s="235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1263.832315</v>
      </c>
    </row>
    <row r="93">
      <c r="A93" s="184">
        <v>43899.0</v>
      </c>
      <c r="B93" s="229" t="s">
        <v>196</v>
      </c>
      <c r="C93" s="230" t="s">
        <v>197</v>
      </c>
      <c r="D93" s="231" t="s">
        <v>308</v>
      </c>
      <c r="E93" s="231">
        <v>61.0</v>
      </c>
      <c r="F93" s="232">
        <v>45.95</v>
      </c>
      <c r="G93" s="233">
        <v>-2802.95</v>
      </c>
      <c r="H93" s="230" t="s">
        <v>413</v>
      </c>
      <c r="I93" s="235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591.09</v>
      </c>
      <c r="J93" s="235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412.6887354</v>
      </c>
    </row>
    <row r="94">
      <c r="A94" s="184">
        <v>43899.0</v>
      </c>
      <c r="B94" s="229" t="s">
        <v>196</v>
      </c>
      <c r="C94" s="230" t="s">
        <v>197</v>
      </c>
      <c r="D94" s="231" t="s">
        <v>308</v>
      </c>
      <c r="E94" s="231">
        <v>46.0</v>
      </c>
      <c r="F94" s="232">
        <v>46.2839</v>
      </c>
      <c r="G94" s="233">
        <v>-2129.06</v>
      </c>
      <c r="H94" s="230" t="s">
        <v>414</v>
      </c>
      <c r="I94" s="235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430.38</v>
      </c>
      <c r="J94" s="235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295.8478988</v>
      </c>
    </row>
    <row r="95">
      <c r="A95" s="184">
        <v>43899.0</v>
      </c>
      <c r="B95" s="229" t="s">
        <v>177</v>
      </c>
      <c r="C95" s="230" t="s">
        <v>180</v>
      </c>
      <c r="D95" s="231" t="s">
        <v>308</v>
      </c>
      <c r="E95" s="231">
        <v>164.0</v>
      </c>
      <c r="F95" s="232">
        <v>6.1</v>
      </c>
      <c r="G95" s="233">
        <v>-1000.4</v>
      </c>
      <c r="H95" s="230" t="s">
        <v>415</v>
      </c>
      <c r="I95" s="235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45.92</v>
      </c>
      <c r="J95" s="235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70.23220233</v>
      </c>
    </row>
    <row r="96">
      <c r="A96" s="184">
        <v>43899.0</v>
      </c>
      <c r="B96" s="229" t="s">
        <v>177</v>
      </c>
      <c r="C96" s="230" t="s">
        <v>180</v>
      </c>
      <c r="D96" s="231" t="s">
        <v>308</v>
      </c>
      <c r="E96" s="231">
        <v>708.0</v>
      </c>
      <c r="F96" s="232">
        <v>6.1</v>
      </c>
      <c r="G96" s="233">
        <v>-4318.8</v>
      </c>
      <c r="H96" s="230" t="s">
        <v>416</v>
      </c>
      <c r="I96" s="235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198.24</v>
      </c>
      <c r="J96" s="235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303.1975564</v>
      </c>
    </row>
    <row r="97">
      <c r="A97" s="184">
        <v>43899.0</v>
      </c>
      <c r="B97" s="229" t="s">
        <v>196</v>
      </c>
      <c r="C97" s="230" t="s">
        <v>197</v>
      </c>
      <c r="D97" s="231" t="s">
        <v>308</v>
      </c>
      <c r="E97" s="231">
        <v>242.0</v>
      </c>
      <c r="F97" s="232">
        <v>46.478</v>
      </c>
      <c r="G97" s="233">
        <v>-11247.68</v>
      </c>
      <c r="H97" s="230" t="s">
        <v>417</v>
      </c>
      <c r="I97" s="235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2217.2</v>
      </c>
      <c r="J97" s="235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1509.444163</v>
      </c>
    </row>
    <row r="98">
      <c r="A98" s="184">
        <v>43899.0</v>
      </c>
      <c r="B98" s="229" t="s">
        <v>177</v>
      </c>
      <c r="C98" s="230" t="s">
        <v>180</v>
      </c>
      <c r="D98" s="231" t="s">
        <v>308</v>
      </c>
      <c r="E98" s="231">
        <v>1240.0</v>
      </c>
      <c r="F98" s="232">
        <v>6.115</v>
      </c>
      <c r="G98" s="233">
        <v>-7582.6</v>
      </c>
      <c r="H98" s="230" t="s">
        <v>418</v>
      </c>
      <c r="I98" s="235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328.6</v>
      </c>
      <c r="J98" s="235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512.4239689</v>
      </c>
    </row>
    <row r="99">
      <c r="A99" s="184">
        <v>43899.0</v>
      </c>
      <c r="B99" s="229" t="s">
        <v>177</v>
      </c>
      <c r="C99" s="230" t="s">
        <v>180</v>
      </c>
      <c r="D99" s="231" t="s">
        <v>308</v>
      </c>
      <c r="E99" s="231">
        <v>23.0</v>
      </c>
      <c r="F99" s="232">
        <v>6.1</v>
      </c>
      <c r="G99" s="233">
        <v>-140.3</v>
      </c>
      <c r="H99" s="230" t="s">
        <v>419</v>
      </c>
      <c r="I99" s="235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6.44</v>
      </c>
      <c r="J99" s="235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9.849638132</v>
      </c>
    </row>
    <row r="100">
      <c r="A100" s="184">
        <v>43899.0</v>
      </c>
      <c r="B100" s="229" t="s">
        <v>177</v>
      </c>
      <c r="C100" s="230" t="s">
        <v>180</v>
      </c>
      <c r="D100" s="231" t="s">
        <v>308</v>
      </c>
      <c r="E100" s="231">
        <v>7.0</v>
      </c>
      <c r="F100" s="232">
        <v>6.1</v>
      </c>
      <c r="G100" s="233">
        <v>-42.7</v>
      </c>
      <c r="H100" s="230" t="s">
        <v>420</v>
      </c>
      <c r="I100" s="235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1.96</v>
      </c>
      <c r="J100" s="235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2.997715953</v>
      </c>
    </row>
    <row r="101">
      <c r="A101" s="184">
        <v>43899.0</v>
      </c>
      <c r="B101" s="229" t="s">
        <v>196</v>
      </c>
      <c r="C101" s="230" t="s">
        <v>197</v>
      </c>
      <c r="D101" s="231" t="s">
        <v>308</v>
      </c>
      <c r="E101" s="231">
        <v>394.0</v>
      </c>
      <c r="F101" s="232">
        <v>46.4</v>
      </c>
      <c r="G101" s="233">
        <v>-18281.6</v>
      </c>
      <c r="H101" s="230" t="s">
        <v>421</v>
      </c>
      <c r="I101" s="235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3640.56</v>
      </c>
      <c r="J101" s="235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2488.263307</v>
      </c>
    </row>
    <row r="102">
      <c r="A102" s="184">
        <v>43899.0</v>
      </c>
      <c r="B102" s="229" t="s">
        <v>196</v>
      </c>
      <c r="C102" s="230" t="s">
        <v>197</v>
      </c>
      <c r="D102" s="231" t="s">
        <v>308</v>
      </c>
      <c r="E102" s="231">
        <v>135.0</v>
      </c>
      <c r="F102" s="232">
        <v>46.4</v>
      </c>
      <c r="G102" s="233">
        <v>-6264.0</v>
      </c>
      <c r="H102" s="230" t="s">
        <v>422</v>
      </c>
      <c r="I102" s="235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1247.4</v>
      </c>
      <c r="J102" s="235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852.5775292</v>
      </c>
    </row>
    <row r="103">
      <c r="A103" s="184">
        <v>43899.0</v>
      </c>
      <c r="B103" s="229" t="s">
        <v>196</v>
      </c>
      <c r="C103" s="230" t="s">
        <v>197</v>
      </c>
      <c r="D103" s="231" t="s">
        <v>308</v>
      </c>
      <c r="E103" s="231">
        <v>2.0</v>
      </c>
      <c r="F103" s="232">
        <v>46.4</v>
      </c>
      <c r="G103" s="233">
        <v>-92.8</v>
      </c>
      <c r="H103" s="230" t="s">
        <v>423</v>
      </c>
      <c r="I103" s="235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18.48</v>
      </c>
      <c r="J103" s="235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12.63077821</v>
      </c>
    </row>
    <row r="104">
      <c r="A104" s="184">
        <v>43899.0</v>
      </c>
      <c r="B104" s="229" t="s">
        <v>196</v>
      </c>
      <c r="C104" s="230" t="s">
        <v>197</v>
      </c>
      <c r="D104" s="231" t="s">
        <v>308</v>
      </c>
      <c r="E104" s="231">
        <v>3.0</v>
      </c>
      <c r="F104" s="232">
        <v>46.4</v>
      </c>
      <c r="G104" s="233">
        <v>-139.2</v>
      </c>
      <c r="H104" s="230" t="s">
        <v>424</v>
      </c>
      <c r="I104" s="235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27.72</v>
      </c>
      <c r="J104" s="235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18.94616732</v>
      </c>
    </row>
    <row r="105">
      <c r="A105" s="184">
        <v>43899.0</v>
      </c>
      <c r="B105" s="229" t="s">
        <v>196</v>
      </c>
      <c r="C105" s="230" t="s">
        <v>197</v>
      </c>
      <c r="D105" s="231" t="s">
        <v>308</v>
      </c>
      <c r="E105" s="231">
        <v>9.0</v>
      </c>
      <c r="F105" s="232">
        <v>46.4</v>
      </c>
      <c r="G105" s="233">
        <v>-417.6</v>
      </c>
      <c r="H105" s="230" t="s">
        <v>425</v>
      </c>
      <c r="I105" s="235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83.16</v>
      </c>
      <c r="J105" s="235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56.83850195</v>
      </c>
    </row>
    <row r="106">
      <c r="A106" s="184">
        <v>43899.0</v>
      </c>
      <c r="B106" s="229" t="s">
        <v>196</v>
      </c>
      <c r="C106" s="230" t="s">
        <v>197</v>
      </c>
      <c r="D106" s="231" t="s">
        <v>308</v>
      </c>
      <c r="E106" s="231">
        <v>54.0</v>
      </c>
      <c r="F106" s="232">
        <v>46.4</v>
      </c>
      <c r="G106" s="233">
        <v>-2505.6</v>
      </c>
      <c r="H106" s="230" t="s">
        <v>426</v>
      </c>
      <c r="I106" s="235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498.96</v>
      </c>
      <c r="J106" s="235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341.0310117</v>
      </c>
    </row>
    <row r="107">
      <c r="A107" s="184">
        <v>43899.0</v>
      </c>
      <c r="B107" s="229" t="s">
        <v>196</v>
      </c>
      <c r="C107" s="230" t="s">
        <v>197</v>
      </c>
      <c r="D107" s="231" t="s">
        <v>308</v>
      </c>
      <c r="E107" s="231">
        <v>3.0</v>
      </c>
      <c r="F107" s="232">
        <v>46.4</v>
      </c>
      <c r="G107" s="233">
        <v>-139.2</v>
      </c>
      <c r="H107" s="230" t="s">
        <v>424</v>
      </c>
      <c r="I107" s="235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27.72</v>
      </c>
      <c r="J107" s="235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18.94616732</v>
      </c>
    </row>
    <row r="108">
      <c r="A108" s="184">
        <v>43899.0</v>
      </c>
      <c r="B108" s="229" t="s">
        <v>196</v>
      </c>
      <c r="C108" s="230" t="s">
        <v>197</v>
      </c>
      <c r="D108" s="231" t="s">
        <v>308</v>
      </c>
      <c r="E108" s="231">
        <v>1.0</v>
      </c>
      <c r="F108" s="232">
        <v>46.4</v>
      </c>
      <c r="G108" s="233">
        <v>-46.4</v>
      </c>
      <c r="H108" s="230" t="s">
        <v>427</v>
      </c>
      <c r="I108" s="235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9.24</v>
      </c>
      <c r="J108" s="235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6.315389105</v>
      </c>
    </row>
    <row r="109">
      <c r="A109" s="184">
        <v>43899.0</v>
      </c>
      <c r="B109" s="229" t="s">
        <v>196</v>
      </c>
      <c r="C109" s="230" t="s">
        <v>197</v>
      </c>
      <c r="D109" s="231" t="s">
        <v>308</v>
      </c>
      <c r="E109" s="231">
        <v>4.0</v>
      </c>
      <c r="F109" s="232">
        <v>46.4</v>
      </c>
      <c r="G109" s="233">
        <v>-185.6</v>
      </c>
      <c r="H109" s="230" t="s">
        <v>428</v>
      </c>
      <c r="I109" s="235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36.96</v>
      </c>
      <c r="J109" s="235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25.26155642</v>
      </c>
    </row>
    <row r="110">
      <c r="A110" s="184">
        <v>43899.0</v>
      </c>
      <c r="B110" s="229" t="s">
        <v>196</v>
      </c>
      <c r="C110" s="230" t="s">
        <v>197</v>
      </c>
      <c r="D110" s="231" t="s">
        <v>308</v>
      </c>
      <c r="E110" s="231">
        <v>125.0</v>
      </c>
      <c r="F110" s="232">
        <v>46.4</v>
      </c>
      <c r="G110" s="233">
        <v>-5800.0</v>
      </c>
      <c r="H110" s="230" t="s">
        <v>429</v>
      </c>
      <c r="I110" s="235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1155</v>
      </c>
      <c r="J110" s="235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789.4236381</v>
      </c>
    </row>
    <row r="111">
      <c r="A111" s="184">
        <v>43899.0</v>
      </c>
      <c r="B111" s="229" t="s">
        <v>196</v>
      </c>
      <c r="C111" s="230" t="s">
        <v>197</v>
      </c>
      <c r="D111" s="231" t="s">
        <v>308</v>
      </c>
      <c r="E111" s="231">
        <v>30.0</v>
      </c>
      <c r="F111" s="232">
        <v>46.4</v>
      </c>
      <c r="G111" s="233">
        <v>-1392.0</v>
      </c>
      <c r="H111" s="230" t="s">
        <v>430</v>
      </c>
      <c r="I111" s="235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277.2</v>
      </c>
      <c r="J111" s="235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189.4616732</v>
      </c>
    </row>
    <row r="112">
      <c r="A112" s="184">
        <v>43899.0</v>
      </c>
      <c r="B112" s="229" t="s">
        <v>196</v>
      </c>
      <c r="C112" s="230" t="s">
        <v>197</v>
      </c>
      <c r="D112" s="231" t="s">
        <v>308</v>
      </c>
      <c r="E112" s="231">
        <v>7.0</v>
      </c>
      <c r="F112" s="232">
        <v>46.4</v>
      </c>
      <c r="G112" s="233">
        <v>-324.8</v>
      </c>
      <c r="H112" s="230" t="s">
        <v>431</v>
      </c>
      <c r="I112" s="235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64.68</v>
      </c>
      <c r="J112" s="235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44.20772374</v>
      </c>
    </row>
    <row r="113">
      <c r="A113" s="184">
        <v>43899.0</v>
      </c>
      <c r="B113" s="229" t="s">
        <v>196</v>
      </c>
      <c r="C113" s="230" t="s">
        <v>197</v>
      </c>
      <c r="D113" s="231" t="s">
        <v>308</v>
      </c>
      <c r="E113" s="231">
        <v>26.0</v>
      </c>
      <c r="F113" s="232">
        <v>46.4</v>
      </c>
      <c r="G113" s="233">
        <v>-1206.4</v>
      </c>
      <c r="H113" s="230" t="s">
        <v>432</v>
      </c>
      <c r="I113" s="235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240.24</v>
      </c>
      <c r="J113" s="235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164.2001167</v>
      </c>
    </row>
    <row r="114">
      <c r="A114" s="184">
        <v>43896.0</v>
      </c>
      <c r="B114" s="229" t="s">
        <v>177</v>
      </c>
      <c r="C114" s="230" t="s">
        <v>180</v>
      </c>
      <c r="D114" s="231" t="s">
        <v>308</v>
      </c>
      <c r="E114" s="231">
        <v>589.0</v>
      </c>
      <c r="F114" s="232">
        <v>6.5</v>
      </c>
      <c r="G114" s="233">
        <v>-3828.5</v>
      </c>
      <c r="H114" s="230" t="s">
        <v>433</v>
      </c>
      <c r="I114" s="235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-70.68</v>
      </c>
      <c r="J114" s="235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16.63638521</v>
      </c>
    </row>
    <row r="115">
      <c r="A115" s="184">
        <v>43896.0</v>
      </c>
      <c r="B115" s="229" t="s">
        <v>177</v>
      </c>
      <c r="C115" s="230" t="s">
        <v>180</v>
      </c>
      <c r="D115" s="231" t="s">
        <v>308</v>
      </c>
      <c r="E115" s="231">
        <v>414.0</v>
      </c>
      <c r="F115" s="232">
        <v>6.575</v>
      </c>
      <c r="G115" s="233">
        <v>-2722.05</v>
      </c>
      <c r="H115" s="230" t="s">
        <v>434</v>
      </c>
      <c r="I115" s="235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-80.73</v>
      </c>
      <c r="J115" s="235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-19.35651362</v>
      </c>
    </row>
    <row r="116">
      <c r="A116" s="184">
        <v>43896.0</v>
      </c>
      <c r="B116" s="229" t="s">
        <v>177</v>
      </c>
      <c r="C116" s="230" t="s">
        <v>180</v>
      </c>
      <c r="D116" s="231" t="s">
        <v>308</v>
      </c>
      <c r="E116" s="231">
        <v>164.0</v>
      </c>
      <c r="F116" s="232">
        <v>6.598</v>
      </c>
      <c r="G116" s="233">
        <v>-1082.07</v>
      </c>
      <c r="H116" s="230" t="s">
        <v>435</v>
      </c>
      <c r="I116" s="235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-35.75</v>
      </c>
      <c r="J116" s="235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-11.43779767</v>
      </c>
    </row>
    <row r="117">
      <c r="A117" s="184">
        <v>43893.0</v>
      </c>
      <c r="B117" s="229"/>
      <c r="C117" s="230"/>
      <c r="D117" s="231" t="s">
        <v>332</v>
      </c>
      <c r="E117" s="231"/>
      <c r="F117" s="232"/>
      <c r="G117" s="233">
        <v>-300.0</v>
      </c>
      <c r="H117" s="230" t="s">
        <v>436</v>
      </c>
      <c r="I117" s="235" t="str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/>
      </c>
      <c r="J117" s="235" t="str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/>
      </c>
    </row>
    <row r="118">
      <c r="A118" s="184">
        <v>43892.0</v>
      </c>
      <c r="B118" s="229"/>
      <c r="C118" s="230"/>
      <c r="D118" s="231" t="s">
        <v>332</v>
      </c>
      <c r="E118" s="231"/>
      <c r="F118" s="232"/>
      <c r="G118" s="233">
        <v>-400.0</v>
      </c>
      <c r="H118" s="230" t="s">
        <v>354</v>
      </c>
      <c r="I118" s="235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35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>
      <c r="A119" s="184">
        <v>43892.0</v>
      </c>
      <c r="B119" s="229" t="s">
        <v>177</v>
      </c>
      <c r="C119" s="230" t="s">
        <v>180</v>
      </c>
      <c r="D119" s="231" t="s">
        <v>308</v>
      </c>
      <c r="E119" s="231">
        <v>63.0</v>
      </c>
      <c r="F119" s="232">
        <v>6.676</v>
      </c>
      <c r="G119" s="233">
        <v>-420.59</v>
      </c>
      <c r="H119" s="230" t="s">
        <v>437</v>
      </c>
      <c r="I119" s="235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-18.65</v>
      </c>
      <c r="J119" s="235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-9.31055642</v>
      </c>
    </row>
    <row r="120">
      <c r="A120" s="184">
        <v>43890.0</v>
      </c>
      <c r="B120" s="229"/>
      <c r="C120" s="230"/>
      <c r="D120" s="231" t="s">
        <v>325</v>
      </c>
      <c r="E120" s="231"/>
      <c r="F120" s="232"/>
      <c r="G120" s="233">
        <v>-453.97</v>
      </c>
      <c r="H120" s="230" t="s">
        <v>438</v>
      </c>
      <c r="I120" s="235" t="str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/>
      </c>
      <c r="J120" s="235" t="str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/>
      </c>
    </row>
    <row r="121">
      <c r="A121" s="184">
        <v>43889.0</v>
      </c>
      <c r="B121" s="229" t="s">
        <v>196</v>
      </c>
      <c r="C121" s="230" t="s">
        <v>197</v>
      </c>
      <c r="D121" s="231" t="s">
        <v>308</v>
      </c>
      <c r="E121" s="231">
        <v>31.0</v>
      </c>
      <c r="F121" s="232">
        <v>50.4</v>
      </c>
      <c r="G121" s="233">
        <v>-1562.4</v>
      </c>
      <c r="H121" s="230" t="s">
        <v>439</v>
      </c>
      <c r="I121" s="235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162.44</v>
      </c>
      <c r="J121" s="235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71.77706226</v>
      </c>
    </row>
    <row r="122">
      <c r="A122" s="184">
        <v>43889.0</v>
      </c>
      <c r="B122" s="229" t="s">
        <v>177</v>
      </c>
      <c r="C122" s="230" t="s">
        <v>180</v>
      </c>
      <c r="D122" s="231" t="s">
        <v>308</v>
      </c>
      <c r="E122" s="231">
        <v>150.0</v>
      </c>
      <c r="F122" s="232">
        <v>6.7</v>
      </c>
      <c r="G122" s="233">
        <v>-1005.0</v>
      </c>
      <c r="H122" s="230" t="s">
        <v>440</v>
      </c>
      <c r="I122" s="235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-48</v>
      </c>
      <c r="J122" s="235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-25.76322957</v>
      </c>
    </row>
    <row r="123">
      <c r="A123" s="184">
        <v>43889.0</v>
      </c>
      <c r="B123" s="229" t="s">
        <v>196</v>
      </c>
      <c r="C123" s="230" t="s">
        <v>197</v>
      </c>
      <c r="D123" s="231" t="s">
        <v>308</v>
      </c>
      <c r="E123" s="231">
        <v>54.0</v>
      </c>
      <c r="F123" s="232">
        <v>50.0</v>
      </c>
      <c r="G123" s="233">
        <v>-2700.0</v>
      </c>
      <c r="H123" s="230" t="s">
        <v>441</v>
      </c>
      <c r="I123" s="235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304.56</v>
      </c>
      <c r="J123" s="235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146.6310117</v>
      </c>
    </row>
    <row r="124">
      <c r="A124" s="184">
        <v>43889.0</v>
      </c>
      <c r="B124" s="229" t="s">
        <v>196</v>
      </c>
      <c r="C124" s="230" t="s">
        <v>197</v>
      </c>
      <c r="D124" s="231" t="s">
        <v>308</v>
      </c>
      <c r="E124" s="231">
        <v>1.0</v>
      </c>
      <c r="F124" s="232">
        <v>50.0</v>
      </c>
      <c r="G124" s="233">
        <v>-50.0</v>
      </c>
      <c r="H124" s="230" t="s">
        <v>442</v>
      </c>
      <c r="I124" s="235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5.64</v>
      </c>
      <c r="J124" s="235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2.715389105</v>
      </c>
    </row>
    <row r="125">
      <c r="A125" s="184">
        <v>43889.0</v>
      </c>
      <c r="B125" s="229" t="s">
        <v>196</v>
      </c>
      <c r="C125" s="230" t="s">
        <v>197</v>
      </c>
      <c r="D125" s="231" t="s">
        <v>308</v>
      </c>
      <c r="E125" s="231">
        <v>255.0</v>
      </c>
      <c r="F125" s="232">
        <v>50.1</v>
      </c>
      <c r="G125" s="233">
        <v>-12775.5</v>
      </c>
      <c r="H125" s="230" t="s">
        <v>443</v>
      </c>
      <c r="I125" s="235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1412.7</v>
      </c>
      <c r="J125" s="235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666.9242218</v>
      </c>
    </row>
    <row r="126">
      <c r="A126" s="184">
        <v>43889.0</v>
      </c>
      <c r="B126" s="229" t="s">
        <v>196</v>
      </c>
      <c r="C126" s="230" t="s">
        <v>197</v>
      </c>
      <c r="D126" s="231" t="s">
        <v>308</v>
      </c>
      <c r="E126" s="231">
        <v>69.0</v>
      </c>
      <c r="F126" s="232">
        <v>49.9</v>
      </c>
      <c r="G126" s="233">
        <v>-3443.1</v>
      </c>
      <c r="H126" s="230" t="s">
        <v>444</v>
      </c>
      <c r="I126" s="235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396.06</v>
      </c>
      <c r="J126" s="235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194.2618482</v>
      </c>
    </row>
    <row r="127">
      <c r="A127" s="184">
        <v>43889.0</v>
      </c>
      <c r="B127" s="229" t="s">
        <v>196</v>
      </c>
      <c r="C127" s="230" t="s">
        <v>197</v>
      </c>
      <c r="D127" s="231" t="s">
        <v>308</v>
      </c>
      <c r="E127" s="231">
        <v>1.0</v>
      </c>
      <c r="F127" s="232">
        <v>49.9</v>
      </c>
      <c r="G127" s="233">
        <v>-49.9</v>
      </c>
      <c r="H127" s="230" t="s">
        <v>445</v>
      </c>
      <c r="I127" s="235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5.74</v>
      </c>
      <c r="J127" s="235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2.815389105</v>
      </c>
    </row>
    <row r="128">
      <c r="A128" s="184">
        <v>43889.0</v>
      </c>
      <c r="B128" s="229" t="s">
        <v>196</v>
      </c>
      <c r="C128" s="230" t="s">
        <v>197</v>
      </c>
      <c r="D128" s="231" t="s">
        <v>308</v>
      </c>
      <c r="E128" s="231">
        <v>60.0</v>
      </c>
      <c r="F128" s="232">
        <v>50.16</v>
      </c>
      <c r="G128" s="233">
        <v>-3009.6</v>
      </c>
      <c r="H128" s="230" t="s">
        <v>446</v>
      </c>
      <c r="I128" s="235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328.8</v>
      </c>
      <c r="J128" s="235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153.3233463</v>
      </c>
    </row>
    <row r="129">
      <c r="A129" s="184">
        <v>43889.0</v>
      </c>
      <c r="B129" s="229" t="s">
        <v>196</v>
      </c>
      <c r="C129" s="230" t="s">
        <v>197</v>
      </c>
      <c r="D129" s="231" t="s">
        <v>308</v>
      </c>
      <c r="E129" s="231">
        <v>24.0</v>
      </c>
      <c r="F129" s="232">
        <v>50.4</v>
      </c>
      <c r="G129" s="233">
        <v>-1209.6</v>
      </c>
      <c r="H129" s="230" t="s">
        <v>447</v>
      </c>
      <c r="I129" s="235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125.76</v>
      </c>
      <c r="J129" s="235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55.56933852</v>
      </c>
    </row>
    <row r="130">
      <c r="A130" s="184">
        <v>43889.0</v>
      </c>
      <c r="B130" s="229" t="s">
        <v>196</v>
      </c>
      <c r="C130" s="230" t="s">
        <v>197</v>
      </c>
      <c r="D130" s="231" t="s">
        <v>308</v>
      </c>
      <c r="E130" s="231">
        <v>170.0</v>
      </c>
      <c r="F130" s="232">
        <v>50.6</v>
      </c>
      <c r="G130" s="233">
        <v>-8602.0</v>
      </c>
      <c r="H130" s="230" t="s">
        <v>448</v>
      </c>
      <c r="I130" s="235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856.8</v>
      </c>
      <c r="J130" s="235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359.6161479</v>
      </c>
    </row>
    <row r="131">
      <c r="A131" s="184">
        <v>43889.0</v>
      </c>
      <c r="B131" s="229" t="s">
        <v>196</v>
      </c>
      <c r="C131" s="230" t="s">
        <v>197</v>
      </c>
      <c r="D131" s="231" t="s">
        <v>308</v>
      </c>
      <c r="E131" s="231">
        <v>4925.0</v>
      </c>
      <c r="F131" s="232">
        <v>50.7</v>
      </c>
      <c r="G131" s="233">
        <v>-249697.5</v>
      </c>
      <c r="H131" s="230" t="s">
        <v>449</v>
      </c>
      <c r="I131" s="235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24329.5</v>
      </c>
      <c r="J131" s="235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9925.791342</v>
      </c>
    </row>
    <row r="132">
      <c r="A132" s="184">
        <v>43888.0</v>
      </c>
      <c r="B132" s="229" t="s">
        <v>177</v>
      </c>
      <c r="C132" s="230" t="s">
        <v>180</v>
      </c>
      <c r="D132" s="231" t="s">
        <v>308</v>
      </c>
      <c r="E132" s="231">
        <v>148.0</v>
      </c>
      <c r="F132" s="232">
        <v>6.794</v>
      </c>
      <c r="G132" s="233">
        <v>-1005.51</v>
      </c>
      <c r="H132" s="230" t="s">
        <v>450</v>
      </c>
      <c r="I132" s="235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-61.27</v>
      </c>
      <c r="J132" s="235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-39.32971984</v>
      </c>
    </row>
    <row r="133">
      <c r="A133" s="184">
        <v>43888.0</v>
      </c>
      <c r="B133" s="229" t="s">
        <v>177</v>
      </c>
      <c r="C133" s="230" t="s">
        <v>180</v>
      </c>
      <c r="D133" s="231" t="s">
        <v>308</v>
      </c>
      <c r="E133" s="231">
        <v>147.0</v>
      </c>
      <c r="F133" s="232">
        <v>6.81</v>
      </c>
      <c r="G133" s="233">
        <v>-1001.07</v>
      </c>
      <c r="H133" s="230" t="s">
        <v>451</v>
      </c>
      <c r="I133" s="235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-63.21</v>
      </c>
      <c r="J133" s="235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-41.41796498</v>
      </c>
    </row>
    <row r="134">
      <c r="A134" s="184">
        <v>43888.0</v>
      </c>
      <c r="B134" s="229" t="s">
        <v>177</v>
      </c>
      <c r="C134" s="230" t="s">
        <v>180</v>
      </c>
      <c r="D134" s="231" t="s">
        <v>308</v>
      </c>
      <c r="E134" s="231">
        <v>146.0</v>
      </c>
      <c r="F134" s="232">
        <v>6.87</v>
      </c>
      <c r="G134" s="233">
        <v>-1003.02</v>
      </c>
      <c r="H134" s="230" t="s">
        <v>452</v>
      </c>
      <c r="I134" s="235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-71.54</v>
      </c>
      <c r="J134" s="235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-49.89621012</v>
      </c>
    </row>
    <row r="135">
      <c r="A135" s="184">
        <v>43888.0</v>
      </c>
      <c r="B135" s="229" t="s">
        <v>177</v>
      </c>
      <c r="C135" s="230" t="s">
        <v>180</v>
      </c>
      <c r="D135" s="231" t="s">
        <v>308</v>
      </c>
      <c r="E135" s="231">
        <v>210.0</v>
      </c>
      <c r="F135" s="232">
        <v>6.906</v>
      </c>
      <c r="G135" s="233">
        <v>-1450.26</v>
      </c>
      <c r="H135" s="230" t="s">
        <v>453</v>
      </c>
      <c r="I135" s="235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-110.46</v>
      </c>
      <c r="J135" s="235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-79.3285214</v>
      </c>
    </row>
    <row r="136">
      <c r="A136" s="184">
        <v>43887.0</v>
      </c>
      <c r="B136" s="229" t="s">
        <v>177</v>
      </c>
      <c r="C136" s="230" t="s">
        <v>180</v>
      </c>
      <c r="D136" s="231" t="s">
        <v>308</v>
      </c>
      <c r="E136" s="231">
        <v>144.0</v>
      </c>
      <c r="F136" s="232">
        <v>6.99</v>
      </c>
      <c r="G136" s="233">
        <v>-1006.56</v>
      </c>
      <c r="H136" s="230" t="s">
        <v>454</v>
      </c>
      <c r="I136" s="235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-87.84</v>
      </c>
      <c r="J136" s="235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-66.49270039</v>
      </c>
    </row>
    <row r="137">
      <c r="A137" s="184">
        <v>43886.0</v>
      </c>
      <c r="B137" s="229" t="s">
        <v>177</v>
      </c>
      <c r="C137" s="230" t="s">
        <v>180</v>
      </c>
      <c r="D137" s="231" t="s">
        <v>308</v>
      </c>
      <c r="E137" s="231">
        <v>175.0</v>
      </c>
      <c r="F137" s="232">
        <v>7.11</v>
      </c>
      <c r="G137" s="233">
        <v>-1244.25</v>
      </c>
      <c r="H137" s="230" t="s">
        <v>455</v>
      </c>
      <c r="I137" s="235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-127.75</v>
      </c>
      <c r="J137" s="235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-101.8071012</v>
      </c>
    </row>
    <row r="138">
      <c r="A138" s="184">
        <v>43885.0</v>
      </c>
      <c r="B138" s="229" t="s">
        <v>182</v>
      </c>
      <c r="C138" s="230" t="s">
        <v>183</v>
      </c>
      <c r="D138" s="231" t="s">
        <v>309</v>
      </c>
      <c r="E138" s="231">
        <v>-7.0</v>
      </c>
      <c r="F138" s="232">
        <v>148.25</v>
      </c>
      <c r="G138" s="233">
        <v>1037.75</v>
      </c>
      <c r="H138" s="230" t="s">
        <v>456</v>
      </c>
      <c r="I138" s="235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-44.1</v>
      </c>
      <c r="J138" s="235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40.0544358</v>
      </c>
    </row>
    <row r="139">
      <c r="A139" s="184">
        <v>43885.0</v>
      </c>
      <c r="B139" s="229" t="s">
        <v>177</v>
      </c>
      <c r="C139" s="230" t="s">
        <v>180</v>
      </c>
      <c r="D139" s="231" t="s">
        <v>308</v>
      </c>
      <c r="E139" s="231">
        <v>1500.0</v>
      </c>
      <c r="F139" s="232">
        <v>7.12</v>
      </c>
      <c r="G139" s="233">
        <v>-10680.0</v>
      </c>
      <c r="H139" s="230" t="s">
        <v>457</v>
      </c>
      <c r="I139" s="235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-1110</v>
      </c>
      <c r="J139" s="235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-887.6322957</v>
      </c>
    </row>
    <row r="140">
      <c r="A140" s="184">
        <v>43885.0</v>
      </c>
      <c r="B140" s="229" t="s">
        <v>192</v>
      </c>
      <c r="C140" s="230" t="s">
        <v>193</v>
      </c>
      <c r="D140" s="231" t="s">
        <v>309</v>
      </c>
      <c r="E140" s="231">
        <v>-268.0</v>
      </c>
      <c r="F140" s="232">
        <v>5.205</v>
      </c>
      <c r="G140" s="233">
        <v>1394.94</v>
      </c>
      <c r="H140" s="230" t="s">
        <v>458</v>
      </c>
      <c r="I140" s="235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38.324</v>
      </c>
      <c r="J140" s="235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8.968823346</v>
      </c>
    </row>
    <row r="141">
      <c r="A141" s="184">
        <v>43885.0</v>
      </c>
      <c r="B141" s="229" t="s">
        <v>192</v>
      </c>
      <c r="C141" s="230" t="s">
        <v>193</v>
      </c>
      <c r="D141" s="231" t="s">
        <v>325</v>
      </c>
      <c r="E141" s="231"/>
      <c r="F141" s="232"/>
      <c r="G141" s="233">
        <v>-2.28</v>
      </c>
      <c r="H141" s="230" t="s">
        <v>459</v>
      </c>
      <c r="I141" s="235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-2.28</v>
      </c>
      <c r="J141" s="235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-2.28</v>
      </c>
    </row>
    <row r="142">
      <c r="A142" s="184">
        <v>43885.0</v>
      </c>
      <c r="B142" s="229" t="s">
        <v>182</v>
      </c>
      <c r="C142" s="230" t="s">
        <v>183</v>
      </c>
      <c r="D142" s="231" t="s">
        <v>309</v>
      </c>
      <c r="E142" s="231">
        <v>-8.0</v>
      </c>
      <c r="F142" s="232">
        <v>148.15</v>
      </c>
      <c r="G142" s="233">
        <v>1185.2</v>
      </c>
      <c r="H142" s="230" t="s">
        <v>460</v>
      </c>
      <c r="I142" s="235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-51.2</v>
      </c>
      <c r="J142" s="235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44.97649805</v>
      </c>
    </row>
    <row r="143">
      <c r="A143" s="184">
        <v>43882.0</v>
      </c>
      <c r="B143" s="229" t="s">
        <v>182</v>
      </c>
      <c r="C143" s="230" t="s">
        <v>183</v>
      </c>
      <c r="D143" s="231" t="s">
        <v>309</v>
      </c>
      <c r="E143" s="231">
        <v>-1.0</v>
      </c>
      <c r="F143" s="232">
        <v>144.0</v>
      </c>
      <c r="G143" s="233">
        <v>144.0</v>
      </c>
      <c r="H143" s="230" t="s">
        <v>461</v>
      </c>
      <c r="I143" s="235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-10.55</v>
      </c>
      <c r="J143" s="235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1.472062257</v>
      </c>
    </row>
    <row r="144">
      <c r="A144" s="184">
        <v>43865.0</v>
      </c>
      <c r="B144" s="229"/>
      <c r="C144" s="230"/>
      <c r="D144" s="231" t="s">
        <v>332</v>
      </c>
      <c r="E144" s="231"/>
      <c r="F144" s="232"/>
      <c r="G144" s="233">
        <v>-200.0</v>
      </c>
      <c r="H144" s="230" t="s">
        <v>388</v>
      </c>
      <c r="I144" s="235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35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184">
        <v>43864.0</v>
      </c>
      <c r="B145" s="229" t="s">
        <v>177</v>
      </c>
      <c r="C145" s="230" t="s">
        <v>180</v>
      </c>
      <c r="D145" s="231" t="s">
        <v>308</v>
      </c>
      <c r="E145" s="231">
        <v>144.0</v>
      </c>
      <c r="F145" s="232">
        <v>6.945</v>
      </c>
      <c r="G145" s="233">
        <v>-1000.08</v>
      </c>
      <c r="H145" s="230" t="s">
        <v>462</v>
      </c>
      <c r="I145" s="235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-81.36</v>
      </c>
      <c r="J145" s="235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-60.01270039</v>
      </c>
    </row>
    <row r="146">
      <c r="A146" s="184">
        <v>43864.0</v>
      </c>
      <c r="B146" s="229" t="s">
        <v>177</v>
      </c>
      <c r="C146" s="230" t="s">
        <v>180</v>
      </c>
      <c r="D146" s="231" t="s">
        <v>308</v>
      </c>
      <c r="E146" s="231">
        <v>134.0</v>
      </c>
      <c r="F146" s="232">
        <v>6.96</v>
      </c>
      <c r="G146" s="233">
        <v>-932.64</v>
      </c>
      <c r="H146" s="230" t="s">
        <v>463</v>
      </c>
      <c r="I146" s="235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-77.72</v>
      </c>
      <c r="J146" s="235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-57.85515175</v>
      </c>
    </row>
    <row r="147">
      <c r="A147" s="184">
        <v>43861.0</v>
      </c>
      <c r="B147" s="229"/>
      <c r="C147" s="230"/>
      <c r="D147" s="231" t="s">
        <v>325</v>
      </c>
      <c r="E147" s="231"/>
      <c r="F147" s="232"/>
      <c r="G147" s="233">
        <v>-342.44</v>
      </c>
      <c r="H147" s="230" t="s">
        <v>464</v>
      </c>
      <c r="I147" s="235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35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184">
        <v>43861.0</v>
      </c>
      <c r="B148" s="229"/>
      <c r="C148" s="230"/>
      <c r="D148" s="231" t="s">
        <v>325</v>
      </c>
      <c r="E148" s="231"/>
      <c r="F148" s="232"/>
      <c r="G148" s="233">
        <v>-5.0</v>
      </c>
      <c r="H148" s="230" t="s">
        <v>465</v>
      </c>
      <c r="I148" s="235" t="str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/>
      </c>
      <c r="J148" s="235" t="str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/>
      </c>
    </row>
    <row r="149">
      <c r="A149" s="184">
        <v>43861.0</v>
      </c>
      <c r="B149" s="229" t="s">
        <v>177</v>
      </c>
      <c r="C149" s="230" t="s">
        <v>180</v>
      </c>
      <c r="D149" s="231" t="s">
        <v>308</v>
      </c>
      <c r="E149" s="231">
        <v>144.0</v>
      </c>
      <c r="F149" s="232">
        <v>6.975</v>
      </c>
      <c r="G149" s="233">
        <v>-1004.4</v>
      </c>
      <c r="H149" s="230" t="s">
        <v>466</v>
      </c>
      <c r="I149" s="235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-85.68</v>
      </c>
      <c r="J149" s="235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-64.33270039</v>
      </c>
    </row>
    <row r="150">
      <c r="A150" s="184">
        <v>43861.0</v>
      </c>
      <c r="B150" s="229" t="s">
        <v>177</v>
      </c>
      <c r="C150" s="230" t="s">
        <v>180</v>
      </c>
      <c r="D150" s="231" t="s">
        <v>308</v>
      </c>
      <c r="E150" s="231">
        <v>75.0</v>
      </c>
      <c r="F150" s="232">
        <v>7.02</v>
      </c>
      <c r="G150" s="233">
        <v>-526.5</v>
      </c>
      <c r="H150" s="230" t="s">
        <v>467</v>
      </c>
      <c r="I150" s="235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-48</v>
      </c>
      <c r="J150" s="235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-36.88161479</v>
      </c>
    </row>
    <row r="151">
      <c r="A151" s="184">
        <v>43861.0</v>
      </c>
      <c r="B151" s="229" t="s">
        <v>177</v>
      </c>
      <c r="C151" s="230" t="s">
        <v>180</v>
      </c>
      <c r="D151" s="231" t="s">
        <v>325</v>
      </c>
      <c r="E151" s="231"/>
      <c r="F151" s="232"/>
      <c r="G151" s="233">
        <v>-2.11</v>
      </c>
      <c r="H151" s="230" t="s">
        <v>468</v>
      </c>
      <c r="I151" s="235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-2.11</v>
      </c>
      <c r="J151" s="235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-2.11</v>
      </c>
    </row>
    <row r="152">
      <c r="A152" s="184">
        <v>43861.0</v>
      </c>
      <c r="B152" s="229" t="s">
        <v>177</v>
      </c>
      <c r="C152" s="230" t="s">
        <v>180</v>
      </c>
      <c r="D152" s="231" t="s">
        <v>308</v>
      </c>
      <c r="E152" s="231">
        <v>100.0</v>
      </c>
      <c r="F152" s="232">
        <v>7.04</v>
      </c>
      <c r="G152" s="233">
        <v>-704.0</v>
      </c>
      <c r="H152" s="230" t="s">
        <v>469</v>
      </c>
      <c r="I152" s="235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-66</v>
      </c>
      <c r="J152" s="235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-51.17548638</v>
      </c>
    </row>
    <row r="153">
      <c r="A153" s="184">
        <v>43861.0</v>
      </c>
      <c r="B153" s="229" t="s">
        <v>177</v>
      </c>
      <c r="C153" s="230" t="s">
        <v>180</v>
      </c>
      <c r="D153" s="231" t="s">
        <v>325</v>
      </c>
      <c r="E153" s="231"/>
      <c r="F153" s="232"/>
      <c r="G153" s="233">
        <v>-2.14</v>
      </c>
      <c r="H153" s="230" t="s">
        <v>470</v>
      </c>
      <c r="I153" s="235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-2.14</v>
      </c>
      <c r="J153" s="235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-2.14</v>
      </c>
    </row>
    <row r="154">
      <c r="A154" s="184">
        <v>43860.0</v>
      </c>
      <c r="B154" s="229" t="s">
        <v>177</v>
      </c>
      <c r="C154" s="230" t="s">
        <v>180</v>
      </c>
      <c r="D154" s="231" t="s">
        <v>308</v>
      </c>
      <c r="E154" s="231">
        <v>100.0</v>
      </c>
      <c r="F154" s="232">
        <v>7.07</v>
      </c>
      <c r="G154" s="233">
        <v>-707.0</v>
      </c>
      <c r="H154" s="230" t="s">
        <v>471</v>
      </c>
      <c r="I154" s="235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-69</v>
      </c>
      <c r="J154" s="235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-54.17548638</v>
      </c>
    </row>
    <row r="155">
      <c r="A155" s="184">
        <v>43860.0</v>
      </c>
      <c r="B155" s="229" t="s">
        <v>177</v>
      </c>
      <c r="C155" s="230" t="s">
        <v>180</v>
      </c>
      <c r="D155" s="231" t="s">
        <v>325</v>
      </c>
      <c r="E155" s="231"/>
      <c r="F155" s="232"/>
      <c r="G155" s="233">
        <v>-2.14</v>
      </c>
      <c r="H155" s="230" t="s">
        <v>470</v>
      </c>
      <c r="I155" s="235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-2.14</v>
      </c>
      <c r="J155" s="235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-2.14</v>
      </c>
    </row>
    <row r="156">
      <c r="A156" s="184">
        <v>43860.0</v>
      </c>
      <c r="B156" s="229" t="s">
        <v>177</v>
      </c>
      <c r="C156" s="230" t="s">
        <v>180</v>
      </c>
      <c r="D156" s="231" t="s">
        <v>308</v>
      </c>
      <c r="E156" s="231">
        <v>300.0</v>
      </c>
      <c r="F156" s="232">
        <v>7.089</v>
      </c>
      <c r="G156" s="233">
        <v>-2126.7</v>
      </c>
      <c r="H156" s="230" t="s">
        <v>472</v>
      </c>
      <c r="I156" s="235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-212.7</v>
      </c>
      <c r="J156" s="235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-168.2264591</v>
      </c>
    </row>
    <row r="157">
      <c r="A157" s="184">
        <v>43857.0</v>
      </c>
      <c r="B157" s="229" t="s">
        <v>177</v>
      </c>
      <c r="C157" s="230" t="s">
        <v>180</v>
      </c>
      <c r="D157" s="231" t="s">
        <v>308</v>
      </c>
      <c r="E157" s="231">
        <v>2040.0</v>
      </c>
      <c r="F157" s="232">
        <v>7.129</v>
      </c>
      <c r="G157" s="233">
        <v>-14543.16</v>
      </c>
      <c r="H157" s="230" t="s">
        <v>473</v>
      </c>
      <c r="I157" s="235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-1527.96</v>
      </c>
      <c r="J157" s="235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-1225.539922</v>
      </c>
    </row>
    <row r="158">
      <c r="A158" s="184">
        <v>43857.0</v>
      </c>
      <c r="B158" s="229" t="s">
        <v>186</v>
      </c>
      <c r="C158" s="230" t="s">
        <v>187</v>
      </c>
      <c r="D158" s="231" t="s">
        <v>309</v>
      </c>
      <c r="E158" s="231">
        <v>-1.0</v>
      </c>
      <c r="F158" s="232">
        <v>188.55</v>
      </c>
      <c r="G158" s="233">
        <v>188.55</v>
      </c>
      <c r="H158" s="230" t="s">
        <v>474</v>
      </c>
      <c r="I158" s="235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0.33</v>
      </c>
      <c r="J158" s="235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-4.174474708</v>
      </c>
    </row>
    <row r="159">
      <c r="A159" s="184">
        <v>43857.0</v>
      </c>
      <c r="B159" s="229" t="s">
        <v>186</v>
      </c>
      <c r="C159" s="230" t="s">
        <v>187</v>
      </c>
      <c r="D159" s="231" t="s">
        <v>309</v>
      </c>
      <c r="E159" s="231">
        <v>-5.0</v>
      </c>
      <c r="F159" s="232">
        <v>188.55</v>
      </c>
      <c r="G159" s="233">
        <v>942.75</v>
      </c>
      <c r="H159" s="230" t="s">
        <v>475</v>
      </c>
      <c r="I159" s="235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1.65</v>
      </c>
      <c r="J159" s="235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-20.87237354</v>
      </c>
    </row>
    <row r="160">
      <c r="A160" s="184">
        <v>43857.0</v>
      </c>
      <c r="B160" s="229" t="s">
        <v>186</v>
      </c>
      <c r="C160" s="230" t="s">
        <v>187</v>
      </c>
      <c r="D160" s="231" t="s">
        <v>309</v>
      </c>
      <c r="E160" s="231">
        <v>-6.0</v>
      </c>
      <c r="F160" s="232">
        <v>188.3</v>
      </c>
      <c r="G160" s="233">
        <v>1129.8</v>
      </c>
      <c r="H160" s="230" t="s">
        <v>476</v>
      </c>
      <c r="I160" s="235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0.48</v>
      </c>
      <c r="J160" s="235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-26.54684825</v>
      </c>
    </row>
    <row r="161">
      <c r="A161" s="184">
        <v>43851.0</v>
      </c>
      <c r="B161" s="229"/>
      <c r="C161" s="230"/>
      <c r="D161" s="231" t="s">
        <v>332</v>
      </c>
      <c r="E161" s="231"/>
      <c r="F161" s="232"/>
      <c r="G161" s="233">
        <v>-100.0</v>
      </c>
      <c r="H161" s="230" t="s">
        <v>368</v>
      </c>
      <c r="I161" s="235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35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4">
        <v>43847.0</v>
      </c>
      <c r="B162" s="229" t="s">
        <v>196</v>
      </c>
      <c r="C162" s="230" t="s">
        <v>197</v>
      </c>
      <c r="D162" s="231" t="s">
        <v>309</v>
      </c>
      <c r="E162" s="231">
        <v>-18.0</v>
      </c>
      <c r="F162" s="232">
        <v>56.835</v>
      </c>
      <c r="G162" s="233">
        <v>1023.03</v>
      </c>
      <c r="H162" s="230" t="s">
        <v>477</v>
      </c>
      <c r="I162" s="235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21.51</v>
      </c>
      <c r="J162" s="235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74.15299611</v>
      </c>
    </row>
    <row r="163">
      <c r="A163" s="184">
        <v>43844.0</v>
      </c>
      <c r="B163" s="229"/>
      <c r="C163" s="230"/>
      <c r="D163" s="231" t="s">
        <v>332</v>
      </c>
      <c r="E163" s="231"/>
      <c r="F163" s="232"/>
      <c r="G163" s="233">
        <v>-1000.0</v>
      </c>
      <c r="H163" s="230" t="s">
        <v>333</v>
      </c>
      <c r="I163" s="235" t="str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/>
      </c>
      <c r="J163" s="235" t="str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/>
      </c>
    </row>
    <row r="164">
      <c r="A164" s="184">
        <v>43839.0</v>
      </c>
      <c r="B164" s="229" t="s">
        <v>196</v>
      </c>
      <c r="C164" s="230" t="s">
        <v>197</v>
      </c>
      <c r="D164" s="231" t="s">
        <v>309</v>
      </c>
      <c r="E164" s="231">
        <v>-20.0</v>
      </c>
      <c r="F164" s="232">
        <v>55.99</v>
      </c>
      <c r="G164" s="233">
        <v>1119.8</v>
      </c>
      <c r="H164" s="230" t="s">
        <v>478</v>
      </c>
      <c r="I164" s="235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7</v>
      </c>
      <c r="J164" s="235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65.4922179</v>
      </c>
    </row>
    <row r="165">
      <c r="A165" s="184">
        <v>43839.0</v>
      </c>
      <c r="B165" s="229" t="s">
        <v>196</v>
      </c>
      <c r="C165" s="230" t="s">
        <v>197</v>
      </c>
      <c r="D165" s="231" t="s">
        <v>309</v>
      </c>
      <c r="E165" s="231">
        <v>-18.0</v>
      </c>
      <c r="F165" s="232">
        <v>55.875</v>
      </c>
      <c r="G165" s="233">
        <v>1005.75</v>
      </c>
      <c r="H165" s="230" t="s">
        <v>479</v>
      </c>
      <c r="I165" s="235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4.23</v>
      </c>
      <c r="J165" s="235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56.87299611</v>
      </c>
    </row>
    <row r="166">
      <c r="A166" s="184">
        <v>43839.0</v>
      </c>
      <c r="B166" s="229" t="s">
        <v>196</v>
      </c>
      <c r="C166" s="230" t="s">
        <v>197</v>
      </c>
      <c r="D166" s="231" t="s">
        <v>309</v>
      </c>
      <c r="E166" s="231">
        <v>-31.0</v>
      </c>
      <c r="F166" s="232">
        <v>55.8748</v>
      </c>
      <c r="G166" s="233">
        <v>1732.12</v>
      </c>
      <c r="H166" s="230" t="s">
        <v>480</v>
      </c>
      <c r="I166" s="235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7.28</v>
      </c>
      <c r="J166" s="235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97.94293774</v>
      </c>
    </row>
    <row r="167">
      <c r="A167" s="184">
        <v>43837.0</v>
      </c>
      <c r="B167" s="229"/>
      <c r="C167" s="230"/>
      <c r="D167" s="231" t="s">
        <v>332</v>
      </c>
      <c r="E167" s="231"/>
      <c r="F167" s="232"/>
      <c r="G167" s="233">
        <v>-300.0</v>
      </c>
      <c r="H167" s="230" t="s">
        <v>436</v>
      </c>
      <c r="I167" s="235" t="str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/>
      </c>
      <c r="J167" s="235" t="str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/>
      </c>
    </row>
    <row r="168">
      <c r="A168" s="184">
        <v>43836.0</v>
      </c>
      <c r="B168" s="229" t="s">
        <v>182</v>
      </c>
      <c r="C168" s="230" t="s">
        <v>183</v>
      </c>
      <c r="D168" s="231" t="s">
        <v>309</v>
      </c>
      <c r="E168" s="231">
        <v>-5.0</v>
      </c>
      <c r="F168" s="232">
        <v>134.05</v>
      </c>
      <c r="G168" s="233">
        <v>670.25</v>
      </c>
      <c r="H168" s="230" t="s">
        <v>481</v>
      </c>
      <c r="I168" s="235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-102.5</v>
      </c>
      <c r="J168" s="235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-42.38968872</v>
      </c>
    </row>
    <row r="169">
      <c r="A169" s="184">
        <v>43831.0</v>
      </c>
      <c r="B169" s="229"/>
      <c r="C169" s="230"/>
      <c r="D169" s="231" t="s">
        <v>325</v>
      </c>
      <c r="E169" s="231"/>
      <c r="F169" s="232"/>
      <c r="G169" s="233">
        <v>565.72</v>
      </c>
      <c r="H169" s="237" t="s">
        <v>482</v>
      </c>
      <c r="I169" s="235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35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184">
        <v>43830.0</v>
      </c>
      <c r="B170" s="229"/>
      <c r="C170" s="230"/>
      <c r="D170" s="231" t="s">
        <v>332</v>
      </c>
      <c r="E170" s="231"/>
      <c r="F170" s="232"/>
      <c r="G170" s="233">
        <v>29900.0</v>
      </c>
      <c r="H170" s="230" t="s">
        <v>483</v>
      </c>
      <c r="I170" s="235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35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184">
        <v>43830.0</v>
      </c>
      <c r="B171" s="229"/>
      <c r="C171" s="230"/>
      <c r="D171" s="231" t="s">
        <v>325</v>
      </c>
      <c r="E171" s="231"/>
      <c r="F171" s="232"/>
      <c r="G171" s="233">
        <v>-348.96</v>
      </c>
      <c r="H171" s="230" t="s">
        <v>484</v>
      </c>
      <c r="I171" s="235" t="str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/>
      </c>
      <c r="J171" s="235" t="str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/>
      </c>
    </row>
    <row r="172">
      <c r="A172" s="184">
        <v>43826.0</v>
      </c>
      <c r="B172" s="229" t="s">
        <v>196</v>
      </c>
      <c r="C172" s="230" t="s">
        <v>197</v>
      </c>
      <c r="D172" s="231" t="s">
        <v>329</v>
      </c>
      <c r="E172" s="231"/>
      <c r="F172" s="232"/>
      <c r="G172" s="233">
        <v>736.7</v>
      </c>
      <c r="H172" s="230" t="s">
        <v>485</v>
      </c>
      <c r="I172" s="235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5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184">
        <v>43826.0</v>
      </c>
      <c r="B173" s="229" t="s">
        <v>192</v>
      </c>
      <c r="C173" s="230" t="s">
        <v>193</v>
      </c>
      <c r="D173" s="231" t="s">
        <v>329</v>
      </c>
      <c r="E173" s="231"/>
      <c r="F173" s="232"/>
      <c r="G173" s="233">
        <v>3360.26</v>
      </c>
      <c r="H173" s="230" t="s">
        <v>486</v>
      </c>
      <c r="I173" s="235" t="str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/>
      </c>
      <c r="J173" s="235" t="str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/>
      </c>
    </row>
    <row r="174">
      <c r="A174" s="184">
        <v>43826.0</v>
      </c>
      <c r="B174" s="229" t="s">
        <v>192</v>
      </c>
      <c r="C174" s="230" t="s">
        <v>193</v>
      </c>
      <c r="D174" s="231" t="s">
        <v>329</v>
      </c>
      <c r="E174" s="231"/>
      <c r="F174" s="232"/>
      <c r="G174" s="233">
        <v>-435.08</v>
      </c>
      <c r="H174" s="230" t="s">
        <v>487</v>
      </c>
      <c r="I174" s="235" t="str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/>
      </c>
      <c r="J174" s="235" t="str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/>
      </c>
    </row>
    <row r="175">
      <c r="A175" s="184">
        <v>43826.0</v>
      </c>
      <c r="B175" s="229" t="s">
        <v>196</v>
      </c>
      <c r="C175" s="229" t="s">
        <v>197</v>
      </c>
      <c r="D175" s="229" t="s">
        <v>329</v>
      </c>
      <c r="E175" s="238"/>
      <c r="F175" s="239"/>
      <c r="G175" s="233">
        <v>-204.49</v>
      </c>
      <c r="H175" s="237" t="s">
        <v>488</v>
      </c>
      <c r="I175" s="235" t="str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/>
      </c>
      <c r="J175" s="235" t="str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/>
      </c>
    </row>
    <row r="176">
      <c r="A176" s="184">
        <v>43826.0</v>
      </c>
      <c r="B176" s="229" t="s">
        <v>192</v>
      </c>
      <c r="C176" s="229" t="s">
        <v>193</v>
      </c>
      <c r="D176" s="229" t="s">
        <v>329</v>
      </c>
      <c r="E176" s="238"/>
      <c r="F176" s="239"/>
      <c r="G176" s="233">
        <v>326.97</v>
      </c>
      <c r="H176" s="237" t="s">
        <v>489</v>
      </c>
      <c r="I176" s="235" t="str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/>
      </c>
      <c r="J176" s="235" t="str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/>
      </c>
    </row>
    <row r="177">
      <c r="A177" s="184">
        <v>43819.0</v>
      </c>
      <c r="B177" s="229" t="s">
        <v>196</v>
      </c>
      <c r="C177" s="230" t="s">
        <v>197</v>
      </c>
      <c r="D177" s="231" t="s">
        <v>309</v>
      </c>
      <c r="E177" s="231">
        <v>-21.0</v>
      </c>
      <c r="F177" s="232">
        <v>55.11</v>
      </c>
      <c r="G177" s="233">
        <v>1157.31</v>
      </c>
      <c r="H177" s="230" t="s">
        <v>490</v>
      </c>
      <c r="I177" s="235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-11.13</v>
      </c>
      <c r="J177" s="235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50.28682879</v>
      </c>
    </row>
    <row r="178">
      <c r="A178" s="184">
        <v>43819.0</v>
      </c>
      <c r="B178" s="229" t="s">
        <v>196</v>
      </c>
      <c r="C178" s="230" t="s">
        <v>197</v>
      </c>
      <c r="D178" s="231" t="s">
        <v>309</v>
      </c>
      <c r="E178" s="231">
        <v>-1.0</v>
      </c>
      <c r="F178" s="232">
        <v>54.98</v>
      </c>
      <c r="G178" s="233">
        <v>54.98</v>
      </c>
      <c r="H178" s="230" t="s">
        <v>491</v>
      </c>
      <c r="I178" s="235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-0.66</v>
      </c>
      <c r="J178" s="235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2.264610895</v>
      </c>
    </row>
    <row r="179">
      <c r="A179" s="184">
        <v>43819.0</v>
      </c>
      <c r="B179" s="229" t="s">
        <v>196</v>
      </c>
      <c r="C179" s="230" t="s">
        <v>197</v>
      </c>
      <c r="D179" s="231" t="s">
        <v>309</v>
      </c>
      <c r="E179" s="231">
        <v>-18.0</v>
      </c>
      <c r="F179" s="232">
        <v>54.98</v>
      </c>
      <c r="G179" s="233">
        <v>989.64</v>
      </c>
      <c r="H179" s="230" t="s">
        <v>492</v>
      </c>
      <c r="I179" s="235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-11.88</v>
      </c>
      <c r="J179" s="235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40.76299611</v>
      </c>
    </row>
    <row r="180">
      <c r="A180" s="184">
        <v>43819.0</v>
      </c>
      <c r="B180" s="229" t="s">
        <v>196</v>
      </c>
      <c r="C180" s="230" t="s">
        <v>197</v>
      </c>
      <c r="D180" s="231" t="s">
        <v>309</v>
      </c>
      <c r="E180" s="231">
        <v>-24.0</v>
      </c>
      <c r="F180" s="232">
        <v>54.8579</v>
      </c>
      <c r="G180" s="233">
        <v>1316.59</v>
      </c>
      <c r="H180" s="230" t="s">
        <v>493</v>
      </c>
      <c r="I180" s="235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-18.77</v>
      </c>
      <c r="J180" s="235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51.42066148</v>
      </c>
    </row>
    <row r="181">
      <c r="A181" s="184">
        <v>43819.0</v>
      </c>
      <c r="B181" s="229" t="s">
        <v>177</v>
      </c>
      <c r="C181" s="230" t="s">
        <v>180</v>
      </c>
      <c r="D181" s="231" t="s">
        <v>309</v>
      </c>
      <c r="E181" s="231">
        <v>-164.0</v>
      </c>
      <c r="F181" s="232">
        <v>7.46</v>
      </c>
      <c r="G181" s="233">
        <v>1223.44</v>
      </c>
      <c r="H181" s="230" t="s">
        <v>494</v>
      </c>
      <c r="I181" s="235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177.12</v>
      </c>
      <c r="J181" s="235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152.8077977</v>
      </c>
    </row>
    <row r="182">
      <c r="A182" s="184">
        <v>43819.0</v>
      </c>
      <c r="B182" s="229" t="s">
        <v>196</v>
      </c>
      <c r="C182" s="230" t="s">
        <v>197</v>
      </c>
      <c r="D182" s="231" t="s">
        <v>309</v>
      </c>
      <c r="E182" s="231">
        <v>-31.0</v>
      </c>
      <c r="F182" s="232">
        <v>54.7319</v>
      </c>
      <c r="G182" s="233">
        <v>1696.69</v>
      </c>
      <c r="H182" s="230" t="s">
        <v>495</v>
      </c>
      <c r="I182" s="235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-28.15</v>
      </c>
      <c r="J182" s="235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62.51293774</v>
      </c>
    </row>
    <row r="183">
      <c r="A183" s="184">
        <v>43819.0</v>
      </c>
      <c r="B183" s="229" t="s">
        <v>177</v>
      </c>
      <c r="C183" s="230" t="s">
        <v>180</v>
      </c>
      <c r="D183" s="231" t="s">
        <v>309</v>
      </c>
      <c r="E183" s="231">
        <v>-10.0</v>
      </c>
      <c r="F183" s="232">
        <v>7.46</v>
      </c>
      <c r="G183" s="233">
        <v>74.6</v>
      </c>
      <c r="H183" s="230" t="s">
        <v>496</v>
      </c>
      <c r="I183" s="235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10.8</v>
      </c>
      <c r="J183" s="235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9.317548638</v>
      </c>
    </row>
    <row r="184">
      <c r="A184" s="184">
        <v>43817.0</v>
      </c>
      <c r="B184" s="229" t="s">
        <v>196</v>
      </c>
      <c r="C184" s="230" t="s">
        <v>197</v>
      </c>
      <c r="D184" s="231" t="s">
        <v>309</v>
      </c>
      <c r="E184" s="231">
        <v>-24.0</v>
      </c>
      <c r="F184" s="232">
        <v>54.4408</v>
      </c>
      <c r="G184" s="233">
        <v>1306.58</v>
      </c>
      <c r="H184" s="230" t="s">
        <v>497</v>
      </c>
      <c r="I184" s="235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-28.78</v>
      </c>
      <c r="J184" s="235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41.41066148</v>
      </c>
    </row>
    <row r="185">
      <c r="A185" s="184">
        <v>43816.0</v>
      </c>
      <c r="B185" s="229" t="s">
        <v>196</v>
      </c>
      <c r="C185" s="230" t="s">
        <v>197</v>
      </c>
      <c r="D185" s="231" t="s">
        <v>309</v>
      </c>
      <c r="E185" s="231">
        <v>-19.0</v>
      </c>
      <c r="F185" s="232">
        <v>54.2821</v>
      </c>
      <c r="G185" s="233">
        <v>1031.36</v>
      </c>
      <c r="H185" s="230" t="s">
        <v>498</v>
      </c>
      <c r="I185" s="235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-25.8</v>
      </c>
      <c r="J185" s="235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29.767607</v>
      </c>
    </row>
    <row r="186">
      <c r="A186" s="184">
        <v>43811.0</v>
      </c>
      <c r="B186" s="229"/>
      <c r="C186" s="230"/>
      <c r="D186" s="231" t="s">
        <v>332</v>
      </c>
      <c r="E186" s="231"/>
      <c r="F186" s="232"/>
      <c r="G186" s="233">
        <v>-100.0</v>
      </c>
      <c r="H186" s="230" t="s">
        <v>368</v>
      </c>
      <c r="I186" s="235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35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4">
        <v>43808.0</v>
      </c>
      <c r="B187" s="229" t="s">
        <v>196</v>
      </c>
      <c r="C187" s="230" t="s">
        <v>197</v>
      </c>
      <c r="D187" s="231" t="s">
        <v>309</v>
      </c>
      <c r="E187" s="231">
        <v>-17.0</v>
      </c>
      <c r="F187" s="232">
        <v>54.11</v>
      </c>
      <c r="G187" s="233">
        <v>919.87</v>
      </c>
      <c r="H187" s="230" t="s">
        <v>499</v>
      </c>
      <c r="I187" s="235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-26.01</v>
      </c>
      <c r="J187" s="235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23.70838521</v>
      </c>
    </row>
    <row r="188">
      <c r="A188" s="184">
        <v>43804.0</v>
      </c>
      <c r="B188" s="229"/>
      <c r="C188" s="230"/>
      <c r="D188" s="231" t="s">
        <v>332</v>
      </c>
      <c r="E188" s="231"/>
      <c r="F188" s="232"/>
      <c r="G188" s="233">
        <v>-100.0</v>
      </c>
      <c r="H188" s="230" t="s">
        <v>368</v>
      </c>
      <c r="I188" s="235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5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4">
        <v>43804.0</v>
      </c>
      <c r="B189" s="229"/>
      <c r="C189" s="230"/>
      <c r="D189" s="231" t="s">
        <v>325</v>
      </c>
      <c r="E189" s="231"/>
      <c r="F189" s="232"/>
      <c r="G189" s="233">
        <v>507.9</v>
      </c>
      <c r="H189" s="237" t="s">
        <v>500</v>
      </c>
      <c r="I189" s="235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35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4">
        <v>43804.0</v>
      </c>
      <c r="B190" s="229"/>
      <c r="C190" s="230"/>
      <c r="D190" s="231" t="s">
        <v>332</v>
      </c>
      <c r="E190" s="231"/>
      <c r="F190" s="232"/>
      <c r="G190" s="233">
        <v>-507.9</v>
      </c>
      <c r="H190" s="237" t="s">
        <v>501</v>
      </c>
      <c r="I190" s="235" t="str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/>
      </c>
      <c r="J190" s="235" t="str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/>
      </c>
    </row>
    <row r="191">
      <c r="A191" s="184">
        <v>43799.0</v>
      </c>
      <c r="B191" s="229"/>
      <c r="C191" s="230"/>
      <c r="D191" s="231" t="s">
        <v>325</v>
      </c>
      <c r="E191" s="231"/>
      <c r="F191" s="232"/>
      <c r="G191" s="233">
        <v>-382.12</v>
      </c>
      <c r="H191" s="230" t="s">
        <v>502</v>
      </c>
      <c r="I191" s="235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35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84">
        <v>43797.0</v>
      </c>
      <c r="B192" s="229" t="s">
        <v>186</v>
      </c>
      <c r="C192" s="230" t="s">
        <v>187</v>
      </c>
      <c r="D192" s="231" t="s">
        <v>329</v>
      </c>
      <c r="E192" s="231"/>
      <c r="F192" s="232"/>
      <c r="G192" s="233">
        <v>-124.33</v>
      </c>
      <c r="H192" s="230" t="s">
        <v>503</v>
      </c>
      <c r="I192" s="235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35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4">
        <v>43796.0</v>
      </c>
      <c r="B193" s="229" t="s">
        <v>186</v>
      </c>
      <c r="C193" s="230" t="s">
        <v>187</v>
      </c>
      <c r="D193" s="231" t="s">
        <v>329</v>
      </c>
      <c r="E193" s="231"/>
      <c r="F193" s="232"/>
      <c r="G193" s="233">
        <v>1342.46</v>
      </c>
      <c r="H193" s="230" t="s">
        <v>504</v>
      </c>
      <c r="I193" s="235" t="str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/>
      </c>
      <c r="J193" s="235" t="str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/>
      </c>
    </row>
    <row r="194">
      <c r="A194" s="184">
        <v>43795.0</v>
      </c>
      <c r="B194" s="229" t="s">
        <v>196</v>
      </c>
      <c r="C194" s="230" t="s">
        <v>197</v>
      </c>
      <c r="D194" s="231" t="s">
        <v>309</v>
      </c>
      <c r="E194" s="231">
        <v>-1.0</v>
      </c>
      <c r="F194" s="232">
        <v>54.18</v>
      </c>
      <c r="G194" s="233">
        <v>54.18</v>
      </c>
      <c r="H194" s="230" t="s">
        <v>505</v>
      </c>
      <c r="I194" s="235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-1.46</v>
      </c>
      <c r="J194" s="235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1.464610895</v>
      </c>
    </row>
    <row r="195">
      <c r="A195" s="184">
        <v>43795.0</v>
      </c>
      <c r="B195" s="229" t="s">
        <v>196</v>
      </c>
      <c r="C195" s="230" t="s">
        <v>197</v>
      </c>
      <c r="D195" s="231" t="s">
        <v>309</v>
      </c>
      <c r="E195" s="231">
        <v>-1.0</v>
      </c>
      <c r="F195" s="232">
        <v>54.18</v>
      </c>
      <c r="G195" s="233">
        <v>54.18</v>
      </c>
      <c r="H195" s="230" t="s">
        <v>505</v>
      </c>
      <c r="I195" s="235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-1.46</v>
      </c>
      <c r="J195" s="235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1.464610895</v>
      </c>
    </row>
    <row r="196">
      <c r="A196" s="184">
        <v>43795.0</v>
      </c>
      <c r="B196" s="229" t="s">
        <v>196</v>
      </c>
      <c r="C196" s="230" t="s">
        <v>197</v>
      </c>
      <c r="D196" s="231" t="s">
        <v>309</v>
      </c>
      <c r="E196" s="231">
        <v>-18.0</v>
      </c>
      <c r="F196" s="232">
        <v>54.18</v>
      </c>
      <c r="G196" s="233">
        <v>975.24</v>
      </c>
      <c r="H196" s="230" t="s">
        <v>506</v>
      </c>
      <c r="I196" s="235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-26.28</v>
      </c>
      <c r="J196" s="235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26.36299611</v>
      </c>
    </row>
    <row r="197">
      <c r="A197" s="184">
        <v>43795.0</v>
      </c>
      <c r="B197" s="229" t="s">
        <v>196</v>
      </c>
      <c r="C197" s="230" t="s">
        <v>197</v>
      </c>
      <c r="D197" s="231" t="s">
        <v>309</v>
      </c>
      <c r="E197" s="231">
        <v>-1.0</v>
      </c>
      <c r="F197" s="232">
        <v>54.18</v>
      </c>
      <c r="G197" s="233">
        <v>54.18</v>
      </c>
      <c r="H197" s="230" t="s">
        <v>505</v>
      </c>
      <c r="I197" s="235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-1.46</v>
      </c>
      <c r="J197" s="235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1.464610895</v>
      </c>
    </row>
    <row r="198">
      <c r="A198" s="184">
        <v>43795.0</v>
      </c>
      <c r="B198" s="229" t="s">
        <v>196</v>
      </c>
      <c r="C198" s="230" t="s">
        <v>197</v>
      </c>
      <c r="D198" s="231" t="s">
        <v>309</v>
      </c>
      <c r="E198" s="231">
        <v>-1.0</v>
      </c>
      <c r="F198" s="232">
        <v>54.18</v>
      </c>
      <c r="G198" s="233">
        <v>54.18</v>
      </c>
      <c r="H198" s="230" t="s">
        <v>505</v>
      </c>
      <c r="I198" s="235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-1.46</v>
      </c>
      <c r="J198" s="235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1.464610895</v>
      </c>
    </row>
    <row r="199">
      <c r="A199" s="184">
        <v>43782.0</v>
      </c>
      <c r="B199" s="229" t="s">
        <v>186</v>
      </c>
      <c r="C199" s="230" t="s">
        <v>187</v>
      </c>
      <c r="D199" s="231" t="s">
        <v>309</v>
      </c>
      <c r="E199" s="231">
        <v>-4.0</v>
      </c>
      <c r="F199" s="232">
        <v>186.43</v>
      </c>
      <c r="G199" s="233">
        <v>745.72</v>
      </c>
      <c r="H199" s="230" t="s">
        <v>507</v>
      </c>
      <c r="I199" s="235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-7.16</v>
      </c>
      <c r="J199" s="235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-25.17789883</v>
      </c>
    </row>
    <row r="200">
      <c r="A200" s="184">
        <v>43781.0</v>
      </c>
      <c r="B200" s="229" t="s">
        <v>196</v>
      </c>
      <c r="C200" s="230" t="s">
        <v>197</v>
      </c>
      <c r="D200" s="231" t="s">
        <v>309</v>
      </c>
      <c r="E200" s="231">
        <v>-21.0</v>
      </c>
      <c r="F200" s="232">
        <v>53.4362</v>
      </c>
      <c r="G200" s="233">
        <v>1122.16</v>
      </c>
      <c r="H200" s="230" t="s">
        <v>508</v>
      </c>
      <c r="I200" s="235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-46.28</v>
      </c>
      <c r="J200" s="235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15.13682879</v>
      </c>
    </row>
    <row r="201">
      <c r="A201" s="184">
        <v>43781.0</v>
      </c>
      <c r="B201" s="229" t="s">
        <v>196</v>
      </c>
      <c r="C201" s="230" t="s">
        <v>197</v>
      </c>
      <c r="D201" s="231" t="s">
        <v>309</v>
      </c>
      <c r="E201" s="231">
        <v>-19.0</v>
      </c>
      <c r="F201" s="232">
        <v>53.4011</v>
      </c>
      <c r="G201" s="233">
        <v>1014.62</v>
      </c>
      <c r="H201" s="230" t="s">
        <v>509</v>
      </c>
      <c r="I201" s="235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-42.54</v>
      </c>
      <c r="J201" s="235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13.027607</v>
      </c>
    </row>
    <row r="202">
      <c r="A202" s="184">
        <v>43774.0</v>
      </c>
      <c r="B202" s="229" t="s">
        <v>196</v>
      </c>
      <c r="C202" s="230" t="s">
        <v>197</v>
      </c>
      <c r="D202" s="231" t="s">
        <v>309</v>
      </c>
      <c r="E202" s="231">
        <v>-15.0</v>
      </c>
      <c r="F202" s="232">
        <v>52.7</v>
      </c>
      <c r="G202" s="233">
        <v>790.5</v>
      </c>
      <c r="H202" s="230" t="s">
        <v>510</v>
      </c>
      <c r="I202" s="235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-44.1</v>
      </c>
      <c r="J202" s="235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-0.2308365759</v>
      </c>
    </row>
    <row r="203">
      <c r="A203" s="184">
        <v>43774.0</v>
      </c>
      <c r="B203" s="229" t="s">
        <v>196</v>
      </c>
      <c r="C203" s="230" t="s">
        <v>197</v>
      </c>
      <c r="D203" s="231" t="s">
        <v>309</v>
      </c>
      <c r="E203" s="231">
        <v>-4.0</v>
      </c>
      <c r="F203" s="232">
        <v>52.7</v>
      </c>
      <c r="G203" s="233">
        <v>210.8</v>
      </c>
      <c r="H203" s="230" t="s">
        <v>511</v>
      </c>
      <c r="I203" s="235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-11.76</v>
      </c>
      <c r="J203" s="235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-0.06155642023</v>
      </c>
    </row>
    <row r="204">
      <c r="A204" s="184">
        <v>43774.0</v>
      </c>
      <c r="B204" s="229" t="s">
        <v>196</v>
      </c>
      <c r="C204" s="230" t="s">
        <v>197</v>
      </c>
      <c r="D204" s="231" t="s">
        <v>309</v>
      </c>
      <c r="E204" s="231">
        <v>-33.0</v>
      </c>
      <c r="F204" s="232">
        <v>52.67</v>
      </c>
      <c r="G204" s="233">
        <v>1738.11</v>
      </c>
      <c r="H204" s="230" t="s">
        <v>512</v>
      </c>
      <c r="I204" s="235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-98.01</v>
      </c>
      <c r="J204" s="235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-1.497840467</v>
      </c>
    </row>
    <row r="205">
      <c r="A205" s="184">
        <v>43774.0</v>
      </c>
      <c r="B205" s="229" t="s">
        <v>177</v>
      </c>
      <c r="C205" s="230" t="s">
        <v>180</v>
      </c>
      <c r="D205" s="231" t="s">
        <v>309</v>
      </c>
      <c r="E205" s="231">
        <v>-200.0</v>
      </c>
      <c r="F205" s="232">
        <v>7.45</v>
      </c>
      <c r="G205" s="233">
        <v>1490.0</v>
      </c>
      <c r="H205" s="230" t="s">
        <v>513</v>
      </c>
      <c r="I205" s="235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214</v>
      </c>
      <c r="J205" s="235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184.3509728</v>
      </c>
    </row>
    <row r="206">
      <c r="A206" s="184">
        <v>43774.0</v>
      </c>
      <c r="B206" s="229" t="s">
        <v>196</v>
      </c>
      <c r="C206" s="230" t="s">
        <v>197</v>
      </c>
      <c r="D206" s="231" t="s">
        <v>309</v>
      </c>
      <c r="E206" s="231">
        <v>-30.0</v>
      </c>
      <c r="F206" s="232">
        <v>52.581</v>
      </c>
      <c r="G206" s="233">
        <v>1577.43</v>
      </c>
      <c r="H206" s="230" t="s">
        <v>514</v>
      </c>
      <c r="I206" s="235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-91.77</v>
      </c>
      <c r="J206" s="235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-4.031673152</v>
      </c>
    </row>
    <row r="207">
      <c r="A207" s="184">
        <v>43774.0</v>
      </c>
      <c r="B207" s="229" t="s">
        <v>196</v>
      </c>
      <c r="C207" s="230" t="s">
        <v>197</v>
      </c>
      <c r="D207" s="231" t="s">
        <v>309</v>
      </c>
      <c r="E207" s="231">
        <v>-5.0</v>
      </c>
      <c r="F207" s="232">
        <v>52.58</v>
      </c>
      <c r="G207" s="233">
        <v>262.9</v>
      </c>
      <c r="H207" s="230" t="s">
        <v>515</v>
      </c>
      <c r="I207" s="235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-15.3</v>
      </c>
      <c r="J207" s="235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-0.6769455253</v>
      </c>
    </row>
    <row r="208">
      <c r="A208" s="184">
        <v>43774.0</v>
      </c>
      <c r="B208" s="229" t="s">
        <v>196</v>
      </c>
      <c r="C208" s="230" t="s">
        <v>197</v>
      </c>
      <c r="D208" s="231" t="s">
        <v>309</v>
      </c>
      <c r="E208" s="231">
        <v>-5.0</v>
      </c>
      <c r="F208" s="232">
        <v>52.58</v>
      </c>
      <c r="G208" s="233">
        <v>262.9</v>
      </c>
      <c r="H208" s="230" t="s">
        <v>515</v>
      </c>
      <c r="I208" s="235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-15.3</v>
      </c>
      <c r="J208" s="235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-0.6769455253</v>
      </c>
    </row>
    <row r="209">
      <c r="A209" s="184">
        <v>43773.0</v>
      </c>
      <c r="B209" s="229" t="s">
        <v>196</v>
      </c>
      <c r="C209" s="230" t="s">
        <v>197</v>
      </c>
      <c r="D209" s="231" t="s">
        <v>309</v>
      </c>
      <c r="E209" s="231">
        <v>-24.0</v>
      </c>
      <c r="F209" s="232">
        <v>52.4829</v>
      </c>
      <c r="G209" s="233">
        <v>1259.59</v>
      </c>
      <c r="H209" s="230" t="s">
        <v>516</v>
      </c>
      <c r="I209" s="235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-75.77</v>
      </c>
      <c r="J209" s="235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-5.579338521</v>
      </c>
    </row>
    <row r="210">
      <c r="A210" s="184">
        <v>43773.0</v>
      </c>
      <c r="B210" s="229" t="s">
        <v>196</v>
      </c>
      <c r="C210" s="230" t="s">
        <v>197</v>
      </c>
      <c r="D210" s="231" t="s">
        <v>309</v>
      </c>
      <c r="E210" s="231">
        <v>-16.0</v>
      </c>
      <c r="F210" s="232">
        <v>52.4231</v>
      </c>
      <c r="G210" s="233">
        <v>838.77</v>
      </c>
      <c r="H210" s="230" t="s">
        <v>517</v>
      </c>
      <c r="I210" s="235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-51.47</v>
      </c>
      <c r="J210" s="235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-4.676225681</v>
      </c>
    </row>
    <row r="211">
      <c r="A211" s="184">
        <v>43773.0</v>
      </c>
      <c r="B211" s="229" t="s">
        <v>196</v>
      </c>
      <c r="C211" s="230" t="s">
        <v>197</v>
      </c>
      <c r="D211" s="231" t="s">
        <v>309</v>
      </c>
      <c r="E211" s="231">
        <v>-10.0</v>
      </c>
      <c r="F211" s="232">
        <v>52.423</v>
      </c>
      <c r="G211" s="233">
        <v>524.23</v>
      </c>
      <c r="H211" s="230" t="s">
        <v>518</v>
      </c>
      <c r="I211" s="235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-32.17</v>
      </c>
      <c r="J211" s="235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-2.923891051</v>
      </c>
    </row>
    <row r="212">
      <c r="A212" s="184">
        <v>43773.0</v>
      </c>
      <c r="B212" s="229" t="s">
        <v>177</v>
      </c>
      <c r="C212" s="230" t="s">
        <v>180</v>
      </c>
      <c r="D212" s="231" t="s">
        <v>309</v>
      </c>
      <c r="E212" s="231">
        <v>-562.0</v>
      </c>
      <c r="F212" s="232">
        <v>7.415</v>
      </c>
      <c r="G212" s="233">
        <v>4167.23</v>
      </c>
      <c r="H212" s="230" t="s">
        <v>519</v>
      </c>
      <c r="I212" s="235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581.67</v>
      </c>
      <c r="J212" s="235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498.3562335</v>
      </c>
    </row>
    <row r="213">
      <c r="A213" s="184">
        <v>43773.0</v>
      </c>
      <c r="B213" s="229" t="s">
        <v>196</v>
      </c>
      <c r="C213" s="230" t="s">
        <v>197</v>
      </c>
      <c r="D213" s="231" t="s">
        <v>309</v>
      </c>
      <c r="E213" s="231">
        <v>-14.0</v>
      </c>
      <c r="F213" s="232">
        <v>52.365</v>
      </c>
      <c r="G213" s="233">
        <v>733.11</v>
      </c>
      <c r="H213" s="230" t="s">
        <v>520</v>
      </c>
      <c r="I213" s="235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-45.85</v>
      </c>
      <c r="J213" s="235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-4.905447471</v>
      </c>
    </row>
    <row r="214">
      <c r="A214" s="184">
        <v>43773.0</v>
      </c>
      <c r="B214" s="229" t="s">
        <v>196</v>
      </c>
      <c r="C214" s="230" t="s">
        <v>197</v>
      </c>
      <c r="D214" s="231" t="s">
        <v>309</v>
      </c>
      <c r="E214" s="231">
        <v>-7.0</v>
      </c>
      <c r="F214" s="232">
        <v>52.3657</v>
      </c>
      <c r="G214" s="233">
        <v>366.56</v>
      </c>
      <c r="H214" s="230" t="s">
        <v>521</v>
      </c>
      <c r="I214" s="235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-22.92</v>
      </c>
      <c r="J214" s="235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-2.447723735</v>
      </c>
    </row>
    <row r="215">
      <c r="A215" s="184">
        <v>43773.0</v>
      </c>
      <c r="B215" s="229" t="s">
        <v>196</v>
      </c>
      <c r="C215" s="230" t="s">
        <v>197</v>
      </c>
      <c r="D215" s="231" t="s">
        <v>309</v>
      </c>
      <c r="E215" s="231">
        <v>-24.0</v>
      </c>
      <c r="F215" s="232">
        <v>52.28</v>
      </c>
      <c r="G215" s="233">
        <v>1254.72</v>
      </c>
      <c r="H215" s="230" t="s">
        <v>522</v>
      </c>
      <c r="I215" s="235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-80.64</v>
      </c>
      <c r="J215" s="235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-10.44933852</v>
      </c>
    </row>
    <row r="216">
      <c r="A216" s="184">
        <v>43770.0</v>
      </c>
      <c r="B216" s="229"/>
      <c r="C216" s="230"/>
      <c r="D216" s="231" t="s">
        <v>332</v>
      </c>
      <c r="E216" s="231"/>
      <c r="F216" s="232"/>
      <c r="G216" s="233">
        <v>-13700.0</v>
      </c>
      <c r="H216" s="230" t="s">
        <v>523</v>
      </c>
      <c r="I216" s="235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35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4">
        <v>43769.0</v>
      </c>
      <c r="B217" s="229"/>
      <c r="C217" s="230"/>
      <c r="D217" s="231" t="s">
        <v>325</v>
      </c>
      <c r="E217" s="231"/>
      <c r="F217" s="232"/>
      <c r="G217" s="233">
        <v>-369.69</v>
      </c>
      <c r="H217" s="230" t="s">
        <v>524</v>
      </c>
      <c r="I217" s="235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5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4">
        <v>43766.0</v>
      </c>
      <c r="B218" s="229" t="s">
        <v>196</v>
      </c>
      <c r="C218" s="230" t="s">
        <v>197</v>
      </c>
      <c r="D218" s="231" t="s">
        <v>309</v>
      </c>
      <c r="E218" s="231">
        <v>-22.0</v>
      </c>
      <c r="F218" s="232">
        <v>51.85</v>
      </c>
      <c r="G218" s="233">
        <v>1140.7</v>
      </c>
      <c r="H218" s="230" t="s">
        <v>525</v>
      </c>
      <c r="I218" s="235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-83.38</v>
      </c>
      <c r="J218" s="235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-19.03856031</v>
      </c>
    </row>
    <row r="219">
      <c r="A219" s="184">
        <v>43766.0</v>
      </c>
      <c r="B219" s="229" t="s">
        <v>196</v>
      </c>
      <c r="C219" s="230" t="s">
        <v>197</v>
      </c>
      <c r="D219" s="231" t="s">
        <v>309</v>
      </c>
      <c r="E219" s="231">
        <v>-20.0</v>
      </c>
      <c r="F219" s="232">
        <v>51.85</v>
      </c>
      <c r="G219" s="233">
        <v>1037.0</v>
      </c>
      <c r="H219" s="230" t="s">
        <v>526</v>
      </c>
      <c r="I219" s="235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-75.8</v>
      </c>
      <c r="J219" s="235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-17.3077821</v>
      </c>
    </row>
    <row r="220">
      <c r="A220" s="184">
        <v>43766.0</v>
      </c>
      <c r="B220" s="229" t="s">
        <v>196</v>
      </c>
      <c r="C220" s="230" t="s">
        <v>197</v>
      </c>
      <c r="D220" s="231" t="s">
        <v>309</v>
      </c>
      <c r="E220" s="231">
        <v>-5.0</v>
      </c>
      <c r="F220" s="232">
        <v>51.85</v>
      </c>
      <c r="G220" s="233">
        <v>259.25</v>
      </c>
      <c r="H220" s="230" t="s">
        <v>527</v>
      </c>
      <c r="I220" s="235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-18.95</v>
      </c>
      <c r="J220" s="235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-4.326945525</v>
      </c>
    </row>
    <row r="221">
      <c r="A221" s="184">
        <v>43753.0</v>
      </c>
      <c r="B221" s="229"/>
      <c r="C221" s="230"/>
      <c r="D221" s="231" t="s">
        <v>332</v>
      </c>
      <c r="E221" s="231"/>
      <c r="F221" s="232"/>
      <c r="G221" s="233">
        <v>-200.0</v>
      </c>
      <c r="H221" s="230" t="s">
        <v>388</v>
      </c>
      <c r="I221" s="235" t="str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/>
      </c>
      <c r="J221" s="235" t="str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/>
      </c>
    </row>
    <row r="222">
      <c r="A222" s="184">
        <v>43747.0</v>
      </c>
      <c r="B222" s="229" t="s">
        <v>196</v>
      </c>
      <c r="C222" s="230" t="s">
        <v>197</v>
      </c>
      <c r="D222" s="231" t="s">
        <v>329</v>
      </c>
      <c r="E222" s="231"/>
      <c r="F222" s="232"/>
      <c r="G222" s="233">
        <v>902.42</v>
      </c>
      <c r="H222" s="230" t="s">
        <v>528</v>
      </c>
      <c r="I222" s="235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35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>
      <c r="A223" s="184">
        <v>43747.0</v>
      </c>
      <c r="B223" s="229" t="s">
        <v>196</v>
      </c>
      <c r="C223" s="230" t="s">
        <v>197</v>
      </c>
      <c r="D223" s="231" t="s">
        <v>329</v>
      </c>
      <c r="E223" s="231"/>
      <c r="F223" s="232"/>
      <c r="G223" s="233">
        <v>-80.78</v>
      </c>
      <c r="H223" s="230" t="s">
        <v>529</v>
      </c>
      <c r="I223" s="235" t="str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/>
      </c>
      <c r="J223" s="235" t="str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/>
      </c>
    </row>
    <row r="224">
      <c r="A224" s="184">
        <v>43739.0</v>
      </c>
      <c r="B224" s="229"/>
      <c r="C224" s="230"/>
      <c r="D224" s="231" t="s">
        <v>332</v>
      </c>
      <c r="E224" s="231"/>
      <c r="F224" s="232"/>
      <c r="G224" s="233">
        <v>-400.0</v>
      </c>
      <c r="H224" s="230" t="s">
        <v>354</v>
      </c>
      <c r="I224" s="235" t="str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/>
      </c>
      <c r="J224" s="235" t="str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/>
      </c>
    </row>
    <row r="225">
      <c r="A225" s="184">
        <v>43738.0</v>
      </c>
      <c r="B225" s="229"/>
      <c r="C225" s="230"/>
      <c r="D225" s="231" t="s">
        <v>325</v>
      </c>
      <c r="E225" s="231"/>
      <c r="F225" s="232"/>
      <c r="G225" s="233">
        <v>-369.3</v>
      </c>
      <c r="H225" s="230" t="s">
        <v>530</v>
      </c>
      <c r="I225" s="235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5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4">
        <v>43732.0</v>
      </c>
      <c r="B226" s="229" t="s">
        <v>182</v>
      </c>
      <c r="C226" s="230" t="s">
        <v>183</v>
      </c>
      <c r="D226" s="231" t="s">
        <v>309</v>
      </c>
      <c r="E226" s="231">
        <v>-8.0</v>
      </c>
      <c r="F226" s="232">
        <v>131.96</v>
      </c>
      <c r="G226" s="233">
        <v>1055.68</v>
      </c>
      <c r="H226" s="230" t="s">
        <v>531</v>
      </c>
      <c r="I226" s="235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-180.72</v>
      </c>
      <c r="J226" s="235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-84.54350195</v>
      </c>
    </row>
    <row r="227">
      <c r="A227" s="184">
        <v>43728.0</v>
      </c>
      <c r="B227" s="229" t="s">
        <v>196</v>
      </c>
      <c r="C227" s="230" t="s">
        <v>197</v>
      </c>
      <c r="D227" s="231" t="s">
        <v>309</v>
      </c>
      <c r="E227" s="231">
        <v>-36.0</v>
      </c>
      <c r="F227" s="232">
        <v>52.035</v>
      </c>
      <c r="G227" s="233">
        <v>1873.26</v>
      </c>
      <c r="H227" s="230" t="s">
        <v>532</v>
      </c>
      <c r="I227" s="235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-129.78</v>
      </c>
      <c r="J227" s="235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-24.49400778</v>
      </c>
    </row>
    <row r="228">
      <c r="A228" s="184">
        <v>43724.0</v>
      </c>
      <c r="B228" s="229" t="s">
        <v>186</v>
      </c>
      <c r="C228" s="230" t="s">
        <v>191</v>
      </c>
      <c r="D228" s="231" t="s">
        <v>329</v>
      </c>
      <c r="E228" s="231"/>
      <c r="F228" s="232"/>
      <c r="G228" s="233">
        <v>-10.37</v>
      </c>
      <c r="H228" s="230" t="s">
        <v>533</v>
      </c>
      <c r="I228" s="235" t="str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/>
      </c>
      <c r="J228" s="235" t="str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/>
      </c>
    </row>
    <row r="229">
      <c r="A229" s="184">
        <v>43724.0</v>
      </c>
      <c r="B229" s="229" t="s">
        <v>177</v>
      </c>
      <c r="C229" s="230" t="s">
        <v>180</v>
      </c>
      <c r="D229" s="231" t="s">
        <v>309</v>
      </c>
      <c r="E229" s="231">
        <v>-692.0</v>
      </c>
      <c r="F229" s="232">
        <v>7.5</v>
      </c>
      <c r="G229" s="233">
        <v>5190.0</v>
      </c>
      <c r="H229" s="230" t="s">
        <v>534</v>
      </c>
      <c r="I229" s="235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775.04</v>
      </c>
      <c r="J229" s="235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672.4543658</v>
      </c>
    </row>
    <row r="230">
      <c r="A230" s="184">
        <v>43724.0</v>
      </c>
      <c r="B230" s="229" t="s">
        <v>177</v>
      </c>
      <c r="C230" s="230" t="s">
        <v>180</v>
      </c>
      <c r="D230" s="231" t="s">
        <v>325</v>
      </c>
      <c r="E230" s="231"/>
      <c r="F230" s="232"/>
      <c r="G230" s="233">
        <v>-3.04</v>
      </c>
      <c r="H230" s="230" t="s">
        <v>535</v>
      </c>
      <c r="I230" s="235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-3.04</v>
      </c>
      <c r="J230" s="235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-3.04</v>
      </c>
    </row>
    <row r="231">
      <c r="A231" s="184">
        <v>43724.0</v>
      </c>
      <c r="B231" s="229" t="s">
        <v>177</v>
      </c>
      <c r="C231" s="230" t="s">
        <v>180</v>
      </c>
      <c r="D231" s="231" t="s">
        <v>309</v>
      </c>
      <c r="E231" s="231">
        <v>-1247.0</v>
      </c>
      <c r="F231" s="232">
        <v>7.425</v>
      </c>
      <c r="G231" s="233">
        <v>9258.98</v>
      </c>
      <c r="H231" s="230" t="s">
        <v>536</v>
      </c>
      <c r="I231" s="235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1303.12</v>
      </c>
      <c r="J231" s="235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1118.258315</v>
      </c>
    </row>
    <row r="232">
      <c r="A232" s="184">
        <v>43724.0</v>
      </c>
      <c r="B232" s="229" t="s">
        <v>177</v>
      </c>
      <c r="C232" s="230" t="s">
        <v>180</v>
      </c>
      <c r="D232" s="231" t="s">
        <v>325</v>
      </c>
      <c r="E232" s="231"/>
      <c r="F232" s="232"/>
      <c r="G232" s="233">
        <v>-3.85</v>
      </c>
      <c r="H232" s="230" t="s">
        <v>537</v>
      </c>
      <c r="I232" s="235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-3.85</v>
      </c>
      <c r="J232" s="235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-3.85</v>
      </c>
    </row>
    <row r="233">
      <c r="A233" s="184">
        <v>43721.0</v>
      </c>
      <c r="B233" s="229" t="s">
        <v>196</v>
      </c>
      <c r="C233" s="230" t="s">
        <v>197</v>
      </c>
      <c r="D233" s="231" t="s">
        <v>309</v>
      </c>
      <c r="E233" s="231">
        <v>-38.0</v>
      </c>
      <c r="F233" s="232">
        <v>51.78</v>
      </c>
      <c r="G233" s="233">
        <v>1967.64</v>
      </c>
      <c r="H233" s="230" t="s">
        <v>538</v>
      </c>
      <c r="I233" s="235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-146.68</v>
      </c>
      <c r="J233" s="235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-35.54478599</v>
      </c>
    </row>
    <row r="234">
      <c r="A234" s="184">
        <v>43721.0</v>
      </c>
      <c r="B234" s="229" t="s">
        <v>196</v>
      </c>
      <c r="C234" s="230" t="s">
        <v>197</v>
      </c>
      <c r="D234" s="231" t="s">
        <v>309</v>
      </c>
      <c r="E234" s="231">
        <v>-59.0</v>
      </c>
      <c r="F234" s="232">
        <v>51.7631</v>
      </c>
      <c r="G234" s="233">
        <v>3054.02</v>
      </c>
      <c r="H234" s="230" t="s">
        <v>539</v>
      </c>
      <c r="I234" s="235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-228.74</v>
      </c>
      <c r="J234" s="235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-56.1879572</v>
      </c>
    </row>
    <row r="235">
      <c r="A235" s="184">
        <v>43718.0</v>
      </c>
      <c r="B235" s="229"/>
      <c r="C235" s="230"/>
      <c r="D235" s="231" t="s">
        <v>332</v>
      </c>
      <c r="E235" s="231"/>
      <c r="F235" s="232"/>
      <c r="G235" s="233">
        <v>-300.0</v>
      </c>
      <c r="H235" s="230" t="s">
        <v>436</v>
      </c>
      <c r="I235" s="235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35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4">
        <v>43718.0</v>
      </c>
      <c r="B236" s="229"/>
      <c r="C236" s="230"/>
      <c r="D236" s="231" t="s">
        <v>332</v>
      </c>
      <c r="E236" s="231"/>
      <c r="F236" s="232"/>
      <c r="G236" s="233">
        <v>-100.0</v>
      </c>
      <c r="H236" s="230" t="s">
        <v>368</v>
      </c>
      <c r="I236" s="235" t="str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/>
      </c>
      <c r="J236" s="235" t="str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/>
      </c>
    </row>
    <row r="237">
      <c r="A237" s="184">
        <v>43714.0</v>
      </c>
      <c r="B237" s="229"/>
      <c r="C237" s="230"/>
      <c r="D237" s="231" t="s">
        <v>332</v>
      </c>
      <c r="E237" s="231"/>
      <c r="F237" s="232"/>
      <c r="G237" s="233">
        <v>-0.1</v>
      </c>
      <c r="H237" s="230" t="s">
        <v>540</v>
      </c>
      <c r="I237" s="235" t="str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/>
      </c>
      <c r="J237" s="235" t="str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/>
      </c>
    </row>
    <row r="238">
      <c r="A238" s="184">
        <v>43714.0</v>
      </c>
      <c r="B238" s="229" t="s">
        <v>196</v>
      </c>
      <c r="C238" s="230" t="s">
        <v>197</v>
      </c>
      <c r="D238" s="231" t="s">
        <v>309</v>
      </c>
      <c r="E238" s="231">
        <v>-21.0</v>
      </c>
      <c r="F238" s="232">
        <v>51.45</v>
      </c>
      <c r="G238" s="233">
        <v>1080.45</v>
      </c>
      <c r="H238" s="230" t="s">
        <v>541</v>
      </c>
      <c r="I238" s="235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-87.99</v>
      </c>
      <c r="J238" s="235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-26.57317121</v>
      </c>
    </row>
    <row r="239">
      <c r="A239" s="184">
        <v>43714.0</v>
      </c>
      <c r="B239" s="229" t="s">
        <v>196</v>
      </c>
      <c r="C239" s="230" t="s">
        <v>197</v>
      </c>
      <c r="D239" s="231" t="s">
        <v>309</v>
      </c>
      <c r="E239" s="231">
        <v>-43.0</v>
      </c>
      <c r="F239" s="232">
        <v>51.417</v>
      </c>
      <c r="G239" s="233">
        <v>2210.93</v>
      </c>
      <c r="H239" s="230" t="s">
        <v>542</v>
      </c>
      <c r="I239" s="235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-181.59</v>
      </c>
      <c r="J239" s="235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-55.83173152</v>
      </c>
    </row>
    <row r="240">
      <c r="A240" s="184">
        <v>43713.0</v>
      </c>
      <c r="B240" s="229"/>
      <c r="C240" s="230"/>
      <c r="D240" s="231" t="s">
        <v>332</v>
      </c>
      <c r="E240" s="231"/>
      <c r="F240" s="232"/>
      <c r="G240" s="233">
        <v>0.1</v>
      </c>
      <c r="H240" s="230" t="s">
        <v>543</v>
      </c>
      <c r="I240" s="235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5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4">
        <v>43712.0</v>
      </c>
      <c r="B241" s="229"/>
      <c r="C241" s="230"/>
      <c r="D241" s="231" t="s">
        <v>332</v>
      </c>
      <c r="E241" s="231"/>
      <c r="F241" s="232"/>
      <c r="G241" s="233">
        <v>-100.0</v>
      </c>
      <c r="H241" s="230" t="s">
        <v>368</v>
      </c>
      <c r="I241" s="235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35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4">
        <v>43711.0</v>
      </c>
      <c r="B242" s="229" t="s">
        <v>177</v>
      </c>
      <c r="C242" s="230" t="s">
        <v>180</v>
      </c>
      <c r="D242" s="231" t="s">
        <v>308</v>
      </c>
      <c r="E242" s="231">
        <v>223.0</v>
      </c>
      <c r="F242" s="232">
        <v>7.165</v>
      </c>
      <c r="G242" s="233">
        <v>-1597.8</v>
      </c>
      <c r="H242" s="230" t="s">
        <v>544</v>
      </c>
      <c r="I242" s="235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-175.06</v>
      </c>
      <c r="J242" s="235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-142.0013346</v>
      </c>
    </row>
    <row r="243">
      <c r="A243" s="184">
        <v>43710.0</v>
      </c>
      <c r="B243" s="229" t="s">
        <v>177</v>
      </c>
      <c r="C243" s="230" t="s">
        <v>180</v>
      </c>
      <c r="D243" s="231" t="s">
        <v>308</v>
      </c>
      <c r="E243" s="231">
        <v>213.0</v>
      </c>
      <c r="F243" s="232">
        <v>7.2</v>
      </c>
      <c r="G243" s="233">
        <v>-1533.6</v>
      </c>
      <c r="H243" s="230" t="s">
        <v>545</v>
      </c>
      <c r="I243" s="235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-174.66</v>
      </c>
      <c r="J243" s="235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-143.083786</v>
      </c>
    </row>
    <row r="244">
      <c r="A244" s="184">
        <v>43708.0</v>
      </c>
      <c r="B244" s="229"/>
      <c r="C244" s="230"/>
      <c r="D244" s="231" t="s">
        <v>325</v>
      </c>
      <c r="E244" s="231"/>
      <c r="F244" s="232"/>
      <c r="G244" s="233">
        <v>-461.31</v>
      </c>
      <c r="H244" s="230" t="s">
        <v>546</v>
      </c>
      <c r="I244" s="235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5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4">
        <v>43703.0</v>
      </c>
      <c r="B245" s="229" t="s">
        <v>182</v>
      </c>
      <c r="C245" s="230" t="s">
        <v>183</v>
      </c>
      <c r="D245" s="231" t="s">
        <v>309</v>
      </c>
      <c r="E245" s="231">
        <v>-8.0</v>
      </c>
      <c r="F245" s="232">
        <v>131.5</v>
      </c>
      <c r="G245" s="233">
        <v>1052.0</v>
      </c>
      <c r="H245" s="230" t="s">
        <v>547</v>
      </c>
      <c r="I245" s="235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-184.4</v>
      </c>
      <c r="J245" s="235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-88.22350195</v>
      </c>
    </row>
    <row r="246">
      <c r="A246" s="184">
        <v>43701.0</v>
      </c>
      <c r="B246" s="229"/>
      <c r="C246" s="230"/>
      <c r="D246" s="231" t="s">
        <v>332</v>
      </c>
      <c r="E246" s="231"/>
      <c r="F246" s="232"/>
      <c r="G246" s="233">
        <v>-1000.0</v>
      </c>
      <c r="H246" s="230" t="s">
        <v>333</v>
      </c>
      <c r="I246" s="235" t="str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/>
      </c>
      <c r="J246" s="235" t="str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/>
      </c>
    </row>
    <row r="247">
      <c r="A247" s="184">
        <v>43697.0</v>
      </c>
      <c r="B247" s="229" t="s">
        <v>196</v>
      </c>
      <c r="C247" s="230" t="s">
        <v>197</v>
      </c>
      <c r="D247" s="231" t="s">
        <v>309</v>
      </c>
      <c r="E247" s="231">
        <v>-32.0</v>
      </c>
      <c r="F247" s="232">
        <v>50.17</v>
      </c>
      <c r="G247" s="233">
        <v>1605.44</v>
      </c>
      <c r="H247" s="230" t="s">
        <v>548</v>
      </c>
      <c r="I247" s="235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-175.04</v>
      </c>
      <c r="J247" s="235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-81.45245136</v>
      </c>
    </row>
    <row r="248">
      <c r="A248" s="184">
        <v>43693.0</v>
      </c>
      <c r="B248" s="229" t="s">
        <v>186</v>
      </c>
      <c r="C248" s="230" t="s">
        <v>187</v>
      </c>
      <c r="D248" s="231" t="s">
        <v>309</v>
      </c>
      <c r="E248" s="231">
        <v>-6.0</v>
      </c>
      <c r="F248" s="232">
        <v>189.0</v>
      </c>
      <c r="G248" s="233">
        <v>1134.0</v>
      </c>
      <c r="H248" s="230" t="s">
        <v>549</v>
      </c>
      <c r="I248" s="235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4.68</v>
      </c>
      <c r="J248" s="235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-22.34684825</v>
      </c>
    </row>
    <row r="249">
      <c r="A249" s="184">
        <v>43693.0</v>
      </c>
      <c r="B249" s="229" t="s">
        <v>186</v>
      </c>
      <c r="C249" s="230" t="s">
        <v>187</v>
      </c>
      <c r="D249" s="231" t="s">
        <v>309</v>
      </c>
      <c r="E249" s="231">
        <v>-6.0</v>
      </c>
      <c r="F249" s="232">
        <v>188.75</v>
      </c>
      <c r="G249" s="233">
        <v>1132.5</v>
      </c>
      <c r="H249" s="230" t="s">
        <v>550</v>
      </c>
      <c r="I249" s="235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3.18</v>
      </c>
      <c r="J249" s="235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-23.84684825</v>
      </c>
    </row>
    <row r="250">
      <c r="A250" s="184">
        <v>43692.0</v>
      </c>
      <c r="B250" s="229" t="s">
        <v>192</v>
      </c>
      <c r="C250" s="230" t="s">
        <v>193</v>
      </c>
      <c r="D250" s="231" t="s">
        <v>309</v>
      </c>
      <c r="E250" s="231">
        <v>-152.0</v>
      </c>
      <c r="F250" s="232">
        <v>4.95</v>
      </c>
      <c r="G250" s="233">
        <v>752.4</v>
      </c>
      <c r="H250" s="230" t="s">
        <v>551</v>
      </c>
      <c r="I250" s="235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-17.024</v>
      </c>
      <c r="J250" s="235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-33.67320467</v>
      </c>
    </row>
    <row r="251">
      <c r="A251" s="184">
        <v>43692.0</v>
      </c>
      <c r="B251" s="229" t="s">
        <v>192</v>
      </c>
      <c r="C251" s="230" t="s">
        <v>193</v>
      </c>
      <c r="D251" s="231" t="s">
        <v>325</v>
      </c>
      <c r="E251" s="231"/>
      <c r="F251" s="232"/>
      <c r="G251" s="233">
        <v>-2.15</v>
      </c>
      <c r="H251" s="230" t="s">
        <v>552</v>
      </c>
      <c r="I251" s="235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-2.15</v>
      </c>
      <c r="J251" s="235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-2.15</v>
      </c>
    </row>
    <row r="252">
      <c r="A252" s="184">
        <v>43692.0</v>
      </c>
      <c r="B252" s="229" t="s">
        <v>192</v>
      </c>
      <c r="C252" s="230" t="s">
        <v>193</v>
      </c>
      <c r="D252" s="231" t="s">
        <v>309</v>
      </c>
      <c r="E252" s="231">
        <v>-51.0</v>
      </c>
      <c r="F252" s="232">
        <v>4.95</v>
      </c>
      <c r="G252" s="233">
        <v>252.45</v>
      </c>
      <c r="H252" s="230" t="s">
        <v>553</v>
      </c>
      <c r="I252" s="235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-5.712</v>
      </c>
      <c r="J252" s="235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-11.2982463</v>
      </c>
    </row>
    <row r="253">
      <c r="A253" s="184">
        <v>43692.0</v>
      </c>
      <c r="B253" s="229" t="s">
        <v>192</v>
      </c>
      <c r="C253" s="230" t="s">
        <v>193</v>
      </c>
      <c r="D253" s="231" t="s">
        <v>325</v>
      </c>
      <c r="E253" s="231"/>
      <c r="F253" s="232"/>
      <c r="G253" s="233">
        <v>-0.05</v>
      </c>
      <c r="H253" s="230" t="s">
        <v>554</v>
      </c>
      <c r="I253" s="235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-0.05</v>
      </c>
      <c r="J253" s="235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-0.05</v>
      </c>
    </row>
    <row r="254">
      <c r="A254" s="184">
        <v>43692.0</v>
      </c>
      <c r="B254" s="229" t="s">
        <v>192</v>
      </c>
      <c r="C254" s="230" t="s">
        <v>193</v>
      </c>
      <c r="D254" s="231" t="s">
        <v>309</v>
      </c>
      <c r="E254" s="231">
        <v>-300.0</v>
      </c>
      <c r="F254" s="232">
        <v>4.96</v>
      </c>
      <c r="G254" s="233">
        <v>1488.0</v>
      </c>
      <c r="H254" s="230" t="s">
        <v>555</v>
      </c>
      <c r="I254" s="235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-30.6</v>
      </c>
      <c r="J254" s="235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-63.46027237</v>
      </c>
    </row>
    <row r="255">
      <c r="A255" s="184">
        <v>43692.0</v>
      </c>
      <c r="B255" s="229" t="s">
        <v>192</v>
      </c>
      <c r="C255" s="230" t="s">
        <v>193</v>
      </c>
      <c r="D255" s="231" t="s">
        <v>325</v>
      </c>
      <c r="E255" s="231"/>
      <c r="F255" s="232"/>
      <c r="G255" s="233">
        <v>-2.3</v>
      </c>
      <c r="H255" s="230" t="s">
        <v>556</v>
      </c>
      <c r="I255" s="235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-2.3</v>
      </c>
      <c r="J255" s="235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-2.3</v>
      </c>
    </row>
    <row r="256">
      <c r="A256" s="184">
        <v>43692.0</v>
      </c>
      <c r="B256" s="229" t="s">
        <v>192</v>
      </c>
      <c r="C256" s="230" t="s">
        <v>193</v>
      </c>
      <c r="D256" s="231" t="s">
        <v>309</v>
      </c>
      <c r="E256" s="231">
        <v>-203.0</v>
      </c>
      <c r="F256" s="232">
        <v>4.95</v>
      </c>
      <c r="G256" s="233">
        <v>1004.85</v>
      </c>
      <c r="H256" s="230" t="s">
        <v>557</v>
      </c>
      <c r="I256" s="235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-22.736</v>
      </c>
      <c r="J256" s="235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-44.97145097</v>
      </c>
    </row>
    <row r="257">
      <c r="A257" s="184">
        <v>43692.0</v>
      </c>
      <c r="B257" s="229" t="s">
        <v>192</v>
      </c>
      <c r="C257" s="230" t="s">
        <v>193</v>
      </c>
      <c r="D257" s="231" t="s">
        <v>325</v>
      </c>
      <c r="E257" s="231"/>
      <c r="F257" s="232"/>
      <c r="G257" s="233">
        <v>-2.2</v>
      </c>
      <c r="H257" s="230" t="s">
        <v>558</v>
      </c>
      <c r="I257" s="235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-2.2</v>
      </c>
      <c r="J257" s="235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-2.2</v>
      </c>
    </row>
    <row r="258">
      <c r="A258" s="184">
        <v>43692.0</v>
      </c>
      <c r="B258" s="229" t="s">
        <v>186</v>
      </c>
      <c r="C258" s="230" t="s">
        <v>187</v>
      </c>
      <c r="D258" s="231" t="s">
        <v>309</v>
      </c>
      <c r="E258" s="231">
        <v>-6.0</v>
      </c>
      <c r="F258" s="232">
        <v>187.8</v>
      </c>
      <c r="G258" s="233">
        <v>1126.8</v>
      </c>
      <c r="H258" s="230" t="s">
        <v>559</v>
      </c>
      <c r="I258" s="235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-2.52</v>
      </c>
      <c r="J258" s="235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-29.54684825</v>
      </c>
    </row>
    <row r="259">
      <c r="A259" s="184">
        <v>43692.0</v>
      </c>
      <c r="B259" s="229" t="s">
        <v>192</v>
      </c>
      <c r="C259" s="230" t="s">
        <v>193</v>
      </c>
      <c r="D259" s="231" t="s">
        <v>309</v>
      </c>
      <c r="E259" s="231">
        <v>-203.0</v>
      </c>
      <c r="F259" s="232">
        <v>4.9483</v>
      </c>
      <c r="G259" s="233">
        <v>1004.5</v>
      </c>
      <c r="H259" s="230" t="s">
        <v>560</v>
      </c>
      <c r="I259" s="235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-23.086</v>
      </c>
      <c r="J259" s="235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-45.32145097</v>
      </c>
    </row>
    <row r="260">
      <c r="A260" s="184">
        <v>43692.0</v>
      </c>
      <c r="B260" s="229" t="s">
        <v>192</v>
      </c>
      <c r="C260" s="230" t="s">
        <v>193</v>
      </c>
      <c r="D260" s="231" t="s">
        <v>325</v>
      </c>
      <c r="E260" s="231"/>
      <c r="F260" s="232"/>
      <c r="G260" s="233">
        <v>-2.2</v>
      </c>
      <c r="H260" s="230" t="s">
        <v>558</v>
      </c>
      <c r="I260" s="235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-2.2</v>
      </c>
      <c r="J260" s="235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-2.2</v>
      </c>
    </row>
    <row r="261">
      <c r="A261" s="184">
        <v>43692.0</v>
      </c>
      <c r="B261" s="229" t="s">
        <v>192</v>
      </c>
      <c r="C261" s="230" t="s">
        <v>193</v>
      </c>
      <c r="D261" s="231" t="s">
        <v>309</v>
      </c>
      <c r="E261" s="231">
        <v>-203.0</v>
      </c>
      <c r="F261" s="232">
        <v>4.94</v>
      </c>
      <c r="G261" s="233">
        <v>1002.82</v>
      </c>
      <c r="H261" s="230" t="s">
        <v>561</v>
      </c>
      <c r="I261" s="235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-24.766</v>
      </c>
      <c r="J261" s="235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-47.00145097</v>
      </c>
    </row>
    <row r="262">
      <c r="A262" s="184">
        <v>43692.0</v>
      </c>
      <c r="B262" s="229" t="s">
        <v>192</v>
      </c>
      <c r="C262" s="230" t="s">
        <v>193</v>
      </c>
      <c r="D262" s="231" t="s">
        <v>325</v>
      </c>
      <c r="E262" s="231"/>
      <c r="F262" s="232"/>
      <c r="G262" s="233">
        <v>-2.2</v>
      </c>
      <c r="H262" s="230" t="s">
        <v>558</v>
      </c>
      <c r="I262" s="235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-2.2</v>
      </c>
      <c r="J262" s="235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-2.2</v>
      </c>
    </row>
    <row r="263">
      <c r="A263" s="184">
        <v>43692.0</v>
      </c>
      <c r="B263" s="229" t="s">
        <v>186</v>
      </c>
      <c r="C263" s="230" t="s">
        <v>187</v>
      </c>
      <c r="D263" s="231" t="s">
        <v>309</v>
      </c>
      <c r="E263" s="231">
        <v>-7.0</v>
      </c>
      <c r="F263" s="232">
        <v>187.75</v>
      </c>
      <c r="G263" s="233">
        <v>1314.25</v>
      </c>
      <c r="H263" s="230" t="s">
        <v>562</v>
      </c>
      <c r="I263" s="235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-3.29</v>
      </c>
      <c r="J263" s="235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-34.82132296</v>
      </c>
    </row>
    <row r="264">
      <c r="A264" s="184">
        <v>43692.0</v>
      </c>
      <c r="B264" s="229" t="s">
        <v>192</v>
      </c>
      <c r="C264" s="230" t="s">
        <v>193</v>
      </c>
      <c r="D264" s="231" t="s">
        <v>309</v>
      </c>
      <c r="E264" s="231">
        <v>-203.0</v>
      </c>
      <c r="F264" s="232">
        <v>4.934</v>
      </c>
      <c r="G264" s="233">
        <v>1001.6</v>
      </c>
      <c r="H264" s="230" t="s">
        <v>563</v>
      </c>
      <c r="I264" s="235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-25.986</v>
      </c>
      <c r="J264" s="235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-48.22145097</v>
      </c>
    </row>
    <row r="265">
      <c r="A265" s="184">
        <v>43692.0</v>
      </c>
      <c r="B265" s="229" t="s">
        <v>192</v>
      </c>
      <c r="C265" s="230" t="s">
        <v>193</v>
      </c>
      <c r="D265" s="231" t="s">
        <v>325</v>
      </c>
      <c r="E265" s="231"/>
      <c r="F265" s="232"/>
      <c r="G265" s="233">
        <v>-2.2</v>
      </c>
      <c r="H265" s="230" t="s">
        <v>558</v>
      </c>
      <c r="I265" s="235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-2.2</v>
      </c>
      <c r="J265" s="235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-2.2</v>
      </c>
    </row>
    <row r="266">
      <c r="A266" s="184">
        <v>43692.0</v>
      </c>
      <c r="B266" s="229" t="s">
        <v>192</v>
      </c>
      <c r="C266" s="230" t="s">
        <v>193</v>
      </c>
      <c r="D266" s="231" t="s">
        <v>309</v>
      </c>
      <c r="E266" s="231">
        <v>-355.0</v>
      </c>
      <c r="F266" s="232">
        <v>4.93</v>
      </c>
      <c r="G266" s="233">
        <v>1750.15</v>
      </c>
      <c r="H266" s="230" t="s">
        <v>564</v>
      </c>
      <c r="I266" s="235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-46.86</v>
      </c>
      <c r="J266" s="235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-85.74465564</v>
      </c>
    </row>
    <row r="267">
      <c r="A267" s="184">
        <v>43692.0</v>
      </c>
      <c r="B267" s="229" t="s">
        <v>192</v>
      </c>
      <c r="C267" s="230" t="s">
        <v>193</v>
      </c>
      <c r="D267" s="231" t="s">
        <v>325</v>
      </c>
      <c r="E267" s="231"/>
      <c r="F267" s="232"/>
      <c r="G267" s="233">
        <v>-2.35</v>
      </c>
      <c r="H267" s="230" t="s">
        <v>565</v>
      </c>
      <c r="I267" s="235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-2.35</v>
      </c>
      <c r="J267" s="235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-2.35</v>
      </c>
    </row>
    <row r="268">
      <c r="A268" s="184">
        <v>43692.0</v>
      </c>
      <c r="B268" s="229" t="s">
        <v>192</v>
      </c>
      <c r="C268" s="230" t="s">
        <v>193</v>
      </c>
      <c r="D268" s="231" t="s">
        <v>309</v>
      </c>
      <c r="E268" s="231">
        <v>-100.0</v>
      </c>
      <c r="F268" s="232">
        <v>4.93</v>
      </c>
      <c r="G268" s="233">
        <v>493.0</v>
      </c>
      <c r="H268" s="230" t="s">
        <v>566</v>
      </c>
      <c r="I268" s="235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-13.2</v>
      </c>
      <c r="J268" s="235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-24.15342412</v>
      </c>
    </row>
    <row r="269">
      <c r="A269" s="184">
        <v>43692.0</v>
      </c>
      <c r="B269" s="229" t="s">
        <v>192</v>
      </c>
      <c r="C269" s="230" t="s">
        <v>193</v>
      </c>
      <c r="D269" s="231" t="s">
        <v>325</v>
      </c>
      <c r="E269" s="231"/>
      <c r="F269" s="232"/>
      <c r="G269" s="233">
        <v>-2.1</v>
      </c>
      <c r="H269" s="230" t="s">
        <v>567</v>
      </c>
      <c r="I269" s="235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-2.1</v>
      </c>
      <c r="J269" s="235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-2.1</v>
      </c>
    </row>
    <row r="270">
      <c r="A270" s="184">
        <v>43692.0</v>
      </c>
      <c r="B270" s="229" t="s">
        <v>192</v>
      </c>
      <c r="C270" s="230" t="s">
        <v>193</v>
      </c>
      <c r="D270" s="231" t="s">
        <v>309</v>
      </c>
      <c r="E270" s="231">
        <v>-500.0</v>
      </c>
      <c r="F270" s="232">
        <v>4.93</v>
      </c>
      <c r="G270" s="233">
        <v>2465.0</v>
      </c>
      <c r="H270" s="230" t="s">
        <v>568</v>
      </c>
      <c r="I270" s="235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-66</v>
      </c>
      <c r="J270" s="235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-120.7671206</v>
      </c>
    </row>
    <row r="271">
      <c r="A271" s="184">
        <v>43692.0</v>
      </c>
      <c r="B271" s="229" t="s">
        <v>192</v>
      </c>
      <c r="C271" s="230" t="s">
        <v>193</v>
      </c>
      <c r="D271" s="231" t="s">
        <v>325</v>
      </c>
      <c r="E271" s="231"/>
      <c r="F271" s="232"/>
      <c r="G271" s="233">
        <v>-0.49</v>
      </c>
      <c r="H271" s="230" t="s">
        <v>569</v>
      </c>
      <c r="I271" s="235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-0.49</v>
      </c>
      <c r="J271" s="235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-0.49</v>
      </c>
    </row>
    <row r="272">
      <c r="A272" s="184">
        <v>43691.0</v>
      </c>
      <c r="B272" s="229" t="s">
        <v>192</v>
      </c>
      <c r="C272" s="230" t="s">
        <v>193</v>
      </c>
      <c r="D272" s="231" t="s">
        <v>309</v>
      </c>
      <c r="E272" s="231">
        <v>-206.0</v>
      </c>
      <c r="F272" s="232">
        <v>4.8765</v>
      </c>
      <c r="G272" s="233">
        <v>1004.56</v>
      </c>
      <c r="H272" s="230" t="s">
        <v>570</v>
      </c>
      <c r="I272" s="235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-38.212</v>
      </c>
      <c r="J272" s="235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-60.7760537</v>
      </c>
    </row>
    <row r="273">
      <c r="A273" s="184">
        <v>43691.0</v>
      </c>
      <c r="B273" s="229" t="s">
        <v>192</v>
      </c>
      <c r="C273" s="230" t="s">
        <v>193</v>
      </c>
      <c r="D273" s="231" t="s">
        <v>325</v>
      </c>
      <c r="E273" s="231"/>
      <c r="F273" s="232"/>
      <c r="G273" s="233">
        <v>-2.2</v>
      </c>
      <c r="H273" s="230" t="s">
        <v>558</v>
      </c>
      <c r="I273" s="235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-2.2</v>
      </c>
      <c r="J273" s="235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-2.2</v>
      </c>
    </row>
    <row r="274">
      <c r="A274" s="184">
        <v>43691.0</v>
      </c>
      <c r="B274" s="229" t="s">
        <v>192</v>
      </c>
      <c r="C274" s="230" t="s">
        <v>193</v>
      </c>
      <c r="D274" s="231" t="s">
        <v>309</v>
      </c>
      <c r="E274" s="231">
        <v>-106.0</v>
      </c>
      <c r="F274" s="232">
        <v>4.876</v>
      </c>
      <c r="G274" s="233">
        <v>516.86</v>
      </c>
      <c r="H274" s="230" t="s">
        <v>571</v>
      </c>
      <c r="I274" s="235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-19.712</v>
      </c>
      <c r="J274" s="235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-31.32262957</v>
      </c>
    </row>
    <row r="275">
      <c r="A275" s="184">
        <v>43691.0</v>
      </c>
      <c r="B275" s="229" t="s">
        <v>192</v>
      </c>
      <c r="C275" s="230" t="s">
        <v>193</v>
      </c>
      <c r="D275" s="231" t="s">
        <v>325</v>
      </c>
      <c r="E275" s="231"/>
      <c r="F275" s="232"/>
      <c r="G275" s="233">
        <v>-0.1</v>
      </c>
      <c r="H275" s="230" t="s">
        <v>572</v>
      </c>
      <c r="I275" s="235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-0.1</v>
      </c>
      <c r="J275" s="235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-0.1</v>
      </c>
    </row>
    <row r="276">
      <c r="A276" s="184">
        <v>43691.0</v>
      </c>
      <c r="B276" s="229" t="s">
        <v>192</v>
      </c>
      <c r="C276" s="230" t="s">
        <v>193</v>
      </c>
      <c r="D276" s="231" t="s">
        <v>309</v>
      </c>
      <c r="E276" s="231">
        <v>-100.0</v>
      </c>
      <c r="F276" s="232">
        <v>4.876</v>
      </c>
      <c r="G276" s="233">
        <v>487.6</v>
      </c>
      <c r="H276" s="230" t="s">
        <v>573</v>
      </c>
      <c r="I276" s="235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-18.6</v>
      </c>
      <c r="J276" s="235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-29.55342412</v>
      </c>
    </row>
    <row r="277">
      <c r="A277" s="184">
        <v>43691.0</v>
      </c>
      <c r="B277" s="229" t="s">
        <v>192</v>
      </c>
      <c r="C277" s="230" t="s">
        <v>193</v>
      </c>
      <c r="D277" s="231" t="s">
        <v>325</v>
      </c>
      <c r="E277" s="231"/>
      <c r="F277" s="232"/>
      <c r="G277" s="233">
        <v>-2.1</v>
      </c>
      <c r="H277" s="230" t="s">
        <v>567</v>
      </c>
      <c r="I277" s="235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-2.1</v>
      </c>
      <c r="J277" s="235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-2.1</v>
      </c>
    </row>
    <row r="278">
      <c r="A278" s="184">
        <v>43691.0</v>
      </c>
      <c r="B278" s="229" t="s">
        <v>192</v>
      </c>
      <c r="C278" s="230" t="s">
        <v>193</v>
      </c>
      <c r="D278" s="231" t="s">
        <v>309</v>
      </c>
      <c r="E278" s="231">
        <v>-56.0</v>
      </c>
      <c r="F278" s="232">
        <v>4.8739</v>
      </c>
      <c r="G278" s="233">
        <v>272.94</v>
      </c>
      <c r="H278" s="230" t="s">
        <v>574</v>
      </c>
      <c r="I278" s="235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-10.532</v>
      </c>
      <c r="J278" s="235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-16.66591751</v>
      </c>
    </row>
    <row r="279">
      <c r="A279" s="184">
        <v>43691.0</v>
      </c>
      <c r="B279" s="229" t="s">
        <v>192</v>
      </c>
      <c r="C279" s="230" t="s">
        <v>193</v>
      </c>
      <c r="D279" s="231" t="s">
        <v>325</v>
      </c>
      <c r="E279" s="231"/>
      <c r="F279" s="232"/>
      <c r="G279" s="233">
        <v>-2.05</v>
      </c>
      <c r="H279" s="230" t="s">
        <v>575</v>
      </c>
      <c r="I279" s="235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-2.05</v>
      </c>
      <c r="J279" s="235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-2.05</v>
      </c>
    </row>
    <row r="280">
      <c r="A280" s="184">
        <v>43691.0</v>
      </c>
      <c r="B280" s="229" t="s">
        <v>192</v>
      </c>
      <c r="C280" s="230" t="s">
        <v>193</v>
      </c>
      <c r="D280" s="231" t="s">
        <v>309</v>
      </c>
      <c r="E280" s="231">
        <v>-167.0</v>
      </c>
      <c r="F280" s="232">
        <v>4.878</v>
      </c>
      <c r="G280" s="233">
        <v>814.63</v>
      </c>
      <c r="H280" s="230" t="s">
        <v>576</v>
      </c>
      <c r="I280" s="235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-30.724</v>
      </c>
      <c r="J280" s="235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-49.01621829</v>
      </c>
    </row>
    <row r="281">
      <c r="A281" s="184">
        <v>43691.0</v>
      </c>
      <c r="B281" s="229" t="s">
        <v>192</v>
      </c>
      <c r="C281" s="230" t="s">
        <v>193</v>
      </c>
      <c r="D281" s="231" t="s">
        <v>325</v>
      </c>
      <c r="E281" s="231"/>
      <c r="F281" s="232"/>
      <c r="G281" s="233">
        <v>-0.16</v>
      </c>
      <c r="H281" s="230" t="s">
        <v>577</v>
      </c>
      <c r="I281" s="235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-0.16</v>
      </c>
      <c r="J281" s="235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-0.16</v>
      </c>
    </row>
    <row r="282">
      <c r="A282" s="184">
        <v>43691.0</v>
      </c>
      <c r="B282" s="229" t="s">
        <v>192</v>
      </c>
      <c r="C282" s="230" t="s">
        <v>193</v>
      </c>
      <c r="D282" s="231" t="s">
        <v>309</v>
      </c>
      <c r="E282" s="231">
        <v>-100.0</v>
      </c>
      <c r="F282" s="232">
        <v>4.878</v>
      </c>
      <c r="G282" s="233">
        <v>487.8</v>
      </c>
      <c r="H282" s="230" t="s">
        <v>578</v>
      </c>
      <c r="I282" s="235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-18.4</v>
      </c>
      <c r="J282" s="235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-29.35342412</v>
      </c>
    </row>
    <row r="283">
      <c r="A283" s="184">
        <v>43691.0</v>
      </c>
      <c r="B283" s="229" t="s">
        <v>192</v>
      </c>
      <c r="C283" s="230" t="s">
        <v>193</v>
      </c>
      <c r="D283" s="231" t="s">
        <v>325</v>
      </c>
      <c r="E283" s="231"/>
      <c r="F283" s="232"/>
      <c r="G283" s="233">
        <v>-2.1</v>
      </c>
      <c r="H283" s="230" t="s">
        <v>567</v>
      </c>
      <c r="I283" s="235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-2.1</v>
      </c>
      <c r="J283" s="235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-2.1</v>
      </c>
    </row>
    <row r="284">
      <c r="A284" s="184">
        <v>43691.0</v>
      </c>
      <c r="B284" s="229" t="s">
        <v>192</v>
      </c>
      <c r="C284" s="230" t="s">
        <v>193</v>
      </c>
      <c r="D284" s="231" t="s">
        <v>309</v>
      </c>
      <c r="E284" s="231">
        <v>-589.0</v>
      </c>
      <c r="F284" s="232">
        <v>4.88</v>
      </c>
      <c r="G284" s="233">
        <v>2874.32</v>
      </c>
      <c r="H284" s="230" t="s">
        <v>579</v>
      </c>
      <c r="I284" s="235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-107.198</v>
      </c>
      <c r="J284" s="235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-171.7136681</v>
      </c>
    </row>
    <row r="285">
      <c r="A285" s="184">
        <v>43691.0</v>
      </c>
      <c r="B285" s="229" t="s">
        <v>192</v>
      </c>
      <c r="C285" s="230" t="s">
        <v>193</v>
      </c>
      <c r="D285" s="231" t="s">
        <v>325</v>
      </c>
      <c r="E285" s="231"/>
      <c r="F285" s="232"/>
      <c r="G285" s="233">
        <v>-2.57</v>
      </c>
      <c r="H285" s="230" t="s">
        <v>580</v>
      </c>
      <c r="I285" s="235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-2.57</v>
      </c>
      <c r="J285" s="235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-2.57</v>
      </c>
    </row>
    <row r="286">
      <c r="A286" s="184">
        <v>43684.0</v>
      </c>
      <c r="B286" s="229" t="s">
        <v>192</v>
      </c>
      <c r="C286" s="230" t="s">
        <v>193</v>
      </c>
      <c r="D286" s="231" t="s">
        <v>309</v>
      </c>
      <c r="E286" s="231">
        <v>-211.0</v>
      </c>
      <c r="F286" s="232">
        <v>4.746</v>
      </c>
      <c r="G286" s="233">
        <v>1001.41</v>
      </c>
      <c r="H286" s="230" t="s">
        <v>581</v>
      </c>
      <c r="I286" s="235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-66.672</v>
      </c>
      <c r="J286" s="235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-89.7837249</v>
      </c>
    </row>
    <row r="287">
      <c r="A287" s="184">
        <v>43684.0</v>
      </c>
      <c r="B287" s="229" t="s">
        <v>192</v>
      </c>
      <c r="C287" s="230" t="s">
        <v>193</v>
      </c>
      <c r="D287" s="231" t="s">
        <v>325</v>
      </c>
      <c r="E287" s="231"/>
      <c r="F287" s="232"/>
      <c r="G287" s="233">
        <v>-2.2</v>
      </c>
      <c r="H287" s="230" t="s">
        <v>558</v>
      </c>
      <c r="I287" s="235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-2.2</v>
      </c>
      <c r="J287" s="235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-2.2</v>
      </c>
    </row>
    <row r="288">
      <c r="A288" s="184">
        <v>43684.0</v>
      </c>
      <c r="B288" s="229" t="s">
        <v>192</v>
      </c>
      <c r="C288" s="230" t="s">
        <v>193</v>
      </c>
      <c r="D288" s="231" t="s">
        <v>309</v>
      </c>
      <c r="E288" s="231">
        <v>-212.0</v>
      </c>
      <c r="F288" s="232">
        <v>4.7519</v>
      </c>
      <c r="G288" s="233">
        <v>1007.42</v>
      </c>
      <c r="H288" s="230" t="s">
        <v>582</v>
      </c>
      <c r="I288" s="235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-65.724</v>
      </c>
      <c r="J288" s="235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-88.94525914</v>
      </c>
    </row>
    <row r="289">
      <c r="A289" s="184">
        <v>43684.0</v>
      </c>
      <c r="B289" s="229" t="s">
        <v>192</v>
      </c>
      <c r="C289" s="230" t="s">
        <v>193</v>
      </c>
      <c r="D289" s="231" t="s">
        <v>325</v>
      </c>
      <c r="E289" s="231"/>
      <c r="F289" s="232"/>
      <c r="G289" s="233">
        <v>-2.2</v>
      </c>
      <c r="H289" s="230" t="s">
        <v>558</v>
      </c>
      <c r="I289" s="235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-2.2</v>
      </c>
      <c r="J289" s="235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-2.2</v>
      </c>
    </row>
    <row r="290">
      <c r="A290" s="184">
        <v>43684.0</v>
      </c>
      <c r="B290" s="229" t="s">
        <v>192</v>
      </c>
      <c r="C290" s="230" t="s">
        <v>193</v>
      </c>
      <c r="D290" s="231" t="s">
        <v>309</v>
      </c>
      <c r="E290" s="231">
        <v>-212.0</v>
      </c>
      <c r="F290" s="232">
        <v>4.7574</v>
      </c>
      <c r="G290" s="233">
        <v>1008.57</v>
      </c>
      <c r="H290" s="230" t="s">
        <v>583</v>
      </c>
      <c r="I290" s="235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-64.574</v>
      </c>
      <c r="J290" s="235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-87.79525914</v>
      </c>
    </row>
    <row r="291">
      <c r="A291" s="184">
        <v>43684.0</v>
      </c>
      <c r="B291" s="229" t="s">
        <v>192</v>
      </c>
      <c r="C291" s="230" t="s">
        <v>193</v>
      </c>
      <c r="D291" s="231" t="s">
        <v>325</v>
      </c>
      <c r="E291" s="231"/>
      <c r="F291" s="232"/>
      <c r="G291" s="233">
        <v>-2.2</v>
      </c>
      <c r="H291" s="230" t="s">
        <v>558</v>
      </c>
      <c r="I291" s="235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-2.2</v>
      </c>
      <c r="J291" s="235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-2.2</v>
      </c>
    </row>
    <row r="292">
      <c r="A292" s="184">
        <v>43684.0</v>
      </c>
      <c r="B292" s="229" t="s">
        <v>182</v>
      </c>
      <c r="C292" s="230" t="s">
        <v>183</v>
      </c>
      <c r="D292" s="231" t="s">
        <v>309</v>
      </c>
      <c r="E292" s="231">
        <v>-8.0</v>
      </c>
      <c r="F292" s="232">
        <v>127.47</v>
      </c>
      <c r="G292" s="233">
        <v>1019.76</v>
      </c>
      <c r="H292" s="230" t="s">
        <v>584</v>
      </c>
      <c r="I292" s="235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-216.64</v>
      </c>
      <c r="J292" s="235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-120.4635019</v>
      </c>
    </row>
    <row r="293">
      <c r="A293" s="184">
        <v>43684.0</v>
      </c>
      <c r="B293" s="229" t="s">
        <v>192</v>
      </c>
      <c r="C293" s="230" t="s">
        <v>193</v>
      </c>
      <c r="D293" s="231" t="s">
        <v>309</v>
      </c>
      <c r="E293" s="231">
        <v>-402.0</v>
      </c>
      <c r="F293" s="232">
        <v>4.7519</v>
      </c>
      <c r="G293" s="233">
        <v>1910.3</v>
      </c>
      <c r="H293" s="230" t="s">
        <v>585</v>
      </c>
      <c r="I293" s="235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-124.624</v>
      </c>
      <c r="J293" s="235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-168.656765</v>
      </c>
    </row>
    <row r="294">
      <c r="A294" s="184">
        <v>43684.0</v>
      </c>
      <c r="B294" s="229" t="s">
        <v>192</v>
      </c>
      <c r="C294" s="230" t="s">
        <v>193</v>
      </c>
      <c r="D294" s="231" t="s">
        <v>325</v>
      </c>
      <c r="E294" s="231"/>
      <c r="F294" s="232"/>
      <c r="G294" s="233">
        <v>-2.38</v>
      </c>
      <c r="H294" s="230" t="s">
        <v>586</v>
      </c>
      <c r="I294" s="235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-2.38</v>
      </c>
      <c r="J294" s="235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-2.38</v>
      </c>
    </row>
    <row r="295">
      <c r="A295" s="184">
        <v>43684.0</v>
      </c>
      <c r="B295" s="229" t="s">
        <v>192</v>
      </c>
      <c r="C295" s="230" t="s">
        <v>193</v>
      </c>
      <c r="D295" s="231" t="s">
        <v>309</v>
      </c>
      <c r="E295" s="231">
        <v>-215.0</v>
      </c>
      <c r="F295" s="232">
        <v>4.74</v>
      </c>
      <c r="G295" s="233">
        <v>1019.1</v>
      </c>
      <c r="H295" s="230" t="s">
        <v>587</v>
      </c>
      <c r="I295" s="235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-69.23</v>
      </c>
      <c r="J295" s="235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-92.77986187</v>
      </c>
    </row>
    <row r="296">
      <c r="A296" s="184">
        <v>43684.0</v>
      </c>
      <c r="B296" s="229" t="s">
        <v>192</v>
      </c>
      <c r="C296" s="230" t="s">
        <v>193</v>
      </c>
      <c r="D296" s="231" t="s">
        <v>325</v>
      </c>
      <c r="E296" s="231"/>
      <c r="F296" s="232"/>
      <c r="G296" s="233">
        <v>-2.2</v>
      </c>
      <c r="H296" s="230" t="s">
        <v>558</v>
      </c>
      <c r="I296" s="235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-2.2</v>
      </c>
      <c r="J296" s="235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-2.2</v>
      </c>
    </row>
    <row r="297">
      <c r="A297" s="184">
        <v>43684.0</v>
      </c>
      <c r="B297" s="229" t="s">
        <v>182</v>
      </c>
      <c r="C297" s="230" t="s">
        <v>183</v>
      </c>
      <c r="D297" s="231" t="s">
        <v>309</v>
      </c>
      <c r="E297" s="231">
        <v>-8.0</v>
      </c>
      <c r="F297" s="232">
        <v>126.96</v>
      </c>
      <c r="G297" s="233">
        <v>1015.68</v>
      </c>
      <c r="H297" s="230" t="s">
        <v>588</v>
      </c>
      <c r="I297" s="235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-220.72</v>
      </c>
      <c r="J297" s="235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-124.5435019</v>
      </c>
    </row>
    <row r="298">
      <c r="A298" s="184">
        <v>43684.0</v>
      </c>
      <c r="B298" s="229" t="s">
        <v>192</v>
      </c>
      <c r="C298" s="230" t="s">
        <v>193</v>
      </c>
      <c r="D298" s="231" t="s">
        <v>309</v>
      </c>
      <c r="E298" s="231">
        <v>-332.0</v>
      </c>
      <c r="F298" s="232">
        <v>4.7412</v>
      </c>
      <c r="G298" s="233">
        <v>1574.11</v>
      </c>
      <c r="H298" s="230" t="s">
        <v>589</v>
      </c>
      <c r="I298" s="235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-106.474</v>
      </c>
      <c r="J298" s="235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-142.8393681</v>
      </c>
    </row>
    <row r="299">
      <c r="A299" s="184">
        <v>43684.0</v>
      </c>
      <c r="B299" s="229" t="s">
        <v>192</v>
      </c>
      <c r="C299" s="230" t="s">
        <v>193</v>
      </c>
      <c r="D299" s="231" t="s">
        <v>325</v>
      </c>
      <c r="E299" s="231"/>
      <c r="F299" s="232"/>
      <c r="G299" s="233">
        <v>-2.31</v>
      </c>
      <c r="H299" s="230" t="s">
        <v>590</v>
      </c>
      <c r="I299" s="235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-2.31</v>
      </c>
      <c r="J299" s="235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-2.31</v>
      </c>
    </row>
    <row r="300">
      <c r="A300" s="184">
        <v>43684.0</v>
      </c>
      <c r="B300" s="229" t="s">
        <v>192</v>
      </c>
      <c r="C300" s="230" t="s">
        <v>193</v>
      </c>
      <c r="D300" s="231" t="s">
        <v>309</v>
      </c>
      <c r="E300" s="231">
        <v>-213.0</v>
      </c>
      <c r="F300" s="232">
        <v>4.712</v>
      </c>
      <c r="G300" s="233">
        <v>1003.66</v>
      </c>
      <c r="H300" s="230" t="s">
        <v>591</v>
      </c>
      <c r="I300" s="235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-74.546</v>
      </c>
      <c r="J300" s="235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-97.87679339</v>
      </c>
    </row>
    <row r="301">
      <c r="A301" s="184">
        <v>43684.0</v>
      </c>
      <c r="B301" s="229" t="s">
        <v>192</v>
      </c>
      <c r="C301" s="230" t="s">
        <v>193</v>
      </c>
      <c r="D301" s="231" t="s">
        <v>325</v>
      </c>
      <c r="E301" s="231"/>
      <c r="F301" s="232"/>
      <c r="G301" s="233">
        <v>-2.2</v>
      </c>
      <c r="H301" s="230" t="s">
        <v>558</v>
      </c>
      <c r="I301" s="235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-2.2</v>
      </c>
      <c r="J301" s="235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-2.2</v>
      </c>
    </row>
    <row r="302">
      <c r="A302" s="184">
        <v>43684.0</v>
      </c>
      <c r="B302" s="229" t="s">
        <v>192</v>
      </c>
      <c r="C302" s="230" t="s">
        <v>193</v>
      </c>
      <c r="D302" s="231" t="s">
        <v>309</v>
      </c>
      <c r="E302" s="231">
        <v>-213.0</v>
      </c>
      <c r="F302" s="232">
        <v>4.7072</v>
      </c>
      <c r="G302" s="233">
        <v>1002.65</v>
      </c>
      <c r="H302" s="230" t="s">
        <v>592</v>
      </c>
      <c r="I302" s="235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-75.556</v>
      </c>
      <c r="J302" s="235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-98.88679339</v>
      </c>
    </row>
    <row r="303">
      <c r="A303" s="184">
        <v>43684.0</v>
      </c>
      <c r="B303" s="229" t="s">
        <v>192</v>
      </c>
      <c r="C303" s="230" t="s">
        <v>193</v>
      </c>
      <c r="D303" s="231" t="s">
        <v>325</v>
      </c>
      <c r="E303" s="231"/>
      <c r="F303" s="232"/>
      <c r="G303" s="233">
        <v>-2.2</v>
      </c>
      <c r="H303" s="230" t="s">
        <v>558</v>
      </c>
      <c r="I303" s="235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-2.2</v>
      </c>
      <c r="J303" s="235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-2.2</v>
      </c>
    </row>
    <row r="304">
      <c r="A304" s="184">
        <v>43684.0</v>
      </c>
      <c r="B304" s="229" t="s">
        <v>192</v>
      </c>
      <c r="C304" s="230" t="s">
        <v>193</v>
      </c>
      <c r="D304" s="231" t="s">
        <v>309</v>
      </c>
      <c r="E304" s="231">
        <v>-213.0</v>
      </c>
      <c r="F304" s="232">
        <v>4.7082</v>
      </c>
      <c r="G304" s="233">
        <v>1002.85</v>
      </c>
      <c r="H304" s="230" t="s">
        <v>593</v>
      </c>
      <c r="I304" s="235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-75.356</v>
      </c>
      <c r="J304" s="235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-98.68679339</v>
      </c>
    </row>
    <row r="305">
      <c r="A305" s="184">
        <v>43684.0</v>
      </c>
      <c r="B305" s="229" t="s">
        <v>192</v>
      </c>
      <c r="C305" s="230" t="s">
        <v>193</v>
      </c>
      <c r="D305" s="231" t="s">
        <v>325</v>
      </c>
      <c r="E305" s="231"/>
      <c r="F305" s="232"/>
      <c r="G305" s="233">
        <v>-2.2</v>
      </c>
      <c r="H305" s="230" t="s">
        <v>558</v>
      </c>
      <c r="I305" s="235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-2.2</v>
      </c>
      <c r="J305" s="235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-2.2</v>
      </c>
    </row>
    <row r="306">
      <c r="A306" s="184">
        <v>43684.0</v>
      </c>
      <c r="B306" s="229" t="s">
        <v>192</v>
      </c>
      <c r="C306" s="230" t="s">
        <v>193</v>
      </c>
      <c r="D306" s="231" t="s">
        <v>309</v>
      </c>
      <c r="E306" s="231">
        <v>-213.0</v>
      </c>
      <c r="F306" s="232">
        <v>4.704</v>
      </c>
      <c r="G306" s="233">
        <v>1001.97</v>
      </c>
      <c r="H306" s="230" t="s">
        <v>594</v>
      </c>
      <c r="I306" s="235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-76.236</v>
      </c>
      <c r="J306" s="235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-99.56679339</v>
      </c>
    </row>
    <row r="307">
      <c r="A307" s="184">
        <v>43684.0</v>
      </c>
      <c r="B307" s="229" t="s">
        <v>192</v>
      </c>
      <c r="C307" s="230" t="s">
        <v>193</v>
      </c>
      <c r="D307" s="231" t="s">
        <v>325</v>
      </c>
      <c r="E307" s="231"/>
      <c r="F307" s="232"/>
      <c r="G307" s="233">
        <v>-2.2</v>
      </c>
      <c r="H307" s="230" t="s">
        <v>558</v>
      </c>
      <c r="I307" s="235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-2.2</v>
      </c>
      <c r="J307" s="235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-2.2</v>
      </c>
    </row>
    <row r="308">
      <c r="A308" s="184">
        <v>43682.0</v>
      </c>
      <c r="B308" s="229" t="s">
        <v>192</v>
      </c>
      <c r="C308" s="230" t="s">
        <v>193</v>
      </c>
      <c r="D308" s="231" t="s">
        <v>309</v>
      </c>
      <c r="E308" s="231">
        <v>-435.0</v>
      </c>
      <c r="F308" s="232">
        <v>4.653</v>
      </c>
      <c r="G308" s="233">
        <v>2023.97</v>
      </c>
      <c r="H308" s="230" t="s">
        <v>595</v>
      </c>
      <c r="I308" s="235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-178</v>
      </c>
      <c r="J308" s="235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-225.6473949</v>
      </c>
    </row>
    <row r="309">
      <c r="A309" s="184">
        <v>43682.0</v>
      </c>
      <c r="B309" s="229" t="s">
        <v>192</v>
      </c>
      <c r="C309" s="230" t="s">
        <v>193</v>
      </c>
      <c r="D309" s="231" t="s">
        <v>325</v>
      </c>
      <c r="E309" s="231"/>
      <c r="F309" s="232"/>
      <c r="G309" s="233">
        <v>-2.41</v>
      </c>
      <c r="H309" s="230" t="s">
        <v>596</v>
      </c>
      <c r="I309" s="235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-2.41</v>
      </c>
      <c r="J309" s="235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-2.41</v>
      </c>
    </row>
    <row r="310">
      <c r="A310" s="184">
        <v>43682.0</v>
      </c>
      <c r="B310" s="229" t="s">
        <v>182</v>
      </c>
      <c r="C310" s="230" t="s">
        <v>183</v>
      </c>
      <c r="D310" s="231" t="s">
        <v>309</v>
      </c>
      <c r="E310" s="231">
        <v>-9.0</v>
      </c>
      <c r="F310" s="232">
        <v>124.85</v>
      </c>
      <c r="G310" s="233">
        <v>1123.65</v>
      </c>
      <c r="H310" s="230" t="s">
        <v>597</v>
      </c>
      <c r="I310" s="235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-267.3</v>
      </c>
      <c r="J310" s="235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-159.1014397</v>
      </c>
    </row>
    <row r="311">
      <c r="A311" s="184">
        <v>43682.0</v>
      </c>
      <c r="B311" s="229" t="s">
        <v>182</v>
      </c>
      <c r="C311" s="230" t="s">
        <v>183</v>
      </c>
      <c r="D311" s="231" t="s">
        <v>309</v>
      </c>
      <c r="E311" s="231">
        <v>-9.0</v>
      </c>
      <c r="F311" s="232">
        <v>124.71</v>
      </c>
      <c r="G311" s="233">
        <v>1122.39</v>
      </c>
      <c r="H311" s="230" t="s">
        <v>598</v>
      </c>
      <c r="I311" s="235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-268.56</v>
      </c>
      <c r="J311" s="235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-160.3614397</v>
      </c>
    </row>
    <row r="312">
      <c r="A312" s="184">
        <v>43682.0</v>
      </c>
      <c r="B312" s="229" t="s">
        <v>182</v>
      </c>
      <c r="C312" s="230" t="s">
        <v>183</v>
      </c>
      <c r="D312" s="231" t="s">
        <v>309</v>
      </c>
      <c r="E312" s="231">
        <v>-9.0</v>
      </c>
      <c r="F312" s="232">
        <v>124.71</v>
      </c>
      <c r="G312" s="233">
        <v>1122.39</v>
      </c>
      <c r="H312" s="230" t="s">
        <v>598</v>
      </c>
      <c r="I312" s="235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-268.56</v>
      </c>
      <c r="J312" s="235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-160.3614397</v>
      </c>
    </row>
    <row r="313">
      <c r="A313" s="184">
        <v>43682.0</v>
      </c>
      <c r="B313" s="229" t="s">
        <v>192</v>
      </c>
      <c r="C313" s="230" t="s">
        <v>193</v>
      </c>
      <c r="D313" s="231" t="s">
        <v>309</v>
      </c>
      <c r="E313" s="231">
        <v>-223.0</v>
      </c>
      <c r="F313" s="232">
        <v>4.656</v>
      </c>
      <c r="G313" s="233">
        <v>1038.29</v>
      </c>
      <c r="H313" s="230" t="s">
        <v>599</v>
      </c>
      <c r="I313" s="235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-90.536</v>
      </c>
      <c r="J313" s="235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-114.9621358</v>
      </c>
    </row>
    <row r="314">
      <c r="A314" s="184">
        <v>43682.0</v>
      </c>
      <c r="B314" s="229" t="s">
        <v>192</v>
      </c>
      <c r="C314" s="230" t="s">
        <v>193</v>
      </c>
      <c r="D314" s="231" t="s">
        <v>325</v>
      </c>
      <c r="E314" s="231"/>
      <c r="F314" s="232"/>
      <c r="G314" s="233">
        <v>-2.21</v>
      </c>
      <c r="H314" s="230" t="s">
        <v>600</v>
      </c>
      <c r="I314" s="235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-2.21</v>
      </c>
      <c r="J314" s="235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-2.21</v>
      </c>
    </row>
    <row r="315">
      <c r="A315" s="184">
        <v>43682.0</v>
      </c>
      <c r="B315" s="229" t="s">
        <v>192</v>
      </c>
      <c r="C315" s="230" t="s">
        <v>193</v>
      </c>
      <c r="D315" s="231" t="s">
        <v>309</v>
      </c>
      <c r="E315" s="231">
        <v>-219.0</v>
      </c>
      <c r="F315" s="232">
        <v>4.651</v>
      </c>
      <c r="G315" s="233">
        <v>1018.57</v>
      </c>
      <c r="H315" s="230" t="s">
        <v>601</v>
      </c>
      <c r="I315" s="235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-90.008</v>
      </c>
      <c r="J315" s="235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-113.9959988</v>
      </c>
    </row>
    <row r="316">
      <c r="A316" s="184">
        <v>43682.0</v>
      </c>
      <c r="B316" s="229" t="s">
        <v>192</v>
      </c>
      <c r="C316" s="230" t="s">
        <v>193</v>
      </c>
      <c r="D316" s="231" t="s">
        <v>325</v>
      </c>
      <c r="E316" s="231"/>
      <c r="F316" s="232"/>
      <c r="G316" s="233">
        <v>-2.2</v>
      </c>
      <c r="H316" s="230" t="s">
        <v>558</v>
      </c>
      <c r="I316" s="235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-2.2</v>
      </c>
      <c r="J316" s="235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-2.2</v>
      </c>
    </row>
    <row r="317">
      <c r="A317" s="184">
        <v>43682.0</v>
      </c>
      <c r="B317" s="229" t="s">
        <v>192</v>
      </c>
      <c r="C317" s="230" t="s">
        <v>193</v>
      </c>
      <c r="D317" s="231" t="s">
        <v>309</v>
      </c>
      <c r="E317" s="231">
        <v>-794.0</v>
      </c>
      <c r="F317" s="232">
        <v>4.6528</v>
      </c>
      <c r="G317" s="233">
        <v>3694.4</v>
      </c>
      <c r="H317" s="230" t="s">
        <v>602</v>
      </c>
      <c r="I317" s="235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-324.828</v>
      </c>
      <c r="J317" s="235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-411.7981875</v>
      </c>
    </row>
    <row r="318">
      <c r="A318" s="184">
        <v>43682.0</v>
      </c>
      <c r="B318" s="229" t="s">
        <v>192</v>
      </c>
      <c r="C318" s="230" t="s">
        <v>193</v>
      </c>
      <c r="D318" s="231" t="s">
        <v>325</v>
      </c>
      <c r="E318" s="231"/>
      <c r="F318" s="232"/>
      <c r="G318" s="233">
        <v>-2.74</v>
      </c>
      <c r="H318" s="230" t="s">
        <v>603</v>
      </c>
      <c r="I318" s="235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-2.74</v>
      </c>
      <c r="J318" s="235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-2.74</v>
      </c>
    </row>
    <row r="319">
      <c r="A319" s="184">
        <v>43679.0</v>
      </c>
      <c r="B319" s="229" t="s">
        <v>186</v>
      </c>
      <c r="C319" s="230" t="s">
        <v>187</v>
      </c>
      <c r="D319" s="231" t="s">
        <v>309</v>
      </c>
      <c r="E319" s="231">
        <v>-7.0</v>
      </c>
      <c r="F319" s="232">
        <v>184.8</v>
      </c>
      <c r="G319" s="233">
        <v>1293.6</v>
      </c>
      <c r="H319" s="230" t="s">
        <v>604</v>
      </c>
      <c r="I319" s="235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-23.94</v>
      </c>
      <c r="J319" s="235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-55.47132296</v>
      </c>
    </row>
    <row r="320">
      <c r="A320" s="184">
        <v>43679.0</v>
      </c>
      <c r="B320" s="229" t="s">
        <v>192</v>
      </c>
      <c r="C320" s="230" t="s">
        <v>193</v>
      </c>
      <c r="D320" s="231" t="s">
        <v>309</v>
      </c>
      <c r="E320" s="231">
        <v>-493.0</v>
      </c>
      <c r="F320" s="232">
        <v>4.611</v>
      </c>
      <c r="G320" s="233">
        <v>2273.22</v>
      </c>
      <c r="H320" s="230" t="s">
        <v>605</v>
      </c>
      <c r="I320" s="235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-222.346</v>
      </c>
      <c r="J320" s="235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-276.3463809</v>
      </c>
    </row>
    <row r="321">
      <c r="A321" s="184">
        <v>43679.0</v>
      </c>
      <c r="B321" s="229" t="s">
        <v>192</v>
      </c>
      <c r="C321" s="230" t="s">
        <v>193</v>
      </c>
      <c r="D321" s="231" t="s">
        <v>325</v>
      </c>
      <c r="E321" s="231"/>
      <c r="F321" s="232"/>
      <c r="G321" s="233">
        <v>-2.45</v>
      </c>
      <c r="H321" s="230" t="s">
        <v>606</v>
      </c>
      <c r="I321" s="235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-2.45</v>
      </c>
      <c r="J321" s="235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-2.45</v>
      </c>
    </row>
    <row r="322">
      <c r="A322" s="184">
        <v>43679.0</v>
      </c>
      <c r="B322" s="229" t="s">
        <v>182</v>
      </c>
      <c r="C322" s="230" t="s">
        <v>183</v>
      </c>
      <c r="D322" s="231" t="s">
        <v>309</v>
      </c>
      <c r="E322" s="231">
        <v>-9.0</v>
      </c>
      <c r="F322" s="232">
        <v>123.9</v>
      </c>
      <c r="G322" s="233">
        <v>1115.1</v>
      </c>
      <c r="H322" s="230" t="s">
        <v>607</v>
      </c>
      <c r="I322" s="235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-275.85</v>
      </c>
      <c r="J322" s="235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-167.6514397</v>
      </c>
    </row>
    <row r="323">
      <c r="A323" s="184">
        <v>43679.0</v>
      </c>
      <c r="B323" s="229" t="s">
        <v>186</v>
      </c>
      <c r="C323" s="230" t="s">
        <v>187</v>
      </c>
      <c r="D323" s="231" t="s">
        <v>309</v>
      </c>
      <c r="E323" s="231">
        <v>-6.0</v>
      </c>
      <c r="F323" s="232">
        <v>184.2</v>
      </c>
      <c r="G323" s="233">
        <v>1105.2</v>
      </c>
      <c r="H323" s="230" t="s">
        <v>608</v>
      </c>
      <c r="I323" s="235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-24.12</v>
      </c>
      <c r="J323" s="235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-51.14684825</v>
      </c>
    </row>
    <row r="324">
      <c r="A324" s="184">
        <v>43679.0</v>
      </c>
      <c r="B324" s="229" t="s">
        <v>182</v>
      </c>
      <c r="C324" s="230" t="s">
        <v>183</v>
      </c>
      <c r="D324" s="231" t="s">
        <v>309</v>
      </c>
      <c r="E324" s="231">
        <v>-9.0</v>
      </c>
      <c r="F324" s="232">
        <v>124.13</v>
      </c>
      <c r="G324" s="233">
        <v>1117.17</v>
      </c>
      <c r="H324" s="230" t="s">
        <v>609</v>
      </c>
      <c r="I324" s="235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-273.78</v>
      </c>
      <c r="J324" s="235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-165.5814397</v>
      </c>
    </row>
    <row r="325">
      <c r="A325" s="184">
        <v>43679.0</v>
      </c>
      <c r="B325" s="229" t="s">
        <v>186</v>
      </c>
      <c r="C325" s="230" t="s">
        <v>187</v>
      </c>
      <c r="D325" s="231" t="s">
        <v>309</v>
      </c>
      <c r="E325" s="231">
        <v>-6.0</v>
      </c>
      <c r="F325" s="232">
        <v>184.45</v>
      </c>
      <c r="G325" s="233">
        <v>1106.7</v>
      </c>
      <c r="H325" s="230" t="s">
        <v>610</v>
      </c>
      <c r="I325" s="235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-22.62</v>
      </c>
      <c r="J325" s="235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-49.64684825</v>
      </c>
    </row>
    <row r="326">
      <c r="A326" s="184">
        <v>43679.0</v>
      </c>
      <c r="B326" s="229" t="s">
        <v>186</v>
      </c>
      <c r="C326" s="230" t="s">
        <v>187</v>
      </c>
      <c r="D326" s="231" t="s">
        <v>309</v>
      </c>
      <c r="E326" s="231">
        <v>-6.0</v>
      </c>
      <c r="F326" s="232">
        <v>184.4</v>
      </c>
      <c r="G326" s="233">
        <v>1106.4</v>
      </c>
      <c r="H326" s="230" t="s">
        <v>611</v>
      </c>
      <c r="I326" s="235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-22.92</v>
      </c>
      <c r="J326" s="235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-49.94684825</v>
      </c>
    </row>
    <row r="327">
      <c r="A327" s="184">
        <v>43679.0</v>
      </c>
      <c r="B327" s="229" t="s">
        <v>182</v>
      </c>
      <c r="C327" s="230" t="s">
        <v>183</v>
      </c>
      <c r="D327" s="231" t="s">
        <v>309</v>
      </c>
      <c r="E327" s="231">
        <v>-2.0</v>
      </c>
      <c r="F327" s="232">
        <v>124.02</v>
      </c>
      <c r="G327" s="233">
        <v>248.04</v>
      </c>
      <c r="H327" s="230" t="s">
        <v>612</v>
      </c>
      <c r="I327" s="235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-61.06</v>
      </c>
      <c r="J327" s="235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-37.01587549</v>
      </c>
    </row>
    <row r="328">
      <c r="A328" s="184">
        <v>43679.0</v>
      </c>
      <c r="B328" s="229" t="s">
        <v>182</v>
      </c>
      <c r="C328" s="230" t="s">
        <v>183</v>
      </c>
      <c r="D328" s="231" t="s">
        <v>325</v>
      </c>
      <c r="E328" s="231"/>
      <c r="F328" s="232"/>
      <c r="G328" s="233">
        <v>-2.05</v>
      </c>
      <c r="H328" s="230" t="s">
        <v>613</v>
      </c>
      <c r="I328" s="235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-2.05</v>
      </c>
      <c r="J328" s="235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-2.05</v>
      </c>
    </row>
    <row r="329">
      <c r="A329" s="184">
        <v>43679.0</v>
      </c>
      <c r="B329" s="229" t="s">
        <v>182</v>
      </c>
      <c r="C329" s="230" t="s">
        <v>183</v>
      </c>
      <c r="D329" s="231" t="s">
        <v>309</v>
      </c>
      <c r="E329" s="231">
        <v>-1.0</v>
      </c>
      <c r="F329" s="232">
        <v>123.4</v>
      </c>
      <c r="G329" s="233">
        <v>123.4</v>
      </c>
      <c r="H329" s="230" t="s">
        <v>614</v>
      </c>
      <c r="I329" s="235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-31.15</v>
      </c>
      <c r="J329" s="235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-19.12793774</v>
      </c>
    </row>
    <row r="330">
      <c r="A330" s="184">
        <v>43679.0</v>
      </c>
      <c r="B330" s="229"/>
      <c r="C330" s="230"/>
      <c r="D330" s="231" t="s">
        <v>332</v>
      </c>
      <c r="E330" s="231"/>
      <c r="F330" s="232"/>
      <c r="G330" s="233">
        <v>-400.0</v>
      </c>
      <c r="H330" s="230" t="s">
        <v>354</v>
      </c>
      <c r="I330" s="235" t="str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/>
      </c>
      <c r="J330" s="235" t="str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/>
      </c>
    </row>
    <row r="331">
      <c r="A331" s="184">
        <v>43679.0</v>
      </c>
      <c r="B331" s="229" t="s">
        <v>177</v>
      </c>
      <c r="C331" s="230" t="s">
        <v>180</v>
      </c>
      <c r="D331" s="231" t="s">
        <v>308</v>
      </c>
      <c r="E331" s="231">
        <v>1771.0</v>
      </c>
      <c r="F331" s="232">
        <v>7.13</v>
      </c>
      <c r="G331" s="233">
        <v>-12627.23</v>
      </c>
      <c r="H331" s="230" t="s">
        <v>615</v>
      </c>
      <c r="I331" s="235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-1328.25</v>
      </c>
      <c r="J331" s="235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-1065.707864</v>
      </c>
    </row>
    <row r="332">
      <c r="A332" s="184">
        <v>43679.0</v>
      </c>
      <c r="B332" s="229" t="s">
        <v>192</v>
      </c>
      <c r="C332" s="230" t="s">
        <v>193</v>
      </c>
      <c r="D332" s="231" t="s">
        <v>309</v>
      </c>
      <c r="E332" s="231">
        <v>-1546.0</v>
      </c>
      <c r="F332" s="232">
        <v>4.611</v>
      </c>
      <c r="G332" s="233">
        <v>7128.61</v>
      </c>
      <c r="H332" s="230" t="s">
        <v>616</v>
      </c>
      <c r="I332" s="235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-697.242</v>
      </c>
      <c r="J332" s="235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-866.581937</v>
      </c>
    </row>
    <row r="333">
      <c r="A333" s="184">
        <v>43679.0</v>
      </c>
      <c r="B333" s="229" t="s">
        <v>192</v>
      </c>
      <c r="C333" s="230" t="s">
        <v>193</v>
      </c>
      <c r="D333" s="231" t="s">
        <v>325</v>
      </c>
      <c r="E333" s="231"/>
      <c r="F333" s="232"/>
      <c r="G333" s="233">
        <v>-1.43</v>
      </c>
      <c r="H333" s="230" t="s">
        <v>617</v>
      </c>
      <c r="I333" s="235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-1.43</v>
      </c>
      <c r="J333" s="235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-1.43</v>
      </c>
    </row>
    <row r="334">
      <c r="A334" s="184">
        <v>43678.0</v>
      </c>
      <c r="B334" s="229" t="s">
        <v>177</v>
      </c>
      <c r="C334" s="230" t="s">
        <v>180</v>
      </c>
      <c r="D334" s="231" t="s">
        <v>308</v>
      </c>
      <c r="E334" s="231">
        <v>353.0</v>
      </c>
      <c r="F334" s="232">
        <v>7.26</v>
      </c>
      <c r="G334" s="233">
        <v>-2562.78</v>
      </c>
      <c r="H334" s="230" t="s">
        <v>618</v>
      </c>
      <c r="I334" s="235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-310.64</v>
      </c>
      <c r="J334" s="235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-258.3094669</v>
      </c>
    </row>
    <row r="335">
      <c r="A335" s="184">
        <v>43677.0</v>
      </c>
      <c r="B335" s="229"/>
      <c r="C335" s="230"/>
      <c r="D335" s="231" t="s">
        <v>325</v>
      </c>
      <c r="E335" s="231"/>
      <c r="F335" s="232"/>
      <c r="G335" s="233">
        <v>-450.16</v>
      </c>
      <c r="H335" s="230" t="s">
        <v>619</v>
      </c>
      <c r="I335" s="235" t="str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/>
      </c>
      <c r="J335" s="235" t="str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/>
      </c>
    </row>
    <row r="336">
      <c r="A336" s="184">
        <v>43669.0</v>
      </c>
      <c r="B336" s="229" t="s">
        <v>177</v>
      </c>
      <c r="C336" s="230" t="s">
        <v>180</v>
      </c>
      <c r="D336" s="231" t="s">
        <v>308</v>
      </c>
      <c r="E336" s="231">
        <v>139.0</v>
      </c>
      <c r="F336" s="232">
        <v>7.24</v>
      </c>
      <c r="G336" s="233">
        <v>-1006.36</v>
      </c>
      <c r="H336" s="230" t="s">
        <v>620</v>
      </c>
      <c r="I336" s="235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-119.54</v>
      </c>
      <c r="J336" s="235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-98.93392607</v>
      </c>
    </row>
    <row r="337">
      <c r="A337" s="184">
        <v>43669.0</v>
      </c>
      <c r="B337" s="229" t="s">
        <v>177</v>
      </c>
      <c r="C337" s="230" t="s">
        <v>180</v>
      </c>
      <c r="D337" s="231" t="s">
        <v>325</v>
      </c>
      <c r="E337" s="231"/>
      <c r="F337" s="232"/>
      <c r="G337" s="233">
        <v>-2.2</v>
      </c>
      <c r="H337" s="230" t="s">
        <v>621</v>
      </c>
      <c r="I337" s="235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-2.2</v>
      </c>
      <c r="J337" s="235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-2.2</v>
      </c>
    </row>
    <row r="338">
      <c r="A338" s="184">
        <v>43665.0</v>
      </c>
      <c r="B338" s="229" t="s">
        <v>182</v>
      </c>
      <c r="C338" s="230" t="s">
        <v>183</v>
      </c>
      <c r="D338" s="231" t="s">
        <v>309</v>
      </c>
      <c r="E338" s="231">
        <v>-10.0</v>
      </c>
      <c r="F338" s="232">
        <v>121.84</v>
      </c>
      <c r="G338" s="233">
        <v>1218.4</v>
      </c>
      <c r="H338" s="230" t="s">
        <v>622</v>
      </c>
      <c r="I338" s="235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-327.1</v>
      </c>
      <c r="J338" s="235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-206.8793774</v>
      </c>
    </row>
    <row r="339">
      <c r="A339" s="184">
        <v>43664.0</v>
      </c>
      <c r="B339" s="229" t="s">
        <v>177</v>
      </c>
      <c r="C339" s="230" t="s">
        <v>180</v>
      </c>
      <c r="D339" s="231" t="s">
        <v>308</v>
      </c>
      <c r="E339" s="231">
        <v>164.0</v>
      </c>
      <c r="F339" s="232">
        <v>7.2379</v>
      </c>
      <c r="G339" s="233">
        <v>-1187.03</v>
      </c>
      <c r="H339" s="230" t="s">
        <v>623</v>
      </c>
      <c r="I339" s="235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-140.71</v>
      </c>
      <c r="J339" s="235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-116.3977977</v>
      </c>
    </row>
    <row r="340">
      <c r="A340" s="184">
        <v>43664.0</v>
      </c>
      <c r="B340" s="229" t="s">
        <v>177</v>
      </c>
      <c r="C340" s="230" t="s">
        <v>180</v>
      </c>
      <c r="D340" s="231" t="s">
        <v>325</v>
      </c>
      <c r="E340" s="231"/>
      <c r="F340" s="232"/>
      <c r="G340" s="233">
        <v>-2.24</v>
      </c>
      <c r="H340" s="230" t="s">
        <v>624</v>
      </c>
      <c r="I340" s="235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-2.24</v>
      </c>
      <c r="J340" s="235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-2.24</v>
      </c>
    </row>
    <row r="341">
      <c r="A341" s="184">
        <v>43663.0</v>
      </c>
      <c r="B341" s="229" t="s">
        <v>177</v>
      </c>
      <c r="C341" s="230" t="s">
        <v>180</v>
      </c>
      <c r="D341" s="231" t="s">
        <v>308</v>
      </c>
      <c r="E341" s="231">
        <v>189.0</v>
      </c>
      <c r="F341" s="232">
        <v>7.2579</v>
      </c>
      <c r="G341" s="233">
        <v>-1371.76</v>
      </c>
      <c r="H341" s="230" t="s">
        <v>625</v>
      </c>
      <c r="I341" s="235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-165.94</v>
      </c>
      <c r="J341" s="235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-137.9216693</v>
      </c>
    </row>
    <row r="342">
      <c r="A342" s="184">
        <v>43663.0</v>
      </c>
      <c r="B342" s="229" t="s">
        <v>177</v>
      </c>
      <c r="C342" s="230" t="s">
        <v>180</v>
      </c>
      <c r="D342" s="231" t="s">
        <v>325</v>
      </c>
      <c r="E342" s="231"/>
      <c r="F342" s="232"/>
      <c r="G342" s="233">
        <v>-0.27</v>
      </c>
      <c r="H342" s="230" t="s">
        <v>626</v>
      </c>
      <c r="I342" s="235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-0.27</v>
      </c>
      <c r="J342" s="235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-0.27</v>
      </c>
    </row>
    <row r="343">
      <c r="A343" s="184">
        <v>43663.0</v>
      </c>
      <c r="B343" s="229" t="s">
        <v>177</v>
      </c>
      <c r="C343" s="230" t="s">
        <v>180</v>
      </c>
      <c r="D343" s="231" t="s">
        <v>308</v>
      </c>
      <c r="E343" s="231">
        <v>263.0</v>
      </c>
      <c r="F343" s="232">
        <v>7.2579</v>
      </c>
      <c r="G343" s="233">
        <v>-1908.85</v>
      </c>
      <c r="H343" s="230" t="s">
        <v>627</v>
      </c>
      <c r="I343" s="235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-230.91</v>
      </c>
      <c r="J343" s="235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-191.9215292</v>
      </c>
    </row>
    <row r="344">
      <c r="A344" s="184">
        <v>43663.0</v>
      </c>
      <c r="B344" s="229" t="s">
        <v>177</v>
      </c>
      <c r="C344" s="230" t="s">
        <v>180</v>
      </c>
      <c r="D344" s="231" t="s">
        <v>325</v>
      </c>
      <c r="E344" s="231"/>
      <c r="F344" s="232"/>
      <c r="G344" s="233">
        <v>-2.38</v>
      </c>
      <c r="H344" s="230" t="s">
        <v>628</v>
      </c>
      <c r="I344" s="235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-2.38</v>
      </c>
      <c r="J344" s="235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-2.38</v>
      </c>
    </row>
    <row r="345">
      <c r="A345" s="184">
        <v>43661.0</v>
      </c>
      <c r="B345" s="229" t="s">
        <v>177</v>
      </c>
      <c r="C345" s="230" t="s">
        <v>180</v>
      </c>
      <c r="D345" s="231" t="s">
        <v>309</v>
      </c>
      <c r="E345" s="231">
        <v>-339.0</v>
      </c>
      <c r="F345" s="232">
        <v>7.35</v>
      </c>
      <c r="G345" s="233">
        <v>2491.65</v>
      </c>
      <c r="H345" s="230" t="s">
        <v>629</v>
      </c>
      <c r="I345" s="235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328.83</v>
      </c>
      <c r="J345" s="235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278.5748988</v>
      </c>
    </row>
    <row r="346">
      <c r="A346" s="184">
        <v>43658.0</v>
      </c>
      <c r="B346" s="229" t="s">
        <v>196</v>
      </c>
      <c r="C346" s="230" t="s">
        <v>197</v>
      </c>
      <c r="D346" s="231" t="s">
        <v>309</v>
      </c>
      <c r="E346" s="231">
        <v>-77.0</v>
      </c>
      <c r="F346" s="232">
        <v>50.7</v>
      </c>
      <c r="G346" s="233">
        <v>3903.9</v>
      </c>
      <c r="H346" s="230" t="s">
        <v>630</v>
      </c>
      <c r="I346" s="235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-380.38</v>
      </c>
      <c r="J346" s="235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-155.1849611</v>
      </c>
    </row>
    <row r="347">
      <c r="A347" s="184">
        <v>43657.0</v>
      </c>
      <c r="B347" s="229" t="s">
        <v>196</v>
      </c>
      <c r="C347" s="230" t="s">
        <v>197</v>
      </c>
      <c r="D347" s="231" t="s">
        <v>329</v>
      </c>
      <c r="E347" s="231"/>
      <c r="F347" s="232"/>
      <c r="G347" s="233">
        <v>-107.73</v>
      </c>
      <c r="H347" s="230" t="s">
        <v>631</v>
      </c>
      <c r="I347" s="235" t="str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/>
      </c>
      <c r="J347" s="235" t="str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/>
      </c>
    </row>
    <row r="348">
      <c r="A348" s="184">
        <v>43656.0</v>
      </c>
      <c r="B348" s="229" t="s">
        <v>196</v>
      </c>
      <c r="C348" s="230" t="s">
        <v>197</v>
      </c>
      <c r="D348" s="231" t="s">
        <v>329</v>
      </c>
      <c r="E348" s="231"/>
      <c r="F348" s="232"/>
      <c r="G348" s="233">
        <v>959.36</v>
      </c>
      <c r="H348" s="230" t="s">
        <v>632</v>
      </c>
      <c r="I348" s="235" t="str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/>
      </c>
      <c r="J348" s="235" t="str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/>
      </c>
    </row>
    <row r="349">
      <c r="A349" s="184">
        <v>43651.0</v>
      </c>
      <c r="B349" s="229" t="s">
        <v>196</v>
      </c>
      <c r="C349" s="230" t="s">
        <v>197</v>
      </c>
      <c r="D349" s="231" t="s">
        <v>309</v>
      </c>
      <c r="E349" s="231">
        <v>-38.0</v>
      </c>
      <c r="F349" s="232">
        <v>50.37</v>
      </c>
      <c r="G349" s="233">
        <v>1914.06</v>
      </c>
      <c r="H349" s="230" t="s">
        <v>633</v>
      </c>
      <c r="I349" s="235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-200.26</v>
      </c>
      <c r="J349" s="235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-89.12478599</v>
      </c>
    </row>
    <row r="350">
      <c r="A350" s="184">
        <v>43648.0</v>
      </c>
      <c r="B350" s="229"/>
      <c r="C350" s="230"/>
      <c r="D350" s="231" t="s">
        <v>332</v>
      </c>
      <c r="E350" s="231"/>
      <c r="F350" s="232"/>
      <c r="G350" s="233">
        <v>-500.0</v>
      </c>
      <c r="H350" s="230" t="s">
        <v>634</v>
      </c>
      <c r="I350" s="235" t="str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/>
      </c>
      <c r="J350" s="235" t="str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/>
      </c>
    </row>
    <row r="351">
      <c r="A351" s="184">
        <v>43646.0</v>
      </c>
      <c r="B351" s="229"/>
      <c r="C351" s="230"/>
      <c r="D351" s="231" t="s">
        <v>325</v>
      </c>
      <c r="E351" s="231"/>
      <c r="F351" s="232"/>
      <c r="G351" s="233">
        <v>-495.83</v>
      </c>
      <c r="H351" s="230" t="s">
        <v>635</v>
      </c>
      <c r="I351" s="235" t="str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/>
      </c>
      <c r="J351" s="235" t="str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/>
      </c>
    </row>
    <row r="352">
      <c r="A352" s="184">
        <v>43642.0</v>
      </c>
      <c r="B352" s="229" t="s">
        <v>192</v>
      </c>
      <c r="C352" s="229" t="s">
        <v>193</v>
      </c>
      <c r="D352" s="229" t="s">
        <v>329</v>
      </c>
      <c r="E352" s="238"/>
      <c r="F352" s="239"/>
      <c r="G352" s="233">
        <v>-487.06</v>
      </c>
      <c r="H352" s="230" t="s">
        <v>636</v>
      </c>
      <c r="I352" s="235" t="str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/>
      </c>
      <c r="J352" s="235" t="str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/>
      </c>
    </row>
    <row r="353">
      <c r="A353" s="184">
        <v>43642.0</v>
      </c>
      <c r="B353" s="229" t="s">
        <v>192</v>
      </c>
      <c r="C353" s="229" t="s">
        <v>193</v>
      </c>
      <c r="D353" s="229" t="s">
        <v>329</v>
      </c>
      <c r="E353" s="238"/>
      <c r="F353" s="239"/>
      <c r="G353" s="233">
        <v>4012.65</v>
      </c>
      <c r="H353" s="230" t="s">
        <v>637</v>
      </c>
      <c r="I353" s="235" t="str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/>
      </c>
      <c r="J353" s="235" t="str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/>
      </c>
    </row>
    <row r="354">
      <c r="A354" s="184">
        <v>43642.0</v>
      </c>
      <c r="B354" s="229"/>
      <c r="C354" s="229"/>
      <c r="D354" s="229" t="s">
        <v>332</v>
      </c>
      <c r="E354" s="238"/>
      <c r="F354" s="239"/>
      <c r="G354" s="233">
        <v>2000.0</v>
      </c>
      <c r="H354" s="230" t="s">
        <v>638</v>
      </c>
      <c r="I354" s="235" t="str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/>
      </c>
      <c r="J354" s="235" t="str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/>
      </c>
    </row>
    <row r="355">
      <c r="A355" s="184">
        <v>43641.0</v>
      </c>
      <c r="B355" s="229" t="s">
        <v>182</v>
      </c>
      <c r="C355" s="229" t="s">
        <v>183</v>
      </c>
      <c r="D355" s="229" t="s">
        <v>309</v>
      </c>
      <c r="E355" s="238">
        <v>-9.0</v>
      </c>
      <c r="F355" s="239">
        <v>119.82</v>
      </c>
      <c r="G355" s="233">
        <v>1078.38</v>
      </c>
      <c r="H355" s="230" t="s">
        <v>639</v>
      </c>
      <c r="I355" s="235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-312.57</v>
      </c>
      <c r="J355" s="235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-204.3714397</v>
      </c>
    </row>
    <row r="356">
      <c r="A356" s="184">
        <v>43640.0</v>
      </c>
      <c r="B356" s="229" t="s">
        <v>182</v>
      </c>
      <c r="C356" s="229" t="s">
        <v>183</v>
      </c>
      <c r="D356" s="229" t="s">
        <v>309</v>
      </c>
      <c r="E356" s="238">
        <v>-9.0</v>
      </c>
      <c r="F356" s="239">
        <v>117.66</v>
      </c>
      <c r="G356" s="233">
        <v>1058.94</v>
      </c>
      <c r="H356" s="230" t="s">
        <v>640</v>
      </c>
      <c r="I356" s="235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-332.01</v>
      </c>
      <c r="J356" s="235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-223.8114397</v>
      </c>
    </row>
    <row r="357">
      <c r="A357" s="184">
        <v>43640.0</v>
      </c>
      <c r="B357" s="229" t="s">
        <v>182</v>
      </c>
      <c r="C357" s="229" t="s">
        <v>183</v>
      </c>
      <c r="D357" s="229" t="s">
        <v>309</v>
      </c>
      <c r="E357" s="238">
        <v>-16.0</v>
      </c>
      <c r="F357" s="239">
        <v>117.66</v>
      </c>
      <c r="G357" s="233">
        <v>1882.56</v>
      </c>
      <c r="H357" s="230" t="s">
        <v>641</v>
      </c>
      <c r="I357" s="235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-590.24</v>
      </c>
      <c r="J357" s="235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-397.8870039</v>
      </c>
    </row>
    <row r="358">
      <c r="A358" s="184">
        <v>43640.0</v>
      </c>
      <c r="B358" s="229" t="s">
        <v>177</v>
      </c>
      <c r="C358" s="229" t="s">
        <v>180</v>
      </c>
      <c r="D358" s="229" t="s">
        <v>308</v>
      </c>
      <c r="E358" s="238">
        <v>1013.0</v>
      </c>
      <c r="F358" s="239">
        <v>7.103</v>
      </c>
      <c r="G358" s="233">
        <v>-7195.34</v>
      </c>
      <c r="H358" s="230" t="s">
        <v>642</v>
      </c>
      <c r="I358" s="235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-732.4</v>
      </c>
      <c r="J358" s="235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-582.227677</v>
      </c>
    </row>
    <row r="359">
      <c r="A359" s="184">
        <v>43627.0</v>
      </c>
      <c r="B359" s="229" t="s">
        <v>177</v>
      </c>
      <c r="C359" s="229" t="s">
        <v>180</v>
      </c>
      <c r="D359" s="229" t="s">
        <v>308</v>
      </c>
      <c r="E359" s="238">
        <v>518.0</v>
      </c>
      <c r="F359" s="239">
        <v>6.962</v>
      </c>
      <c r="G359" s="233">
        <v>-3606.32</v>
      </c>
      <c r="H359" s="230" t="s">
        <v>643</v>
      </c>
      <c r="I359" s="235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-301.48</v>
      </c>
      <c r="J359" s="235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-224.6890195</v>
      </c>
    </row>
    <row r="360">
      <c r="A360" s="184">
        <v>43627.0</v>
      </c>
      <c r="B360" s="229" t="s">
        <v>177</v>
      </c>
      <c r="C360" s="229" t="s">
        <v>180</v>
      </c>
      <c r="D360" s="229" t="s">
        <v>308</v>
      </c>
      <c r="E360" s="238">
        <v>1762.0</v>
      </c>
      <c r="F360" s="239">
        <v>6.9619</v>
      </c>
      <c r="G360" s="233">
        <v>-12267.04</v>
      </c>
      <c r="H360" s="230" t="s">
        <v>644</v>
      </c>
      <c r="I360" s="235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-1025.48</v>
      </c>
      <c r="J360" s="235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-764.27207</v>
      </c>
    </row>
    <row r="361">
      <c r="A361" s="184">
        <v>43627.0</v>
      </c>
      <c r="B361" s="229" t="s">
        <v>196</v>
      </c>
      <c r="C361" s="229" t="s">
        <v>197</v>
      </c>
      <c r="D361" s="229" t="s">
        <v>309</v>
      </c>
      <c r="E361" s="238">
        <v>-26.0</v>
      </c>
      <c r="F361" s="239">
        <v>48.6538</v>
      </c>
      <c r="G361" s="233">
        <v>1265.0</v>
      </c>
      <c r="H361" s="230" t="s">
        <v>645</v>
      </c>
      <c r="I361" s="235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-181.64</v>
      </c>
      <c r="J361" s="235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-105.6001167</v>
      </c>
    </row>
    <row r="362">
      <c r="A362" s="184">
        <v>43626.0</v>
      </c>
      <c r="B362" s="229" t="s">
        <v>196</v>
      </c>
      <c r="C362" s="229" t="s">
        <v>197</v>
      </c>
      <c r="D362" s="229" t="s">
        <v>309</v>
      </c>
      <c r="E362" s="238">
        <v>-29.0</v>
      </c>
      <c r="F362" s="239">
        <v>48.562</v>
      </c>
      <c r="G362" s="233">
        <v>1408.3</v>
      </c>
      <c r="H362" s="230" t="s">
        <v>646</v>
      </c>
      <c r="I362" s="235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-205.26</v>
      </c>
      <c r="J362" s="235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-120.446284</v>
      </c>
    </row>
    <row r="363">
      <c r="A363" s="184">
        <v>43623.0</v>
      </c>
      <c r="B363" s="229" t="s">
        <v>196</v>
      </c>
      <c r="C363" s="229" t="s">
        <v>197</v>
      </c>
      <c r="D363" s="229" t="s">
        <v>309</v>
      </c>
      <c r="E363" s="238">
        <v>-23.0</v>
      </c>
      <c r="F363" s="239">
        <v>48.3591</v>
      </c>
      <c r="G363" s="233">
        <v>1112.26</v>
      </c>
      <c r="H363" s="230" t="s">
        <v>647</v>
      </c>
      <c r="I363" s="235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-167.46</v>
      </c>
      <c r="J363" s="235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-100.1939494</v>
      </c>
    </row>
    <row r="364">
      <c r="A364" s="184">
        <v>43622.0</v>
      </c>
      <c r="B364" s="229" t="s">
        <v>196</v>
      </c>
      <c r="C364" s="229" t="s">
        <v>197</v>
      </c>
      <c r="D364" s="229" t="s">
        <v>309</v>
      </c>
      <c r="E364" s="238">
        <v>-58.0</v>
      </c>
      <c r="F364" s="239">
        <v>48.0199</v>
      </c>
      <c r="G364" s="233">
        <v>2785.16</v>
      </c>
      <c r="H364" s="230" t="s">
        <v>648</v>
      </c>
      <c r="I364" s="235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-441.96</v>
      </c>
      <c r="J364" s="235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-272.3325681</v>
      </c>
    </row>
    <row r="365">
      <c r="A365" s="184">
        <v>43620.0</v>
      </c>
      <c r="B365" s="229"/>
      <c r="C365" s="229"/>
      <c r="D365" s="229" t="s">
        <v>332</v>
      </c>
      <c r="E365" s="238"/>
      <c r="F365" s="239"/>
      <c r="G365" s="233">
        <v>-100.0</v>
      </c>
      <c r="H365" s="230" t="s">
        <v>368</v>
      </c>
      <c r="I365" s="235" t="str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/>
      </c>
      <c r="J365" s="235" t="str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/>
      </c>
    </row>
    <row r="366">
      <c r="A366" s="184">
        <v>43620.0</v>
      </c>
      <c r="B366" s="229" t="s">
        <v>182</v>
      </c>
      <c r="C366" s="229" t="s">
        <v>183</v>
      </c>
      <c r="D366" s="229" t="s">
        <v>309</v>
      </c>
      <c r="E366" s="238">
        <v>-9.0</v>
      </c>
      <c r="F366" s="239">
        <v>112.4</v>
      </c>
      <c r="G366" s="233">
        <v>1011.6</v>
      </c>
      <c r="H366" s="230" t="s">
        <v>649</v>
      </c>
      <c r="I366" s="235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-379.35</v>
      </c>
      <c r="J366" s="235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-271.1514397</v>
      </c>
    </row>
    <row r="367">
      <c r="A367" s="184">
        <v>43619.0</v>
      </c>
      <c r="B367" s="229" t="s">
        <v>186</v>
      </c>
      <c r="C367" s="229" t="s">
        <v>187</v>
      </c>
      <c r="D367" s="229" t="s">
        <v>329</v>
      </c>
      <c r="E367" s="238"/>
      <c r="F367" s="239"/>
      <c r="G367" s="233">
        <v>-173.19</v>
      </c>
      <c r="H367" s="230" t="s">
        <v>650</v>
      </c>
      <c r="I367" s="235" t="str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/>
      </c>
      <c r="J367" s="235" t="str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/>
      </c>
    </row>
    <row r="368">
      <c r="A368" s="184">
        <v>43619.0</v>
      </c>
      <c r="B368" s="229" t="s">
        <v>192</v>
      </c>
      <c r="C368" s="229" t="s">
        <v>193</v>
      </c>
      <c r="D368" s="229" t="s">
        <v>309</v>
      </c>
      <c r="E368" s="238">
        <v>-512.0</v>
      </c>
      <c r="F368" s="239">
        <v>4.4825</v>
      </c>
      <c r="G368" s="233">
        <v>2295.04</v>
      </c>
      <c r="H368" s="230" t="s">
        <v>651</v>
      </c>
      <c r="I368" s="235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-296.704</v>
      </c>
      <c r="J368" s="235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-352.7855315</v>
      </c>
    </row>
    <row r="369">
      <c r="A369" s="184">
        <v>43619.0</v>
      </c>
      <c r="B369" s="229" t="s">
        <v>192</v>
      </c>
      <c r="C369" s="229" t="s">
        <v>193</v>
      </c>
      <c r="D369" s="229" t="s">
        <v>325</v>
      </c>
      <c r="E369" s="238"/>
      <c r="F369" s="239"/>
      <c r="G369" s="233">
        <v>-2.46</v>
      </c>
      <c r="H369" s="230" t="s">
        <v>652</v>
      </c>
      <c r="I369" s="235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-2.46</v>
      </c>
      <c r="J369" s="235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-2.46</v>
      </c>
    </row>
    <row r="370">
      <c r="A370" s="184">
        <v>43619.0</v>
      </c>
      <c r="B370" s="229" t="s">
        <v>186</v>
      </c>
      <c r="C370" s="229" t="s">
        <v>187</v>
      </c>
      <c r="D370" s="229" t="s">
        <v>309</v>
      </c>
      <c r="E370" s="238">
        <v>-7.0</v>
      </c>
      <c r="F370" s="239">
        <v>179.42</v>
      </c>
      <c r="G370" s="233">
        <v>1255.94</v>
      </c>
      <c r="H370" s="230" t="s">
        <v>653</v>
      </c>
      <c r="I370" s="235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-61.6</v>
      </c>
      <c r="J370" s="235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-93.13132296</v>
      </c>
    </row>
    <row r="371">
      <c r="A371" s="184">
        <v>43619.0</v>
      </c>
      <c r="B371" s="229" t="s">
        <v>182</v>
      </c>
      <c r="C371" s="229" t="s">
        <v>183</v>
      </c>
      <c r="D371" s="229" t="s">
        <v>309</v>
      </c>
      <c r="E371" s="238">
        <v>-10.0</v>
      </c>
      <c r="F371" s="239">
        <v>112.29</v>
      </c>
      <c r="G371" s="233">
        <v>1122.9</v>
      </c>
      <c r="H371" s="230" t="s">
        <v>654</v>
      </c>
      <c r="I371" s="235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-422.6</v>
      </c>
      <c r="J371" s="235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-302.3793774</v>
      </c>
    </row>
    <row r="372">
      <c r="A372" s="184">
        <v>43619.0</v>
      </c>
      <c r="B372" s="229" t="s">
        <v>192</v>
      </c>
      <c r="C372" s="229" t="s">
        <v>193</v>
      </c>
      <c r="D372" s="229" t="s">
        <v>309</v>
      </c>
      <c r="E372" s="238">
        <v>-871.0</v>
      </c>
      <c r="F372" s="239">
        <v>4.4625</v>
      </c>
      <c r="G372" s="233">
        <v>3886.84</v>
      </c>
      <c r="H372" s="230" t="s">
        <v>655</v>
      </c>
      <c r="I372" s="235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-522.162</v>
      </c>
      <c r="J372" s="235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-617.5663241</v>
      </c>
    </row>
    <row r="373">
      <c r="A373" s="184">
        <v>43619.0</v>
      </c>
      <c r="B373" s="229" t="s">
        <v>192</v>
      </c>
      <c r="C373" s="229" t="s">
        <v>193</v>
      </c>
      <c r="D373" s="229" t="s">
        <v>325</v>
      </c>
      <c r="E373" s="238"/>
      <c r="F373" s="239"/>
      <c r="G373" s="233">
        <v>-2.78</v>
      </c>
      <c r="H373" s="230" t="s">
        <v>656</v>
      </c>
      <c r="I373" s="235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-2.78</v>
      </c>
      <c r="J373" s="235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-2.78</v>
      </c>
    </row>
    <row r="374">
      <c r="A374" s="184">
        <v>43616.0</v>
      </c>
      <c r="B374" s="229" t="s">
        <v>186</v>
      </c>
      <c r="C374" s="229" t="s">
        <v>187</v>
      </c>
      <c r="D374" s="229" t="s">
        <v>329</v>
      </c>
      <c r="E374" s="238"/>
      <c r="F374" s="239"/>
      <c r="G374" s="233">
        <v>33.7</v>
      </c>
      <c r="H374" s="237" t="s">
        <v>657</v>
      </c>
      <c r="I374" s="235" t="str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/>
      </c>
      <c r="J374" s="235" t="str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/>
      </c>
    </row>
    <row r="375">
      <c r="A375" s="184">
        <v>43616.0</v>
      </c>
      <c r="B375" s="229" t="s">
        <v>186</v>
      </c>
      <c r="C375" s="229" t="s">
        <v>187</v>
      </c>
      <c r="D375" s="229" t="s">
        <v>329</v>
      </c>
      <c r="E375" s="238"/>
      <c r="F375" s="239"/>
      <c r="G375" s="233">
        <v>1556.2</v>
      </c>
      <c r="H375" s="230" t="s">
        <v>658</v>
      </c>
      <c r="I375" s="235" t="str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/>
      </c>
      <c r="J375" s="235" t="str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/>
      </c>
    </row>
    <row r="376">
      <c r="A376" s="184">
        <v>43616.0</v>
      </c>
      <c r="B376" s="229"/>
      <c r="C376" s="229"/>
      <c r="D376" s="229" t="s">
        <v>325</v>
      </c>
      <c r="E376" s="238"/>
      <c r="F376" s="239"/>
      <c r="G376" s="233">
        <v>-569.48</v>
      </c>
      <c r="H376" s="230" t="s">
        <v>659</v>
      </c>
      <c r="I376" s="235" t="str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/>
      </c>
      <c r="J376" s="235" t="str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/>
      </c>
    </row>
    <row r="377">
      <c r="A377" s="184">
        <v>43616.0</v>
      </c>
      <c r="B377" s="229" t="s">
        <v>192</v>
      </c>
      <c r="C377" s="229" t="s">
        <v>193</v>
      </c>
      <c r="D377" s="229" t="s">
        <v>309</v>
      </c>
      <c r="E377" s="238">
        <v>-298.0</v>
      </c>
      <c r="F377" s="239">
        <v>4.4304</v>
      </c>
      <c r="G377" s="233">
        <v>1320.26</v>
      </c>
      <c r="H377" s="230" t="s">
        <v>660</v>
      </c>
      <c r="I377" s="235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-188.216</v>
      </c>
      <c r="J377" s="235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-220.8572039</v>
      </c>
    </row>
    <row r="378">
      <c r="A378" s="184">
        <v>43616.0</v>
      </c>
      <c r="B378" s="229" t="s">
        <v>192</v>
      </c>
      <c r="C378" s="229" t="s">
        <v>193</v>
      </c>
      <c r="D378" s="229" t="s">
        <v>325</v>
      </c>
      <c r="E378" s="238"/>
      <c r="F378" s="239"/>
      <c r="G378" s="233">
        <v>-2.26</v>
      </c>
      <c r="H378" s="230" t="s">
        <v>661</v>
      </c>
      <c r="I378" s="235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-2.26</v>
      </c>
      <c r="J378" s="235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-2.26</v>
      </c>
    </row>
    <row r="379">
      <c r="A379" s="184">
        <v>43616.0</v>
      </c>
      <c r="B379" s="229" t="s">
        <v>186</v>
      </c>
      <c r="C379" s="229" t="s">
        <v>187</v>
      </c>
      <c r="D379" s="229" t="s">
        <v>309</v>
      </c>
      <c r="E379" s="238">
        <v>-6.0</v>
      </c>
      <c r="F379" s="239">
        <v>178.2999</v>
      </c>
      <c r="G379" s="233">
        <v>1069.8</v>
      </c>
      <c r="H379" s="230" t="s">
        <v>662</v>
      </c>
      <c r="I379" s="235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-59.52</v>
      </c>
      <c r="J379" s="235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-86.54684825</v>
      </c>
    </row>
    <row r="380">
      <c r="A380" s="184">
        <v>43616.0</v>
      </c>
      <c r="B380" s="229" t="s">
        <v>182</v>
      </c>
      <c r="C380" s="229" t="s">
        <v>183</v>
      </c>
      <c r="D380" s="229" t="s">
        <v>309</v>
      </c>
      <c r="E380" s="238">
        <v>-10.0</v>
      </c>
      <c r="F380" s="239">
        <v>110.96</v>
      </c>
      <c r="G380" s="233">
        <v>1109.6</v>
      </c>
      <c r="H380" s="230" t="s">
        <v>663</v>
      </c>
      <c r="I380" s="235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-435.9</v>
      </c>
      <c r="J380" s="235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-315.6793774</v>
      </c>
    </row>
    <row r="381">
      <c r="A381" s="184">
        <v>43616.0</v>
      </c>
      <c r="B381" s="229" t="s">
        <v>186</v>
      </c>
      <c r="C381" s="229" t="s">
        <v>187</v>
      </c>
      <c r="D381" s="229" t="s">
        <v>309</v>
      </c>
      <c r="E381" s="238">
        <v>-6.0</v>
      </c>
      <c r="F381" s="239">
        <v>178.73</v>
      </c>
      <c r="G381" s="233">
        <v>1072.38</v>
      </c>
      <c r="H381" s="230" t="s">
        <v>664</v>
      </c>
      <c r="I381" s="235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-56.94</v>
      </c>
      <c r="J381" s="235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-83.96684825</v>
      </c>
    </row>
    <row r="382">
      <c r="A382" s="184">
        <v>43616.0</v>
      </c>
      <c r="B382" s="229" t="s">
        <v>192</v>
      </c>
      <c r="C382" s="229" t="s">
        <v>193</v>
      </c>
      <c r="D382" s="229" t="s">
        <v>309</v>
      </c>
      <c r="E382" s="238">
        <v>-1131.0</v>
      </c>
      <c r="F382" s="239">
        <v>4.4368</v>
      </c>
      <c r="G382" s="233">
        <v>5018.13</v>
      </c>
      <c r="H382" s="230" t="s">
        <v>665</v>
      </c>
      <c r="I382" s="235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-706.992</v>
      </c>
      <c r="J382" s="235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-830.8752268</v>
      </c>
    </row>
    <row r="383">
      <c r="A383" s="184">
        <v>43616.0</v>
      </c>
      <c r="B383" s="229" t="s">
        <v>192</v>
      </c>
      <c r="C383" s="229" t="s">
        <v>193</v>
      </c>
      <c r="D383" s="229" t="s">
        <v>325</v>
      </c>
      <c r="E383" s="238"/>
      <c r="F383" s="239"/>
      <c r="G383" s="233">
        <v>-3.0</v>
      </c>
      <c r="H383" s="230" t="s">
        <v>666</v>
      </c>
      <c r="I383" s="235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-3</v>
      </c>
      <c r="J383" s="235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-3</v>
      </c>
    </row>
    <row r="384">
      <c r="A384" s="184">
        <v>43614.0</v>
      </c>
      <c r="B384" s="229" t="s">
        <v>192</v>
      </c>
      <c r="C384" s="229" t="s">
        <v>193</v>
      </c>
      <c r="D384" s="229" t="s">
        <v>309</v>
      </c>
      <c r="E384" s="238">
        <v>-1016.0</v>
      </c>
      <c r="F384" s="239">
        <v>4.3762</v>
      </c>
      <c r="G384" s="233">
        <v>4446.32</v>
      </c>
      <c r="H384" s="230" t="s">
        <v>667</v>
      </c>
      <c r="I384" s="235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-696.672</v>
      </c>
      <c r="J384" s="235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-807.9587891</v>
      </c>
    </row>
    <row r="385">
      <c r="A385" s="184">
        <v>43614.0</v>
      </c>
      <c r="B385" s="229" t="s">
        <v>192</v>
      </c>
      <c r="C385" s="229" t="s">
        <v>193</v>
      </c>
      <c r="D385" s="229" t="s">
        <v>325</v>
      </c>
      <c r="E385" s="238"/>
      <c r="F385" s="239"/>
      <c r="G385" s="233">
        <v>-2.89</v>
      </c>
      <c r="H385" s="230" t="s">
        <v>668</v>
      </c>
      <c r="I385" s="235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-2.89</v>
      </c>
      <c r="J385" s="235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-2.89</v>
      </c>
    </row>
    <row r="386">
      <c r="A386" s="184">
        <v>43613.0</v>
      </c>
      <c r="B386" s="229" t="s">
        <v>192</v>
      </c>
      <c r="C386" s="229" t="s">
        <v>193</v>
      </c>
      <c r="D386" s="229" t="s">
        <v>309</v>
      </c>
      <c r="E386" s="238">
        <v>-258.0</v>
      </c>
      <c r="F386" s="239">
        <v>4.3348</v>
      </c>
      <c r="G386" s="233">
        <v>1118.4</v>
      </c>
      <c r="H386" s="230" t="s">
        <v>669</v>
      </c>
      <c r="I386" s="235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-187.596</v>
      </c>
      <c r="J386" s="235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-215.8558342</v>
      </c>
    </row>
    <row r="387">
      <c r="A387" s="184">
        <v>43613.0</v>
      </c>
      <c r="B387" s="229" t="s">
        <v>192</v>
      </c>
      <c r="C387" s="229" t="s">
        <v>193</v>
      </c>
      <c r="D387" s="229" t="s">
        <v>325</v>
      </c>
      <c r="E387" s="238"/>
      <c r="F387" s="239"/>
      <c r="G387" s="233">
        <v>-2.22</v>
      </c>
      <c r="H387" s="230" t="s">
        <v>374</v>
      </c>
      <c r="I387" s="235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-2.22</v>
      </c>
      <c r="J387" s="235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-2.22</v>
      </c>
    </row>
    <row r="388">
      <c r="A388" s="184">
        <v>43609.0</v>
      </c>
      <c r="B388" s="229" t="s">
        <v>192</v>
      </c>
      <c r="C388" s="229" t="s">
        <v>193</v>
      </c>
      <c r="D388" s="229" t="s">
        <v>309</v>
      </c>
      <c r="E388" s="238">
        <v>-249.0</v>
      </c>
      <c r="F388" s="239">
        <v>4.2953</v>
      </c>
      <c r="G388" s="233">
        <v>1069.53</v>
      </c>
      <c r="H388" s="230" t="s">
        <v>670</v>
      </c>
      <c r="I388" s="235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-190.908</v>
      </c>
      <c r="J388" s="235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-218.1820261</v>
      </c>
    </row>
    <row r="389">
      <c r="A389" s="184">
        <v>43609.0</v>
      </c>
      <c r="B389" s="229" t="s">
        <v>192</v>
      </c>
      <c r="C389" s="229" t="s">
        <v>193</v>
      </c>
      <c r="D389" s="229" t="s">
        <v>325</v>
      </c>
      <c r="E389" s="238"/>
      <c r="F389" s="239"/>
      <c r="G389" s="233">
        <v>-2.21</v>
      </c>
      <c r="H389" s="230" t="s">
        <v>600</v>
      </c>
      <c r="I389" s="235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-2.21</v>
      </c>
      <c r="J389" s="235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-2.21</v>
      </c>
    </row>
    <row r="390">
      <c r="A390" s="184">
        <v>43608.0</v>
      </c>
      <c r="B390" s="229" t="s">
        <v>192</v>
      </c>
      <c r="C390" s="229" t="s">
        <v>193</v>
      </c>
      <c r="D390" s="229" t="s">
        <v>309</v>
      </c>
      <c r="E390" s="238">
        <v>-277.0</v>
      </c>
      <c r="F390" s="239">
        <v>4.3067</v>
      </c>
      <c r="G390" s="233">
        <v>1192.96</v>
      </c>
      <c r="H390" s="230" t="s">
        <v>671</v>
      </c>
      <c r="I390" s="235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-209.214</v>
      </c>
      <c r="J390" s="235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-239.5549848</v>
      </c>
    </row>
    <row r="391">
      <c r="A391" s="184">
        <v>43608.0</v>
      </c>
      <c r="B391" s="229" t="s">
        <v>192</v>
      </c>
      <c r="C391" s="229" t="s">
        <v>193</v>
      </c>
      <c r="D391" s="229" t="s">
        <v>325</v>
      </c>
      <c r="E391" s="238"/>
      <c r="F391" s="239"/>
      <c r="G391" s="233">
        <v>-2.24</v>
      </c>
      <c r="H391" s="230" t="s">
        <v>672</v>
      </c>
      <c r="I391" s="235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-2.24</v>
      </c>
      <c r="J391" s="235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-2.24</v>
      </c>
    </row>
    <row r="392">
      <c r="A392" s="184">
        <v>43608.0</v>
      </c>
      <c r="B392" s="229" t="s">
        <v>192</v>
      </c>
      <c r="C392" s="229" t="s">
        <v>193</v>
      </c>
      <c r="D392" s="229" t="s">
        <v>309</v>
      </c>
      <c r="E392" s="238">
        <v>-292.0</v>
      </c>
      <c r="F392" s="239">
        <v>4.2938</v>
      </c>
      <c r="G392" s="233">
        <v>1253.79</v>
      </c>
      <c r="H392" s="230" t="s">
        <v>673</v>
      </c>
      <c r="I392" s="235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-224.314</v>
      </c>
      <c r="J392" s="235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-256.2979984</v>
      </c>
    </row>
    <row r="393">
      <c r="A393" s="184">
        <v>43608.0</v>
      </c>
      <c r="B393" s="229" t="s">
        <v>192</v>
      </c>
      <c r="C393" s="229" t="s">
        <v>193</v>
      </c>
      <c r="D393" s="229" t="s">
        <v>325</v>
      </c>
      <c r="E393" s="238"/>
      <c r="F393" s="239"/>
      <c r="G393" s="233">
        <v>-2.25</v>
      </c>
      <c r="H393" s="230" t="s">
        <v>674</v>
      </c>
      <c r="I393" s="235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-2.25</v>
      </c>
      <c r="J393" s="235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-2.25</v>
      </c>
    </row>
    <row r="394">
      <c r="A394" s="184">
        <v>43608.0</v>
      </c>
      <c r="B394" s="229" t="s">
        <v>192</v>
      </c>
      <c r="C394" s="229" t="s">
        <v>193</v>
      </c>
      <c r="D394" s="229" t="s">
        <v>309</v>
      </c>
      <c r="E394" s="238">
        <v>-251.0</v>
      </c>
      <c r="F394" s="239">
        <v>4.278</v>
      </c>
      <c r="G394" s="233">
        <v>1073.78</v>
      </c>
      <c r="H394" s="230" t="s">
        <v>675</v>
      </c>
      <c r="I394" s="235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-196.782</v>
      </c>
      <c r="J394" s="235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-224.2750946</v>
      </c>
    </row>
    <row r="395">
      <c r="A395" s="184">
        <v>43608.0</v>
      </c>
      <c r="B395" s="229" t="s">
        <v>192</v>
      </c>
      <c r="C395" s="229" t="s">
        <v>193</v>
      </c>
      <c r="D395" s="229" t="s">
        <v>325</v>
      </c>
      <c r="E395" s="238"/>
      <c r="F395" s="239"/>
      <c r="G395" s="233">
        <v>-2.21</v>
      </c>
      <c r="H395" s="230" t="s">
        <v>600</v>
      </c>
      <c r="I395" s="235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-2.21</v>
      </c>
      <c r="J395" s="235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-2.21</v>
      </c>
    </row>
    <row r="396">
      <c r="A396" s="184">
        <v>43600.0</v>
      </c>
      <c r="B396" s="229" t="s">
        <v>186</v>
      </c>
      <c r="C396" s="229" t="s">
        <v>187</v>
      </c>
      <c r="D396" s="229" t="s">
        <v>309</v>
      </c>
      <c r="E396" s="238">
        <v>-6.0</v>
      </c>
      <c r="F396" s="239">
        <v>177.46</v>
      </c>
      <c r="G396" s="233">
        <v>1064.76</v>
      </c>
      <c r="H396" s="230" t="s">
        <v>676</v>
      </c>
      <c r="I396" s="235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-64.56</v>
      </c>
      <c r="J396" s="235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-91.58684825</v>
      </c>
    </row>
    <row r="397">
      <c r="A397" s="184">
        <v>43599.0</v>
      </c>
      <c r="B397" s="229" t="s">
        <v>177</v>
      </c>
      <c r="C397" s="229" t="s">
        <v>180</v>
      </c>
      <c r="D397" s="229" t="s">
        <v>308</v>
      </c>
      <c r="E397" s="238">
        <v>461.0</v>
      </c>
      <c r="F397" s="239">
        <v>7.13</v>
      </c>
      <c r="G397" s="233">
        <v>-3286.93</v>
      </c>
      <c r="H397" s="230" t="s">
        <v>677</v>
      </c>
      <c r="I397" s="235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-345.75</v>
      </c>
      <c r="J397" s="235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-277.4089922</v>
      </c>
    </row>
    <row r="398">
      <c r="A398" s="184">
        <v>43598.0</v>
      </c>
      <c r="B398" s="229" t="s">
        <v>192</v>
      </c>
      <c r="C398" s="229" t="s">
        <v>193</v>
      </c>
      <c r="D398" s="229" t="s">
        <v>309</v>
      </c>
      <c r="E398" s="238">
        <v>-552.0</v>
      </c>
      <c r="F398" s="239">
        <v>4.2044</v>
      </c>
      <c r="G398" s="233">
        <v>2320.83</v>
      </c>
      <c r="H398" s="230" t="s">
        <v>678</v>
      </c>
      <c r="I398" s="235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-473.394</v>
      </c>
      <c r="J398" s="235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-533.8569012</v>
      </c>
    </row>
    <row r="399">
      <c r="A399" s="184">
        <v>43598.0</v>
      </c>
      <c r="B399" s="229" t="s">
        <v>192</v>
      </c>
      <c r="C399" s="229" t="s">
        <v>193</v>
      </c>
      <c r="D399" s="229" t="s">
        <v>325</v>
      </c>
      <c r="E399" s="238"/>
      <c r="F399" s="239"/>
      <c r="G399" s="233">
        <v>-2.46</v>
      </c>
      <c r="H399" s="230" t="s">
        <v>652</v>
      </c>
      <c r="I399" s="235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-2.46</v>
      </c>
      <c r="J399" s="235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-2.46</v>
      </c>
    </row>
    <row r="400">
      <c r="A400" s="184">
        <v>43596.0</v>
      </c>
      <c r="B400" s="229"/>
      <c r="C400" s="229"/>
      <c r="D400" s="229" t="s">
        <v>332</v>
      </c>
      <c r="E400" s="238"/>
      <c r="F400" s="239"/>
      <c r="G400" s="233">
        <v>-500.0</v>
      </c>
      <c r="H400" s="230" t="s">
        <v>634</v>
      </c>
      <c r="I400" s="235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35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4">
        <v>43593.0</v>
      </c>
      <c r="B401" s="229" t="s">
        <v>192</v>
      </c>
      <c r="C401" s="229" t="s">
        <v>193</v>
      </c>
      <c r="D401" s="229" t="s">
        <v>309</v>
      </c>
      <c r="E401" s="238">
        <v>-412.0</v>
      </c>
      <c r="F401" s="239">
        <v>4.2208</v>
      </c>
      <c r="G401" s="233">
        <v>1738.97</v>
      </c>
      <c r="H401" s="230" t="s">
        <v>679</v>
      </c>
      <c r="I401" s="235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-346.574</v>
      </c>
      <c r="J401" s="235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-391.7021074</v>
      </c>
    </row>
    <row r="402">
      <c r="A402" s="184">
        <v>43593.0</v>
      </c>
      <c r="B402" s="229" t="s">
        <v>192</v>
      </c>
      <c r="C402" s="229" t="s">
        <v>193</v>
      </c>
      <c r="D402" s="229" t="s">
        <v>325</v>
      </c>
      <c r="E402" s="238"/>
      <c r="F402" s="239"/>
      <c r="G402" s="233">
        <v>-2.35</v>
      </c>
      <c r="H402" s="230" t="s">
        <v>565</v>
      </c>
      <c r="I402" s="235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-2.35</v>
      </c>
      <c r="J402" s="235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-2.35</v>
      </c>
    </row>
    <row r="403">
      <c r="A403" s="184">
        <v>43593.0</v>
      </c>
      <c r="B403" s="229" t="s">
        <v>186</v>
      </c>
      <c r="C403" s="229" t="s">
        <v>187</v>
      </c>
      <c r="D403" s="229" t="s">
        <v>309</v>
      </c>
      <c r="E403" s="238">
        <v>-7.0</v>
      </c>
      <c r="F403" s="239">
        <v>176.2</v>
      </c>
      <c r="G403" s="233">
        <v>1233.4</v>
      </c>
      <c r="H403" s="230" t="s">
        <v>680</v>
      </c>
      <c r="I403" s="235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-84.14</v>
      </c>
      <c r="J403" s="235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-115.671323</v>
      </c>
    </row>
    <row r="404">
      <c r="A404" s="184">
        <v>43593.0</v>
      </c>
      <c r="B404" s="229" t="s">
        <v>192</v>
      </c>
      <c r="C404" s="229" t="s">
        <v>193</v>
      </c>
      <c r="D404" s="229" t="s">
        <v>309</v>
      </c>
      <c r="E404" s="238">
        <v>-388.0</v>
      </c>
      <c r="F404" s="239">
        <v>4.211</v>
      </c>
      <c r="G404" s="233">
        <v>1633.87</v>
      </c>
      <c r="H404" s="230" t="s">
        <v>681</v>
      </c>
      <c r="I404" s="235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-330.186</v>
      </c>
      <c r="J404" s="235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-372.6852856</v>
      </c>
    </row>
    <row r="405">
      <c r="A405" s="184">
        <v>43593.0</v>
      </c>
      <c r="B405" s="229" t="s">
        <v>192</v>
      </c>
      <c r="C405" s="229" t="s">
        <v>193</v>
      </c>
      <c r="D405" s="229" t="s">
        <v>325</v>
      </c>
      <c r="E405" s="238"/>
      <c r="F405" s="239"/>
      <c r="G405" s="233">
        <v>-2.33</v>
      </c>
      <c r="H405" s="230" t="s">
        <v>682</v>
      </c>
      <c r="I405" s="235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-2.33</v>
      </c>
      <c r="J405" s="235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-2.33</v>
      </c>
    </row>
    <row r="406">
      <c r="A406" s="184">
        <v>43592.0</v>
      </c>
      <c r="B406" s="229" t="s">
        <v>192</v>
      </c>
      <c r="C406" s="229" t="s">
        <v>193</v>
      </c>
      <c r="D406" s="229" t="s">
        <v>309</v>
      </c>
      <c r="E406" s="238">
        <v>-277.0</v>
      </c>
      <c r="F406" s="239">
        <v>4.198</v>
      </c>
      <c r="G406" s="233">
        <v>1162.85</v>
      </c>
      <c r="H406" s="230" t="s">
        <v>683</v>
      </c>
      <c r="I406" s="235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-239.324</v>
      </c>
      <c r="J406" s="235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-269.6649848</v>
      </c>
    </row>
    <row r="407">
      <c r="A407" s="184">
        <v>43592.0</v>
      </c>
      <c r="B407" s="229" t="s">
        <v>192</v>
      </c>
      <c r="C407" s="229" t="s">
        <v>193</v>
      </c>
      <c r="D407" s="229" t="s">
        <v>325</v>
      </c>
      <c r="E407" s="238"/>
      <c r="F407" s="239"/>
      <c r="G407" s="233">
        <v>-2.23</v>
      </c>
      <c r="H407" s="230" t="s">
        <v>684</v>
      </c>
      <c r="I407" s="235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-2.23</v>
      </c>
      <c r="J407" s="235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-2.23</v>
      </c>
    </row>
    <row r="408">
      <c r="A408" s="184">
        <v>43591.0</v>
      </c>
      <c r="B408" s="229" t="s">
        <v>186</v>
      </c>
      <c r="C408" s="229" t="s">
        <v>187</v>
      </c>
      <c r="D408" s="229" t="s">
        <v>309</v>
      </c>
      <c r="E408" s="238">
        <v>-6.0</v>
      </c>
      <c r="F408" s="239">
        <v>175.51</v>
      </c>
      <c r="G408" s="233">
        <v>1053.06</v>
      </c>
      <c r="H408" s="230" t="s">
        <v>685</v>
      </c>
      <c r="I408" s="235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-76.26</v>
      </c>
      <c r="J408" s="235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-103.2868482</v>
      </c>
    </row>
    <row r="409">
      <c r="A409" s="184">
        <v>43591.0</v>
      </c>
      <c r="B409" s="229" t="s">
        <v>192</v>
      </c>
      <c r="C409" s="229" t="s">
        <v>193</v>
      </c>
      <c r="D409" s="229" t="s">
        <v>309</v>
      </c>
      <c r="E409" s="238">
        <v>-925.0</v>
      </c>
      <c r="F409" s="239">
        <v>4.1872</v>
      </c>
      <c r="G409" s="233">
        <v>3873.16</v>
      </c>
      <c r="H409" s="230" t="s">
        <v>686</v>
      </c>
      <c r="I409" s="235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-809.19</v>
      </c>
      <c r="J409" s="235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-910.5091732</v>
      </c>
    </row>
    <row r="410">
      <c r="A410" s="184">
        <v>43591.0</v>
      </c>
      <c r="B410" s="229" t="s">
        <v>192</v>
      </c>
      <c r="C410" s="229" t="s">
        <v>193</v>
      </c>
      <c r="D410" s="229" t="s">
        <v>325</v>
      </c>
      <c r="E410" s="238"/>
      <c r="F410" s="239"/>
      <c r="G410" s="233">
        <v>-2.77</v>
      </c>
      <c r="H410" s="230" t="s">
        <v>687</v>
      </c>
      <c r="I410" s="235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-2.77</v>
      </c>
      <c r="J410" s="235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-2.77</v>
      </c>
    </row>
    <row r="411">
      <c r="A411" s="184">
        <v>43588.0</v>
      </c>
      <c r="B411" s="229"/>
      <c r="C411" s="229"/>
      <c r="D411" s="229" t="s">
        <v>332</v>
      </c>
      <c r="E411" s="238"/>
      <c r="F411" s="239"/>
      <c r="G411" s="233">
        <v>-500.0</v>
      </c>
      <c r="H411" s="230" t="s">
        <v>634</v>
      </c>
      <c r="I411" s="235" t="str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/>
      </c>
      <c r="J411" s="235" t="str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/>
      </c>
    </row>
    <row r="412">
      <c r="A412" s="184">
        <v>43588.0</v>
      </c>
      <c r="B412" s="229" t="s">
        <v>192</v>
      </c>
      <c r="C412" s="229" t="s">
        <v>193</v>
      </c>
      <c r="D412" s="229" t="s">
        <v>309</v>
      </c>
      <c r="E412" s="238">
        <v>-295.0</v>
      </c>
      <c r="F412" s="239">
        <v>4.1686</v>
      </c>
      <c r="G412" s="233">
        <v>1229.74</v>
      </c>
      <c r="H412" s="230" t="s">
        <v>688</v>
      </c>
      <c r="I412" s="235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-263.55</v>
      </c>
      <c r="J412" s="235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-295.8626012</v>
      </c>
    </row>
    <row r="413">
      <c r="A413" s="184">
        <v>43588.0</v>
      </c>
      <c r="B413" s="229" t="s">
        <v>192</v>
      </c>
      <c r="C413" s="229" t="s">
        <v>193</v>
      </c>
      <c r="D413" s="229" t="s">
        <v>325</v>
      </c>
      <c r="E413" s="238"/>
      <c r="F413" s="239"/>
      <c r="G413" s="233">
        <v>-2.25</v>
      </c>
      <c r="H413" s="230" t="s">
        <v>674</v>
      </c>
      <c r="I413" s="235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-2.25</v>
      </c>
      <c r="J413" s="235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-2.25</v>
      </c>
    </row>
    <row r="414">
      <c r="A414" s="184">
        <v>43585.0</v>
      </c>
      <c r="B414" s="229"/>
      <c r="C414" s="229"/>
      <c r="D414" s="229" t="s">
        <v>325</v>
      </c>
      <c r="E414" s="238"/>
      <c r="F414" s="239"/>
      <c r="G414" s="233">
        <v>-547.92</v>
      </c>
      <c r="H414" s="230" t="s">
        <v>689</v>
      </c>
      <c r="I414" s="235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35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84">
        <v>43585.0</v>
      </c>
      <c r="B415" s="229"/>
      <c r="C415" s="229"/>
      <c r="D415" s="229" t="s">
        <v>325</v>
      </c>
      <c r="E415" s="238"/>
      <c r="F415" s="239"/>
      <c r="G415" s="233">
        <v>-2.5</v>
      </c>
      <c r="H415" s="230" t="s">
        <v>690</v>
      </c>
      <c r="I415" s="235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35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4">
        <v>43584.0</v>
      </c>
      <c r="B416" s="229" t="s">
        <v>196</v>
      </c>
      <c r="C416" s="229" t="s">
        <v>197</v>
      </c>
      <c r="D416" s="229" t="s">
        <v>309</v>
      </c>
      <c r="E416" s="238">
        <v>-25.0</v>
      </c>
      <c r="F416" s="239">
        <v>50.092</v>
      </c>
      <c r="G416" s="233">
        <v>1252.3</v>
      </c>
      <c r="H416" s="230" t="s">
        <v>691</v>
      </c>
      <c r="I416" s="235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-138.7</v>
      </c>
      <c r="J416" s="235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-65.58472763</v>
      </c>
    </row>
    <row r="417">
      <c r="A417" s="184">
        <v>43580.0</v>
      </c>
      <c r="B417" s="229" t="s">
        <v>192</v>
      </c>
      <c r="C417" s="229" t="s">
        <v>193</v>
      </c>
      <c r="D417" s="229" t="s">
        <v>309</v>
      </c>
      <c r="E417" s="238">
        <v>-544.0</v>
      </c>
      <c r="F417" s="239">
        <v>4.1629</v>
      </c>
      <c r="G417" s="233">
        <v>2264.67</v>
      </c>
      <c r="H417" s="230" t="s">
        <v>692</v>
      </c>
      <c r="I417" s="235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-489.058</v>
      </c>
      <c r="J417" s="235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-548.6446272</v>
      </c>
    </row>
    <row r="418">
      <c r="A418" s="184">
        <v>43580.0</v>
      </c>
      <c r="B418" s="229" t="s">
        <v>192</v>
      </c>
      <c r="C418" s="229" t="s">
        <v>193</v>
      </c>
      <c r="D418" s="229" t="s">
        <v>325</v>
      </c>
      <c r="E418" s="238"/>
      <c r="F418" s="239"/>
      <c r="G418" s="233">
        <v>-2.45</v>
      </c>
      <c r="H418" s="230" t="s">
        <v>606</v>
      </c>
      <c r="I418" s="235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-2.45</v>
      </c>
      <c r="J418" s="235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-2.45</v>
      </c>
    </row>
    <row r="419">
      <c r="A419" s="184">
        <v>43579.0</v>
      </c>
      <c r="B419" s="229" t="s">
        <v>186</v>
      </c>
      <c r="C419" s="229" t="s">
        <v>187</v>
      </c>
      <c r="D419" s="229" t="s">
        <v>309</v>
      </c>
      <c r="E419" s="238">
        <v>-6.0</v>
      </c>
      <c r="F419" s="239">
        <v>175.0</v>
      </c>
      <c r="G419" s="233">
        <v>1050.0</v>
      </c>
      <c r="H419" s="230" t="s">
        <v>693</v>
      </c>
      <c r="I419" s="235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-79.32</v>
      </c>
      <c r="J419" s="235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-106.3468482</v>
      </c>
    </row>
    <row r="420">
      <c r="A420" s="184">
        <v>43579.0</v>
      </c>
      <c r="B420" s="229" t="s">
        <v>196</v>
      </c>
      <c r="C420" s="229" t="s">
        <v>197</v>
      </c>
      <c r="D420" s="229" t="s">
        <v>309</v>
      </c>
      <c r="E420" s="238">
        <v>-21.0</v>
      </c>
      <c r="F420" s="239">
        <v>49.729</v>
      </c>
      <c r="G420" s="233">
        <v>1044.31</v>
      </c>
      <c r="H420" s="230" t="s">
        <v>694</v>
      </c>
      <c r="I420" s="235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-124.13</v>
      </c>
      <c r="J420" s="235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-62.71317121</v>
      </c>
    </row>
    <row r="421">
      <c r="A421" s="184">
        <v>43579.0</v>
      </c>
      <c r="B421" s="229" t="s">
        <v>192</v>
      </c>
      <c r="C421" s="229" t="s">
        <v>193</v>
      </c>
      <c r="D421" s="229" t="s">
        <v>309</v>
      </c>
      <c r="E421" s="238">
        <v>-330.0</v>
      </c>
      <c r="F421" s="239">
        <v>4.141</v>
      </c>
      <c r="G421" s="233">
        <v>1366.53</v>
      </c>
      <c r="H421" s="230" t="s">
        <v>695</v>
      </c>
      <c r="I421" s="235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-303.93</v>
      </c>
      <c r="J421" s="235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-340.0762996</v>
      </c>
    </row>
    <row r="422">
      <c r="A422" s="184">
        <v>43579.0</v>
      </c>
      <c r="B422" s="229" t="s">
        <v>192</v>
      </c>
      <c r="C422" s="229" t="s">
        <v>193</v>
      </c>
      <c r="D422" s="229" t="s">
        <v>325</v>
      </c>
      <c r="E422" s="238"/>
      <c r="F422" s="239"/>
      <c r="G422" s="233">
        <v>-2.27</v>
      </c>
      <c r="H422" s="230" t="s">
        <v>696</v>
      </c>
      <c r="I422" s="235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-2.27</v>
      </c>
      <c r="J422" s="235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-2.27</v>
      </c>
    </row>
    <row r="423">
      <c r="A423" s="184">
        <v>43579.0</v>
      </c>
      <c r="B423" s="229" t="s">
        <v>196</v>
      </c>
      <c r="C423" s="229" t="s">
        <v>197</v>
      </c>
      <c r="D423" s="229" t="s">
        <v>309</v>
      </c>
      <c r="E423" s="238">
        <v>-23.0</v>
      </c>
      <c r="F423" s="239">
        <v>49.6999</v>
      </c>
      <c r="G423" s="233">
        <v>1143.1</v>
      </c>
      <c r="H423" s="230" t="s">
        <v>697</v>
      </c>
      <c r="I423" s="235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-136.62</v>
      </c>
      <c r="J423" s="235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-69.35394942</v>
      </c>
    </row>
    <row r="424">
      <c r="A424" s="184">
        <v>43579.0</v>
      </c>
      <c r="B424" s="229" t="s">
        <v>192</v>
      </c>
      <c r="C424" s="229" t="s">
        <v>193</v>
      </c>
      <c r="D424" s="229" t="s">
        <v>309</v>
      </c>
      <c r="E424" s="238">
        <v>-320.0</v>
      </c>
      <c r="F424" s="239">
        <v>4.1356</v>
      </c>
      <c r="G424" s="233">
        <v>1323.42</v>
      </c>
      <c r="H424" s="230" t="s">
        <v>698</v>
      </c>
      <c r="I424" s="235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-296.42</v>
      </c>
      <c r="J424" s="235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-331.4709572</v>
      </c>
    </row>
    <row r="425">
      <c r="A425" s="184">
        <v>43579.0</v>
      </c>
      <c r="B425" s="229" t="s">
        <v>192</v>
      </c>
      <c r="C425" s="229" t="s">
        <v>193</v>
      </c>
      <c r="D425" s="229" t="s">
        <v>325</v>
      </c>
      <c r="E425" s="238"/>
      <c r="F425" s="239"/>
      <c r="G425" s="233">
        <v>-2.26</v>
      </c>
      <c r="H425" s="230" t="s">
        <v>661</v>
      </c>
      <c r="I425" s="235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-2.26</v>
      </c>
      <c r="J425" s="235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-2.26</v>
      </c>
    </row>
    <row r="426">
      <c r="A426" s="184">
        <v>43579.0</v>
      </c>
      <c r="B426" s="229" t="s">
        <v>186</v>
      </c>
      <c r="C426" s="229" t="s">
        <v>187</v>
      </c>
      <c r="D426" s="229" t="s">
        <v>309</v>
      </c>
      <c r="E426" s="238">
        <v>-6.0</v>
      </c>
      <c r="F426" s="239">
        <v>174.67</v>
      </c>
      <c r="G426" s="233">
        <v>1048.02</v>
      </c>
      <c r="H426" s="230" t="s">
        <v>699</v>
      </c>
      <c r="I426" s="235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-81.3</v>
      </c>
      <c r="J426" s="235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-108.3268482</v>
      </c>
    </row>
    <row r="427">
      <c r="A427" s="184">
        <v>43579.0</v>
      </c>
      <c r="B427" s="229" t="s">
        <v>192</v>
      </c>
      <c r="C427" s="229" t="s">
        <v>193</v>
      </c>
      <c r="D427" s="229" t="s">
        <v>309</v>
      </c>
      <c r="E427" s="238">
        <v>-285.0</v>
      </c>
      <c r="F427" s="239">
        <v>4.1217</v>
      </c>
      <c r="G427" s="233">
        <v>1174.71</v>
      </c>
      <c r="H427" s="230" t="s">
        <v>700</v>
      </c>
      <c r="I427" s="235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-267.96</v>
      </c>
      <c r="J427" s="235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-299.1772588</v>
      </c>
    </row>
    <row r="428">
      <c r="A428" s="184">
        <v>43579.0</v>
      </c>
      <c r="B428" s="229" t="s">
        <v>192</v>
      </c>
      <c r="C428" s="229" t="s">
        <v>193</v>
      </c>
      <c r="D428" s="229" t="s">
        <v>325</v>
      </c>
      <c r="E428" s="238"/>
      <c r="F428" s="239"/>
      <c r="G428" s="233">
        <v>-2.23</v>
      </c>
      <c r="H428" s="230" t="s">
        <v>684</v>
      </c>
      <c r="I428" s="235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-2.23</v>
      </c>
      <c r="J428" s="235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-2.23</v>
      </c>
    </row>
    <row r="429">
      <c r="A429" s="184">
        <v>43579.0</v>
      </c>
      <c r="B429" s="229" t="s">
        <v>196</v>
      </c>
      <c r="C429" s="229" t="s">
        <v>197</v>
      </c>
      <c r="D429" s="229" t="s">
        <v>309</v>
      </c>
      <c r="E429" s="238">
        <v>-25.0</v>
      </c>
      <c r="F429" s="239">
        <v>49.62</v>
      </c>
      <c r="G429" s="233">
        <v>1240.5</v>
      </c>
      <c r="H429" s="230" t="s">
        <v>701</v>
      </c>
      <c r="I429" s="235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-150.5</v>
      </c>
      <c r="J429" s="235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-77.38472763</v>
      </c>
    </row>
    <row r="430">
      <c r="A430" s="184">
        <v>43578.0</v>
      </c>
      <c r="B430" s="229" t="s">
        <v>196</v>
      </c>
      <c r="C430" s="229" t="s">
        <v>197</v>
      </c>
      <c r="D430" s="229" t="s">
        <v>309</v>
      </c>
      <c r="E430" s="238">
        <v>-25.0</v>
      </c>
      <c r="F430" s="239">
        <v>49.2048</v>
      </c>
      <c r="G430" s="233">
        <v>1230.12</v>
      </c>
      <c r="H430" s="230" t="s">
        <v>702</v>
      </c>
      <c r="I430" s="235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-160.88</v>
      </c>
      <c r="J430" s="235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-87.76472763</v>
      </c>
    </row>
    <row r="431">
      <c r="A431" s="184">
        <v>43578.0</v>
      </c>
      <c r="B431" s="229" t="s">
        <v>177</v>
      </c>
      <c r="C431" s="229" t="s">
        <v>180</v>
      </c>
      <c r="D431" s="229" t="s">
        <v>309</v>
      </c>
      <c r="E431" s="238">
        <v>-150.0</v>
      </c>
      <c r="F431" s="239">
        <v>7.43</v>
      </c>
      <c r="G431" s="233">
        <v>1114.5</v>
      </c>
      <c r="H431" s="230" t="s">
        <v>703</v>
      </c>
      <c r="I431" s="235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157.5</v>
      </c>
      <c r="J431" s="235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135.2632296</v>
      </c>
    </row>
    <row r="432">
      <c r="A432" s="184">
        <v>43573.0</v>
      </c>
      <c r="B432" s="229" t="s">
        <v>196</v>
      </c>
      <c r="C432" s="229" t="s">
        <v>197</v>
      </c>
      <c r="D432" s="229" t="s">
        <v>309</v>
      </c>
      <c r="E432" s="238">
        <v>-25.0</v>
      </c>
      <c r="F432" s="239">
        <v>49.03</v>
      </c>
      <c r="G432" s="233">
        <v>1225.75</v>
      </c>
      <c r="H432" s="230" t="s">
        <v>704</v>
      </c>
      <c r="I432" s="235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-165.25</v>
      </c>
      <c r="J432" s="235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-92.13472763</v>
      </c>
    </row>
    <row r="433">
      <c r="A433" s="184">
        <v>43573.0</v>
      </c>
      <c r="B433" s="229" t="s">
        <v>192</v>
      </c>
      <c r="C433" s="229" t="s">
        <v>193</v>
      </c>
      <c r="D433" s="229" t="s">
        <v>309</v>
      </c>
      <c r="E433" s="238">
        <v>-879.0</v>
      </c>
      <c r="F433" s="239">
        <v>4.0992</v>
      </c>
      <c r="G433" s="233">
        <v>3603.2</v>
      </c>
      <c r="H433" s="230" t="s">
        <v>705</v>
      </c>
      <c r="I433" s="235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-846.298</v>
      </c>
      <c r="J433" s="235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-942.5785981</v>
      </c>
    </row>
    <row r="434">
      <c r="A434" s="184">
        <v>43573.0</v>
      </c>
      <c r="B434" s="229" t="s">
        <v>192</v>
      </c>
      <c r="C434" s="229" t="s">
        <v>193</v>
      </c>
      <c r="D434" s="229" t="s">
        <v>325</v>
      </c>
      <c r="E434" s="238"/>
      <c r="F434" s="239"/>
      <c r="G434" s="233">
        <v>-2.72</v>
      </c>
      <c r="H434" s="230" t="s">
        <v>706</v>
      </c>
      <c r="I434" s="235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-2.72</v>
      </c>
      <c r="J434" s="235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-2.72</v>
      </c>
    </row>
    <row r="435">
      <c r="A435" s="184">
        <v>43571.0</v>
      </c>
      <c r="B435" s="229" t="s">
        <v>196</v>
      </c>
      <c r="C435" s="229" t="s">
        <v>197</v>
      </c>
      <c r="D435" s="229" t="s">
        <v>309</v>
      </c>
      <c r="E435" s="238">
        <v>-25.0</v>
      </c>
      <c r="F435" s="239">
        <v>48.99</v>
      </c>
      <c r="G435" s="233">
        <v>1224.75</v>
      </c>
      <c r="H435" s="230" t="s">
        <v>707</v>
      </c>
      <c r="I435" s="235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-166.25</v>
      </c>
      <c r="J435" s="235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-93.13472763</v>
      </c>
    </row>
    <row r="436">
      <c r="A436" s="184">
        <v>43570.0</v>
      </c>
      <c r="B436" s="229" t="s">
        <v>196</v>
      </c>
      <c r="C436" s="229" t="s">
        <v>197</v>
      </c>
      <c r="D436" s="229" t="s">
        <v>309</v>
      </c>
      <c r="E436" s="238">
        <v>-25.0</v>
      </c>
      <c r="F436" s="239">
        <v>48.7952</v>
      </c>
      <c r="G436" s="233">
        <v>1219.88</v>
      </c>
      <c r="H436" s="230" t="s">
        <v>708</v>
      </c>
      <c r="I436" s="235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-171.12</v>
      </c>
      <c r="J436" s="235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-98.00472763</v>
      </c>
    </row>
    <row r="437">
      <c r="A437" s="184">
        <v>43567.0</v>
      </c>
      <c r="B437" s="229" t="s">
        <v>192</v>
      </c>
      <c r="C437" s="229" t="s">
        <v>193</v>
      </c>
      <c r="D437" s="229" t="s">
        <v>308</v>
      </c>
      <c r="E437" s="238">
        <v>60580.0</v>
      </c>
      <c r="F437" s="239">
        <v>4.098</v>
      </c>
      <c r="G437" s="233">
        <v>-248256.84</v>
      </c>
      <c r="H437" s="230" t="s">
        <v>709</v>
      </c>
      <c r="I437" s="235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58399.12</v>
      </c>
      <c r="J437" s="235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65034.70433</v>
      </c>
    </row>
    <row r="438">
      <c r="A438" s="184">
        <v>43567.0</v>
      </c>
      <c r="B438" s="229" t="s">
        <v>192</v>
      </c>
      <c r="C438" s="229" t="s">
        <v>193</v>
      </c>
      <c r="D438" s="229" t="s">
        <v>325</v>
      </c>
      <c r="E438" s="238"/>
      <c r="F438" s="239"/>
      <c r="G438" s="233">
        <v>-51.65</v>
      </c>
      <c r="H438" s="230" t="s">
        <v>710</v>
      </c>
      <c r="I438" s="235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-51.65</v>
      </c>
      <c r="J438" s="235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-51.65</v>
      </c>
    </row>
    <row r="439">
      <c r="A439" s="184">
        <v>43567.0</v>
      </c>
      <c r="B439" s="229" t="s">
        <v>192</v>
      </c>
      <c r="C439" s="229" t="s">
        <v>193</v>
      </c>
      <c r="D439" s="229" t="s">
        <v>308</v>
      </c>
      <c r="E439" s="238">
        <v>12775.0</v>
      </c>
      <c r="F439" s="239">
        <v>4.098</v>
      </c>
      <c r="G439" s="233">
        <v>-52351.56</v>
      </c>
      <c r="H439" s="230" t="s">
        <v>711</v>
      </c>
      <c r="I439" s="235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12315.49</v>
      </c>
      <c r="J439" s="235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13714.78993</v>
      </c>
    </row>
    <row r="440">
      <c r="A440" s="184">
        <v>43567.0</v>
      </c>
      <c r="B440" s="229" t="s">
        <v>192</v>
      </c>
      <c r="C440" s="229" t="s">
        <v>193</v>
      </c>
      <c r="D440" s="229" t="s">
        <v>325</v>
      </c>
      <c r="E440" s="238"/>
      <c r="F440" s="239"/>
      <c r="G440" s="233">
        <v>-12.47</v>
      </c>
      <c r="H440" s="230" t="s">
        <v>712</v>
      </c>
      <c r="I440" s="235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-12.47</v>
      </c>
      <c r="J440" s="235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-12.47</v>
      </c>
    </row>
    <row r="441">
      <c r="A441" s="184">
        <v>43567.0</v>
      </c>
      <c r="B441" s="229" t="s">
        <v>196</v>
      </c>
      <c r="C441" s="229" t="s">
        <v>197</v>
      </c>
      <c r="D441" s="229" t="s">
        <v>309</v>
      </c>
      <c r="E441" s="238">
        <v>-26.0</v>
      </c>
      <c r="F441" s="239">
        <v>48.69</v>
      </c>
      <c r="G441" s="233">
        <v>1265.94</v>
      </c>
      <c r="H441" s="230" t="s">
        <v>713</v>
      </c>
      <c r="I441" s="235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-180.7</v>
      </c>
      <c r="J441" s="235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-104.6601167</v>
      </c>
    </row>
    <row r="442">
      <c r="A442" s="184">
        <v>43565.0</v>
      </c>
      <c r="B442" s="229" t="s">
        <v>196</v>
      </c>
      <c r="C442" s="229" t="s">
        <v>197</v>
      </c>
      <c r="D442" s="229" t="s">
        <v>329</v>
      </c>
      <c r="E442" s="238"/>
      <c r="F442" s="239"/>
      <c r="G442" s="233">
        <v>-125.08</v>
      </c>
      <c r="H442" s="230" t="s">
        <v>714</v>
      </c>
      <c r="I442" s="235" t="str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/>
      </c>
      <c r="J442" s="235" t="str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/>
      </c>
    </row>
    <row r="443">
      <c r="A443" s="184">
        <v>43565.0</v>
      </c>
      <c r="B443" s="229" t="s">
        <v>196</v>
      </c>
      <c r="C443" s="229" t="s">
        <v>197</v>
      </c>
      <c r="D443" s="229" t="s">
        <v>329</v>
      </c>
      <c r="E443" s="240"/>
      <c r="F443" s="241"/>
      <c r="G443" s="233">
        <v>1098.21</v>
      </c>
      <c r="H443" s="230" t="s">
        <v>715</v>
      </c>
      <c r="I443" s="235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35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242">
        <v>43560.0</v>
      </c>
      <c r="B444" s="164" t="s">
        <v>196</v>
      </c>
      <c r="C444" s="229" t="s">
        <v>197</v>
      </c>
      <c r="D444" s="164" t="s">
        <v>309</v>
      </c>
      <c r="E444" s="240">
        <v>-30.0</v>
      </c>
      <c r="F444" s="241">
        <v>48.75</v>
      </c>
      <c r="G444" s="235">
        <v>1462.5</v>
      </c>
      <c r="H444" s="230" t="s">
        <v>716</v>
      </c>
      <c r="I444" s="235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-206.7</v>
      </c>
      <c r="J444" s="235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-118.9616732</v>
      </c>
    </row>
    <row r="445">
      <c r="A445" s="184">
        <v>43560.0</v>
      </c>
      <c r="B445" s="19" t="s">
        <v>177</v>
      </c>
      <c r="C445" s="19" t="s">
        <v>180</v>
      </c>
      <c r="D445" s="19" t="s">
        <v>309</v>
      </c>
      <c r="E445" s="50">
        <v>-155.0</v>
      </c>
      <c r="F445" s="232">
        <v>7.44</v>
      </c>
      <c r="G445" s="233">
        <v>1153.2</v>
      </c>
      <c r="H445" s="230" t="s">
        <v>717</v>
      </c>
      <c r="I445" s="235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164.3</v>
      </c>
      <c r="J445" s="235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141.3220039</v>
      </c>
    </row>
    <row r="446">
      <c r="A446" s="184">
        <v>43557.0</v>
      </c>
      <c r="B446" s="19" t="s">
        <v>177</v>
      </c>
      <c r="C446" s="19" t="s">
        <v>180</v>
      </c>
      <c r="D446" s="19" t="s">
        <v>309</v>
      </c>
      <c r="E446" s="50">
        <v>-145.0</v>
      </c>
      <c r="F446" s="232">
        <v>7.432</v>
      </c>
      <c r="G446" s="233">
        <v>1077.64</v>
      </c>
      <c r="H446" s="230" t="s">
        <v>718</v>
      </c>
      <c r="I446" s="235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152.54</v>
      </c>
      <c r="J446" s="235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131.0444553</v>
      </c>
    </row>
    <row r="447">
      <c r="A447" s="184">
        <v>43557.0</v>
      </c>
      <c r="B447" s="19" t="s">
        <v>177</v>
      </c>
      <c r="C447" s="19" t="s">
        <v>180</v>
      </c>
      <c r="D447" s="19" t="s">
        <v>309</v>
      </c>
      <c r="E447" s="50">
        <v>-220.0</v>
      </c>
      <c r="F447" s="232">
        <v>7.42</v>
      </c>
      <c r="G447" s="233">
        <v>1632.4</v>
      </c>
      <c r="H447" s="230" t="s">
        <v>719</v>
      </c>
      <c r="I447" s="235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228.8</v>
      </c>
      <c r="J447" s="235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196.18607</v>
      </c>
    </row>
    <row r="448">
      <c r="A448" s="184">
        <v>43557.0</v>
      </c>
      <c r="B448" s="19" t="s">
        <v>177</v>
      </c>
      <c r="C448" s="19" t="s">
        <v>180</v>
      </c>
      <c r="D448" s="19" t="s">
        <v>309</v>
      </c>
      <c r="E448" s="50">
        <v>-200.0</v>
      </c>
      <c r="F448" s="232">
        <v>7.42</v>
      </c>
      <c r="G448" s="233">
        <v>1484.0</v>
      </c>
      <c r="H448" s="230" t="s">
        <v>720</v>
      </c>
      <c r="I448" s="235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208</v>
      </c>
      <c r="J448" s="235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178.3509728</v>
      </c>
    </row>
    <row r="449">
      <c r="A449" s="184">
        <v>43556.0</v>
      </c>
      <c r="B449" s="19"/>
      <c r="C449" s="19"/>
      <c r="D449" s="19" t="s">
        <v>332</v>
      </c>
      <c r="E449" s="50"/>
      <c r="F449" s="232"/>
      <c r="G449" s="233">
        <v>-500.0</v>
      </c>
      <c r="H449" s="230" t="s">
        <v>634</v>
      </c>
      <c r="I449" s="235" t="str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/>
      </c>
      <c r="J449" s="235" t="str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/>
      </c>
    </row>
    <row r="450">
      <c r="A450" s="184">
        <v>43555.0</v>
      </c>
      <c r="B450" s="229"/>
      <c r="C450" s="229"/>
      <c r="D450" s="229" t="s">
        <v>325</v>
      </c>
      <c r="E450" s="238"/>
      <c r="F450" s="239"/>
      <c r="G450" s="233">
        <v>-618.92</v>
      </c>
      <c r="H450" s="230" t="s">
        <v>721</v>
      </c>
      <c r="I450" s="235" t="str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/>
      </c>
      <c r="J450" s="235" t="str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/>
      </c>
    </row>
    <row r="451">
      <c r="A451" s="184">
        <v>43549.0</v>
      </c>
      <c r="B451" s="19" t="s">
        <v>192</v>
      </c>
      <c r="C451" s="19" t="s">
        <v>722</v>
      </c>
      <c r="D451" s="19" t="s">
        <v>325</v>
      </c>
      <c r="E451" s="50"/>
      <c r="F451" s="232"/>
      <c r="G451" s="233">
        <v>-51.46</v>
      </c>
      <c r="H451" s="230" t="s">
        <v>723</v>
      </c>
      <c r="I451" s="235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-51.46</v>
      </c>
      <c r="J451" s="235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-51.46</v>
      </c>
    </row>
    <row r="452">
      <c r="A452" s="184">
        <v>43549.0</v>
      </c>
      <c r="B452" s="19" t="s">
        <v>192</v>
      </c>
      <c r="C452" s="19" t="s">
        <v>722</v>
      </c>
      <c r="D452" s="19" t="s">
        <v>309</v>
      </c>
      <c r="E452" s="50">
        <v>-60000.0</v>
      </c>
      <c r="F452" s="232">
        <v>4.113</v>
      </c>
      <c r="G452" s="233">
        <v>246774.25</v>
      </c>
      <c r="H452" s="230" t="s">
        <v>724</v>
      </c>
      <c r="I452" s="235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-56945.75</v>
      </c>
      <c r="J452" s="235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-63517.80447</v>
      </c>
    </row>
    <row r="453">
      <c r="A453" s="184">
        <v>43549.0</v>
      </c>
      <c r="B453" s="19" t="s">
        <v>192</v>
      </c>
      <c r="C453" s="19" t="s">
        <v>722</v>
      </c>
      <c r="D453" s="19" t="s">
        <v>325</v>
      </c>
      <c r="E453" s="50"/>
      <c r="F453" s="232"/>
      <c r="G453" s="233">
        <v>-12.88</v>
      </c>
      <c r="H453" s="230" t="s">
        <v>725</v>
      </c>
      <c r="I453" s="235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-12.88</v>
      </c>
      <c r="J453" s="235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-12.88</v>
      </c>
    </row>
    <row r="454">
      <c r="A454" s="184">
        <v>43549.0</v>
      </c>
      <c r="B454" s="19" t="s">
        <v>192</v>
      </c>
      <c r="C454" s="19" t="s">
        <v>722</v>
      </c>
      <c r="D454" s="19" t="s">
        <v>309</v>
      </c>
      <c r="E454" s="50">
        <v>-13195.0</v>
      </c>
      <c r="F454" s="232">
        <v>4.113</v>
      </c>
      <c r="G454" s="233">
        <v>54273.96</v>
      </c>
      <c r="H454" s="230" t="s">
        <v>726</v>
      </c>
      <c r="I454" s="235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-12519.13</v>
      </c>
      <c r="J454" s="235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-13964.43431</v>
      </c>
    </row>
    <row r="455">
      <c r="A455" s="184">
        <v>43543.0</v>
      </c>
      <c r="B455" s="19" t="s">
        <v>196</v>
      </c>
      <c r="C455" s="19" t="s">
        <v>197</v>
      </c>
      <c r="D455" s="19" t="s">
        <v>309</v>
      </c>
      <c r="E455" s="50">
        <v>-22.0</v>
      </c>
      <c r="F455" s="232">
        <v>47.68</v>
      </c>
      <c r="G455" s="233">
        <v>1048.96</v>
      </c>
      <c r="H455" s="230" t="s">
        <v>727</v>
      </c>
      <c r="I455" s="235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-175.12</v>
      </c>
      <c r="J455" s="235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-110.7785603</v>
      </c>
    </row>
    <row r="456">
      <c r="A456" s="184">
        <v>43532.0</v>
      </c>
      <c r="B456" s="19" t="s">
        <v>192</v>
      </c>
      <c r="C456" s="19" t="s">
        <v>722</v>
      </c>
      <c r="D456" s="19" t="s">
        <v>325</v>
      </c>
      <c r="E456" s="50"/>
      <c r="F456" s="232"/>
      <c r="G456" s="233">
        <v>-2.73</v>
      </c>
      <c r="H456" s="230" t="s">
        <v>728</v>
      </c>
      <c r="I456" s="235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-2.73</v>
      </c>
      <c r="J456" s="235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-2.73</v>
      </c>
    </row>
    <row r="457">
      <c r="A457" s="184">
        <v>43532.0</v>
      </c>
      <c r="B457" s="19" t="s">
        <v>192</v>
      </c>
      <c r="C457" s="19" t="s">
        <v>722</v>
      </c>
      <c r="D457" s="19" t="s">
        <v>309</v>
      </c>
      <c r="E457" s="50">
        <v>-900.0</v>
      </c>
      <c r="F457" s="232">
        <v>4.054</v>
      </c>
      <c r="G457" s="233">
        <v>3649.01</v>
      </c>
      <c r="H457" s="230" t="s">
        <v>729</v>
      </c>
      <c r="I457" s="235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-906.79</v>
      </c>
      <c r="J457" s="235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-1005.370817</v>
      </c>
    </row>
    <row r="458">
      <c r="A458" s="184">
        <v>43532.0</v>
      </c>
      <c r="B458" s="19" t="s">
        <v>177</v>
      </c>
      <c r="C458" s="19" t="s">
        <v>180</v>
      </c>
      <c r="D458" s="19" t="s">
        <v>308</v>
      </c>
      <c r="E458" s="50">
        <v>185.0</v>
      </c>
      <c r="F458" s="232">
        <v>7.298</v>
      </c>
      <c r="G458" s="233">
        <v>-1350.13</v>
      </c>
      <c r="H458" s="230" t="s">
        <v>730</v>
      </c>
      <c r="I458" s="235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-169.83</v>
      </c>
      <c r="J458" s="235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-142.4046498</v>
      </c>
    </row>
    <row r="459">
      <c r="A459" s="184">
        <v>43532.0</v>
      </c>
      <c r="B459" s="19" t="s">
        <v>186</v>
      </c>
      <c r="C459" s="19" t="s">
        <v>187</v>
      </c>
      <c r="D459" s="19" t="s">
        <v>309</v>
      </c>
      <c r="E459" s="50">
        <v>-8.0</v>
      </c>
      <c r="F459" s="232">
        <v>172.6</v>
      </c>
      <c r="G459" s="233">
        <v>1380.8</v>
      </c>
      <c r="H459" s="230" t="s">
        <v>731</v>
      </c>
      <c r="I459" s="235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-124.96</v>
      </c>
      <c r="J459" s="235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-160.9957977</v>
      </c>
    </row>
    <row r="460">
      <c r="A460" s="184">
        <v>43531.0</v>
      </c>
      <c r="B460" s="19" t="s">
        <v>192</v>
      </c>
      <c r="C460" s="19" t="s">
        <v>722</v>
      </c>
      <c r="D460" s="19" t="s">
        <v>309</v>
      </c>
      <c r="E460" s="50">
        <v>-10.0</v>
      </c>
      <c r="F460" s="232">
        <v>4.041</v>
      </c>
      <c r="G460" s="233">
        <v>40.41</v>
      </c>
      <c r="H460" s="230" t="s">
        <v>732</v>
      </c>
      <c r="I460" s="235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-10.21</v>
      </c>
      <c r="J460" s="235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-11.30534241</v>
      </c>
    </row>
    <row r="461">
      <c r="A461" s="184">
        <v>43531.0</v>
      </c>
      <c r="B461" s="19" t="s">
        <v>192</v>
      </c>
      <c r="C461" s="19" t="s">
        <v>722</v>
      </c>
      <c r="D461" s="19" t="s">
        <v>325</v>
      </c>
      <c r="E461" s="50"/>
      <c r="F461" s="232"/>
      <c r="G461" s="233">
        <v>-2.01</v>
      </c>
      <c r="H461" s="230" t="s">
        <v>733</v>
      </c>
      <c r="I461" s="235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-2.01</v>
      </c>
      <c r="J461" s="235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-2.01</v>
      </c>
    </row>
    <row r="462">
      <c r="A462" s="184">
        <v>43530.0</v>
      </c>
      <c r="B462" s="19" t="s">
        <v>186</v>
      </c>
      <c r="C462" s="19" t="s">
        <v>187</v>
      </c>
      <c r="D462" s="19" t="s">
        <v>309</v>
      </c>
      <c r="E462" s="50">
        <v>-6.0</v>
      </c>
      <c r="F462" s="232">
        <v>169.9</v>
      </c>
      <c r="G462" s="233">
        <v>1019.4</v>
      </c>
      <c r="H462" s="230" t="s">
        <v>734</v>
      </c>
      <c r="I462" s="235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-109.92</v>
      </c>
      <c r="J462" s="235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-136.9468482</v>
      </c>
    </row>
    <row r="463">
      <c r="A463" s="184">
        <v>43529.0</v>
      </c>
      <c r="B463" s="19"/>
      <c r="C463" s="19"/>
      <c r="D463" s="19" t="s">
        <v>332</v>
      </c>
      <c r="E463" s="50"/>
      <c r="F463" s="232"/>
      <c r="G463" s="233">
        <v>-700.0</v>
      </c>
      <c r="H463" s="230" t="s">
        <v>735</v>
      </c>
      <c r="I463" s="235" t="str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/>
      </c>
      <c r="J463" s="235" t="str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/>
      </c>
    </row>
    <row r="464">
      <c r="A464" s="184">
        <v>43528.0</v>
      </c>
      <c r="B464" s="19" t="s">
        <v>196</v>
      </c>
      <c r="C464" s="19" t="s">
        <v>197</v>
      </c>
      <c r="D464" s="19" t="s">
        <v>309</v>
      </c>
      <c r="E464" s="50">
        <v>-75.0</v>
      </c>
      <c r="F464" s="232">
        <v>47.18</v>
      </c>
      <c r="G464" s="233">
        <v>3538.5</v>
      </c>
      <c r="H464" s="230" t="s">
        <v>736</v>
      </c>
      <c r="I464" s="235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-634.5</v>
      </c>
      <c r="J464" s="235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-415.1541829</v>
      </c>
    </row>
    <row r="465">
      <c r="A465" s="184">
        <v>43524.0</v>
      </c>
      <c r="B465" s="229"/>
      <c r="C465" s="229"/>
      <c r="D465" s="229" t="s">
        <v>325</v>
      </c>
      <c r="E465" s="238"/>
      <c r="F465" s="239"/>
      <c r="G465" s="233">
        <v>-534.72</v>
      </c>
      <c r="H465" s="230" t="s">
        <v>737</v>
      </c>
      <c r="I465" s="235" t="str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/>
      </c>
      <c r="J465" s="235" t="str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/>
      </c>
    </row>
    <row r="466">
      <c r="A466" s="184">
        <v>43521.0</v>
      </c>
      <c r="B466" s="19" t="s">
        <v>196</v>
      </c>
      <c r="C466" s="19" t="s">
        <v>197</v>
      </c>
      <c r="D466" s="19" t="s">
        <v>309</v>
      </c>
      <c r="E466" s="50">
        <v>-29.0</v>
      </c>
      <c r="F466" s="232">
        <v>47.0248</v>
      </c>
      <c r="G466" s="233">
        <v>1363.72</v>
      </c>
      <c r="H466" s="230" t="s">
        <v>738</v>
      </c>
      <c r="I466" s="235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-249.84</v>
      </c>
      <c r="J466" s="235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-165.026284</v>
      </c>
    </row>
    <row r="467">
      <c r="A467" s="184">
        <v>43521.0</v>
      </c>
      <c r="B467" s="19" t="s">
        <v>196</v>
      </c>
      <c r="C467" s="19" t="s">
        <v>197</v>
      </c>
      <c r="D467" s="19" t="s">
        <v>309</v>
      </c>
      <c r="E467" s="50">
        <v>-1.0</v>
      </c>
      <c r="F467" s="232">
        <v>47.04</v>
      </c>
      <c r="G467" s="233">
        <v>47.04</v>
      </c>
      <c r="H467" s="230" t="s">
        <v>739</v>
      </c>
      <c r="I467" s="235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-8.6</v>
      </c>
      <c r="J467" s="235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-5.675389105</v>
      </c>
    </row>
    <row r="468">
      <c r="A468" s="184">
        <v>43509.0</v>
      </c>
      <c r="B468" s="19" t="s">
        <v>196</v>
      </c>
      <c r="C468" s="19" t="s">
        <v>197</v>
      </c>
      <c r="D468" s="19" t="s">
        <v>309</v>
      </c>
      <c r="E468" s="50">
        <v>-45.0</v>
      </c>
      <c r="F468" s="232">
        <v>46.45</v>
      </c>
      <c r="G468" s="233">
        <v>2090.25</v>
      </c>
      <c r="H468" s="230" t="s">
        <v>740</v>
      </c>
      <c r="I468" s="235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-413.55</v>
      </c>
      <c r="J468" s="235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-281.9425097</v>
      </c>
    </row>
    <row r="469">
      <c r="A469" s="184">
        <v>43509.0</v>
      </c>
      <c r="B469" s="19" t="s">
        <v>196</v>
      </c>
      <c r="C469" s="19" t="s">
        <v>197</v>
      </c>
      <c r="D469" s="19" t="s">
        <v>309</v>
      </c>
      <c r="E469" s="50">
        <v>-38.0</v>
      </c>
      <c r="F469" s="232">
        <v>46.135</v>
      </c>
      <c r="G469" s="233">
        <v>1753.13</v>
      </c>
      <c r="H469" s="230" t="s">
        <v>741</v>
      </c>
      <c r="I469" s="235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-361.19</v>
      </c>
      <c r="J469" s="235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-250.054786</v>
      </c>
    </row>
    <row r="470">
      <c r="A470" s="184">
        <v>43508.0</v>
      </c>
      <c r="B470" s="19" t="s">
        <v>196</v>
      </c>
      <c r="C470" s="19" t="s">
        <v>197</v>
      </c>
      <c r="D470" s="19" t="s">
        <v>309</v>
      </c>
      <c r="E470" s="50">
        <v>-14.0</v>
      </c>
      <c r="F470" s="232">
        <v>45.916</v>
      </c>
      <c r="G470" s="233">
        <v>642.83</v>
      </c>
      <c r="H470" s="230" t="s">
        <v>742</v>
      </c>
      <c r="I470" s="235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-136.13</v>
      </c>
      <c r="J470" s="235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-95.18544747</v>
      </c>
    </row>
    <row r="471">
      <c r="A471" s="184">
        <v>43508.0</v>
      </c>
      <c r="B471" s="19" t="s">
        <v>177</v>
      </c>
      <c r="C471" s="19" t="s">
        <v>180</v>
      </c>
      <c r="D471" s="19" t="s">
        <v>308</v>
      </c>
      <c r="E471" s="50">
        <v>170.0</v>
      </c>
      <c r="F471" s="232">
        <v>7.213</v>
      </c>
      <c r="G471" s="233">
        <v>-1226.21</v>
      </c>
      <c r="H471" s="230" t="s">
        <v>743</v>
      </c>
      <c r="I471" s="235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-141.61</v>
      </c>
      <c r="J471" s="235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-116.4083268</v>
      </c>
    </row>
    <row r="472">
      <c r="A472" s="184">
        <v>43508.0</v>
      </c>
      <c r="B472" s="19" t="s">
        <v>177</v>
      </c>
      <c r="C472" s="19" t="s">
        <v>180</v>
      </c>
      <c r="D472" s="19" t="s">
        <v>308</v>
      </c>
      <c r="E472" s="50">
        <v>30.0</v>
      </c>
      <c r="F472" s="232">
        <v>7.2139</v>
      </c>
      <c r="G472" s="233">
        <v>-216.42</v>
      </c>
      <c r="H472" s="230" t="s">
        <v>744</v>
      </c>
      <c r="I472" s="235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-25.02</v>
      </c>
      <c r="J472" s="235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-20.57264591</v>
      </c>
    </row>
    <row r="473">
      <c r="A473" s="184">
        <v>43508.0</v>
      </c>
      <c r="B473" s="19" t="s">
        <v>196</v>
      </c>
      <c r="C473" s="19" t="s">
        <v>197</v>
      </c>
      <c r="D473" s="19" t="s">
        <v>309</v>
      </c>
      <c r="E473" s="50">
        <v>-54.0</v>
      </c>
      <c r="F473" s="232">
        <v>45.9159</v>
      </c>
      <c r="G473" s="233">
        <v>2479.46</v>
      </c>
      <c r="H473" s="230" t="s">
        <v>745</v>
      </c>
      <c r="I473" s="235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-525.1</v>
      </c>
      <c r="J473" s="235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-367.1710117</v>
      </c>
    </row>
    <row r="474">
      <c r="A474" s="184">
        <v>43504.0</v>
      </c>
      <c r="B474" s="19" t="s">
        <v>192</v>
      </c>
      <c r="C474" s="19" t="s">
        <v>722</v>
      </c>
      <c r="D474" s="19" t="s">
        <v>309</v>
      </c>
      <c r="E474" s="50">
        <v>-270.0</v>
      </c>
      <c r="F474" s="232">
        <v>4.038</v>
      </c>
      <c r="G474" s="233">
        <v>1090.17</v>
      </c>
      <c r="H474" s="230" t="s">
        <v>746</v>
      </c>
      <c r="I474" s="235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-276.57</v>
      </c>
      <c r="J474" s="235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-306.1442451</v>
      </c>
    </row>
    <row r="475">
      <c r="A475" s="184">
        <v>43504.0</v>
      </c>
      <c r="B475" s="19" t="s">
        <v>192</v>
      </c>
      <c r="C475" s="19" t="s">
        <v>722</v>
      </c>
      <c r="D475" s="19" t="s">
        <v>325</v>
      </c>
      <c r="E475" s="50"/>
      <c r="F475" s="232"/>
      <c r="G475" s="233">
        <v>-2.22</v>
      </c>
      <c r="H475" s="230" t="s">
        <v>374</v>
      </c>
      <c r="I475" s="235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-2.22</v>
      </c>
      <c r="J475" s="235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-2.22</v>
      </c>
    </row>
    <row r="476">
      <c r="A476" s="184">
        <v>43504.0</v>
      </c>
      <c r="B476" s="19" t="s">
        <v>186</v>
      </c>
      <c r="C476" s="19" t="s">
        <v>187</v>
      </c>
      <c r="D476" s="19" t="s">
        <v>309</v>
      </c>
      <c r="E476" s="50">
        <v>-6.0</v>
      </c>
      <c r="F476" s="232">
        <v>170.5</v>
      </c>
      <c r="G476" s="233">
        <v>1023.0</v>
      </c>
      <c r="H476" s="230" t="s">
        <v>747</v>
      </c>
      <c r="I476" s="235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-106.32</v>
      </c>
      <c r="J476" s="235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-133.3468482</v>
      </c>
    </row>
    <row r="477">
      <c r="A477" s="184">
        <v>43504.0</v>
      </c>
      <c r="B477" s="19" t="s">
        <v>192</v>
      </c>
      <c r="C477" s="19" t="s">
        <v>722</v>
      </c>
      <c r="D477" s="19" t="s">
        <v>309</v>
      </c>
      <c r="E477" s="50">
        <v>-816.0</v>
      </c>
      <c r="F477" s="232">
        <v>4.031</v>
      </c>
      <c r="G477" s="233">
        <v>3289.3</v>
      </c>
      <c r="H477" s="230" t="s">
        <v>748</v>
      </c>
      <c r="I477" s="235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-841.292</v>
      </c>
      <c r="J477" s="235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-930.6719409</v>
      </c>
    </row>
    <row r="478">
      <c r="A478" s="184">
        <v>43504.0</v>
      </c>
      <c r="B478" s="19" t="s">
        <v>192</v>
      </c>
      <c r="C478" s="19" t="s">
        <v>722</v>
      </c>
      <c r="D478" s="19" t="s">
        <v>325</v>
      </c>
      <c r="E478" s="50"/>
      <c r="F478" s="232"/>
      <c r="G478" s="233">
        <v>-2.66</v>
      </c>
      <c r="H478" s="230" t="s">
        <v>749</v>
      </c>
      <c r="I478" s="235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-2.66</v>
      </c>
      <c r="J478" s="235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-2.66</v>
      </c>
    </row>
    <row r="479">
      <c r="A479" s="184">
        <v>43503.0</v>
      </c>
      <c r="B479" s="19" t="s">
        <v>186</v>
      </c>
      <c r="C479" s="19" t="s">
        <v>187</v>
      </c>
      <c r="D479" s="19" t="s">
        <v>309</v>
      </c>
      <c r="E479" s="50">
        <v>-7.0</v>
      </c>
      <c r="F479" s="232">
        <v>169.97</v>
      </c>
      <c r="G479" s="233">
        <v>1189.79</v>
      </c>
      <c r="H479" s="230" t="s">
        <v>750</v>
      </c>
      <c r="I479" s="235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-127.75</v>
      </c>
      <c r="J479" s="235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-159.281323</v>
      </c>
    </row>
    <row r="480">
      <c r="A480" s="184">
        <v>43503.0</v>
      </c>
      <c r="B480" s="19" t="s">
        <v>192</v>
      </c>
      <c r="C480" s="19" t="s">
        <v>722</v>
      </c>
      <c r="D480" s="19" t="s">
        <v>309</v>
      </c>
      <c r="E480" s="50">
        <v>-500.0</v>
      </c>
      <c r="F480" s="232">
        <v>4.006</v>
      </c>
      <c r="G480" s="233">
        <v>2003.03</v>
      </c>
      <c r="H480" s="230" t="s">
        <v>751</v>
      </c>
      <c r="I480" s="235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-527.97</v>
      </c>
      <c r="J480" s="235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-582.7371206</v>
      </c>
    </row>
    <row r="481">
      <c r="A481" s="184">
        <v>43503.0</v>
      </c>
      <c r="B481" s="19" t="s">
        <v>192</v>
      </c>
      <c r="C481" s="19" t="s">
        <v>722</v>
      </c>
      <c r="D481" s="19" t="s">
        <v>325</v>
      </c>
      <c r="E481" s="50"/>
      <c r="F481" s="232"/>
      <c r="G481" s="233">
        <v>-2.4</v>
      </c>
      <c r="H481" s="230" t="s">
        <v>752</v>
      </c>
      <c r="I481" s="235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-2.4</v>
      </c>
      <c r="J481" s="235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-2.4</v>
      </c>
    </row>
    <row r="482">
      <c r="A482" s="184">
        <v>43503.0</v>
      </c>
      <c r="B482" s="19" t="s">
        <v>192</v>
      </c>
      <c r="C482" s="19" t="s">
        <v>722</v>
      </c>
      <c r="D482" s="19" t="s">
        <v>325</v>
      </c>
      <c r="E482" s="50"/>
      <c r="F482" s="232"/>
      <c r="G482" s="233">
        <v>-2.2</v>
      </c>
      <c r="H482" s="230" t="s">
        <v>558</v>
      </c>
      <c r="I482" s="235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-2.2</v>
      </c>
      <c r="J482" s="235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-2.2</v>
      </c>
    </row>
    <row r="483">
      <c r="A483" s="184">
        <v>43503.0</v>
      </c>
      <c r="B483" s="19" t="s">
        <v>192</v>
      </c>
      <c r="C483" s="19" t="s">
        <v>722</v>
      </c>
      <c r="D483" s="19" t="s">
        <v>309</v>
      </c>
      <c r="E483" s="50">
        <v>-255.0</v>
      </c>
      <c r="F483" s="232">
        <v>3.992</v>
      </c>
      <c r="G483" s="233">
        <v>1017.88</v>
      </c>
      <c r="H483" s="230" t="s">
        <v>753</v>
      </c>
      <c r="I483" s="235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-272.93</v>
      </c>
      <c r="J483" s="235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-300.8612315</v>
      </c>
    </row>
    <row r="484">
      <c r="A484" s="184">
        <v>43501.0</v>
      </c>
      <c r="B484" s="19" t="s">
        <v>196</v>
      </c>
      <c r="C484" s="19" t="s">
        <v>197</v>
      </c>
      <c r="D484" s="19" t="s">
        <v>309</v>
      </c>
      <c r="E484" s="50">
        <v>-27.0</v>
      </c>
      <c r="F484" s="232">
        <v>45.3759</v>
      </c>
      <c r="G484" s="233">
        <v>1225.15</v>
      </c>
      <c r="H484" s="230" t="s">
        <v>754</v>
      </c>
      <c r="I484" s="235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-277.13</v>
      </c>
      <c r="J484" s="235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-198.1655058</v>
      </c>
    </row>
    <row r="485">
      <c r="A485" s="184">
        <v>43501.0</v>
      </c>
      <c r="B485" s="19"/>
      <c r="C485" s="19"/>
      <c r="D485" s="19" t="s">
        <v>332</v>
      </c>
      <c r="E485" s="50"/>
      <c r="F485" s="232"/>
      <c r="G485" s="233">
        <v>-400.0</v>
      </c>
      <c r="H485" s="230" t="s">
        <v>354</v>
      </c>
      <c r="I485" s="235" t="str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/>
      </c>
      <c r="J485" s="235" t="str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/>
      </c>
    </row>
    <row r="486">
      <c r="A486" s="184">
        <v>43497.0</v>
      </c>
      <c r="B486" s="19"/>
      <c r="C486" s="19"/>
      <c r="D486" s="19" t="s">
        <v>325</v>
      </c>
      <c r="E486" s="50"/>
      <c r="F486" s="232"/>
      <c r="G486" s="233">
        <v>-5.0</v>
      </c>
      <c r="H486" s="230" t="s">
        <v>465</v>
      </c>
      <c r="I486" s="235" t="str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/>
      </c>
      <c r="J486" s="235" t="str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/>
      </c>
    </row>
    <row r="487">
      <c r="A487" s="184">
        <v>43497.0</v>
      </c>
      <c r="B487" s="19" t="s">
        <v>196</v>
      </c>
      <c r="C487" s="19" t="s">
        <v>197</v>
      </c>
      <c r="D487" s="19" t="s">
        <v>309</v>
      </c>
      <c r="E487" s="50">
        <v>-45.0</v>
      </c>
      <c r="F487" s="232">
        <v>45.018</v>
      </c>
      <c r="G487" s="233">
        <v>2025.81</v>
      </c>
      <c r="H487" s="230" t="s">
        <v>755</v>
      </c>
      <c r="I487" s="235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-477.99</v>
      </c>
      <c r="J487" s="235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-346.3825097</v>
      </c>
    </row>
    <row r="488">
      <c r="A488" s="184">
        <v>43497.0</v>
      </c>
      <c r="B488" s="19" t="s">
        <v>196</v>
      </c>
      <c r="C488" s="19" t="s">
        <v>197</v>
      </c>
      <c r="D488" s="19" t="s">
        <v>309</v>
      </c>
      <c r="E488" s="50">
        <v>-10.0</v>
      </c>
      <c r="F488" s="232">
        <v>44.797</v>
      </c>
      <c r="G488" s="233">
        <v>447.97</v>
      </c>
      <c r="H488" s="230" t="s">
        <v>756</v>
      </c>
      <c r="I488" s="235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-108.43</v>
      </c>
      <c r="J488" s="235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-79.18389105</v>
      </c>
    </row>
    <row r="489">
      <c r="A489" s="184">
        <v>43497.0</v>
      </c>
      <c r="B489" s="19" t="s">
        <v>196</v>
      </c>
      <c r="C489" s="19" t="s">
        <v>197</v>
      </c>
      <c r="D489" s="19" t="s">
        <v>309</v>
      </c>
      <c r="E489" s="50">
        <v>-8.0</v>
      </c>
      <c r="F489" s="232">
        <v>44.7975</v>
      </c>
      <c r="G489" s="233">
        <v>358.38</v>
      </c>
      <c r="H489" s="230" t="s">
        <v>757</v>
      </c>
      <c r="I489" s="235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-86.74</v>
      </c>
      <c r="J489" s="235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-63.34311284</v>
      </c>
    </row>
    <row r="490">
      <c r="A490" s="184">
        <v>43497.0</v>
      </c>
      <c r="B490" s="19" t="s">
        <v>196</v>
      </c>
      <c r="C490" s="19" t="s">
        <v>197</v>
      </c>
      <c r="D490" s="19" t="s">
        <v>309</v>
      </c>
      <c r="E490" s="50">
        <v>-5.0</v>
      </c>
      <c r="F490" s="232">
        <v>44.796</v>
      </c>
      <c r="G490" s="233">
        <v>223.98</v>
      </c>
      <c r="H490" s="230" t="s">
        <v>758</v>
      </c>
      <c r="I490" s="235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-54.22</v>
      </c>
      <c r="J490" s="235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-39.59694553</v>
      </c>
    </row>
    <row r="491">
      <c r="A491" s="184">
        <v>43496.0</v>
      </c>
      <c r="B491" s="229"/>
      <c r="C491" s="230"/>
      <c r="D491" s="231" t="s">
        <v>325</v>
      </c>
      <c r="E491" s="231"/>
      <c r="F491" s="232"/>
      <c r="G491" s="233">
        <v>-5.0</v>
      </c>
      <c r="H491" s="230" t="s">
        <v>465</v>
      </c>
      <c r="I491" s="235" t="str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/>
      </c>
      <c r="J491" s="235" t="str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/>
      </c>
    </row>
    <row r="492">
      <c r="A492" s="184">
        <v>43496.0</v>
      </c>
      <c r="B492" s="229"/>
      <c r="C492" s="230"/>
      <c r="D492" s="231" t="s">
        <v>325</v>
      </c>
      <c r="E492" s="231"/>
      <c r="F492" s="232"/>
      <c r="G492" s="233">
        <v>5.0</v>
      </c>
      <c r="H492" s="230" t="s">
        <v>759</v>
      </c>
      <c r="I492" s="235" t="str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/>
      </c>
      <c r="J492" s="235" t="str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/>
      </c>
    </row>
    <row r="493">
      <c r="A493" s="184">
        <v>43496.0</v>
      </c>
      <c r="B493" s="229"/>
      <c r="C493" s="230"/>
      <c r="D493" s="231" t="s">
        <v>325</v>
      </c>
      <c r="E493" s="231"/>
      <c r="F493" s="232"/>
      <c r="G493" s="233">
        <v>-565.1</v>
      </c>
      <c r="H493" s="230" t="s">
        <v>760</v>
      </c>
      <c r="I493" s="235" t="str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/>
      </c>
      <c r="J493" s="235" t="str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/>
      </c>
    </row>
    <row r="494">
      <c r="A494" s="184">
        <v>43496.0</v>
      </c>
      <c r="B494" s="19" t="s">
        <v>196</v>
      </c>
      <c r="C494" s="19" t="s">
        <v>197</v>
      </c>
      <c r="D494" s="19" t="s">
        <v>325</v>
      </c>
      <c r="E494" s="50"/>
      <c r="F494" s="232"/>
      <c r="G494" s="233">
        <v>-3.89</v>
      </c>
      <c r="H494" s="230" t="s">
        <v>761</v>
      </c>
      <c r="I494" s="235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-3.89</v>
      </c>
      <c r="J494" s="235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-3.89</v>
      </c>
    </row>
    <row r="495">
      <c r="A495" s="184">
        <v>43496.0</v>
      </c>
      <c r="B495" s="19" t="s">
        <v>196</v>
      </c>
      <c r="C495" s="19" t="s">
        <v>197</v>
      </c>
      <c r="D495" s="19" t="s">
        <v>309</v>
      </c>
      <c r="E495" s="50">
        <v>-213.0</v>
      </c>
      <c r="F495" s="232">
        <v>44.455</v>
      </c>
      <c r="G495" s="233">
        <v>9468.92</v>
      </c>
      <c r="H495" s="230" t="s">
        <v>762</v>
      </c>
      <c r="I495" s="235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-2382.4</v>
      </c>
      <c r="J495" s="235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-1759.457879</v>
      </c>
    </row>
    <row r="496">
      <c r="A496" s="184">
        <v>43486.0</v>
      </c>
      <c r="B496" s="19" t="s">
        <v>196</v>
      </c>
      <c r="C496" s="19" t="s">
        <v>197</v>
      </c>
      <c r="D496" s="19" t="s">
        <v>325</v>
      </c>
      <c r="E496" s="50"/>
      <c r="F496" s="232"/>
      <c r="G496" s="233">
        <v>-0.26</v>
      </c>
      <c r="H496" s="230" t="s">
        <v>763</v>
      </c>
      <c r="I496" s="235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-0.26</v>
      </c>
      <c r="J496" s="235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-0.26</v>
      </c>
    </row>
    <row r="497">
      <c r="A497" s="184">
        <v>43486.0</v>
      </c>
      <c r="B497" s="19" t="s">
        <v>196</v>
      </c>
      <c r="C497" s="19" t="s">
        <v>197</v>
      </c>
      <c r="D497" s="19" t="s">
        <v>309</v>
      </c>
      <c r="E497" s="50">
        <v>-29.0</v>
      </c>
      <c r="F497" s="243">
        <f t="shared" ref="F497:F499" si="1">IF(E497,-G497/E497,"")</f>
        <v>44.48586207</v>
      </c>
      <c r="G497" s="233">
        <v>1290.09</v>
      </c>
      <c r="H497" s="230" t="s">
        <v>764</v>
      </c>
      <c r="I497" s="235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-323.47</v>
      </c>
      <c r="J497" s="235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-238.656284</v>
      </c>
    </row>
    <row r="498">
      <c r="A498" s="184">
        <v>43486.0</v>
      </c>
      <c r="B498" s="19" t="s">
        <v>196</v>
      </c>
      <c r="C498" s="19" t="s">
        <v>197</v>
      </c>
      <c r="D498" s="19" t="s">
        <v>325</v>
      </c>
      <c r="E498" s="50"/>
      <c r="F498" s="243" t="str">
        <f t="shared" si="1"/>
        <v/>
      </c>
      <c r="G498" s="233">
        <v>-2.01</v>
      </c>
      <c r="H498" s="230" t="s">
        <v>765</v>
      </c>
      <c r="I498" s="235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-2.01</v>
      </c>
      <c r="J498" s="235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-2.01</v>
      </c>
    </row>
    <row r="499">
      <c r="A499" s="184">
        <v>43486.0</v>
      </c>
      <c r="B499" s="19" t="s">
        <v>196</v>
      </c>
      <c r="C499" s="19" t="s">
        <v>197</v>
      </c>
      <c r="D499" s="19" t="s">
        <v>309</v>
      </c>
      <c r="E499" s="50">
        <v>-1.0</v>
      </c>
      <c r="F499" s="243">
        <f t="shared" si="1"/>
        <v>44.5</v>
      </c>
      <c r="G499" s="233">
        <v>44.5</v>
      </c>
      <c r="H499" s="230" t="s">
        <v>766</v>
      </c>
      <c r="I499" s="235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-11.14</v>
      </c>
      <c r="J499" s="235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-8.215389105</v>
      </c>
    </row>
    <row r="500">
      <c r="A500" s="184">
        <v>43474.0</v>
      </c>
      <c r="B500" s="229" t="s">
        <v>196</v>
      </c>
      <c r="C500" s="230" t="s">
        <v>197</v>
      </c>
      <c r="D500" s="231" t="s">
        <v>329</v>
      </c>
      <c r="E500" s="231"/>
      <c r="F500" s="232"/>
      <c r="G500" s="233">
        <v>-154.79</v>
      </c>
      <c r="H500" s="230" t="s">
        <v>767</v>
      </c>
      <c r="I500" s="235" t="str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/>
      </c>
      <c r="J500" s="235" t="str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/>
      </c>
    </row>
    <row r="501">
      <c r="A501" s="184">
        <v>43474.0</v>
      </c>
      <c r="B501" s="19" t="s">
        <v>196</v>
      </c>
      <c r="C501" s="19" t="s">
        <v>197</v>
      </c>
      <c r="D501" s="19" t="s">
        <v>329</v>
      </c>
      <c r="E501" s="50"/>
      <c r="F501" s="243" t="str">
        <f t="shared" ref="F501:F518" si="2">IF(E501,-G501/E501,"")</f>
        <v/>
      </c>
      <c r="G501" s="233">
        <v>1151.07</v>
      </c>
      <c r="H501" s="230" t="s">
        <v>768</v>
      </c>
      <c r="I501" s="235" t="str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/>
      </c>
      <c r="J501" s="235" t="str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/>
      </c>
    </row>
    <row r="502">
      <c r="A502" s="184">
        <v>43474.0</v>
      </c>
      <c r="B502" s="19" t="s">
        <v>196</v>
      </c>
      <c r="C502" s="19" t="s">
        <v>197</v>
      </c>
      <c r="D502" s="19" t="s">
        <v>325</v>
      </c>
      <c r="E502" s="50"/>
      <c r="F502" s="243" t="str">
        <f t="shared" si="2"/>
        <v/>
      </c>
      <c r="G502" s="233">
        <v>-2.29</v>
      </c>
      <c r="H502" s="230" t="s">
        <v>769</v>
      </c>
      <c r="I502" s="235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-2.29</v>
      </c>
      <c r="J502" s="235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-2.29</v>
      </c>
    </row>
    <row r="503">
      <c r="A503" s="184">
        <v>43474.0</v>
      </c>
      <c r="B503" s="19" t="s">
        <v>196</v>
      </c>
      <c r="C503" s="19" t="s">
        <v>197</v>
      </c>
      <c r="D503" s="19" t="s">
        <v>309</v>
      </c>
      <c r="E503" s="50">
        <v>-34.0</v>
      </c>
      <c r="F503" s="243">
        <f t="shared" si="2"/>
        <v>42.74</v>
      </c>
      <c r="G503" s="233">
        <v>1453.16</v>
      </c>
      <c r="H503" s="230" t="s">
        <v>770</v>
      </c>
      <c r="I503" s="235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-438.6</v>
      </c>
      <c r="J503" s="235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-339.1632296</v>
      </c>
    </row>
    <row r="504">
      <c r="A504" s="184">
        <v>43473.0</v>
      </c>
      <c r="B504" s="19" t="s">
        <v>192</v>
      </c>
      <c r="C504" s="19" t="s">
        <v>722</v>
      </c>
      <c r="D504" s="19" t="s">
        <v>325</v>
      </c>
      <c r="E504" s="50"/>
      <c r="F504" s="243" t="str">
        <f t="shared" si="2"/>
        <v/>
      </c>
      <c r="G504" s="233">
        <v>-2.53</v>
      </c>
      <c r="H504" s="230" t="s">
        <v>771</v>
      </c>
      <c r="I504" s="235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-2.53</v>
      </c>
      <c r="J504" s="235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-2.53</v>
      </c>
    </row>
    <row r="505">
      <c r="A505" s="184">
        <v>43473.0</v>
      </c>
      <c r="B505" s="19" t="s">
        <v>192</v>
      </c>
      <c r="C505" s="19" t="s">
        <v>722</v>
      </c>
      <c r="D505" s="19" t="s">
        <v>308</v>
      </c>
      <c r="E505" s="50">
        <v>666.0</v>
      </c>
      <c r="F505" s="243">
        <f t="shared" si="2"/>
        <v>3.982507508</v>
      </c>
      <c r="G505" s="233">
        <v>-2652.35</v>
      </c>
      <c r="H505" s="230" t="s">
        <v>772</v>
      </c>
      <c r="I505" s="235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718.942</v>
      </c>
      <c r="J505" s="235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791.8918047</v>
      </c>
    </row>
    <row r="506">
      <c r="A506" s="184">
        <v>43473.0</v>
      </c>
      <c r="B506" s="19" t="s">
        <v>186</v>
      </c>
      <c r="C506" s="19" t="s">
        <v>187</v>
      </c>
      <c r="D506" s="19" t="s">
        <v>308</v>
      </c>
      <c r="E506" s="50">
        <v>14.0</v>
      </c>
      <c r="F506" s="243">
        <f t="shared" si="2"/>
        <v>167.51</v>
      </c>
      <c r="G506" s="233">
        <v>-2345.14</v>
      </c>
      <c r="H506" s="230" t="s">
        <v>773</v>
      </c>
      <c r="I506" s="235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289.94</v>
      </c>
      <c r="J506" s="235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353.0026459</v>
      </c>
    </row>
    <row r="507">
      <c r="A507" s="184">
        <v>43473.0</v>
      </c>
      <c r="B507" s="19" t="s">
        <v>186</v>
      </c>
      <c r="C507" s="19" t="s">
        <v>187</v>
      </c>
      <c r="D507" s="19" t="s">
        <v>325</v>
      </c>
      <c r="E507" s="50"/>
      <c r="F507" s="243" t="str">
        <f t="shared" si="2"/>
        <v/>
      </c>
      <c r="G507" s="233">
        <v>-2.47</v>
      </c>
      <c r="H507" s="230" t="s">
        <v>774</v>
      </c>
      <c r="I507" s="235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-2.47</v>
      </c>
      <c r="J507" s="235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-2.47</v>
      </c>
    </row>
    <row r="508">
      <c r="A508" s="184">
        <v>43473.0</v>
      </c>
      <c r="B508" s="19" t="s">
        <v>186</v>
      </c>
      <c r="C508" s="19" t="s">
        <v>187</v>
      </c>
      <c r="D508" s="19" t="s">
        <v>308</v>
      </c>
      <c r="E508" s="50">
        <v>14.0</v>
      </c>
      <c r="F508" s="243">
        <f t="shared" si="2"/>
        <v>167.59</v>
      </c>
      <c r="G508" s="233">
        <v>-2346.26</v>
      </c>
      <c r="H508" s="230" t="s">
        <v>775</v>
      </c>
      <c r="I508" s="235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288.82</v>
      </c>
      <c r="J508" s="235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351.8826459</v>
      </c>
    </row>
    <row r="509">
      <c r="A509" s="184">
        <v>43473.0</v>
      </c>
      <c r="B509" s="19" t="s">
        <v>186</v>
      </c>
      <c r="C509" s="19" t="s">
        <v>187</v>
      </c>
      <c r="D509" s="19" t="s">
        <v>309</v>
      </c>
      <c r="E509" s="50">
        <v>-7.0</v>
      </c>
      <c r="F509" s="243">
        <f t="shared" si="2"/>
        <v>167.39</v>
      </c>
      <c r="G509" s="233">
        <v>1171.73</v>
      </c>
      <c r="H509" s="230" t="s">
        <v>776</v>
      </c>
      <c r="I509" s="235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-145.81</v>
      </c>
      <c r="J509" s="235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-177.341323</v>
      </c>
    </row>
    <row r="510">
      <c r="A510" s="184">
        <v>43473.0</v>
      </c>
      <c r="B510" s="19" t="s">
        <v>186</v>
      </c>
      <c r="C510" s="19" t="s">
        <v>187</v>
      </c>
      <c r="D510" s="19" t="s">
        <v>325</v>
      </c>
      <c r="E510" s="50"/>
      <c r="F510" s="243" t="str">
        <f t="shared" si="2"/>
        <v/>
      </c>
      <c r="G510" s="233">
        <v>-2.23</v>
      </c>
      <c r="H510" s="230" t="s">
        <v>777</v>
      </c>
      <c r="I510" s="235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-2.23</v>
      </c>
      <c r="J510" s="235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-2.23</v>
      </c>
    </row>
    <row r="511">
      <c r="A511" s="184">
        <v>43473.0</v>
      </c>
      <c r="B511" s="19" t="s">
        <v>196</v>
      </c>
      <c r="C511" s="19" t="s">
        <v>197</v>
      </c>
      <c r="D511" s="19" t="s">
        <v>309</v>
      </c>
      <c r="E511" s="50">
        <v>-110.0</v>
      </c>
      <c r="F511" s="243">
        <f t="shared" si="2"/>
        <v>42.536</v>
      </c>
      <c r="G511" s="233">
        <v>4678.96</v>
      </c>
      <c r="H511" s="230" t="s">
        <v>778</v>
      </c>
      <c r="I511" s="235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-1441.44</v>
      </c>
      <c r="J511" s="235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-1119.732802</v>
      </c>
    </row>
    <row r="512">
      <c r="A512" s="184">
        <v>43473.0</v>
      </c>
      <c r="B512" s="19" t="s">
        <v>196</v>
      </c>
      <c r="C512" s="19" t="s">
        <v>197</v>
      </c>
      <c r="D512" s="19" t="s">
        <v>325</v>
      </c>
      <c r="E512" s="50"/>
      <c r="F512" s="243" t="str">
        <f t="shared" si="2"/>
        <v/>
      </c>
      <c r="G512" s="233">
        <v>-2.94</v>
      </c>
      <c r="H512" s="230" t="s">
        <v>779</v>
      </c>
      <c r="I512" s="235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-2.94</v>
      </c>
      <c r="J512" s="235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-2.94</v>
      </c>
    </row>
    <row r="513">
      <c r="A513" s="184">
        <v>43473.0</v>
      </c>
      <c r="B513" s="19" t="s">
        <v>192</v>
      </c>
      <c r="C513" s="19" t="s">
        <v>722</v>
      </c>
      <c r="D513" s="19" t="s">
        <v>325</v>
      </c>
      <c r="E513" s="50"/>
      <c r="F513" s="243" t="str">
        <f t="shared" si="2"/>
        <v/>
      </c>
      <c r="G513" s="233">
        <v>-4.42</v>
      </c>
      <c r="H513" s="230" t="s">
        <v>780</v>
      </c>
      <c r="I513" s="235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-4.42</v>
      </c>
      <c r="J513" s="235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-4.42</v>
      </c>
    </row>
    <row r="514">
      <c r="A514" s="184">
        <v>43473.0</v>
      </c>
      <c r="B514" s="19" t="s">
        <v>192</v>
      </c>
      <c r="C514" s="19" t="s">
        <v>722</v>
      </c>
      <c r="D514" s="19" t="s">
        <v>308</v>
      </c>
      <c r="E514" s="50">
        <v>3038.0</v>
      </c>
      <c r="F514" s="243">
        <f t="shared" si="2"/>
        <v>3.98817314</v>
      </c>
      <c r="G514" s="233">
        <v>-12116.07</v>
      </c>
      <c r="H514" s="230" t="s">
        <v>781</v>
      </c>
      <c r="I514" s="235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3262.286</v>
      </c>
      <c r="J514" s="235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3595.051025</v>
      </c>
    </row>
    <row r="515">
      <c r="A515" s="184">
        <v>43473.0</v>
      </c>
      <c r="B515" s="19" t="s">
        <v>186</v>
      </c>
      <c r="C515" s="19" t="s">
        <v>187</v>
      </c>
      <c r="D515" s="19" t="s">
        <v>308</v>
      </c>
      <c r="E515" s="50">
        <v>14.0</v>
      </c>
      <c r="F515" s="243">
        <f t="shared" si="2"/>
        <v>167.5</v>
      </c>
      <c r="G515" s="233">
        <v>-2345.0</v>
      </c>
      <c r="H515" s="230" t="s">
        <v>782</v>
      </c>
      <c r="I515" s="235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290.08</v>
      </c>
      <c r="J515" s="235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353.1426459</v>
      </c>
    </row>
    <row r="516">
      <c r="A516" s="184">
        <v>43469.0</v>
      </c>
      <c r="B516" s="19"/>
      <c r="C516" s="19"/>
      <c r="D516" s="19" t="s">
        <v>332</v>
      </c>
      <c r="E516" s="50"/>
      <c r="F516" s="243" t="str">
        <f t="shared" si="2"/>
        <v/>
      </c>
      <c r="G516" s="233">
        <v>-1500.0</v>
      </c>
      <c r="H516" s="230" t="s">
        <v>339</v>
      </c>
      <c r="I516" s="235" t="str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/>
      </c>
      <c r="J516" s="235" t="str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/>
      </c>
    </row>
    <row r="517">
      <c r="A517" s="184">
        <v>43467.0</v>
      </c>
      <c r="B517" s="19" t="s">
        <v>177</v>
      </c>
      <c r="C517" s="19" t="s">
        <v>180</v>
      </c>
      <c r="D517" s="19" t="s">
        <v>308</v>
      </c>
      <c r="E517" s="50">
        <v>300.0</v>
      </c>
      <c r="F517" s="243">
        <f t="shared" si="2"/>
        <v>6.82</v>
      </c>
      <c r="G517" s="233">
        <v>-2046.0</v>
      </c>
      <c r="H517" s="230" t="s">
        <v>783</v>
      </c>
      <c r="I517" s="235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-132</v>
      </c>
      <c r="J517" s="235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-87.52645914</v>
      </c>
    </row>
    <row r="518">
      <c r="A518" s="184">
        <v>43467.0</v>
      </c>
      <c r="B518" s="19" t="s">
        <v>196</v>
      </c>
      <c r="C518" s="19" t="s">
        <v>197</v>
      </c>
      <c r="D518" s="19" t="s">
        <v>308</v>
      </c>
      <c r="E518" s="50">
        <v>74.0</v>
      </c>
      <c r="F518" s="243">
        <f t="shared" si="2"/>
        <v>41.15</v>
      </c>
      <c r="G518" s="233">
        <v>-3045.1</v>
      </c>
      <c r="H518" s="230" t="s">
        <v>784</v>
      </c>
      <c r="I518" s="235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1072.26</v>
      </c>
      <c r="J518" s="235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855.8387938</v>
      </c>
    </row>
    <row r="519">
      <c r="A519" s="184">
        <v>43465.0</v>
      </c>
      <c r="B519" s="229"/>
      <c r="C519" s="230"/>
      <c r="D519" s="231" t="s">
        <v>325</v>
      </c>
      <c r="E519" s="231"/>
      <c r="F519" s="232"/>
      <c r="G519" s="233">
        <v>-534.69</v>
      </c>
      <c r="H519" s="230" t="s">
        <v>785</v>
      </c>
      <c r="I519" s="235" t="str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/>
      </c>
      <c r="J519" s="235" t="str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/>
      </c>
    </row>
    <row r="520">
      <c r="A520" s="184">
        <v>43462.0</v>
      </c>
      <c r="B520" s="229" t="s">
        <v>192</v>
      </c>
      <c r="C520" s="230" t="s">
        <v>722</v>
      </c>
      <c r="D520" s="231" t="s">
        <v>329</v>
      </c>
      <c r="E520" s="231"/>
      <c r="F520" s="232"/>
      <c r="G520" s="233">
        <v>4867.15</v>
      </c>
      <c r="H520" s="230" t="s">
        <v>786</v>
      </c>
      <c r="I520" s="235" t="str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/>
      </c>
      <c r="J520" s="235" t="str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/>
      </c>
    </row>
    <row r="521">
      <c r="A521" s="184">
        <v>43462.0</v>
      </c>
      <c r="B521" s="229" t="s">
        <v>192</v>
      </c>
      <c r="C521" s="230" t="s">
        <v>722</v>
      </c>
      <c r="D521" s="231" t="s">
        <v>329</v>
      </c>
      <c r="E521" s="231"/>
      <c r="F521" s="232"/>
      <c r="G521" s="233">
        <v>-618.49</v>
      </c>
      <c r="H521" s="230" t="s">
        <v>787</v>
      </c>
      <c r="I521" s="235" t="str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/>
      </c>
      <c r="J521" s="235" t="str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/>
      </c>
    </row>
    <row r="522">
      <c r="A522" s="184">
        <v>43461.0</v>
      </c>
      <c r="B522" s="19" t="s">
        <v>186</v>
      </c>
      <c r="C522" s="19" t="s">
        <v>187</v>
      </c>
      <c r="D522" s="19" t="s">
        <v>309</v>
      </c>
      <c r="E522" s="50">
        <v>-2.0</v>
      </c>
      <c r="F522" s="243">
        <f t="shared" ref="F522:F532" si="3">IF(E522,-G522/E522,"")</f>
        <v>166.98</v>
      </c>
      <c r="G522" s="233">
        <v>333.96</v>
      </c>
      <c r="H522" s="230" t="s">
        <v>788</v>
      </c>
      <c r="I522" s="235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-42.48</v>
      </c>
      <c r="J522" s="235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-51.48894942</v>
      </c>
    </row>
    <row r="523">
      <c r="A523" s="184">
        <v>43461.0</v>
      </c>
      <c r="B523" s="19" t="s">
        <v>186</v>
      </c>
      <c r="C523" s="19" t="s">
        <v>187</v>
      </c>
      <c r="D523" s="19" t="s">
        <v>309</v>
      </c>
      <c r="E523" s="50">
        <v>-5.0</v>
      </c>
      <c r="F523" s="243">
        <f t="shared" si="3"/>
        <v>166.98</v>
      </c>
      <c r="G523" s="233">
        <v>834.9</v>
      </c>
      <c r="H523" s="230" t="s">
        <v>789</v>
      </c>
      <c r="I523" s="235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-106.2</v>
      </c>
      <c r="J523" s="235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-128.7223735</v>
      </c>
    </row>
    <row r="524">
      <c r="A524" s="184">
        <v>43461.0</v>
      </c>
      <c r="B524" s="19" t="s">
        <v>186</v>
      </c>
      <c r="C524" s="19" t="s">
        <v>187</v>
      </c>
      <c r="D524" s="19" t="s">
        <v>309</v>
      </c>
      <c r="E524" s="50">
        <v>-9.0</v>
      </c>
      <c r="F524" s="243">
        <f t="shared" si="3"/>
        <v>166.95</v>
      </c>
      <c r="G524" s="233">
        <v>1502.55</v>
      </c>
      <c r="H524" s="230" t="s">
        <v>790</v>
      </c>
      <c r="I524" s="235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-191.43</v>
      </c>
      <c r="J524" s="235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-231.9702724</v>
      </c>
    </row>
    <row r="525">
      <c r="A525" s="184">
        <v>43461.0</v>
      </c>
      <c r="B525" s="19" t="s">
        <v>182</v>
      </c>
      <c r="C525" s="19" t="s">
        <v>183</v>
      </c>
      <c r="D525" s="19" t="s">
        <v>309</v>
      </c>
      <c r="E525" s="50">
        <v>-11.0</v>
      </c>
      <c r="F525" s="243">
        <f t="shared" si="3"/>
        <v>106.6</v>
      </c>
      <c r="G525" s="233">
        <v>1172.6</v>
      </c>
      <c r="H525" s="230" t="s">
        <v>791</v>
      </c>
      <c r="I525" s="235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-527.45</v>
      </c>
      <c r="J525" s="235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-395.2073152</v>
      </c>
    </row>
    <row r="526">
      <c r="A526" s="184">
        <v>43461.0</v>
      </c>
      <c r="B526" s="19" t="s">
        <v>192</v>
      </c>
      <c r="C526" s="19" t="s">
        <v>722</v>
      </c>
      <c r="D526" s="19" t="s">
        <v>325</v>
      </c>
      <c r="E526" s="50"/>
      <c r="F526" s="243" t="str">
        <f t="shared" si="3"/>
        <v/>
      </c>
      <c r="G526" s="233">
        <v>-2.28</v>
      </c>
      <c r="H526" s="230" t="s">
        <v>459</v>
      </c>
      <c r="I526" s="235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-2.28</v>
      </c>
      <c r="J526" s="235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-2.28</v>
      </c>
    </row>
    <row r="527">
      <c r="A527" s="184">
        <v>43461.0</v>
      </c>
      <c r="B527" s="19" t="s">
        <v>192</v>
      </c>
      <c r="C527" s="19" t="s">
        <v>722</v>
      </c>
      <c r="D527" s="19" t="s">
        <v>309</v>
      </c>
      <c r="E527" s="50">
        <v>-355.0</v>
      </c>
      <c r="F527" s="243">
        <f t="shared" si="3"/>
        <v>3.958028169</v>
      </c>
      <c r="G527" s="233">
        <v>1405.1</v>
      </c>
      <c r="H527" s="230" t="s">
        <v>792</v>
      </c>
      <c r="I527" s="235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-391.91</v>
      </c>
      <c r="J527" s="235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-430.7946556</v>
      </c>
    </row>
    <row r="528">
      <c r="A528" s="184">
        <v>43461.0</v>
      </c>
      <c r="B528" s="19" t="s">
        <v>192</v>
      </c>
      <c r="C528" s="19" t="s">
        <v>722</v>
      </c>
      <c r="D528" s="19" t="s">
        <v>325</v>
      </c>
      <c r="E528" s="50"/>
      <c r="F528" s="243" t="str">
        <f t="shared" si="3"/>
        <v/>
      </c>
      <c r="G528" s="233">
        <v>-0.55</v>
      </c>
      <c r="H528" s="230" t="s">
        <v>793</v>
      </c>
      <c r="I528" s="235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-0.55</v>
      </c>
      <c r="J528" s="235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-0.55</v>
      </c>
    </row>
    <row r="529">
      <c r="A529" s="184">
        <v>43461.0</v>
      </c>
      <c r="B529" s="19" t="s">
        <v>192</v>
      </c>
      <c r="C529" s="19" t="s">
        <v>722</v>
      </c>
      <c r="D529" s="19" t="s">
        <v>309</v>
      </c>
      <c r="E529" s="50">
        <v>-691.0</v>
      </c>
      <c r="F529" s="243">
        <f t="shared" si="3"/>
        <v>3.95577424</v>
      </c>
      <c r="G529" s="233">
        <v>2733.44</v>
      </c>
      <c r="H529" s="230" t="s">
        <v>794</v>
      </c>
      <c r="I529" s="235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-764.402</v>
      </c>
      <c r="J529" s="235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-840.0901607</v>
      </c>
    </row>
    <row r="530">
      <c r="A530" s="184">
        <v>43455.0</v>
      </c>
      <c r="B530" s="19" t="s">
        <v>182</v>
      </c>
      <c r="C530" s="19" t="s">
        <v>183</v>
      </c>
      <c r="D530" s="19" t="s">
        <v>309</v>
      </c>
      <c r="E530" s="50">
        <v>-10.0</v>
      </c>
      <c r="F530" s="243">
        <f t="shared" si="3"/>
        <v>105.65</v>
      </c>
      <c r="G530" s="233">
        <v>1056.5</v>
      </c>
      <c r="H530" s="230" t="s">
        <v>795</v>
      </c>
      <c r="I530" s="235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-489</v>
      </c>
      <c r="J530" s="235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-368.7793774</v>
      </c>
    </row>
    <row r="531">
      <c r="A531" s="184">
        <v>43455.0</v>
      </c>
      <c r="B531" s="19" t="s">
        <v>186</v>
      </c>
      <c r="C531" s="19" t="s">
        <v>187</v>
      </c>
      <c r="D531" s="19" t="s">
        <v>309</v>
      </c>
      <c r="E531" s="50">
        <v>-10.0</v>
      </c>
      <c r="F531" s="243">
        <f t="shared" si="3"/>
        <v>166.55</v>
      </c>
      <c r="G531" s="233">
        <v>1665.5</v>
      </c>
      <c r="H531" s="230" t="s">
        <v>796</v>
      </c>
      <c r="I531" s="235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-216.7</v>
      </c>
      <c r="J531" s="235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-261.7447471</v>
      </c>
    </row>
    <row r="532">
      <c r="A532" s="184">
        <v>43454.0</v>
      </c>
      <c r="B532" s="19" t="s">
        <v>196</v>
      </c>
      <c r="C532" s="19" t="s">
        <v>197</v>
      </c>
      <c r="D532" s="19" t="s">
        <v>308</v>
      </c>
      <c r="E532" s="50">
        <v>100.0</v>
      </c>
      <c r="F532" s="243">
        <f t="shared" si="3"/>
        <v>41.63</v>
      </c>
      <c r="G532" s="233">
        <v>-4163.0</v>
      </c>
      <c r="H532" s="230" t="s">
        <v>797</v>
      </c>
      <c r="I532" s="235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1401</v>
      </c>
      <c r="J532" s="235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1108.538911</v>
      </c>
    </row>
    <row r="533">
      <c r="A533" s="184">
        <v>43454.0</v>
      </c>
      <c r="B533" s="19" t="s">
        <v>196</v>
      </c>
      <c r="C533" s="19" t="s">
        <v>197</v>
      </c>
      <c r="D533" s="19" t="s">
        <v>325</v>
      </c>
      <c r="E533" s="50"/>
      <c r="F533" s="232"/>
      <c r="G533" s="233">
        <v>-2.83</v>
      </c>
      <c r="H533" s="230" t="s">
        <v>798</v>
      </c>
      <c r="I533" s="235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-2.83</v>
      </c>
      <c r="J533" s="235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-2.83</v>
      </c>
    </row>
    <row r="534">
      <c r="A534" s="184">
        <v>43454.0</v>
      </c>
      <c r="B534" s="19" t="s">
        <v>192</v>
      </c>
      <c r="C534" s="19" t="s">
        <v>722</v>
      </c>
      <c r="D534" s="19" t="s">
        <v>325</v>
      </c>
      <c r="E534" s="50"/>
      <c r="F534" s="232"/>
      <c r="G534" s="233">
        <v>-2.43</v>
      </c>
      <c r="H534" s="230" t="s">
        <v>799</v>
      </c>
      <c r="I534" s="235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-2.43</v>
      </c>
      <c r="J534" s="235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-2.43</v>
      </c>
    </row>
    <row r="535">
      <c r="A535" s="184">
        <v>43454.0</v>
      </c>
      <c r="B535" s="19" t="s">
        <v>192</v>
      </c>
      <c r="C535" s="19" t="s">
        <v>722</v>
      </c>
      <c r="D535" s="19" t="s">
        <v>309</v>
      </c>
      <c r="E535" s="50">
        <v>-544.0</v>
      </c>
      <c r="F535" s="232">
        <v>3.971</v>
      </c>
      <c r="G535" s="233">
        <v>2160.24</v>
      </c>
      <c r="H535" s="230" t="s">
        <v>800</v>
      </c>
      <c r="I535" s="235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-593.488</v>
      </c>
      <c r="J535" s="235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-653.0746272</v>
      </c>
    </row>
    <row r="536">
      <c r="A536" s="184">
        <v>43454.0</v>
      </c>
      <c r="B536" s="19" t="s">
        <v>192</v>
      </c>
      <c r="C536" s="19" t="s">
        <v>722</v>
      </c>
      <c r="D536" s="19" t="s">
        <v>325</v>
      </c>
      <c r="E536" s="50"/>
      <c r="F536" s="232"/>
      <c r="G536" s="233">
        <v>-3.41</v>
      </c>
      <c r="H536" s="230" t="s">
        <v>801</v>
      </c>
      <c r="I536" s="235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-3.41</v>
      </c>
      <c r="J536" s="235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-3.41</v>
      </c>
    </row>
    <row r="537">
      <c r="A537" s="184">
        <v>43454.0</v>
      </c>
      <c r="B537" s="19" t="s">
        <v>192</v>
      </c>
      <c r="C537" s="19" t="s">
        <v>722</v>
      </c>
      <c r="D537" s="19" t="s">
        <v>309</v>
      </c>
      <c r="E537" s="50">
        <v>-1760.0</v>
      </c>
      <c r="F537" s="232">
        <v>3.985</v>
      </c>
      <c r="G537" s="233">
        <v>7013.08</v>
      </c>
      <c r="H537" s="230" t="s">
        <v>802</v>
      </c>
      <c r="I537" s="235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-1896.04</v>
      </c>
      <c r="J537" s="235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-2088.820265</v>
      </c>
    </row>
    <row r="538">
      <c r="A538" s="184">
        <v>43453.0</v>
      </c>
      <c r="B538" s="19" t="s">
        <v>192</v>
      </c>
      <c r="C538" s="19" t="s">
        <v>722</v>
      </c>
      <c r="D538" s="19" t="s">
        <v>325</v>
      </c>
      <c r="E538" s="19"/>
      <c r="F538" s="232"/>
      <c r="G538" s="233">
        <v>-2.92</v>
      </c>
      <c r="H538" s="230" t="s">
        <v>803</v>
      </c>
      <c r="I538" s="235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-2.92</v>
      </c>
      <c r="J538" s="235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-2.92</v>
      </c>
    </row>
    <row r="539">
      <c r="A539" s="184">
        <v>43453.0</v>
      </c>
      <c r="B539" s="19" t="s">
        <v>192</v>
      </c>
      <c r="C539" s="19" t="s">
        <v>722</v>
      </c>
      <c r="D539" s="19" t="s">
        <v>309</v>
      </c>
      <c r="E539" s="50">
        <v>-1177.0</v>
      </c>
      <c r="F539" s="232">
        <v>3.919</v>
      </c>
      <c r="G539" s="233">
        <v>4613.0</v>
      </c>
      <c r="H539" s="230" t="s">
        <v>804</v>
      </c>
      <c r="I539" s="235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-1344.974</v>
      </c>
      <c r="J539" s="235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-1473.895802</v>
      </c>
    </row>
    <row r="540">
      <c r="A540" s="184">
        <v>43452.0</v>
      </c>
      <c r="B540" s="19" t="s">
        <v>186</v>
      </c>
      <c r="C540" s="19" t="s">
        <v>187</v>
      </c>
      <c r="D540" s="19" t="s">
        <v>309</v>
      </c>
      <c r="E540" s="19">
        <v>-15.0</v>
      </c>
      <c r="F540" s="232">
        <v>166.3</v>
      </c>
      <c r="G540" s="233">
        <v>2494.5</v>
      </c>
      <c r="H540" s="230" t="s">
        <v>805</v>
      </c>
      <c r="I540" s="235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-328.8</v>
      </c>
      <c r="J540" s="235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-396.3671206</v>
      </c>
    </row>
    <row r="541">
      <c r="A541" s="184">
        <v>43452.0</v>
      </c>
      <c r="B541" s="19" t="s">
        <v>182</v>
      </c>
      <c r="C541" s="19" t="s">
        <v>183</v>
      </c>
      <c r="D541" s="19" t="s">
        <v>309</v>
      </c>
      <c r="E541" s="19">
        <v>-10.0</v>
      </c>
      <c r="F541" s="232">
        <v>104.83</v>
      </c>
      <c r="G541" s="233">
        <v>1048.3</v>
      </c>
      <c r="H541" s="230" t="s">
        <v>806</v>
      </c>
      <c r="I541" s="235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-497.2</v>
      </c>
      <c r="J541" s="235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-376.9793774</v>
      </c>
    </row>
    <row r="542">
      <c r="A542" s="184">
        <v>43451.0</v>
      </c>
      <c r="B542" s="229" t="s">
        <v>196</v>
      </c>
      <c r="C542" s="230" t="s">
        <v>197</v>
      </c>
      <c r="D542" s="231" t="s">
        <v>308</v>
      </c>
      <c r="E542" s="231">
        <v>48.0</v>
      </c>
      <c r="F542" s="232">
        <v>43.36</v>
      </c>
      <c r="G542" s="233">
        <v>-2081.28</v>
      </c>
      <c r="H542" s="230" t="s">
        <v>807</v>
      </c>
      <c r="I542" s="235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589.44</v>
      </c>
      <c r="J542" s="235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449.058677</v>
      </c>
    </row>
    <row r="543">
      <c r="A543" s="184">
        <v>43451.0</v>
      </c>
      <c r="B543" s="229" t="s">
        <v>196</v>
      </c>
      <c r="C543" s="230" t="s">
        <v>197</v>
      </c>
      <c r="D543" s="231" t="s">
        <v>325</v>
      </c>
      <c r="E543" s="231"/>
      <c r="F543" s="232"/>
      <c r="G543" s="233">
        <v>-2.42</v>
      </c>
      <c r="H543" s="230" t="s">
        <v>808</v>
      </c>
      <c r="I543" s="235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-2.42</v>
      </c>
      <c r="J543" s="235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-2.42</v>
      </c>
    </row>
    <row r="544">
      <c r="A544" s="184">
        <v>43451.0</v>
      </c>
      <c r="B544" s="229" t="s">
        <v>196</v>
      </c>
      <c r="C544" s="230" t="s">
        <v>197</v>
      </c>
      <c r="D544" s="231" t="s">
        <v>308</v>
      </c>
      <c r="E544" s="231">
        <v>60.0</v>
      </c>
      <c r="F544" s="232">
        <v>43.37</v>
      </c>
      <c r="G544" s="233">
        <v>-2602.2</v>
      </c>
      <c r="H544" s="230" t="s">
        <v>809</v>
      </c>
      <c r="I544" s="235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736.2</v>
      </c>
      <c r="J544" s="235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560.7233463</v>
      </c>
    </row>
    <row r="545">
      <c r="A545" s="184">
        <v>43451.0</v>
      </c>
      <c r="B545" s="229" t="s">
        <v>196</v>
      </c>
      <c r="C545" s="230" t="s">
        <v>197</v>
      </c>
      <c r="D545" s="231" t="s">
        <v>325</v>
      </c>
      <c r="E545" s="231"/>
      <c r="F545" s="232"/>
      <c r="G545" s="233">
        <v>-2.52</v>
      </c>
      <c r="H545" s="230" t="s">
        <v>810</v>
      </c>
      <c r="I545" s="235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-2.52</v>
      </c>
      <c r="J545" s="235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-2.52</v>
      </c>
    </row>
    <row r="546">
      <c r="A546" s="184">
        <v>43451.0</v>
      </c>
      <c r="B546" s="229" t="s">
        <v>196</v>
      </c>
      <c r="C546" s="230" t="s">
        <v>197</v>
      </c>
      <c r="D546" s="231" t="s">
        <v>308</v>
      </c>
      <c r="E546" s="231">
        <v>88.0</v>
      </c>
      <c r="F546" s="232">
        <v>43.7</v>
      </c>
      <c r="G546" s="233">
        <v>-3845.6</v>
      </c>
      <c r="H546" s="230" t="s">
        <v>811</v>
      </c>
      <c r="I546" s="235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1050.72</v>
      </c>
      <c r="J546" s="235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793.3542412</v>
      </c>
    </row>
    <row r="547">
      <c r="A547" s="184">
        <v>43451.0</v>
      </c>
      <c r="B547" s="229" t="s">
        <v>196</v>
      </c>
      <c r="C547" s="230" t="s">
        <v>197</v>
      </c>
      <c r="D547" s="231" t="s">
        <v>325</v>
      </c>
      <c r="E547" s="231"/>
      <c r="F547" s="232"/>
      <c r="G547" s="233">
        <v>-2.77</v>
      </c>
      <c r="H547" s="230" t="s">
        <v>812</v>
      </c>
      <c r="I547" s="235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-2.77</v>
      </c>
      <c r="J547" s="235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-2.77</v>
      </c>
    </row>
    <row r="548">
      <c r="A548" s="184">
        <v>43448.0</v>
      </c>
      <c r="B548" s="229" t="s">
        <v>196</v>
      </c>
      <c r="C548" s="230" t="s">
        <v>197</v>
      </c>
      <c r="D548" s="231" t="s">
        <v>309</v>
      </c>
      <c r="E548" s="231">
        <v>-190.0</v>
      </c>
      <c r="F548" s="232">
        <v>44.39</v>
      </c>
      <c r="G548" s="233">
        <v>8434.1</v>
      </c>
      <c r="H548" s="230" t="s">
        <v>813</v>
      </c>
      <c r="I548" s="235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-2137.5</v>
      </c>
      <c r="J548" s="235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-1581.82393</v>
      </c>
    </row>
    <row r="549">
      <c r="A549" s="184">
        <v>43448.0</v>
      </c>
      <c r="B549" s="229" t="s">
        <v>196</v>
      </c>
      <c r="C549" s="230" t="s">
        <v>197</v>
      </c>
      <c r="D549" s="231" t="s">
        <v>325</v>
      </c>
      <c r="E549" s="231"/>
      <c r="F549" s="232"/>
      <c r="G549" s="233">
        <v>-3.69</v>
      </c>
      <c r="H549" s="230" t="s">
        <v>814</v>
      </c>
      <c r="I549" s="235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-3.69</v>
      </c>
      <c r="J549" s="235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-3.69</v>
      </c>
    </row>
    <row r="550">
      <c r="A550" s="184">
        <v>43441.0</v>
      </c>
      <c r="B550" s="229" t="s">
        <v>196</v>
      </c>
      <c r="C550" s="230" t="s">
        <v>197</v>
      </c>
      <c r="D550" s="231" t="s">
        <v>308</v>
      </c>
      <c r="E550" s="231">
        <v>91.0</v>
      </c>
      <c r="F550" s="232">
        <v>44.735</v>
      </c>
      <c r="G550" s="233">
        <v>-4070.88</v>
      </c>
      <c r="H550" s="230" t="s">
        <v>815</v>
      </c>
      <c r="I550" s="235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992.36</v>
      </c>
      <c r="J550" s="235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726.2204086</v>
      </c>
    </row>
    <row r="551">
      <c r="A551" s="184">
        <v>43441.0</v>
      </c>
      <c r="B551" s="229" t="s">
        <v>177</v>
      </c>
      <c r="C551" s="230" t="s">
        <v>180</v>
      </c>
      <c r="D551" s="231" t="s">
        <v>308</v>
      </c>
      <c r="E551" s="231">
        <v>255.0</v>
      </c>
      <c r="F551" s="232">
        <v>7.357</v>
      </c>
      <c r="G551" s="233">
        <v>-1876.04</v>
      </c>
      <c r="H551" s="230" t="s">
        <v>816</v>
      </c>
      <c r="I551" s="235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-249.14</v>
      </c>
      <c r="J551" s="235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-211.3374903</v>
      </c>
    </row>
    <row r="552">
      <c r="A552" s="184">
        <v>43440.0</v>
      </c>
      <c r="B552" s="229" t="s">
        <v>192</v>
      </c>
      <c r="C552" s="19" t="s">
        <v>722</v>
      </c>
      <c r="D552" s="231" t="s">
        <v>325</v>
      </c>
      <c r="E552" s="231"/>
      <c r="F552" s="232"/>
      <c r="G552" s="233">
        <v>-2.31</v>
      </c>
      <c r="H552" s="230" t="s">
        <v>590</v>
      </c>
      <c r="I552" s="235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-2.31</v>
      </c>
      <c r="J552" s="235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-2.31</v>
      </c>
    </row>
    <row r="553">
      <c r="A553" s="184">
        <v>43440.0</v>
      </c>
      <c r="B553" s="229" t="s">
        <v>192</v>
      </c>
      <c r="C553" s="19" t="s">
        <v>722</v>
      </c>
      <c r="D553" s="231" t="s">
        <v>309</v>
      </c>
      <c r="E553" s="231">
        <v>-392.0</v>
      </c>
      <c r="F553" s="232">
        <v>3.935</v>
      </c>
      <c r="G553" s="233">
        <v>1542.58</v>
      </c>
      <c r="H553" s="230" t="s">
        <v>817</v>
      </c>
      <c r="I553" s="235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-441.724</v>
      </c>
      <c r="J553" s="235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-484.6614226</v>
      </c>
    </row>
    <row r="554">
      <c r="A554" s="184">
        <v>43440.0</v>
      </c>
      <c r="B554" s="229" t="s">
        <v>196</v>
      </c>
      <c r="C554" s="230" t="s">
        <v>197</v>
      </c>
      <c r="D554" s="231" t="s">
        <v>308</v>
      </c>
      <c r="E554" s="231">
        <v>236.0</v>
      </c>
      <c r="F554" s="232">
        <v>44.578</v>
      </c>
      <c r="G554" s="233">
        <v>-10520.4</v>
      </c>
      <c r="H554" s="230" t="s">
        <v>818</v>
      </c>
      <c r="I554" s="235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2610.64</v>
      </c>
      <c r="J554" s="235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1920.431829</v>
      </c>
    </row>
    <row r="555">
      <c r="A555" s="184">
        <v>43438.0</v>
      </c>
      <c r="B555" s="229"/>
      <c r="C555" s="230"/>
      <c r="D555" s="231" t="s">
        <v>332</v>
      </c>
      <c r="E555" s="231"/>
      <c r="F555" s="232"/>
      <c r="G555" s="233">
        <v>-1500.0</v>
      </c>
      <c r="H555" s="230" t="s">
        <v>339</v>
      </c>
      <c r="I555" s="235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35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4">
        <v>43434.0</v>
      </c>
      <c r="B556" s="229"/>
      <c r="C556" s="230"/>
      <c r="D556" s="231" t="s">
        <v>325</v>
      </c>
      <c r="E556" s="231"/>
      <c r="F556" s="232"/>
      <c r="G556" s="233">
        <v>-579.07</v>
      </c>
      <c r="H556" s="230" t="s">
        <v>819</v>
      </c>
      <c r="I556" s="235" t="str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/>
      </c>
      <c r="J556" s="235" t="str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/>
      </c>
    </row>
    <row r="557">
      <c r="A557" s="184">
        <v>43433.0</v>
      </c>
      <c r="B557" s="229" t="s">
        <v>186</v>
      </c>
      <c r="C557" s="230" t="s">
        <v>187</v>
      </c>
      <c r="D557" s="231" t="s">
        <v>329</v>
      </c>
      <c r="E557" s="231"/>
      <c r="F557" s="232"/>
      <c r="G557" s="233">
        <v>-204.87</v>
      </c>
      <c r="H557" s="230" t="s">
        <v>820</v>
      </c>
      <c r="I557" s="235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35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4">
        <v>43433.0</v>
      </c>
      <c r="B558" s="229" t="s">
        <v>196</v>
      </c>
      <c r="C558" s="230" t="s">
        <v>197</v>
      </c>
      <c r="D558" s="231" t="s">
        <v>309</v>
      </c>
      <c r="E558" s="231">
        <v>-25.0</v>
      </c>
      <c r="F558" s="232">
        <v>45.7</v>
      </c>
      <c r="G558" s="233">
        <v>1142.5</v>
      </c>
      <c r="H558" s="230" t="s">
        <v>821</v>
      </c>
      <c r="I558" s="235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-248.5</v>
      </c>
      <c r="J558" s="235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-175.3847276</v>
      </c>
    </row>
    <row r="559">
      <c r="A559" s="184">
        <v>43433.0</v>
      </c>
      <c r="B559" s="229" t="s">
        <v>196</v>
      </c>
      <c r="C559" s="230" t="s">
        <v>197</v>
      </c>
      <c r="D559" s="231" t="s">
        <v>325</v>
      </c>
      <c r="E559" s="231"/>
      <c r="F559" s="232"/>
      <c r="G559" s="233">
        <v>-2.23</v>
      </c>
      <c r="H559" s="230" t="s">
        <v>822</v>
      </c>
      <c r="I559" s="235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-2.23</v>
      </c>
      <c r="J559" s="235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-2.23</v>
      </c>
    </row>
    <row r="560">
      <c r="A560" s="184">
        <v>43432.0</v>
      </c>
      <c r="B560" s="229" t="s">
        <v>186</v>
      </c>
      <c r="C560" s="230" t="s">
        <v>187</v>
      </c>
      <c r="D560" s="231" t="s">
        <v>329</v>
      </c>
      <c r="E560" s="231"/>
      <c r="F560" s="232"/>
      <c r="G560" s="233">
        <v>1663.14</v>
      </c>
      <c r="H560" s="230" t="s">
        <v>823</v>
      </c>
      <c r="I560" s="235" t="str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/>
      </c>
      <c r="J560" s="235" t="str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/>
      </c>
    </row>
    <row r="561">
      <c r="A561" s="184">
        <v>43430.0</v>
      </c>
      <c r="B561" s="229" t="s">
        <v>177</v>
      </c>
      <c r="C561" s="230" t="s">
        <v>180</v>
      </c>
      <c r="D561" s="231" t="s">
        <v>308</v>
      </c>
      <c r="E561" s="231">
        <v>214.0</v>
      </c>
      <c r="F561" s="232">
        <v>7.25</v>
      </c>
      <c r="G561" s="233">
        <v>-1551.5</v>
      </c>
      <c r="H561" s="230" t="s">
        <v>824</v>
      </c>
      <c r="I561" s="235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-186.18</v>
      </c>
      <c r="J561" s="235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-154.4555409</v>
      </c>
    </row>
    <row r="562">
      <c r="A562" s="184">
        <v>43430.0</v>
      </c>
      <c r="B562" s="229" t="s">
        <v>192</v>
      </c>
      <c r="C562" s="19" t="s">
        <v>722</v>
      </c>
      <c r="D562" s="231" t="s">
        <v>325</v>
      </c>
      <c r="E562" s="231"/>
      <c r="F562" s="232"/>
      <c r="G562" s="233">
        <v>-2.23</v>
      </c>
      <c r="H562" s="230" t="s">
        <v>684</v>
      </c>
      <c r="I562" s="235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-2.23</v>
      </c>
      <c r="J562" s="235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-2.23</v>
      </c>
    </row>
    <row r="563">
      <c r="A563" s="184">
        <v>43430.0</v>
      </c>
      <c r="B563" s="229" t="s">
        <v>192</v>
      </c>
      <c r="C563" s="19" t="s">
        <v>722</v>
      </c>
      <c r="D563" s="231" t="s">
        <v>309</v>
      </c>
      <c r="E563" s="231">
        <v>-300.0</v>
      </c>
      <c r="F563" s="232">
        <v>3.819</v>
      </c>
      <c r="G563" s="233">
        <v>1145.66</v>
      </c>
      <c r="H563" s="230" t="s">
        <v>825</v>
      </c>
      <c r="I563" s="235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-372.94</v>
      </c>
      <c r="J563" s="235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-405.8002724</v>
      </c>
    </row>
    <row r="564">
      <c r="A564" s="184">
        <v>43426.0</v>
      </c>
      <c r="B564" s="229" t="s">
        <v>192</v>
      </c>
      <c r="C564" s="230" t="s">
        <v>722</v>
      </c>
      <c r="D564" s="231" t="s">
        <v>325</v>
      </c>
      <c r="E564" s="231"/>
      <c r="F564" s="232"/>
      <c r="G564" s="233">
        <v>-0.01</v>
      </c>
      <c r="H564" s="230" t="s">
        <v>826</v>
      </c>
      <c r="I564" s="235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-0.01</v>
      </c>
      <c r="J564" s="235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-0.01</v>
      </c>
    </row>
    <row r="565">
      <c r="A565" s="184">
        <v>43426.0</v>
      </c>
      <c r="B565" s="229" t="s">
        <v>192</v>
      </c>
      <c r="C565" s="19" t="s">
        <v>722</v>
      </c>
      <c r="D565" s="231" t="s">
        <v>325</v>
      </c>
      <c r="E565" s="231"/>
      <c r="F565" s="232"/>
      <c r="G565" s="233">
        <v>-3.37</v>
      </c>
      <c r="H565" s="230" t="s">
        <v>827</v>
      </c>
      <c r="I565" s="235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-3.37</v>
      </c>
      <c r="J565" s="235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-3.37</v>
      </c>
    </row>
    <row r="566">
      <c r="A566" s="184">
        <v>43426.0</v>
      </c>
      <c r="B566" s="229" t="s">
        <v>192</v>
      </c>
      <c r="C566" s="19" t="s">
        <v>722</v>
      </c>
      <c r="D566" s="231" t="s">
        <v>309</v>
      </c>
      <c r="E566" s="231">
        <v>-1798.0</v>
      </c>
      <c r="F566" s="232">
        <v>3.797</v>
      </c>
      <c r="G566" s="233">
        <v>6827.2</v>
      </c>
      <c r="H566" s="230" t="s">
        <v>828</v>
      </c>
      <c r="I566" s="235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-2274.276</v>
      </c>
      <c r="J566" s="235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-2471.218566</v>
      </c>
    </row>
    <row r="567">
      <c r="A567" s="184">
        <v>43426.0</v>
      </c>
      <c r="B567" s="229" t="s">
        <v>186</v>
      </c>
      <c r="C567" s="19" t="s">
        <v>187</v>
      </c>
      <c r="D567" s="231" t="s">
        <v>309</v>
      </c>
      <c r="E567" s="231">
        <v>-7.0</v>
      </c>
      <c r="F567" s="232">
        <v>162.69</v>
      </c>
      <c r="G567" s="233">
        <v>1138.83</v>
      </c>
      <c r="H567" s="230" t="s">
        <v>829</v>
      </c>
      <c r="I567" s="235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-178.71</v>
      </c>
      <c r="J567" s="235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-210.241323</v>
      </c>
    </row>
    <row r="568">
      <c r="A568" s="184">
        <v>43426.0</v>
      </c>
      <c r="B568" s="229" t="s">
        <v>186</v>
      </c>
      <c r="C568" s="19" t="s">
        <v>187</v>
      </c>
      <c r="D568" s="231" t="s">
        <v>325</v>
      </c>
      <c r="E568" s="231"/>
      <c r="F568" s="232"/>
      <c r="G568" s="233">
        <v>-2.23</v>
      </c>
      <c r="H568" s="230" t="s">
        <v>777</v>
      </c>
      <c r="I568" s="235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-2.23</v>
      </c>
      <c r="J568" s="235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-2.23</v>
      </c>
    </row>
    <row r="569">
      <c r="A569" s="184">
        <v>43426.0</v>
      </c>
      <c r="B569" s="229" t="s">
        <v>182</v>
      </c>
      <c r="C569" s="230" t="s">
        <v>183</v>
      </c>
      <c r="D569" s="231" t="s">
        <v>309</v>
      </c>
      <c r="E569" s="231">
        <v>-1.0</v>
      </c>
      <c r="F569" s="232">
        <v>102.84</v>
      </c>
      <c r="G569" s="233">
        <v>102.84</v>
      </c>
      <c r="H569" s="230" t="s">
        <v>830</v>
      </c>
      <c r="I569" s="235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-51.71</v>
      </c>
      <c r="J569" s="235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-39.68793774</v>
      </c>
    </row>
    <row r="570">
      <c r="A570" s="184">
        <v>43419.0</v>
      </c>
      <c r="B570" s="229" t="s">
        <v>196</v>
      </c>
      <c r="C570" s="230" t="s">
        <v>197</v>
      </c>
      <c r="D570" s="231" t="s">
        <v>308</v>
      </c>
      <c r="E570" s="231">
        <v>60.0</v>
      </c>
      <c r="F570" s="232">
        <v>45.362</v>
      </c>
      <c r="G570" s="233">
        <v>-2721.72</v>
      </c>
      <c r="H570" s="230" t="s">
        <v>831</v>
      </c>
      <c r="I570" s="235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616.68</v>
      </c>
      <c r="J570" s="235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441.2033463</v>
      </c>
    </row>
    <row r="571">
      <c r="A571" s="184">
        <v>43419.0</v>
      </c>
      <c r="B571" s="229" t="s">
        <v>186</v>
      </c>
      <c r="C571" s="19" t="s">
        <v>187</v>
      </c>
      <c r="D571" s="231" t="s">
        <v>308</v>
      </c>
      <c r="E571" s="231">
        <v>7.0</v>
      </c>
      <c r="F571" s="232">
        <v>163.75</v>
      </c>
      <c r="G571" s="233">
        <v>-1146.25</v>
      </c>
      <c r="H571" s="230" t="s">
        <v>832</v>
      </c>
      <c r="I571" s="235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171.29</v>
      </c>
      <c r="J571" s="235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202.821323</v>
      </c>
    </row>
    <row r="572">
      <c r="A572" s="184">
        <v>43417.0</v>
      </c>
      <c r="B572" s="229"/>
      <c r="C572" s="230"/>
      <c r="D572" s="231" t="s">
        <v>332</v>
      </c>
      <c r="E572" s="231"/>
      <c r="F572" s="232"/>
      <c r="G572" s="233">
        <v>-300.0</v>
      </c>
      <c r="H572" s="230" t="s">
        <v>436</v>
      </c>
      <c r="I572" s="235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35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4">
        <v>43405.0</v>
      </c>
      <c r="B573" s="229" t="s">
        <v>196</v>
      </c>
      <c r="C573" s="230" t="s">
        <v>197</v>
      </c>
      <c r="D573" s="231" t="s">
        <v>308</v>
      </c>
      <c r="E573" s="231">
        <v>239.0</v>
      </c>
      <c r="F573" s="232">
        <v>45.493</v>
      </c>
      <c r="G573" s="233">
        <v>-10872.83</v>
      </c>
      <c r="H573" s="230" t="s">
        <v>833</v>
      </c>
      <c r="I573" s="235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2425.13</v>
      </c>
      <c r="J573" s="235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1726.147996</v>
      </c>
    </row>
    <row r="574">
      <c r="A574" s="184">
        <v>43405.0</v>
      </c>
      <c r="B574" s="229" t="s">
        <v>177</v>
      </c>
      <c r="C574" s="230" t="s">
        <v>180</v>
      </c>
      <c r="D574" s="231" t="s">
        <v>308</v>
      </c>
      <c r="E574" s="231">
        <v>326.0</v>
      </c>
      <c r="F574" s="232">
        <v>7.482</v>
      </c>
      <c r="G574" s="233">
        <v>-2439.13</v>
      </c>
      <c r="H574" s="230" t="s">
        <v>834</v>
      </c>
      <c r="I574" s="235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-359.25</v>
      </c>
      <c r="J574" s="235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-310.9220856</v>
      </c>
    </row>
    <row r="575">
      <c r="A575" s="184">
        <v>43405.0</v>
      </c>
      <c r="B575" s="229" t="s">
        <v>192</v>
      </c>
      <c r="C575" s="19" t="s">
        <v>722</v>
      </c>
      <c r="D575" s="231" t="s">
        <v>325</v>
      </c>
      <c r="E575" s="244"/>
      <c r="F575" s="232"/>
      <c r="G575" s="233">
        <v>-4.09</v>
      </c>
      <c r="H575" s="230" t="s">
        <v>835</v>
      </c>
      <c r="I575" s="235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-4.09</v>
      </c>
      <c r="J575" s="235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-4.09</v>
      </c>
    </row>
    <row r="576">
      <c r="A576" s="184">
        <v>43405.0</v>
      </c>
      <c r="B576" s="229" t="s">
        <v>192</v>
      </c>
      <c r="C576" s="19" t="s">
        <v>722</v>
      </c>
      <c r="D576" s="231" t="s">
        <v>308</v>
      </c>
      <c r="E576" s="231">
        <v>2786.0</v>
      </c>
      <c r="F576" s="232">
        <v>3.756</v>
      </c>
      <c r="G576" s="233">
        <v>-10463.08</v>
      </c>
      <c r="H576" s="230" t="s">
        <v>836</v>
      </c>
      <c r="I576" s="235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3639.652</v>
      </c>
      <c r="J576" s="235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3944.814396</v>
      </c>
    </row>
    <row r="577">
      <c r="A577" s="184">
        <v>43405.0</v>
      </c>
      <c r="B577" s="229" t="s">
        <v>186</v>
      </c>
      <c r="C577" s="19" t="s">
        <v>187</v>
      </c>
      <c r="D577" s="231" t="s">
        <v>308</v>
      </c>
      <c r="E577" s="231">
        <v>16.0</v>
      </c>
      <c r="F577" s="232">
        <v>163.81</v>
      </c>
      <c r="G577" s="233">
        <v>-2620.96</v>
      </c>
      <c r="H577" s="230" t="s">
        <v>837</v>
      </c>
      <c r="I577" s="235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390.56</v>
      </c>
      <c r="J577" s="235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462.6315953</v>
      </c>
    </row>
    <row r="578">
      <c r="A578" s="184">
        <v>43404.0</v>
      </c>
      <c r="B578" s="229"/>
      <c r="C578" s="230"/>
      <c r="D578" s="231" t="s">
        <v>325</v>
      </c>
      <c r="E578" s="231"/>
      <c r="F578" s="232"/>
      <c r="G578" s="233">
        <v>-555.0</v>
      </c>
      <c r="H578" s="230" t="s">
        <v>838</v>
      </c>
      <c r="I578" s="235" t="str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/>
      </c>
      <c r="J578" s="235" t="str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/>
      </c>
    </row>
    <row r="579">
      <c r="A579" s="184">
        <v>43398.0</v>
      </c>
      <c r="B579" s="19"/>
      <c r="C579" s="19"/>
      <c r="D579" s="19" t="s">
        <v>332</v>
      </c>
      <c r="E579" s="19"/>
      <c r="F579" s="232"/>
      <c r="G579" s="233">
        <v>6060.0</v>
      </c>
      <c r="H579" s="19" t="s">
        <v>839</v>
      </c>
      <c r="I579" s="235" t="str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/>
      </c>
      <c r="J579" s="235" t="str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/>
      </c>
    </row>
    <row r="580">
      <c r="A580" s="184">
        <v>43385.0</v>
      </c>
      <c r="B580" s="19" t="s">
        <v>192</v>
      </c>
      <c r="C580" s="19" t="s">
        <v>722</v>
      </c>
      <c r="D580" s="19" t="s">
        <v>325</v>
      </c>
      <c r="E580" s="19"/>
      <c r="F580" s="232"/>
      <c r="G580" s="233">
        <v>-2.82</v>
      </c>
      <c r="H580" s="19" t="s">
        <v>840</v>
      </c>
      <c r="I580" s="235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-2.82</v>
      </c>
      <c r="J580" s="235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-2.82</v>
      </c>
    </row>
    <row r="581">
      <c r="A581" s="184">
        <v>43385.0</v>
      </c>
      <c r="B581" s="19" t="s">
        <v>192</v>
      </c>
      <c r="C581" s="19" t="s">
        <v>722</v>
      </c>
      <c r="D581" s="19" t="s">
        <v>309</v>
      </c>
      <c r="E581" s="50">
        <v>-1106.0</v>
      </c>
      <c r="F581" s="232">
        <v>3.708</v>
      </c>
      <c r="G581" s="233">
        <v>4101.58</v>
      </c>
      <c r="H581" s="19" t="s">
        <v>841</v>
      </c>
      <c r="I581" s="235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-1496.992</v>
      </c>
      <c r="J581" s="235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-1618.136871</v>
      </c>
    </row>
    <row r="582">
      <c r="A582" s="184">
        <v>43385.0</v>
      </c>
      <c r="B582" s="19" t="s">
        <v>186</v>
      </c>
      <c r="C582" s="19" t="s">
        <v>187</v>
      </c>
      <c r="D582" s="19" t="s">
        <v>309</v>
      </c>
      <c r="E582" s="19">
        <v>-11.0</v>
      </c>
      <c r="F582" s="232">
        <v>160.47</v>
      </c>
      <c r="G582" s="233">
        <v>1765.17</v>
      </c>
      <c r="H582" s="19" t="s">
        <v>842</v>
      </c>
      <c r="I582" s="235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-305.25</v>
      </c>
      <c r="J582" s="235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-354.7992218</v>
      </c>
    </row>
    <row r="583">
      <c r="A583" s="184">
        <v>43385.0</v>
      </c>
      <c r="B583" s="19" t="s">
        <v>196</v>
      </c>
      <c r="C583" s="19" t="s">
        <v>197</v>
      </c>
      <c r="D583" s="19" t="s">
        <v>308</v>
      </c>
      <c r="E583" s="19">
        <v>55.0</v>
      </c>
      <c r="F583" s="232">
        <v>45.353</v>
      </c>
      <c r="G583" s="233">
        <v>-2494.42</v>
      </c>
      <c r="H583" s="19" t="s">
        <v>843</v>
      </c>
      <c r="I583" s="235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565.78</v>
      </c>
      <c r="J583" s="235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404.9264008</v>
      </c>
    </row>
    <row r="584">
      <c r="A584" s="184">
        <v>43385.0</v>
      </c>
      <c r="B584" s="19" t="s">
        <v>192</v>
      </c>
      <c r="C584" s="19" t="s">
        <v>722</v>
      </c>
      <c r="D584" s="19" t="s">
        <v>325</v>
      </c>
      <c r="E584" s="19"/>
      <c r="F584" s="232"/>
      <c r="G584" s="233">
        <v>-4.42</v>
      </c>
      <c r="H584" s="19" t="s">
        <v>780</v>
      </c>
      <c r="I584" s="235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-4.42</v>
      </c>
      <c r="J584" s="235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-4.42</v>
      </c>
    </row>
    <row r="585">
      <c r="A585" s="184">
        <v>43385.0</v>
      </c>
      <c r="B585" s="19" t="s">
        <v>192</v>
      </c>
      <c r="C585" s="19" t="s">
        <v>722</v>
      </c>
      <c r="D585" s="19" t="s">
        <v>309</v>
      </c>
      <c r="E585" s="50">
        <v>-3258.0</v>
      </c>
      <c r="F585" s="232">
        <v>3.707</v>
      </c>
      <c r="G585" s="233">
        <v>12076.62</v>
      </c>
      <c r="H585" s="19" t="s">
        <v>844</v>
      </c>
      <c r="I585" s="235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-4415.376</v>
      </c>
      <c r="J585" s="235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-4772.238558</v>
      </c>
    </row>
    <row r="586">
      <c r="A586" s="184">
        <v>43385.0</v>
      </c>
      <c r="B586" s="19" t="s">
        <v>182</v>
      </c>
      <c r="C586" s="19" t="s">
        <v>183</v>
      </c>
      <c r="D586" s="19" t="s">
        <v>309</v>
      </c>
      <c r="E586" s="19">
        <v>-10.0</v>
      </c>
      <c r="F586" s="232">
        <v>100.61</v>
      </c>
      <c r="G586" s="233">
        <v>1006.1</v>
      </c>
      <c r="H586" s="19" t="s">
        <v>845</v>
      </c>
      <c r="I586" s="235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-539.4</v>
      </c>
      <c r="J586" s="235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-419.1793774</v>
      </c>
    </row>
    <row r="587">
      <c r="A587" s="184">
        <v>43385.0</v>
      </c>
      <c r="B587" s="19" t="s">
        <v>186</v>
      </c>
      <c r="C587" s="19" t="s">
        <v>187</v>
      </c>
      <c r="D587" s="19" t="s">
        <v>309</v>
      </c>
      <c r="E587" s="19">
        <v>-13.0</v>
      </c>
      <c r="F587" s="232">
        <v>160.39</v>
      </c>
      <c r="G587" s="233">
        <v>2085.07</v>
      </c>
      <c r="H587" s="19" t="s">
        <v>846</v>
      </c>
      <c r="I587" s="235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-361.79</v>
      </c>
      <c r="J587" s="235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-420.3481712</v>
      </c>
    </row>
    <row r="588">
      <c r="A588" s="184">
        <v>43385.0</v>
      </c>
      <c r="B588" s="19" t="s">
        <v>177</v>
      </c>
      <c r="C588" s="19" t="s">
        <v>180</v>
      </c>
      <c r="D588" s="19" t="s">
        <v>309</v>
      </c>
      <c r="E588" s="19">
        <v>-32.0</v>
      </c>
      <c r="F588" s="232">
        <v>7.607</v>
      </c>
      <c r="G588" s="233">
        <v>243.42</v>
      </c>
      <c r="H588" s="19" t="s">
        <v>847</v>
      </c>
      <c r="I588" s="235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39.26</v>
      </c>
      <c r="J588" s="235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34.51615564</v>
      </c>
    </row>
    <row r="589">
      <c r="A589" s="184">
        <v>43385.0</v>
      </c>
      <c r="B589" s="19" t="s">
        <v>177</v>
      </c>
      <c r="C589" s="19" t="s">
        <v>180</v>
      </c>
      <c r="D589" s="19" t="s">
        <v>325</v>
      </c>
      <c r="E589" s="19"/>
      <c r="F589" s="232"/>
      <c r="G589" s="233">
        <v>-2.05</v>
      </c>
      <c r="H589" s="19" t="s">
        <v>848</v>
      </c>
      <c r="I589" s="235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-2.05</v>
      </c>
      <c r="J589" s="235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-2.05</v>
      </c>
    </row>
    <row r="590">
      <c r="A590" s="184">
        <v>43383.0</v>
      </c>
      <c r="B590" s="229" t="s">
        <v>196</v>
      </c>
      <c r="C590" s="230" t="s">
        <v>197</v>
      </c>
      <c r="D590" s="231" t="s">
        <v>329</v>
      </c>
      <c r="E590" s="231"/>
      <c r="F590" s="232"/>
      <c r="G590" s="233">
        <v>-136.05</v>
      </c>
      <c r="H590" s="230" t="s">
        <v>849</v>
      </c>
      <c r="I590" s="235" t="str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/>
      </c>
      <c r="J590" s="235" t="str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/>
      </c>
    </row>
    <row r="591">
      <c r="A591" s="184">
        <v>43383.0</v>
      </c>
      <c r="B591" s="19" t="s">
        <v>196</v>
      </c>
      <c r="C591" s="19" t="s">
        <v>197</v>
      </c>
      <c r="D591" s="19" t="s">
        <v>329</v>
      </c>
      <c r="E591" s="19"/>
      <c r="F591" s="232"/>
      <c r="G591" s="233">
        <v>1024.7</v>
      </c>
      <c r="H591" s="19" t="s">
        <v>850</v>
      </c>
      <c r="I591" s="235" t="str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/>
      </c>
      <c r="J591" s="235" t="str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/>
      </c>
    </row>
    <row r="592">
      <c r="A592" s="184">
        <v>43378.0</v>
      </c>
      <c r="B592" s="19" t="s">
        <v>182</v>
      </c>
      <c r="C592" s="19" t="s">
        <v>183</v>
      </c>
      <c r="D592" s="19" t="s">
        <v>309</v>
      </c>
      <c r="E592" s="19">
        <v>-9.0</v>
      </c>
      <c r="F592" s="232">
        <v>99.89</v>
      </c>
      <c r="G592" s="233">
        <v>899.01</v>
      </c>
      <c r="H592" s="19" t="s">
        <v>851</v>
      </c>
      <c r="I592" s="235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-491.94</v>
      </c>
      <c r="J592" s="235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-383.7414397</v>
      </c>
    </row>
    <row r="593">
      <c r="A593" s="184">
        <v>43377.0</v>
      </c>
      <c r="B593" s="19" t="s">
        <v>177</v>
      </c>
      <c r="C593" s="19" t="s">
        <v>180</v>
      </c>
      <c r="D593" s="19" t="s">
        <v>309</v>
      </c>
      <c r="E593" s="19">
        <v>-238.0</v>
      </c>
      <c r="F593" s="232">
        <v>7.784</v>
      </c>
      <c r="G593" s="233">
        <v>1852.59</v>
      </c>
      <c r="H593" s="19" t="s">
        <v>852</v>
      </c>
      <c r="I593" s="235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334.15</v>
      </c>
      <c r="J593" s="235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298.8676576</v>
      </c>
    </row>
    <row r="594">
      <c r="A594" s="184">
        <v>43377.0</v>
      </c>
      <c r="B594" s="19" t="s">
        <v>186</v>
      </c>
      <c r="C594" s="19" t="s">
        <v>187</v>
      </c>
      <c r="D594" s="19" t="s">
        <v>309</v>
      </c>
      <c r="E594" s="19">
        <v>-5.0</v>
      </c>
      <c r="F594" s="232">
        <v>161.06</v>
      </c>
      <c r="G594" s="233">
        <v>805.3</v>
      </c>
      <c r="H594" s="19" t="s">
        <v>853</v>
      </c>
      <c r="I594" s="235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-135.8</v>
      </c>
      <c r="J594" s="235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-158.3223735</v>
      </c>
    </row>
    <row r="595">
      <c r="A595" s="184">
        <v>43377.0</v>
      </c>
      <c r="B595" s="19" t="s">
        <v>192</v>
      </c>
      <c r="C595" s="19" t="s">
        <v>722</v>
      </c>
      <c r="D595" s="19" t="s">
        <v>325</v>
      </c>
      <c r="E595" s="19"/>
      <c r="F595" s="232"/>
      <c r="G595" s="233">
        <v>-3.76</v>
      </c>
      <c r="H595" s="19" t="s">
        <v>854</v>
      </c>
      <c r="I595" s="235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-3.76</v>
      </c>
      <c r="J595" s="235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-3.76</v>
      </c>
    </row>
    <row r="596">
      <c r="A596" s="184">
        <v>43377.0</v>
      </c>
      <c r="B596" s="19" t="s">
        <v>192</v>
      </c>
      <c r="C596" s="19" t="s">
        <v>722</v>
      </c>
      <c r="D596" s="19" t="s">
        <v>308</v>
      </c>
      <c r="E596" s="50">
        <v>2361.0</v>
      </c>
      <c r="F596" s="232">
        <v>3.731</v>
      </c>
      <c r="G596" s="233">
        <v>-8808.53</v>
      </c>
      <c r="H596" s="19" t="s">
        <v>855</v>
      </c>
      <c r="I596" s="235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3142.852</v>
      </c>
      <c r="J596" s="235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3401.462344</v>
      </c>
    </row>
    <row r="597">
      <c r="A597" s="184">
        <v>43373.0</v>
      </c>
      <c r="B597" s="229"/>
      <c r="C597" s="230"/>
      <c r="D597" s="231" t="s">
        <v>325</v>
      </c>
      <c r="E597" s="231"/>
      <c r="F597" s="232"/>
      <c r="G597" s="233">
        <v>-501.62</v>
      </c>
      <c r="H597" s="230" t="s">
        <v>856</v>
      </c>
      <c r="I597" s="235" t="str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/>
      </c>
      <c r="J597" s="235" t="str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/>
      </c>
    </row>
    <row r="598">
      <c r="A598" s="184">
        <v>43369.0</v>
      </c>
      <c r="B598" s="19" t="s">
        <v>196</v>
      </c>
      <c r="C598" s="19" t="s">
        <v>197</v>
      </c>
      <c r="D598" s="19" t="s">
        <v>309</v>
      </c>
      <c r="E598" s="19">
        <v>-30.0</v>
      </c>
      <c r="F598" s="232">
        <v>47.288</v>
      </c>
      <c r="G598" s="233">
        <v>1418.64</v>
      </c>
      <c r="H598" s="19" t="s">
        <v>857</v>
      </c>
      <c r="I598" s="235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-250.56</v>
      </c>
      <c r="J598" s="235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-162.8216732</v>
      </c>
    </row>
    <row r="599">
      <c r="A599" s="184">
        <v>43369.0</v>
      </c>
      <c r="B599" s="19" t="s">
        <v>177</v>
      </c>
      <c r="C599" s="19" t="s">
        <v>180</v>
      </c>
      <c r="D599" s="19" t="s">
        <v>309</v>
      </c>
      <c r="E599" s="19">
        <v>-225.0</v>
      </c>
      <c r="F599" s="232">
        <v>7.373</v>
      </c>
      <c r="G599" s="233">
        <v>1658.92</v>
      </c>
      <c r="H599" s="19" t="s">
        <v>858</v>
      </c>
      <c r="I599" s="235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223.42</v>
      </c>
      <c r="J599" s="235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190.0648444</v>
      </c>
    </row>
    <row r="600">
      <c r="A600" s="184">
        <v>43369.0</v>
      </c>
      <c r="B600" s="19" t="s">
        <v>182</v>
      </c>
      <c r="C600" s="19" t="s">
        <v>183</v>
      </c>
      <c r="D600" s="19" t="s">
        <v>309</v>
      </c>
      <c r="E600" s="19">
        <v>-12.0</v>
      </c>
      <c r="F600" s="232">
        <v>97.53</v>
      </c>
      <c r="G600" s="233">
        <v>1170.36</v>
      </c>
      <c r="H600" s="19" t="s">
        <v>859</v>
      </c>
      <c r="I600" s="235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-684.24</v>
      </c>
      <c r="J600" s="235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-539.9752529</v>
      </c>
    </row>
    <row r="601">
      <c r="A601" s="184">
        <v>43367.0</v>
      </c>
      <c r="B601" s="19" t="s">
        <v>196</v>
      </c>
      <c r="C601" s="19" t="s">
        <v>197</v>
      </c>
      <c r="D601" s="19" t="s">
        <v>309</v>
      </c>
      <c r="E601" s="19">
        <v>-30.0</v>
      </c>
      <c r="F601" s="232">
        <v>47.385</v>
      </c>
      <c r="G601" s="233">
        <v>1421.55</v>
      </c>
      <c r="H601" s="19" t="s">
        <v>860</v>
      </c>
      <c r="I601" s="235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-247.65</v>
      </c>
      <c r="J601" s="235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-159.9116732</v>
      </c>
    </row>
    <row r="602">
      <c r="A602" s="184">
        <v>43363.0</v>
      </c>
      <c r="B602" s="19" t="s">
        <v>177</v>
      </c>
      <c r="C602" s="19" t="s">
        <v>180</v>
      </c>
      <c r="D602" s="19" t="s">
        <v>309</v>
      </c>
      <c r="E602" s="19">
        <v>-250.0</v>
      </c>
      <c r="F602" s="232">
        <v>7.261</v>
      </c>
      <c r="G602" s="233">
        <v>1815.25</v>
      </c>
      <c r="H602" s="19" t="s">
        <v>861</v>
      </c>
      <c r="I602" s="235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220.25</v>
      </c>
      <c r="J602" s="235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183.188716</v>
      </c>
    </row>
    <row r="603">
      <c r="A603" s="184">
        <v>43363.0</v>
      </c>
      <c r="B603" s="19" t="s">
        <v>196</v>
      </c>
      <c r="C603" s="19" t="s">
        <v>197</v>
      </c>
      <c r="D603" s="19" t="s">
        <v>309</v>
      </c>
      <c r="E603" s="19">
        <v>-45.0</v>
      </c>
      <c r="F603" s="232">
        <v>47.386</v>
      </c>
      <c r="G603" s="233">
        <v>2132.37</v>
      </c>
      <c r="H603" s="19" t="s">
        <v>862</v>
      </c>
      <c r="I603" s="235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-371.43</v>
      </c>
      <c r="J603" s="235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-239.8225097</v>
      </c>
    </row>
    <row r="604">
      <c r="A604" s="184">
        <v>43363.0</v>
      </c>
      <c r="B604" s="19" t="s">
        <v>192</v>
      </c>
      <c r="C604" s="19" t="s">
        <v>722</v>
      </c>
      <c r="D604" s="19" t="s">
        <v>325</v>
      </c>
      <c r="E604" s="19"/>
      <c r="F604" s="232"/>
      <c r="G604" s="233">
        <v>-2.54</v>
      </c>
      <c r="H604" s="19" t="s">
        <v>863</v>
      </c>
      <c r="I604" s="235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-2.54</v>
      </c>
      <c r="J604" s="235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-2.54</v>
      </c>
    </row>
    <row r="605">
      <c r="A605" s="184">
        <v>43363.0</v>
      </c>
      <c r="B605" s="19" t="s">
        <v>192</v>
      </c>
      <c r="C605" s="19" t="s">
        <v>722</v>
      </c>
      <c r="D605" s="19" t="s">
        <v>308</v>
      </c>
      <c r="E605" s="19">
        <v>717.0</v>
      </c>
      <c r="F605" s="232">
        <v>3.757</v>
      </c>
      <c r="G605" s="233">
        <v>-2693.88</v>
      </c>
      <c r="H605" s="19" t="s">
        <v>864</v>
      </c>
      <c r="I605" s="235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935.574</v>
      </c>
      <c r="J605" s="235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1014.110051</v>
      </c>
    </row>
    <row r="606">
      <c r="A606" s="184">
        <v>43361.0</v>
      </c>
      <c r="B606" s="19" t="s">
        <v>192</v>
      </c>
      <c r="C606" s="19" t="s">
        <v>722</v>
      </c>
      <c r="D606" s="19" t="s">
        <v>325</v>
      </c>
      <c r="E606" s="19"/>
      <c r="F606" s="232"/>
      <c r="G606" s="233">
        <v>-2.4</v>
      </c>
      <c r="H606" s="19" t="s">
        <v>752</v>
      </c>
      <c r="I606" s="235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-2.4</v>
      </c>
      <c r="J606" s="235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-2.4</v>
      </c>
    </row>
    <row r="607">
      <c r="A607" s="184">
        <v>43361.0</v>
      </c>
      <c r="B607" s="19" t="s">
        <v>192</v>
      </c>
      <c r="C607" s="19" t="s">
        <v>722</v>
      </c>
      <c r="D607" s="19" t="s">
        <v>308</v>
      </c>
      <c r="E607" s="19">
        <v>525.0</v>
      </c>
      <c r="F607" s="232">
        <v>3.811</v>
      </c>
      <c r="G607" s="233">
        <v>-2000.72</v>
      </c>
      <c r="H607" s="19" t="s">
        <v>865</v>
      </c>
      <c r="I607" s="235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656.83</v>
      </c>
      <c r="J607" s="235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714.3354767</v>
      </c>
    </row>
    <row r="608">
      <c r="A608" s="184">
        <v>43357.0</v>
      </c>
      <c r="B608" s="19"/>
      <c r="C608" s="19"/>
      <c r="D608" s="19" t="s">
        <v>332</v>
      </c>
      <c r="E608" s="19"/>
      <c r="F608" s="232"/>
      <c r="G608" s="233">
        <v>440.0</v>
      </c>
      <c r="H608" s="19" t="s">
        <v>866</v>
      </c>
      <c r="I608" s="235" t="str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/>
      </c>
      <c r="J608" s="235" t="str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/>
      </c>
    </row>
    <row r="609">
      <c r="A609" s="184">
        <v>43354.0</v>
      </c>
      <c r="B609" s="19"/>
      <c r="C609" s="19"/>
      <c r="D609" s="19" t="s">
        <v>332</v>
      </c>
      <c r="E609" s="19"/>
      <c r="F609" s="232"/>
      <c r="G609" s="233">
        <v>-500.0</v>
      </c>
      <c r="H609" s="19" t="s">
        <v>634</v>
      </c>
      <c r="I609" s="235" t="str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/>
      </c>
      <c r="J609" s="235" t="str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/>
      </c>
    </row>
    <row r="610">
      <c r="A610" s="184">
        <v>43349.0</v>
      </c>
      <c r="B610" s="19" t="s">
        <v>192</v>
      </c>
      <c r="C610" s="19" t="s">
        <v>722</v>
      </c>
      <c r="D610" s="19" t="s">
        <v>325</v>
      </c>
      <c r="E610" s="19"/>
      <c r="F610" s="232"/>
      <c r="G610" s="233">
        <v>-2.26</v>
      </c>
      <c r="H610" s="19" t="s">
        <v>661</v>
      </c>
      <c r="I610" s="235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-2.26</v>
      </c>
      <c r="J610" s="235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-2.26</v>
      </c>
    </row>
    <row r="611">
      <c r="A611" s="184">
        <v>43349.0</v>
      </c>
      <c r="B611" s="19" t="s">
        <v>192</v>
      </c>
      <c r="C611" s="19" t="s">
        <v>722</v>
      </c>
      <c r="D611" s="19" t="s">
        <v>308</v>
      </c>
      <c r="E611" s="19">
        <v>336.0</v>
      </c>
      <c r="F611" s="232">
        <v>3.874</v>
      </c>
      <c r="G611" s="233">
        <v>-1301.59</v>
      </c>
      <c r="H611" s="19" t="s">
        <v>867</v>
      </c>
      <c r="I611" s="235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399.242</v>
      </c>
      <c r="J611" s="235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436.0455051</v>
      </c>
    </row>
    <row r="612">
      <c r="A612" s="184">
        <v>43349.0</v>
      </c>
      <c r="B612" s="229" t="s">
        <v>192</v>
      </c>
      <c r="C612" s="230" t="s">
        <v>195</v>
      </c>
      <c r="D612" s="231" t="s">
        <v>329</v>
      </c>
      <c r="E612" s="231"/>
      <c r="F612" s="232"/>
      <c r="G612" s="233">
        <v>-12.85</v>
      </c>
      <c r="H612" s="230" t="s">
        <v>868</v>
      </c>
      <c r="I612" s="235" t="str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/>
      </c>
      <c r="J612" s="235" t="str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/>
      </c>
    </row>
    <row r="613">
      <c r="A613" s="184">
        <v>43343.0</v>
      </c>
      <c r="B613" s="229"/>
      <c r="C613" s="230"/>
      <c r="D613" s="231" t="s">
        <v>325</v>
      </c>
      <c r="E613" s="231"/>
      <c r="F613" s="232"/>
      <c r="G613" s="233">
        <v>-573.99</v>
      </c>
      <c r="H613" s="230" t="s">
        <v>869</v>
      </c>
      <c r="I613" s="235" t="str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/>
      </c>
      <c r="J613" s="235" t="str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/>
      </c>
    </row>
    <row r="614">
      <c r="A614" s="184">
        <v>43342.0</v>
      </c>
      <c r="B614" s="19" t="s">
        <v>182</v>
      </c>
      <c r="C614" s="19" t="s">
        <v>183</v>
      </c>
      <c r="D614" s="19" t="s">
        <v>308</v>
      </c>
      <c r="E614" s="19">
        <v>12.0</v>
      </c>
      <c r="F614" s="232">
        <v>98.34</v>
      </c>
      <c r="G614" s="233">
        <v>-1180.08</v>
      </c>
      <c r="H614" s="19" t="s">
        <v>870</v>
      </c>
      <c r="I614" s="235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674.52</v>
      </c>
      <c r="J614" s="235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530.2552529</v>
      </c>
    </row>
    <row r="615">
      <c r="A615" s="184">
        <v>43341.0</v>
      </c>
      <c r="B615" s="19" t="s">
        <v>177</v>
      </c>
      <c r="C615" s="19" t="s">
        <v>180</v>
      </c>
      <c r="D615" s="19" t="s">
        <v>308</v>
      </c>
      <c r="E615" s="19">
        <v>305.0</v>
      </c>
      <c r="F615" s="232">
        <v>7.26</v>
      </c>
      <c r="G615" s="233">
        <v>-2214.3</v>
      </c>
      <c r="H615" s="19" t="s">
        <v>871</v>
      </c>
      <c r="I615" s="235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-268.4</v>
      </c>
      <c r="J615" s="235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-223.1852335</v>
      </c>
    </row>
    <row r="616">
      <c r="A616" s="184">
        <v>43341.0</v>
      </c>
      <c r="B616" s="19" t="s">
        <v>186</v>
      </c>
      <c r="C616" s="19" t="s">
        <v>187</v>
      </c>
      <c r="D616" s="19" t="s">
        <v>308</v>
      </c>
      <c r="E616" s="19">
        <v>8.0</v>
      </c>
      <c r="F616" s="232">
        <v>162.34</v>
      </c>
      <c r="G616" s="233">
        <v>-1298.72</v>
      </c>
      <c r="H616" s="19" t="s">
        <v>872</v>
      </c>
      <c r="I616" s="235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207.04</v>
      </c>
      <c r="J616" s="235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243.0757977</v>
      </c>
    </row>
    <row r="617">
      <c r="A617" s="184">
        <v>43341.0</v>
      </c>
      <c r="B617" s="19" t="s">
        <v>192</v>
      </c>
      <c r="C617" s="19" t="s">
        <v>722</v>
      </c>
      <c r="D617" s="19" t="s">
        <v>325</v>
      </c>
      <c r="E617" s="19"/>
      <c r="F617" s="232"/>
      <c r="G617" s="233">
        <v>-2.39</v>
      </c>
      <c r="H617" s="19" t="s">
        <v>873</v>
      </c>
      <c r="I617" s="235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-2.39</v>
      </c>
      <c r="J617" s="235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-2.39</v>
      </c>
    </row>
    <row r="618">
      <c r="A618" s="184">
        <v>43341.0</v>
      </c>
      <c r="B618" s="19" t="s">
        <v>192</v>
      </c>
      <c r="C618" s="19" t="s">
        <v>722</v>
      </c>
      <c r="D618" s="19" t="s">
        <v>308</v>
      </c>
      <c r="E618" s="19">
        <v>500.0</v>
      </c>
      <c r="F618" s="232">
        <v>3.891</v>
      </c>
      <c r="G618" s="233">
        <v>-1945.61</v>
      </c>
      <c r="H618" s="19" t="s">
        <v>874</v>
      </c>
      <c r="I618" s="235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585.39</v>
      </c>
      <c r="J618" s="235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640.1571206</v>
      </c>
    </row>
    <row r="619">
      <c r="A619" s="184">
        <v>43341.0</v>
      </c>
      <c r="B619" s="19" t="s">
        <v>192</v>
      </c>
      <c r="C619" s="19" t="s">
        <v>722</v>
      </c>
      <c r="D619" s="19" t="s">
        <v>325</v>
      </c>
      <c r="E619" s="19"/>
      <c r="F619" s="232"/>
      <c r="G619" s="233">
        <v>-3.15</v>
      </c>
      <c r="H619" s="19" t="s">
        <v>875</v>
      </c>
      <c r="I619" s="235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-3.15</v>
      </c>
      <c r="J619" s="235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-3.15</v>
      </c>
    </row>
    <row r="620">
      <c r="A620" s="184">
        <v>43341.0</v>
      </c>
      <c r="B620" s="19" t="s">
        <v>192</v>
      </c>
      <c r="C620" s="19" t="s">
        <v>722</v>
      </c>
      <c r="D620" s="19" t="s">
        <v>308</v>
      </c>
      <c r="E620" s="50">
        <v>1478.0</v>
      </c>
      <c r="F620" s="232">
        <v>3.885</v>
      </c>
      <c r="G620" s="233">
        <v>-5742.57</v>
      </c>
      <c r="H620" s="19" t="s">
        <v>876</v>
      </c>
      <c r="I620" s="235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1739.066</v>
      </c>
      <c r="J620" s="235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1900.957609</v>
      </c>
    </row>
    <row r="621">
      <c r="A621" s="184">
        <v>43341.0</v>
      </c>
      <c r="B621" s="19" t="s">
        <v>186</v>
      </c>
      <c r="C621" s="19" t="s">
        <v>187</v>
      </c>
      <c r="D621" s="19" t="s">
        <v>308</v>
      </c>
      <c r="E621" s="19">
        <v>8.0</v>
      </c>
      <c r="F621" s="232">
        <v>162.14</v>
      </c>
      <c r="G621" s="233">
        <v>-1297.12</v>
      </c>
      <c r="H621" s="19" t="s">
        <v>877</v>
      </c>
      <c r="I621" s="235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208.64</v>
      </c>
      <c r="J621" s="235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244.6757977</v>
      </c>
    </row>
    <row r="622">
      <c r="A622" s="184">
        <v>43340.0</v>
      </c>
      <c r="B622" s="229" t="s">
        <v>192</v>
      </c>
      <c r="C622" s="230" t="s">
        <v>722</v>
      </c>
      <c r="D622" s="231" t="s">
        <v>325</v>
      </c>
      <c r="E622" s="231"/>
      <c r="F622" s="232"/>
      <c r="G622" s="233">
        <v>-2.25</v>
      </c>
      <c r="H622" s="230" t="s">
        <v>674</v>
      </c>
      <c r="I622" s="235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-2.25</v>
      </c>
      <c r="J622" s="235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-2.25</v>
      </c>
    </row>
    <row r="623">
      <c r="A623" s="184">
        <v>43340.0</v>
      </c>
      <c r="B623" s="229" t="s">
        <v>192</v>
      </c>
      <c r="C623" s="230" t="s">
        <v>722</v>
      </c>
      <c r="D623" s="231" t="s">
        <v>308</v>
      </c>
      <c r="E623" s="231">
        <v>1154.0</v>
      </c>
      <c r="F623" s="232">
        <v>3.9</v>
      </c>
      <c r="G623" s="233">
        <v>-4501.07</v>
      </c>
      <c r="H623" s="230" t="s">
        <v>878</v>
      </c>
      <c r="I623" s="235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1340.478</v>
      </c>
      <c r="J623" s="235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1466.880514</v>
      </c>
    </row>
    <row r="624">
      <c r="A624" s="184">
        <v>43339.0</v>
      </c>
      <c r="B624" s="19" t="s">
        <v>196</v>
      </c>
      <c r="C624" s="19" t="s">
        <v>197</v>
      </c>
      <c r="D624" s="19" t="s">
        <v>308</v>
      </c>
      <c r="E624" s="19">
        <v>84.0</v>
      </c>
      <c r="F624" s="232">
        <v>47.252</v>
      </c>
      <c r="G624" s="233">
        <v>-3969.17</v>
      </c>
      <c r="H624" s="19" t="s">
        <v>879</v>
      </c>
      <c r="I624" s="235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704.59</v>
      </c>
      <c r="J624" s="235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458.9226848</v>
      </c>
    </row>
    <row r="625">
      <c r="A625" s="184">
        <v>43339.0</v>
      </c>
      <c r="B625" s="19" t="s">
        <v>177</v>
      </c>
      <c r="C625" s="19" t="s">
        <v>180</v>
      </c>
      <c r="D625" s="19" t="s">
        <v>308</v>
      </c>
      <c r="E625" s="19">
        <v>443.0</v>
      </c>
      <c r="F625" s="232">
        <v>7.358</v>
      </c>
      <c r="G625" s="233">
        <v>-3259.59</v>
      </c>
      <c r="H625" s="19" t="s">
        <v>880</v>
      </c>
      <c r="I625" s="235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-433.25</v>
      </c>
      <c r="J625" s="235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-367.5774047</v>
      </c>
    </row>
    <row r="626">
      <c r="A626" s="184">
        <v>43339.0</v>
      </c>
      <c r="B626" s="19" t="s">
        <v>186</v>
      </c>
      <c r="C626" s="19" t="s">
        <v>187</v>
      </c>
      <c r="D626" s="19" t="s">
        <v>308</v>
      </c>
      <c r="E626" s="19">
        <v>19.0</v>
      </c>
      <c r="F626" s="232">
        <v>163.99</v>
      </c>
      <c r="G626" s="233">
        <v>-3115.81</v>
      </c>
      <c r="H626" s="19" t="s">
        <v>881</v>
      </c>
      <c r="I626" s="235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460.37</v>
      </c>
      <c r="J626" s="235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545.9550195</v>
      </c>
    </row>
    <row r="627">
      <c r="A627" s="184">
        <v>43339.0</v>
      </c>
      <c r="B627" s="19" t="s">
        <v>182</v>
      </c>
      <c r="C627" s="19" t="s">
        <v>183</v>
      </c>
      <c r="D627" s="19" t="s">
        <v>308</v>
      </c>
      <c r="E627" s="19">
        <v>31.0</v>
      </c>
      <c r="F627" s="232">
        <v>99.36</v>
      </c>
      <c r="G627" s="233">
        <v>-3080.16</v>
      </c>
      <c r="H627" s="19" t="s">
        <v>882</v>
      </c>
      <c r="I627" s="235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1710.89</v>
      </c>
      <c r="J627" s="235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1338.20607</v>
      </c>
    </row>
    <row r="628">
      <c r="A628" s="184">
        <v>43312.0</v>
      </c>
      <c r="B628" s="229" t="s">
        <v>192</v>
      </c>
      <c r="C628" s="230" t="s">
        <v>722</v>
      </c>
      <c r="D628" s="231" t="s">
        <v>325</v>
      </c>
      <c r="E628" s="231"/>
      <c r="F628" s="232"/>
      <c r="G628" s="233">
        <v>-4.46</v>
      </c>
      <c r="H628" s="230" t="s">
        <v>883</v>
      </c>
      <c r="I628" s="235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-4.46</v>
      </c>
      <c r="J628" s="235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-4.46</v>
      </c>
    </row>
    <row r="629">
      <c r="A629" s="184">
        <v>43312.0</v>
      </c>
      <c r="B629" s="229" t="s">
        <v>192</v>
      </c>
      <c r="C629" s="230" t="s">
        <v>722</v>
      </c>
      <c r="D629" s="231" t="s">
        <v>308</v>
      </c>
      <c r="E629" s="231">
        <v>4074.0</v>
      </c>
      <c r="F629" s="232">
        <v>3.83</v>
      </c>
      <c r="G629" s="233">
        <v>-15602.16</v>
      </c>
      <c r="H629" s="230" t="s">
        <v>884</v>
      </c>
      <c r="I629" s="235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5020.428</v>
      </c>
      <c r="J629" s="235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5466.670499</v>
      </c>
    </row>
    <row r="630">
      <c r="A630" s="184">
        <v>43312.0</v>
      </c>
      <c r="B630" s="229"/>
      <c r="C630" s="230"/>
      <c r="D630" s="231" t="s">
        <v>325</v>
      </c>
      <c r="E630" s="231"/>
      <c r="F630" s="232"/>
      <c r="G630" s="233">
        <v>-467.55</v>
      </c>
      <c r="H630" s="230" t="s">
        <v>885</v>
      </c>
      <c r="I630" s="235" t="str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/>
      </c>
      <c r="J630" s="235" t="str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/>
      </c>
    </row>
    <row r="631">
      <c r="A631" s="184">
        <v>43312.0</v>
      </c>
      <c r="B631" s="19" t="s">
        <v>196</v>
      </c>
      <c r="C631" s="19" t="s">
        <v>197</v>
      </c>
      <c r="D631" s="19" t="s">
        <v>308</v>
      </c>
      <c r="E631" s="19">
        <v>226.0</v>
      </c>
      <c r="F631" s="232">
        <v>45.477</v>
      </c>
      <c r="G631" s="233">
        <v>-10277.8</v>
      </c>
      <c r="H631" s="19" t="s">
        <v>886</v>
      </c>
      <c r="I631" s="235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2296.84</v>
      </c>
      <c r="J631" s="235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1635.877938</v>
      </c>
    </row>
    <row r="632">
      <c r="A632" s="184">
        <v>43312.0</v>
      </c>
      <c r="B632" s="19" t="s">
        <v>177</v>
      </c>
      <c r="C632" s="19" t="s">
        <v>180</v>
      </c>
      <c r="D632" s="19" t="s">
        <v>308</v>
      </c>
      <c r="E632" s="19">
        <v>203.0</v>
      </c>
      <c r="F632" s="232">
        <v>7.404</v>
      </c>
      <c r="G632" s="233">
        <v>-1503.01</v>
      </c>
      <c r="H632" s="19" t="s">
        <v>887</v>
      </c>
      <c r="I632" s="235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-207.87</v>
      </c>
      <c r="J632" s="235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-177.7762374</v>
      </c>
    </row>
    <row r="633">
      <c r="A633" s="184">
        <v>43312.0</v>
      </c>
      <c r="B633" s="19" t="s">
        <v>186</v>
      </c>
      <c r="C633" s="19" t="s">
        <v>187</v>
      </c>
      <c r="D633" s="19" t="s">
        <v>308</v>
      </c>
      <c r="E633" s="19">
        <v>36.0</v>
      </c>
      <c r="F633" s="232">
        <v>160.27</v>
      </c>
      <c r="G633" s="233">
        <v>-5769.72</v>
      </c>
      <c r="H633" s="19" t="s">
        <v>888</v>
      </c>
      <c r="I633" s="235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1006.2</v>
      </c>
      <c r="J633" s="235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1168.361089</v>
      </c>
    </row>
    <row r="634">
      <c r="A634" s="184">
        <v>43312.0</v>
      </c>
      <c r="B634" s="19" t="s">
        <v>182</v>
      </c>
      <c r="C634" s="19" t="s">
        <v>183</v>
      </c>
      <c r="D634" s="19" t="s">
        <v>308</v>
      </c>
      <c r="E634" s="19">
        <v>29.0</v>
      </c>
      <c r="F634" s="232">
        <v>99.77</v>
      </c>
      <c r="G634" s="233">
        <v>-2893.33</v>
      </c>
      <c r="H634" s="19" t="s">
        <v>889</v>
      </c>
      <c r="I634" s="235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1588.62</v>
      </c>
      <c r="J634" s="235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1239.980195</v>
      </c>
    </row>
    <row r="635">
      <c r="A635" s="184">
        <v>43304.0</v>
      </c>
      <c r="B635" s="19" t="s">
        <v>192</v>
      </c>
      <c r="C635" s="19" t="s">
        <v>722</v>
      </c>
      <c r="D635" s="19" t="s">
        <v>325</v>
      </c>
      <c r="E635" s="50"/>
      <c r="F635" s="232"/>
      <c r="G635" s="233">
        <v>-25.99</v>
      </c>
      <c r="H635" s="19" t="s">
        <v>890</v>
      </c>
      <c r="I635" s="235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-25.99</v>
      </c>
      <c r="J635" s="235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-25.99</v>
      </c>
    </row>
    <row r="636">
      <c r="A636" s="184">
        <v>43304.0</v>
      </c>
      <c r="B636" s="19" t="s">
        <v>192</v>
      </c>
      <c r="C636" s="19" t="s">
        <v>722</v>
      </c>
      <c r="D636" s="19" t="s">
        <v>308</v>
      </c>
      <c r="E636" s="50">
        <v>31102.0</v>
      </c>
      <c r="F636" s="232">
        <v>3.857</v>
      </c>
      <c r="G636" s="233">
        <v>-119971.61</v>
      </c>
      <c r="H636" s="19" t="s">
        <v>891</v>
      </c>
      <c r="I636" s="235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37466.714</v>
      </c>
      <c r="J636" s="235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40873.44797</v>
      </c>
    </row>
    <row r="637">
      <c r="A637" s="184">
        <v>43304.0</v>
      </c>
      <c r="B637" s="19" t="s">
        <v>196</v>
      </c>
      <c r="C637" s="19" t="s">
        <v>197</v>
      </c>
      <c r="D637" s="19" t="s">
        <v>308</v>
      </c>
      <c r="E637" s="50">
        <v>1926.0</v>
      </c>
      <c r="F637" s="232">
        <v>45.323</v>
      </c>
      <c r="G637" s="233">
        <v>-87292.1</v>
      </c>
      <c r="H637" s="19" t="s">
        <v>892</v>
      </c>
      <c r="I637" s="235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19870.54</v>
      </c>
      <c r="J637" s="235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14237.73942</v>
      </c>
    </row>
    <row r="638">
      <c r="A638" s="184">
        <v>43304.0</v>
      </c>
      <c r="B638" s="19" t="s">
        <v>186</v>
      </c>
      <c r="C638" s="19" t="s">
        <v>187</v>
      </c>
      <c r="D638" s="19" t="s">
        <v>308</v>
      </c>
      <c r="E638" s="50">
        <v>273.0</v>
      </c>
      <c r="F638" s="232">
        <v>160.85</v>
      </c>
      <c r="G638" s="233">
        <v>-43912.05</v>
      </c>
      <c r="H638" s="19" t="s">
        <v>893</v>
      </c>
      <c r="I638" s="235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7472.01</v>
      </c>
      <c r="J638" s="235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8701.731595</v>
      </c>
    </row>
    <row r="639">
      <c r="A639" s="184">
        <v>43297.0</v>
      </c>
      <c r="B639" s="19" t="s">
        <v>177</v>
      </c>
      <c r="C639" s="19" t="s">
        <v>180</v>
      </c>
      <c r="D639" s="19" t="s">
        <v>308</v>
      </c>
      <c r="E639" s="50">
        <v>3336.0</v>
      </c>
      <c r="F639" s="232">
        <v>7.303</v>
      </c>
      <c r="G639" s="233">
        <v>-24362.81</v>
      </c>
      <c r="H639" s="19" t="s">
        <v>894</v>
      </c>
      <c r="I639" s="235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-3079.13</v>
      </c>
      <c r="J639" s="235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-2584.584226</v>
      </c>
    </row>
    <row r="640">
      <c r="A640" s="184">
        <v>43297.0</v>
      </c>
      <c r="B640" s="19" t="s">
        <v>182</v>
      </c>
      <c r="C640" s="19" t="s">
        <v>183</v>
      </c>
      <c r="D640" s="19" t="s">
        <v>308</v>
      </c>
      <c r="E640" s="19">
        <v>235.0</v>
      </c>
      <c r="F640" s="232">
        <v>101.75</v>
      </c>
      <c r="G640" s="233">
        <v>-23911.25</v>
      </c>
      <c r="H640" s="19" t="s">
        <v>895</v>
      </c>
      <c r="I640" s="235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12408</v>
      </c>
      <c r="J640" s="235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9582.81537</v>
      </c>
    </row>
    <row r="641">
      <c r="A641" s="184">
        <v>43291.0</v>
      </c>
      <c r="B641" s="19"/>
      <c r="C641" s="19"/>
      <c r="D641" s="19" t="s">
        <v>332</v>
      </c>
      <c r="F641" s="232"/>
      <c r="G641" s="233">
        <v>108000.0</v>
      </c>
      <c r="H641" s="19" t="s">
        <v>896</v>
      </c>
      <c r="I641" s="235" t="str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/>
      </c>
      <c r="J641" s="235" t="str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/>
      </c>
    </row>
    <row r="642">
      <c r="A642" s="184">
        <v>43286.0</v>
      </c>
      <c r="B642" s="229" t="s">
        <v>196</v>
      </c>
      <c r="C642" s="230" t="s">
        <v>197</v>
      </c>
      <c r="D642" s="231" t="s">
        <v>329</v>
      </c>
      <c r="E642" s="231"/>
      <c r="F642" s="232"/>
      <c r="G642" s="233">
        <v>-72.97</v>
      </c>
      <c r="H642" s="230" t="s">
        <v>897</v>
      </c>
      <c r="I642" s="235" t="str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/>
      </c>
      <c r="J642" s="235" t="str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/>
      </c>
    </row>
    <row r="643">
      <c r="A643" s="184">
        <v>43286.0</v>
      </c>
      <c r="B643" s="19" t="s">
        <v>196</v>
      </c>
      <c r="C643" s="19" t="s">
        <v>197</v>
      </c>
      <c r="D643" s="19" t="s">
        <v>329</v>
      </c>
      <c r="F643" s="232"/>
      <c r="G643" s="233">
        <v>501.26</v>
      </c>
      <c r="H643" s="19" t="s">
        <v>898</v>
      </c>
      <c r="I643" s="235" t="str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/>
      </c>
      <c r="J643" s="235" t="str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/>
      </c>
    </row>
    <row r="644">
      <c r="A644" s="184">
        <v>43281.0</v>
      </c>
      <c r="B644" s="229"/>
      <c r="C644" s="230"/>
      <c r="D644" s="231" t="s">
        <v>325</v>
      </c>
      <c r="E644" s="231"/>
      <c r="F644" s="232"/>
      <c r="G644" s="233">
        <v>-276.19</v>
      </c>
      <c r="H644" s="230" t="s">
        <v>899</v>
      </c>
      <c r="I644" s="235" t="str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/>
      </c>
      <c r="J644" s="235" t="str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/>
      </c>
    </row>
    <row r="645">
      <c r="A645" s="184">
        <v>43280.0</v>
      </c>
      <c r="B645" s="229"/>
      <c r="C645" s="230"/>
      <c r="D645" s="231" t="s">
        <v>325</v>
      </c>
      <c r="E645" s="231"/>
      <c r="F645" s="232"/>
      <c r="G645" s="233">
        <v>-0.04</v>
      </c>
      <c r="H645" s="230" t="s">
        <v>900</v>
      </c>
      <c r="I645" s="235" t="str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/>
      </c>
      <c r="J645" s="235" t="str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/>
      </c>
    </row>
    <row r="646">
      <c r="A646" s="184">
        <v>43279.0</v>
      </c>
      <c r="B646" s="229" t="s">
        <v>192</v>
      </c>
      <c r="C646" s="230" t="s">
        <v>722</v>
      </c>
      <c r="D646" s="231" t="s">
        <v>329</v>
      </c>
      <c r="E646" s="231"/>
      <c r="F646" s="232"/>
      <c r="G646" s="233">
        <v>-329.67</v>
      </c>
      <c r="H646" s="230" t="s">
        <v>901</v>
      </c>
      <c r="I646" s="235" t="str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/>
      </c>
      <c r="J646" s="235" t="str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/>
      </c>
    </row>
    <row r="647">
      <c r="A647" s="184">
        <v>43278.0</v>
      </c>
      <c r="B647" s="229" t="s">
        <v>192</v>
      </c>
      <c r="C647" s="230" t="s">
        <v>722</v>
      </c>
      <c r="D647" s="231" t="s">
        <v>329</v>
      </c>
      <c r="E647" s="231"/>
      <c r="F647" s="232"/>
      <c r="G647" s="233">
        <v>2415.73</v>
      </c>
      <c r="H647" s="230" t="s">
        <v>902</v>
      </c>
      <c r="I647" s="235" t="str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/>
      </c>
      <c r="J647" s="235" t="str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/>
      </c>
    </row>
    <row r="648">
      <c r="A648" s="184">
        <v>43259.0</v>
      </c>
      <c r="B648" s="19" t="s">
        <v>177</v>
      </c>
      <c r="C648" s="49" t="s">
        <v>180</v>
      </c>
      <c r="D648" s="19" t="s">
        <v>308</v>
      </c>
      <c r="E648" s="19">
        <v>897.0</v>
      </c>
      <c r="F648" s="232">
        <v>7.768</v>
      </c>
      <c r="G648" s="233">
        <v>-6967.9</v>
      </c>
      <c r="H648" s="19" t="s">
        <v>903</v>
      </c>
      <c r="I648" s="235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-1245.04</v>
      </c>
      <c r="J648" s="235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-1112.064113</v>
      </c>
    </row>
    <row r="649">
      <c r="A649" s="184">
        <v>43259.0</v>
      </c>
      <c r="B649" s="19" t="s">
        <v>182</v>
      </c>
      <c r="C649" s="49" t="s">
        <v>183</v>
      </c>
      <c r="D649" s="19" t="s">
        <v>308</v>
      </c>
      <c r="E649" s="19">
        <v>68.0</v>
      </c>
      <c r="F649" s="232">
        <v>105.33</v>
      </c>
      <c r="G649" s="233">
        <v>-7162.44</v>
      </c>
      <c r="H649" s="19" t="s">
        <v>904</v>
      </c>
      <c r="I649" s="235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3346.96</v>
      </c>
      <c r="J649" s="235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2529.459767</v>
      </c>
    </row>
    <row r="650">
      <c r="A650" s="184">
        <v>43259.0</v>
      </c>
      <c r="B650" s="19" t="s">
        <v>196</v>
      </c>
      <c r="C650" s="49" t="s">
        <v>197</v>
      </c>
      <c r="D650" s="19" t="s">
        <v>308</v>
      </c>
      <c r="E650" s="19">
        <v>630.0</v>
      </c>
      <c r="F650" s="232">
        <v>44.718</v>
      </c>
      <c r="G650" s="233">
        <v>-28172.34</v>
      </c>
      <c r="H650" s="19" t="s">
        <v>905</v>
      </c>
      <c r="I650" s="235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6880.86</v>
      </c>
      <c r="J650" s="235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5038.355136</v>
      </c>
    </row>
    <row r="651">
      <c r="A651" s="184">
        <v>43259.0</v>
      </c>
      <c r="B651" s="19" t="s">
        <v>192</v>
      </c>
      <c r="C651" s="19" t="s">
        <v>722</v>
      </c>
      <c r="D651" s="19" t="s">
        <v>325</v>
      </c>
      <c r="E651" s="19"/>
      <c r="F651" s="232"/>
      <c r="G651" s="233">
        <v>-10.09</v>
      </c>
      <c r="H651" s="19" t="s">
        <v>906</v>
      </c>
      <c r="I651" s="235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-10.09</v>
      </c>
      <c r="J651" s="235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-10.09</v>
      </c>
    </row>
    <row r="652">
      <c r="A652" s="184">
        <v>43259.0</v>
      </c>
      <c r="B652" s="19" t="s">
        <v>192</v>
      </c>
      <c r="C652" s="19" t="s">
        <v>722</v>
      </c>
      <c r="D652" s="19" t="s">
        <v>308</v>
      </c>
      <c r="E652" s="50">
        <v>10452.0</v>
      </c>
      <c r="F652" s="232">
        <v>3.869</v>
      </c>
      <c r="G652" s="233">
        <v>-40435.8</v>
      </c>
      <c r="H652" s="19" t="s">
        <v>907</v>
      </c>
      <c r="I652" s="235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12472.224</v>
      </c>
      <c r="J652" s="235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13617.07589</v>
      </c>
    </row>
    <row r="653">
      <c r="A653" s="184">
        <v>43259.0</v>
      </c>
      <c r="B653" s="19" t="s">
        <v>186</v>
      </c>
      <c r="C653" s="19" t="s">
        <v>187</v>
      </c>
      <c r="D653" s="19" t="s">
        <v>308</v>
      </c>
      <c r="E653" s="19">
        <v>93.0</v>
      </c>
      <c r="F653" s="232">
        <v>159.71</v>
      </c>
      <c r="G653" s="233">
        <v>-14853.03</v>
      </c>
      <c r="H653" s="19" t="s">
        <v>908</v>
      </c>
      <c r="I653" s="235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2651.43</v>
      </c>
      <c r="J653" s="235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3070.346148</v>
      </c>
    </row>
    <row r="654">
      <c r="A654" s="184">
        <v>43258.0</v>
      </c>
      <c r="B654" s="19"/>
      <c r="C654" s="49"/>
      <c r="D654" s="19" t="s">
        <v>332</v>
      </c>
      <c r="E654" s="19"/>
      <c r="F654" s="232"/>
      <c r="G654" s="233">
        <v>25000.0</v>
      </c>
      <c r="H654" s="19" t="s">
        <v>909</v>
      </c>
      <c r="I654" s="235" t="str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/>
      </c>
      <c r="J654" s="235" t="str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/>
      </c>
    </row>
    <row r="655">
      <c r="A655" s="184">
        <v>43256.0</v>
      </c>
      <c r="B655" s="19" t="s">
        <v>177</v>
      </c>
      <c r="C655" s="49" t="s">
        <v>180</v>
      </c>
      <c r="D655" s="19" t="s">
        <v>308</v>
      </c>
      <c r="E655" s="19">
        <v>163.0</v>
      </c>
      <c r="F655" s="232">
        <v>7.8</v>
      </c>
      <c r="G655" s="233">
        <v>-1271.4</v>
      </c>
      <c r="H655" s="19" t="s">
        <v>910</v>
      </c>
      <c r="I655" s="235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-231.46</v>
      </c>
      <c r="J655" s="235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-207.2960428</v>
      </c>
    </row>
    <row r="656">
      <c r="A656" s="184">
        <v>43255.0</v>
      </c>
      <c r="B656" s="19" t="s">
        <v>192</v>
      </c>
      <c r="C656" s="19" t="s">
        <v>722</v>
      </c>
      <c r="D656" s="19" t="s">
        <v>325</v>
      </c>
      <c r="F656" s="232"/>
      <c r="G656" s="233">
        <v>-3.82</v>
      </c>
      <c r="H656" s="19" t="s">
        <v>911</v>
      </c>
      <c r="I656" s="235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-3.82</v>
      </c>
      <c r="J656" s="235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-3.82</v>
      </c>
    </row>
    <row r="657">
      <c r="A657" s="184">
        <v>43255.0</v>
      </c>
      <c r="B657" s="19" t="s">
        <v>192</v>
      </c>
      <c r="C657" s="19" t="s">
        <v>722</v>
      </c>
      <c r="D657" s="19" t="s">
        <v>308</v>
      </c>
      <c r="E657" s="50">
        <v>2338.0</v>
      </c>
      <c r="F657" s="232">
        <v>3.882</v>
      </c>
      <c r="G657" s="233">
        <v>-9076.29</v>
      </c>
      <c r="H657" s="19" t="s">
        <v>912</v>
      </c>
      <c r="I657" s="235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2758.666</v>
      </c>
      <c r="J657" s="235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3014.757056</v>
      </c>
    </row>
    <row r="658">
      <c r="A658" s="184">
        <v>43255.0</v>
      </c>
      <c r="B658" s="19" t="s">
        <v>177</v>
      </c>
      <c r="C658" s="49" t="s">
        <v>180</v>
      </c>
      <c r="D658" s="19" t="s">
        <v>308</v>
      </c>
      <c r="E658" s="19">
        <v>479.0</v>
      </c>
      <c r="F658" s="232">
        <v>7.801</v>
      </c>
      <c r="G658" s="233">
        <v>-3736.68</v>
      </c>
      <c r="H658" s="19" t="s">
        <v>913</v>
      </c>
      <c r="I658" s="235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-680.66</v>
      </c>
      <c r="J658" s="235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-609.6505798</v>
      </c>
    </row>
    <row r="659">
      <c r="A659" s="184">
        <v>43255.0</v>
      </c>
      <c r="B659" s="19" t="s">
        <v>186</v>
      </c>
      <c r="C659" s="19" t="s">
        <v>187</v>
      </c>
      <c r="D659" s="19" t="s">
        <v>308</v>
      </c>
      <c r="E659" s="19">
        <v>23.0</v>
      </c>
      <c r="F659" s="232">
        <v>159.87</v>
      </c>
      <c r="G659" s="233">
        <v>-3677.01</v>
      </c>
      <c r="H659" s="19" t="s">
        <v>914</v>
      </c>
      <c r="I659" s="235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652.05</v>
      </c>
      <c r="J659" s="235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755.6529183</v>
      </c>
    </row>
    <row r="660">
      <c r="A660" s="184">
        <v>43255.0</v>
      </c>
      <c r="B660" s="19" t="s">
        <v>196</v>
      </c>
      <c r="C660" s="49" t="s">
        <v>197</v>
      </c>
      <c r="D660" s="19" t="s">
        <v>308</v>
      </c>
      <c r="E660" s="19">
        <v>93.0</v>
      </c>
      <c r="F660" s="232">
        <v>44.55</v>
      </c>
      <c r="G660" s="233">
        <v>-4143.15</v>
      </c>
      <c r="H660" s="19" t="s">
        <v>915</v>
      </c>
      <c r="I660" s="235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1031.37</v>
      </c>
      <c r="J660" s="235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759.3811868</v>
      </c>
    </row>
    <row r="661">
      <c r="A661" s="184">
        <v>43255.0</v>
      </c>
      <c r="B661" s="19" t="s">
        <v>192</v>
      </c>
      <c r="C661" s="19" t="s">
        <v>722</v>
      </c>
      <c r="D661" s="19" t="s">
        <v>325</v>
      </c>
      <c r="F661" s="232"/>
      <c r="G661" s="233">
        <v>-2.96</v>
      </c>
      <c r="H661" s="19" t="s">
        <v>916</v>
      </c>
      <c r="I661" s="235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-2.96</v>
      </c>
      <c r="J661" s="235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-2.96</v>
      </c>
    </row>
    <row r="662">
      <c r="A662" s="184">
        <v>43255.0</v>
      </c>
      <c r="B662" s="19" t="s">
        <v>192</v>
      </c>
      <c r="C662" s="19" t="s">
        <v>722</v>
      </c>
      <c r="D662" s="19" t="s">
        <v>308</v>
      </c>
      <c r="E662" s="50">
        <v>1235.0</v>
      </c>
      <c r="F662" s="232">
        <v>3.881</v>
      </c>
      <c r="G662" s="233">
        <v>-4793.1</v>
      </c>
      <c r="H662" s="19" t="s">
        <v>917</v>
      </c>
      <c r="I662" s="235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1458.47</v>
      </c>
      <c r="J662" s="235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1593.744788</v>
      </c>
    </row>
    <row r="663">
      <c r="A663" s="184">
        <v>43255.0</v>
      </c>
      <c r="B663" s="19" t="s">
        <v>196</v>
      </c>
      <c r="C663" s="49" t="s">
        <v>197</v>
      </c>
      <c r="D663" s="19" t="s">
        <v>308</v>
      </c>
      <c r="E663" s="19">
        <v>88.0</v>
      </c>
      <c r="F663" s="232">
        <v>44.539</v>
      </c>
      <c r="G663" s="233">
        <v>-3919.43</v>
      </c>
      <c r="H663" s="19" t="s">
        <v>918</v>
      </c>
      <c r="I663" s="235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976.89</v>
      </c>
      <c r="J663" s="235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719.5242412</v>
      </c>
    </row>
    <row r="664">
      <c r="A664" s="184">
        <v>43255.0</v>
      </c>
      <c r="B664" s="19" t="s">
        <v>186</v>
      </c>
      <c r="C664" s="19" t="s">
        <v>187</v>
      </c>
      <c r="D664" s="19" t="s">
        <v>308</v>
      </c>
      <c r="E664" s="19">
        <v>13.0</v>
      </c>
      <c r="F664" s="232">
        <v>159.82</v>
      </c>
      <c r="G664" s="233">
        <v>-2077.66</v>
      </c>
      <c r="H664" s="19" t="s">
        <v>919</v>
      </c>
      <c r="I664" s="235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369.2</v>
      </c>
      <c r="J664" s="235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427.7581712</v>
      </c>
    </row>
    <row r="665">
      <c r="A665" s="184">
        <v>43255.0</v>
      </c>
      <c r="B665" s="19" t="s">
        <v>182</v>
      </c>
      <c r="C665" s="49" t="s">
        <v>183</v>
      </c>
      <c r="D665" s="19" t="s">
        <v>308</v>
      </c>
      <c r="E665" s="19">
        <v>11.0</v>
      </c>
      <c r="F665" s="232">
        <v>105.72</v>
      </c>
      <c r="G665" s="233">
        <v>-1162.92</v>
      </c>
      <c r="H665" s="19" t="s">
        <v>920</v>
      </c>
      <c r="I665" s="235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537.13</v>
      </c>
      <c r="J665" s="235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404.8873152</v>
      </c>
    </row>
    <row r="666">
      <c r="A666" s="184">
        <v>43251.0</v>
      </c>
      <c r="B666" s="229" t="s">
        <v>186</v>
      </c>
      <c r="C666" s="230" t="s">
        <v>187</v>
      </c>
      <c r="D666" s="231" t="s">
        <v>329</v>
      </c>
      <c r="E666" s="231"/>
      <c r="F666" s="232"/>
      <c r="G666" s="233">
        <v>471.2</v>
      </c>
      <c r="H666" s="230" t="s">
        <v>921</v>
      </c>
      <c r="I666" s="235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5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4">
        <v>43251.0</v>
      </c>
      <c r="B667" s="229" t="s">
        <v>186</v>
      </c>
      <c r="C667" s="230" t="s">
        <v>187</v>
      </c>
      <c r="D667" s="231" t="s">
        <v>329</v>
      </c>
      <c r="E667" s="231"/>
      <c r="F667" s="232"/>
      <c r="G667" s="233">
        <v>-68.59</v>
      </c>
      <c r="H667" s="230" t="s">
        <v>922</v>
      </c>
      <c r="I667" s="235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235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84">
        <v>43251.0</v>
      </c>
      <c r="B668" s="229"/>
      <c r="C668" s="230"/>
      <c r="D668" s="231" t="s">
        <v>325</v>
      </c>
      <c r="E668" s="231"/>
      <c r="F668" s="232"/>
      <c r="G668" s="233">
        <v>-161.46</v>
      </c>
      <c r="H668" s="230" t="s">
        <v>923</v>
      </c>
      <c r="I668" s="235" t="str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/>
      </c>
      <c r="J668" s="235" t="str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/>
      </c>
    </row>
    <row r="669">
      <c r="A669" s="184">
        <v>43251.0</v>
      </c>
      <c r="B669" s="229"/>
      <c r="C669" s="230"/>
      <c r="D669" s="231" t="s">
        <v>325</v>
      </c>
      <c r="E669" s="231"/>
      <c r="F669" s="232"/>
      <c r="G669" s="233">
        <v>-2.5</v>
      </c>
      <c r="H669" s="230" t="s">
        <v>690</v>
      </c>
      <c r="I669" s="235" t="str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/>
      </c>
      <c r="J669" s="235" t="str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/>
      </c>
    </row>
    <row r="670">
      <c r="A670" s="184">
        <v>43224.0</v>
      </c>
      <c r="B670" s="229" t="s">
        <v>186</v>
      </c>
      <c r="C670" s="230" t="s">
        <v>191</v>
      </c>
      <c r="D670" s="231" t="s">
        <v>329</v>
      </c>
      <c r="E670" s="231"/>
      <c r="F670" s="232"/>
      <c r="G670" s="233">
        <v>7.5</v>
      </c>
      <c r="H670" s="230" t="s">
        <v>924</v>
      </c>
      <c r="I670" s="235" t="str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/>
      </c>
      <c r="J670" s="235" t="str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/>
      </c>
    </row>
    <row r="671">
      <c r="A671" s="184">
        <v>43224.0</v>
      </c>
      <c r="B671" s="229" t="s">
        <v>186</v>
      </c>
      <c r="C671" s="230" t="s">
        <v>191</v>
      </c>
      <c r="D671" s="231" t="s">
        <v>329</v>
      </c>
      <c r="E671" s="231"/>
      <c r="F671" s="232"/>
      <c r="G671" s="233">
        <v>-7.01</v>
      </c>
      <c r="H671" s="230" t="s">
        <v>925</v>
      </c>
      <c r="I671" s="235" t="str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/>
      </c>
      <c r="J671" s="235" t="str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/>
      </c>
    </row>
    <row r="672">
      <c r="A672" s="184">
        <v>43224.0</v>
      </c>
      <c r="B672" s="229" t="s">
        <v>186</v>
      </c>
      <c r="C672" s="230" t="s">
        <v>191</v>
      </c>
      <c r="D672" s="231" t="s">
        <v>329</v>
      </c>
      <c r="E672" s="231"/>
      <c r="F672" s="232"/>
      <c r="G672" s="233">
        <v>42.49</v>
      </c>
      <c r="H672" s="230" t="s">
        <v>926</v>
      </c>
      <c r="I672" s="235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35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4">
        <v>43224.0</v>
      </c>
      <c r="B673" s="229" t="s">
        <v>192</v>
      </c>
      <c r="C673" s="19" t="s">
        <v>722</v>
      </c>
      <c r="D673" s="231" t="s">
        <v>325</v>
      </c>
      <c r="E673" s="231"/>
      <c r="F673" s="232"/>
      <c r="G673" s="233">
        <v>-5.42</v>
      </c>
      <c r="H673" s="230" t="s">
        <v>927</v>
      </c>
      <c r="I673" s="235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-5.42</v>
      </c>
      <c r="J673" s="235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-5.42</v>
      </c>
    </row>
    <row r="674">
      <c r="A674" s="184">
        <v>43224.0</v>
      </c>
      <c r="B674" s="229" t="s">
        <v>192</v>
      </c>
      <c r="C674" s="19" t="s">
        <v>722</v>
      </c>
      <c r="D674" s="231" t="s">
        <v>308</v>
      </c>
      <c r="E674" s="231">
        <v>4546.0</v>
      </c>
      <c r="F674" s="232">
        <v>3.767</v>
      </c>
      <c r="G674" s="233">
        <v>-17125.03</v>
      </c>
      <c r="H674" s="230" t="s">
        <v>928</v>
      </c>
      <c r="I674" s="235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5886.822</v>
      </c>
      <c r="J674" s="235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6384.764661</v>
      </c>
    </row>
    <row r="675">
      <c r="A675" s="184">
        <v>43224.0</v>
      </c>
      <c r="B675" s="229" t="s">
        <v>186</v>
      </c>
      <c r="C675" s="19" t="s">
        <v>187</v>
      </c>
      <c r="D675" s="231" t="s">
        <v>308</v>
      </c>
      <c r="E675" s="231">
        <v>19.0</v>
      </c>
      <c r="F675" s="232">
        <v>158.01</v>
      </c>
      <c r="G675" s="233">
        <v>-3002.19</v>
      </c>
      <c r="H675" s="230" t="s">
        <v>929</v>
      </c>
      <c r="I675" s="235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573.99</v>
      </c>
      <c r="J675" s="235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659.5750195</v>
      </c>
    </row>
    <row r="676">
      <c r="A676" s="184">
        <v>43224.0</v>
      </c>
      <c r="B676" s="229" t="s">
        <v>192</v>
      </c>
      <c r="C676" s="230" t="s">
        <v>195</v>
      </c>
      <c r="D676" s="231" t="s">
        <v>309</v>
      </c>
      <c r="E676" s="231">
        <v>-707.0</v>
      </c>
      <c r="F676" s="232">
        <v>93.145</v>
      </c>
      <c r="G676" s="233">
        <v>65853.53</v>
      </c>
      <c r="H676" s="230" t="s">
        <v>930</v>
      </c>
      <c r="I676" s="235" t="str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/>
      </c>
      <c r="J676" s="235" t="str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/>
      </c>
    </row>
    <row r="677">
      <c r="A677" s="184">
        <v>43224.0</v>
      </c>
      <c r="B677" s="229" t="s">
        <v>192</v>
      </c>
      <c r="C677" s="19" t="s">
        <v>722</v>
      </c>
      <c r="D677" s="231" t="s">
        <v>325</v>
      </c>
      <c r="E677" s="231"/>
      <c r="F677" s="232"/>
      <c r="G677" s="233">
        <v>-17.04</v>
      </c>
      <c r="H677" s="230" t="s">
        <v>931</v>
      </c>
      <c r="I677" s="235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-17.04</v>
      </c>
      <c r="J677" s="235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-17.04</v>
      </c>
    </row>
    <row r="678">
      <c r="A678" s="184">
        <v>43224.0</v>
      </c>
      <c r="B678" s="229" t="s">
        <v>192</v>
      </c>
      <c r="C678" s="19" t="s">
        <v>722</v>
      </c>
      <c r="D678" s="231" t="s">
        <v>308</v>
      </c>
      <c r="E678" s="231">
        <v>20019.0</v>
      </c>
      <c r="F678" s="232">
        <v>3.758</v>
      </c>
      <c r="G678" s="233">
        <v>-75232.62</v>
      </c>
      <c r="H678" s="230" t="s">
        <v>932</v>
      </c>
      <c r="I678" s="235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26103.558</v>
      </c>
      <c r="J678" s="235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28296.32398</v>
      </c>
    </row>
    <row r="679">
      <c r="A679" s="184">
        <v>43224.0</v>
      </c>
      <c r="B679" s="229" t="s">
        <v>196</v>
      </c>
      <c r="C679" s="230" t="s">
        <v>197</v>
      </c>
      <c r="D679" s="231" t="s">
        <v>308</v>
      </c>
      <c r="E679" s="231">
        <v>85.0</v>
      </c>
      <c r="F679" s="232">
        <v>42.11</v>
      </c>
      <c r="G679" s="233">
        <v>-3579.35</v>
      </c>
      <c r="H679" s="230" t="s">
        <v>933</v>
      </c>
      <c r="I679" s="235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1150.05</v>
      </c>
      <c r="J679" s="235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901.4580739</v>
      </c>
    </row>
    <row r="680">
      <c r="A680" s="184">
        <v>43224.0</v>
      </c>
      <c r="B680" s="229" t="s">
        <v>186</v>
      </c>
      <c r="C680" s="19" t="s">
        <v>187</v>
      </c>
      <c r="D680" s="231" t="s">
        <v>308</v>
      </c>
      <c r="E680" s="231">
        <v>16.0</v>
      </c>
      <c r="F680" s="232">
        <v>158.17</v>
      </c>
      <c r="G680" s="233">
        <v>-2530.72</v>
      </c>
      <c r="H680" s="230" t="s">
        <v>934</v>
      </c>
      <c r="I680" s="235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480.8</v>
      </c>
      <c r="J680" s="235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552.8715953</v>
      </c>
    </row>
    <row r="681">
      <c r="A681" s="184">
        <v>43224.0</v>
      </c>
      <c r="B681" s="229" t="s">
        <v>182</v>
      </c>
      <c r="C681" s="230" t="s">
        <v>183</v>
      </c>
      <c r="D681" s="231" t="s">
        <v>308</v>
      </c>
      <c r="E681" s="231">
        <v>39.0</v>
      </c>
      <c r="F681" s="232">
        <v>105.24</v>
      </c>
      <c r="G681" s="233">
        <v>-4104.36</v>
      </c>
      <c r="H681" s="230" t="s">
        <v>935</v>
      </c>
      <c r="I681" s="235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1923.09</v>
      </c>
      <c r="J681" s="235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1454.229572</v>
      </c>
    </row>
    <row r="682">
      <c r="A682" s="184">
        <v>43223.0</v>
      </c>
      <c r="B682" s="229" t="s">
        <v>182</v>
      </c>
      <c r="C682" s="230" t="s">
        <v>185</v>
      </c>
      <c r="D682" s="231" t="s">
        <v>309</v>
      </c>
      <c r="E682" s="231">
        <v>-1319.0</v>
      </c>
      <c r="F682" s="232">
        <v>10.527</v>
      </c>
      <c r="G682" s="233">
        <v>13885.34</v>
      </c>
      <c r="H682" s="230" t="s">
        <v>936</v>
      </c>
      <c r="I682" s="235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35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84">
        <v>43223.0</v>
      </c>
      <c r="B683" s="229" t="s">
        <v>182</v>
      </c>
      <c r="C683" s="230" t="s">
        <v>183</v>
      </c>
      <c r="D683" s="231" t="s">
        <v>308</v>
      </c>
      <c r="E683" s="231">
        <v>144.0</v>
      </c>
      <c r="F683" s="232">
        <v>105.161</v>
      </c>
      <c r="G683" s="233">
        <v>-15143.25</v>
      </c>
      <c r="H683" s="230" t="s">
        <v>937</v>
      </c>
      <c r="I683" s="235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7111.95</v>
      </c>
      <c r="J683" s="235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5380.773035</v>
      </c>
    </row>
    <row r="684">
      <c r="A684" s="184">
        <v>43223.0</v>
      </c>
      <c r="B684" s="229" t="s">
        <v>177</v>
      </c>
      <c r="C684" s="230" t="s">
        <v>180</v>
      </c>
      <c r="D684" s="231" t="s">
        <v>309</v>
      </c>
      <c r="E684" s="231">
        <v>-180.0</v>
      </c>
      <c r="F684" s="232">
        <v>7.566</v>
      </c>
      <c r="G684" s="233">
        <v>1361.88</v>
      </c>
      <c r="H684" s="230" t="s">
        <v>938</v>
      </c>
      <c r="I684" s="235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213.48</v>
      </c>
      <c r="J684" s="235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186.7958755</v>
      </c>
    </row>
    <row r="685">
      <c r="A685" s="184">
        <v>43223.0</v>
      </c>
      <c r="B685" s="229" t="s">
        <v>186</v>
      </c>
      <c r="C685" s="230" t="s">
        <v>191</v>
      </c>
      <c r="D685" s="231" t="s">
        <v>325</v>
      </c>
      <c r="E685" s="231"/>
      <c r="F685" s="232"/>
      <c r="G685" s="233">
        <v>-7.14</v>
      </c>
      <c r="H685" s="230" t="s">
        <v>939</v>
      </c>
      <c r="I685" s="235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-7.14</v>
      </c>
      <c r="J685" s="235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-7.14</v>
      </c>
    </row>
    <row r="686">
      <c r="A686" s="184">
        <v>43223.0</v>
      </c>
      <c r="B686" s="229" t="s">
        <v>186</v>
      </c>
      <c r="C686" s="230" t="s">
        <v>191</v>
      </c>
      <c r="D686" s="231" t="s">
        <v>309</v>
      </c>
      <c r="E686" s="231">
        <v>-493.0</v>
      </c>
      <c r="F686" s="232">
        <v>52.066</v>
      </c>
      <c r="G686" s="233">
        <v>25668.61</v>
      </c>
      <c r="H686" s="230" t="s">
        <v>940</v>
      </c>
      <c r="I686" s="235" t="str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/>
      </c>
      <c r="J686" s="235" t="str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/>
      </c>
    </row>
    <row r="687">
      <c r="A687" s="184">
        <v>43223.0</v>
      </c>
      <c r="B687" s="229" t="s">
        <v>186</v>
      </c>
      <c r="C687" s="19" t="s">
        <v>187</v>
      </c>
      <c r="D687" s="231" t="s">
        <v>308</v>
      </c>
      <c r="E687" s="231">
        <v>185.0</v>
      </c>
      <c r="F687" s="232">
        <v>158.21</v>
      </c>
      <c r="G687" s="233">
        <v>-29268.85</v>
      </c>
      <c r="H687" s="230" t="s">
        <v>941</v>
      </c>
      <c r="I687" s="235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5551.85</v>
      </c>
      <c r="J687" s="235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6385.177821</v>
      </c>
    </row>
    <row r="688">
      <c r="A688" s="184">
        <v>43220.0</v>
      </c>
      <c r="B688" s="229"/>
      <c r="C688" s="230"/>
      <c r="D688" s="231" t="s">
        <v>325</v>
      </c>
      <c r="E688" s="231"/>
      <c r="F688" s="232"/>
      <c r="G688" s="233">
        <v>-140.97</v>
      </c>
      <c r="H688" s="230" t="s">
        <v>942</v>
      </c>
      <c r="I688" s="235" t="str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/>
      </c>
      <c r="J688" s="235" t="str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/>
      </c>
    </row>
    <row r="689">
      <c r="A689" s="184">
        <v>43220.0</v>
      </c>
      <c r="B689" s="229" t="s">
        <v>177</v>
      </c>
      <c r="C689" s="230" t="s">
        <v>180</v>
      </c>
      <c r="D689" s="231" t="s">
        <v>309</v>
      </c>
      <c r="E689" s="231">
        <v>-1893.0</v>
      </c>
      <c r="F689" s="232">
        <v>7.451</v>
      </c>
      <c r="G689" s="233">
        <v>14104.74</v>
      </c>
      <c r="H689" s="230" t="s">
        <v>943</v>
      </c>
      <c r="I689" s="235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2027.4</v>
      </c>
      <c r="J689" s="235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1746.771957</v>
      </c>
    </row>
    <row r="690">
      <c r="A690" s="184">
        <v>43220.0</v>
      </c>
      <c r="B690" s="229" t="s">
        <v>196</v>
      </c>
      <c r="C690" s="230" t="s">
        <v>197</v>
      </c>
      <c r="D690" s="231" t="s">
        <v>309</v>
      </c>
      <c r="E690" s="231">
        <v>-449.0</v>
      </c>
      <c r="F690" s="232">
        <v>41.972</v>
      </c>
      <c r="G690" s="233">
        <v>18845.44</v>
      </c>
      <c r="H690" s="230" t="s">
        <v>944</v>
      </c>
      <c r="I690" s="235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-6136.92</v>
      </c>
      <c r="J690" s="235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-4823.769708</v>
      </c>
    </row>
    <row r="691">
      <c r="A691" s="184">
        <v>43197.0</v>
      </c>
      <c r="B691" s="164" t="s">
        <v>196</v>
      </c>
      <c r="C691" s="230" t="s">
        <v>197</v>
      </c>
      <c r="D691" s="244" t="s">
        <v>329</v>
      </c>
      <c r="E691" s="244"/>
      <c r="F691" s="232"/>
      <c r="G691" s="233">
        <v>7.05</v>
      </c>
      <c r="H691" s="230" t="s">
        <v>945</v>
      </c>
      <c r="I691" s="235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35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84">
        <v>43197.0</v>
      </c>
      <c r="B692" s="164" t="s">
        <v>186</v>
      </c>
      <c r="C692" s="230" t="s">
        <v>191</v>
      </c>
      <c r="D692" s="244" t="s">
        <v>329</v>
      </c>
      <c r="E692" s="244"/>
      <c r="F692" s="232"/>
      <c r="G692" s="233">
        <v>-7.05</v>
      </c>
      <c r="H692" s="230" t="s">
        <v>946</v>
      </c>
      <c r="I692" s="235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5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4">
        <v>43196.0</v>
      </c>
      <c r="B693" s="229" t="s">
        <v>196</v>
      </c>
      <c r="C693" s="230" t="s">
        <v>197</v>
      </c>
      <c r="D693" s="231" t="s">
        <v>329</v>
      </c>
      <c r="E693" s="231"/>
      <c r="F693" s="232"/>
      <c r="G693" s="233">
        <v>-86.57</v>
      </c>
      <c r="H693" s="230" t="s">
        <v>947</v>
      </c>
      <c r="I693" s="235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235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>
      <c r="A694" s="184">
        <v>43195.0</v>
      </c>
      <c r="B694" s="229" t="s">
        <v>186</v>
      </c>
      <c r="C694" s="230" t="s">
        <v>191</v>
      </c>
      <c r="D694" s="231" t="s">
        <v>329</v>
      </c>
      <c r="E694" s="231"/>
      <c r="F694" s="232"/>
      <c r="G694" s="233">
        <v>7.7</v>
      </c>
      <c r="H694" s="230" t="s">
        <v>948</v>
      </c>
      <c r="I694" s="235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5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4">
        <v>43195.0</v>
      </c>
      <c r="B695" s="229" t="s">
        <v>186</v>
      </c>
      <c r="C695" s="230" t="s">
        <v>191</v>
      </c>
      <c r="D695" s="231" t="s">
        <v>329</v>
      </c>
      <c r="E695" s="231"/>
      <c r="F695" s="232"/>
      <c r="G695" s="233">
        <v>43.62</v>
      </c>
      <c r="H695" s="230" t="s">
        <v>949</v>
      </c>
      <c r="I695" s="235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5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4">
        <v>43194.0</v>
      </c>
      <c r="B696" s="229" t="s">
        <v>196</v>
      </c>
      <c r="C696" s="230" t="s">
        <v>197</v>
      </c>
      <c r="D696" s="231" t="s">
        <v>329</v>
      </c>
      <c r="E696" s="231"/>
      <c r="F696" s="232"/>
      <c r="G696" s="233">
        <v>420.27</v>
      </c>
      <c r="H696" s="230" t="s">
        <v>950</v>
      </c>
      <c r="I696" s="235" t="str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/>
      </c>
      <c r="J696" s="235" t="str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/>
      </c>
    </row>
    <row r="697">
      <c r="A697" s="184">
        <v>43194.0</v>
      </c>
      <c r="B697" s="229"/>
      <c r="C697" s="230"/>
      <c r="D697" s="231" t="s">
        <v>325</v>
      </c>
      <c r="E697" s="231"/>
      <c r="F697" s="232"/>
      <c r="G697" s="233">
        <v>-0.01</v>
      </c>
      <c r="H697" s="230" t="s">
        <v>951</v>
      </c>
      <c r="I697" s="235" t="str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/>
      </c>
      <c r="J697" s="235" t="str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/>
      </c>
    </row>
    <row r="698">
      <c r="A698" s="184">
        <v>43190.0</v>
      </c>
      <c r="B698" s="229"/>
      <c r="C698" s="230"/>
      <c r="D698" s="231" t="s">
        <v>325</v>
      </c>
      <c r="E698" s="231"/>
      <c r="F698" s="232"/>
      <c r="G698" s="233">
        <v>-155.56</v>
      </c>
      <c r="H698" s="230" t="s">
        <v>952</v>
      </c>
      <c r="I698" s="235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35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4">
        <v>43190.0</v>
      </c>
      <c r="B699" s="229"/>
      <c r="C699" s="230"/>
      <c r="D699" s="231" t="s">
        <v>325</v>
      </c>
      <c r="E699" s="231"/>
      <c r="F699" s="232"/>
      <c r="G699" s="233">
        <v>0.03</v>
      </c>
      <c r="H699" s="230" t="s">
        <v>953</v>
      </c>
      <c r="I699" s="235" t="str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/>
      </c>
      <c r="J699" s="235" t="str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/>
      </c>
    </row>
    <row r="700">
      <c r="A700" s="184">
        <v>43181.0</v>
      </c>
      <c r="B700" s="229" t="s">
        <v>192</v>
      </c>
      <c r="C700" s="230" t="s">
        <v>195</v>
      </c>
      <c r="D700" s="231" t="s">
        <v>329</v>
      </c>
      <c r="E700" s="231"/>
      <c r="F700" s="232"/>
      <c r="G700" s="233">
        <v>-89.96</v>
      </c>
      <c r="H700" s="230" t="s">
        <v>954</v>
      </c>
      <c r="I700" s="235" t="str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/>
      </c>
      <c r="J700" s="235" t="str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/>
      </c>
    </row>
    <row r="701">
      <c r="A701" s="184">
        <v>43180.0</v>
      </c>
      <c r="B701" s="229" t="s">
        <v>192</v>
      </c>
      <c r="C701" s="230" t="s">
        <v>195</v>
      </c>
      <c r="D701" s="231" t="s">
        <v>329</v>
      </c>
      <c r="E701" s="231"/>
      <c r="F701" s="232"/>
      <c r="G701" s="233">
        <v>84.01</v>
      </c>
      <c r="H701" s="230" t="s">
        <v>955</v>
      </c>
      <c r="I701" s="235" t="str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/>
      </c>
      <c r="J701" s="235" t="str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/>
      </c>
    </row>
    <row r="702">
      <c r="A702" s="184">
        <v>43180.0</v>
      </c>
      <c r="B702" s="229" t="s">
        <v>192</v>
      </c>
      <c r="C702" s="230" t="s">
        <v>195</v>
      </c>
      <c r="D702" s="231" t="s">
        <v>329</v>
      </c>
      <c r="E702" s="231"/>
      <c r="F702" s="232"/>
      <c r="G702" s="233">
        <v>476.2</v>
      </c>
      <c r="H702" s="230" t="s">
        <v>956</v>
      </c>
      <c r="I702" s="235" t="str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/>
      </c>
      <c r="J702" s="235" t="str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/>
      </c>
    </row>
    <row r="703">
      <c r="A703" s="184">
        <v>43168.0</v>
      </c>
      <c r="B703" s="229" t="s">
        <v>186</v>
      </c>
      <c r="C703" s="230" t="s">
        <v>191</v>
      </c>
      <c r="D703" s="231" t="s">
        <v>329</v>
      </c>
      <c r="E703" s="231"/>
      <c r="F703" s="232"/>
      <c r="G703" s="233">
        <v>-7.17</v>
      </c>
      <c r="H703" s="230" t="s">
        <v>957</v>
      </c>
      <c r="I703" s="235" t="str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/>
      </c>
      <c r="J703" s="235" t="str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/>
      </c>
    </row>
    <row r="704">
      <c r="A704" s="184">
        <v>43165.0</v>
      </c>
      <c r="B704" s="229" t="s">
        <v>186</v>
      </c>
      <c r="C704" s="230" t="s">
        <v>191</v>
      </c>
      <c r="D704" s="231" t="s">
        <v>329</v>
      </c>
      <c r="E704" s="231"/>
      <c r="F704" s="232"/>
      <c r="G704" s="233">
        <v>6.72</v>
      </c>
      <c r="H704" s="230" t="s">
        <v>958</v>
      </c>
      <c r="I704" s="235" t="str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/>
      </c>
      <c r="J704" s="235" t="str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/>
      </c>
    </row>
    <row r="705">
      <c r="A705" s="184">
        <v>43165.0</v>
      </c>
      <c r="B705" s="229" t="s">
        <v>186</v>
      </c>
      <c r="C705" s="230" t="s">
        <v>191</v>
      </c>
      <c r="D705" s="231" t="s">
        <v>329</v>
      </c>
      <c r="E705" s="231"/>
      <c r="F705" s="232"/>
      <c r="G705" s="233">
        <v>38.09</v>
      </c>
      <c r="H705" s="230" t="s">
        <v>959</v>
      </c>
      <c r="I705" s="235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5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4">
        <v>43159.0</v>
      </c>
      <c r="B706" s="229"/>
      <c r="C706" s="230"/>
      <c r="D706" s="231" t="s">
        <v>325</v>
      </c>
      <c r="E706" s="231"/>
      <c r="F706" s="232"/>
      <c r="G706" s="233">
        <v>-166.36</v>
      </c>
      <c r="H706" s="230" t="s">
        <v>960</v>
      </c>
      <c r="I706" s="235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5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4">
        <v>43143.0</v>
      </c>
      <c r="B707" s="229" t="s">
        <v>196</v>
      </c>
      <c r="C707" s="230" t="s">
        <v>197</v>
      </c>
      <c r="D707" s="231" t="s">
        <v>309</v>
      </c>
      <c r="E707" s="231">
        <v>-30.0</v>
      </c>
      <c r="F707" s="232">
        <v>40.931</v>
      </c>
      <c r="G707" s="233">
        <v>1227.93</v>
      </c>
      <c r="H707" s="230" t="s">
        <v>961</v>
      </c>
      <c r="I707" s="235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-441.27</v>
      </c>
      <c r="J707" s="235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-353.5316732</v>
      </c>
    </row>
    <row r="708">
      <c r="A708" s="184">
        <v>43143.0</v>
      </c>
      <c r="B708" s="229" t="s">
        <v>196</v>
      </c>
      <c r="C708" s="230" t="s">
        <v>197</v>
      </c>
      <c r="D708" s="231" t="s">
        <v>309</v>
      </c>
      <c r="E708" s="231">
        <v>-60.0</v>
      </c>
      <c r="F708" s="232">
        <v>40.961</v>
      </c>
      <c r="G708" s="233">
        <v>2457.66</v>
      </c>
      <c r="H708" s="230" t="s">
        <v>962</v>
      </c>
      <c r="I708" s="235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-880.74</v>
      </c>
      <c r="J708" s="235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-705.2633463</v>
      </c>
    </row>
    <row r="709">
      <c r="A709" s="184">
        <v>43143.0</v>
      </c>
      <c r="B709" s="229" t="s">
        <v>196</v>
      </c>
      <c r="C709" s="230" t="s">
        <v>197</v>
      </c>
      <c r="D709" s="231" t="s">
        <v>309</v>
      </c>
      <c r="E709" s="231">
        <v>-30.0</v>
      </c>
      <c r="F709" s="232">
        <v>40.966</v>
      </c>
      <c r="G709" s="233">
        <v>1228.98</v>
      </c>
      <c r="H709" s="230" t="s">
        <v>963</v>
      </c>
      <c r="I709" s="235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-440.22</v>
      </c>
      <c r="J709" s="235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-352.4816732</v>
      </c>
    </row>
    <row r="710">
      <c r="A710" s="184">
        <v>43143.0</v>
      </c>
      <c r="B710" s="229" t="s">
        <v>196</v>
      </c>
      <c r="C710" s="230" t="s">
        <v>197</v>
      </c>
      <c r="D710" s="231" t="s">
        <v>309</v>
      </c>
      <c r="E710" s="231">
        <v>-30.0</v>
      </c>
      <c r="F710" s="232">
        <v>40.986</v>
      </c>
      <c r="G710" s="233">
        <v>1229.58</v>
      </c>
      <c r="H710" s="230" t="s">
        <v>964</v>
      </c>
      <c r="I710" s="235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-439.62</v>
      </c>
      <c r="J710" s="235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-351.8816732</v>
      </c>
    </row>
    <row r="711">
      <c r="A711" s="184">
        <v>43138.0</v>
      </c>
      <c r="B711" s="229" t="s">
        <v>186</v>
      </c>
      <c r="C711" s="230" t="s">
        <v>191</v>
      </c>
      <c r="D711" s="231" t="s">
        <v>329</v>
      </c>
      <c r="E711" s="231"/>
      <c r="F711" s="232"/>
      <c r="G711" s="233">
        <v>-7.02</v>
      </c>
      <c r="H711" s="230" t="s">
        <v>965</v>
      </c>
      <c r="I711" s="235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35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84">
        <v>43137.0</v>
      </c>
      <c r="B712" s="229" t="s">
        <v>186</v>
      </c>
      <c r="C712" s="230" t="s">
        <v>191</v>
      </c>
      <c r="D712" s="231" t="s">
        <v>329</v>
      </c>
      <c r="E712" s="231"/>
      <c r="F712" s="232"/>
      <c r="G712" s="233">
        <v>6.69</v>
      </c>
      <c r="H712" s="230" t="s">
        <v>966</v>
      </c>
      <c r="I712" s="235" t="str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/>
      </c>
      <c r="J712" s="235" t="str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/>
      </c>
    </row>
    <row r="713">
      <c r="A713" s="184">
        <v>43137.0</v>
      </c>
      <c r="B713" s="229" t="s">
        <v>186</v>
      </c>
      <c r="C713" s="230" t="s">
        <v>191</v>
      </c>
      <c r="D713" s="231" t="s">
        <v>329</v>
      </c>
      <c r="E713" s="231"/>
      <c r="F713" s="232"/>
      <c r="G713" s="233">
        <v>37.88</v>
      </c>
      <c r="H713" s="230" t="s">
        <v>967</v>
      </c>
      <c r="I713" s="235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35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4">
        <v>43136.0</v>
      </c>
      <c r="B714" s="229"/>
      <c r="C714" s="230"/>
      <c r="D714" s="231" t="s">
        <v>325</v>
      </c>
      <c r="E714" s="231"/>
      <c r="F714" s="232"/>
      <c r="G714" s="233">
        <v>-0.01</v>
      </c>
      <c r="H714" s="230" t="s">
        <v>951</v>
      </c>
      <c r="I714" s="235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5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4">
        <v>43136.0</v>
      </c>
      <c r="B715" s="229" t="s">
        <v>196</v>
      </c>
      <c r="C715" s="230" t="s">
        <v>197</v>
      </c>
      <c r="D715" s="231" t="s">
        <v>309</v>
      </c>
      <c r="E715" s="231">
        <v>-77.0</v>
      </c>
      <c r="F715" s="232">
        <v>41.946</v>
      </c>
      <c r="G715" s="233">
        <v>3229.86</v>
      </c>
      <c r="H715" s="230" t="s">
        <v>968</v>
      </c>
      <c r="I715" s="235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-1054.42</v>
      </c>
      <c r="J715" s="235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-829.2249611</v>
      </c>
    </row>
    <row r="716">
      <c r="A716" s="184">
        <v>43136.0</v>
      </c>
      <c r="B716" s="229" t="s">
        <v>196</v>
      </c>
      <c r="C716" s="230" t="s">
        <v>197</v>
      </c>
      <c r="D716" s="231" t="s">
        <v>309</v>
      </c>
      <c r="E716" s="231">
        <v>-98.0</v>
      </c>
      <c r="F716" s="232">
        <v>42.011</v>
      </c>
      <c r="G716" s="233">
        <v>4117.08</v>
      </c>
      <c r="H716" s="230" t="s">
        <v>969</v>
      </c>
      <c r="I716" s="235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-1335.64</v>
      </c>
      <c r="J716" s="235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-1049.028132</v>
      </c>
    </row>
    <row r="717">
      <c r="A717" s="184">
        <v>43136.0</v>
      </c>
      <c r="B717" s="229" t="s">
        <v>196</v>
      </c>
      <c r="C717" s="230" t="s">
        <v>197</v>
      </c>
      <c r="D717" s="231" t="s">
        <v>309</v>
      </c>
      <c r="E717" s="231">
        <v>-240.0</v>
      </c>
      <c r="F717" s="232">
        <v>41.868</v>
      </c>
      <c r="G717" s="233">
        <v>10048.32</v>
      </c>
      <c r="H717" s="230" t="s">
        <v>970</v>
      </c>
      <c r="I717" s="235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-3305.28</v>
      </c>
      <c r="J717" s="235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-2603.373385</v>
      </c>
    </row>
    <row r="718">
      <c r="A718" s="184">
        <v>43136.0</v>
      </c>
      <c r="B718" s="229" t="s">
        <v>196</v>
      </c>
      <c r="C718" s="230" t="s">
        <v>197</v>
      </c>
      <c r="D718" s="231" t="s">
        <v>309</v>
      </c>
      <c r="E718" s="231">
        <v>-38.0</v>
      </c>
      <c r="F718" s="232">
        <v>41.848</v>
      </c>
      <c r="G718" s="233">
        <v>1590.24</v>
      </c>
      <c r="H718" s="230" t="s">
        <v>971</v>
      </c>
      <c r="I718" s="235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-524.08</v>
      </c>
      <c r="J718" s="235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-412.944786</v>
      </c>
    </row>
    <row r="719">
      <c r="A719" s="184">
        <v>43136.0</v>
      </c>
      <c r="B719" s="229" t="s">
        <v>196</v>
      </c>
      <c r="C719" s="230" t="s">
        <v>197</v>
      </c>
      <c r="D719" s="231" t="s">
        <v>309</v>
      </c>
      <c r="E719" s="231">
        <v>-30.0</v>
      </c>
      <c r="F719" s="232">
        <v>41.792</v>
      </c>
      <c r="G719" s="233">
        <v>1253.76</v>
      </c>
      <c r="H719" s="230" t="s">
        <v>972</v>
      </c>
      <c r="I719" s="235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-415.44</v>
      </c>
      <c r="J719" s="235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-327.7016732</v>
      </c>
    </row>
    <row r="720">
      <c r="A720" s="184">
        <v>43136.0</v>
      </c>
      <c r="B720" s="229" t="s">
        <v>196</v>
      </c>
      <c r="C720" s="230" t="s">
        <v>197</v>
      </c>
      <c r="D720" s="231" t="s">
        <v>309</v>
      </c>
      <c r="E720" s="231">
        <v>-45.0</v>
      </c>
      <c r="F720" s="232">
        <v>41.811</v>
      </c>
      <c r="G720" s="233">
        <v>1881.5</v>
      </c>
      <c r="H720" s="230" t="s">
        <v>973</v>
      </c>
      <c r="I720" s="235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-622.3</v>
      </c>
      <c r="J720" s="235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-490.6925097</v>
      </c>
    </row>
    <row r="721">
      <c r="A721" s="184">
        <v>43136.0</v>
      </c>
      <c r="B721" s="229" t="s">
        <v>196</v>
      </c>
      <c r="C721" s="230" t="s">
        <v>197</v>
      </c>
      <c r="D721" s="231" t="s">
        <v>309</v>
      </c>
      <c r="E721" s="231">
        <v>-50.0</v>
      </c>
      <c r="F721" s="232">
        <v>41.796</v>
      </c>
      <c r="G721" s="233">
        <v>2089.8</v>
      </c>
      <c r="H721" s="230" t="s">
        <v>974</v>
      </c>
      <c r="I721" s="235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-692.2</v>
      </c>
      <c r="J721" s="235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-545.9694553</v>
      </c>
    </row>
    <row r="722">
      <c r="A722" s="184">
        <v>43136.0</v>
      </c>
      <c r="B722" s="229" t="s">
        <v>196</v>
      </c>
      <c r="C722" s="230" t="s">
        <v>197</v>
      </c>
      <c r="D722" s="231" t="s">
        <v>309</v>
      </c>
      <c r="E722" s="231">
        <v>-20.0</v>
      </c>
      <c r="F722" s="232">
        <v>41.796</v>
      </c>
      <c r="G722" s="233">
        <v>835.92</v>
      </c>
      <c r="H722" s="230" t="s">
        <v>975</v>
      </c>
      <c r="I722" s="235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-276.88</v>
      </c>
      <c r="J722" s="235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-218.3877821</v>
      </c>
    </row>
    <row r="723">
      <c r="A723" s="184">
        <v>43136.0</v>
      </c>
      <c r="B723" s="229" t="s">
        <v>196</v>
      </c>
      <c r="C723" s="230" t="s">
        <v>197</v>
      </c>
      <c r="D723" s="231" t="s">
        <v>325</v>
      </c>
      <c r="E723" s="231"/>
      <c r="F723" s="232"/>
      <c r="G723" s="233">
        <v>-2.17</v>
      </c>
      <c r="H723" s="230" t="s">
        <v>976</v>
      </c>
      <c r="I723" s="235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-2.17</v>
      </c>
      <c r="J723" s="235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-2.17</v>
      </c>
    </row>
    <row r="724">
      <c r="A724" s="184">
        <v>43136.0</v>
      </c>
      <c r="B724" s="229" t="s">
        <v>196</v>
      </c>
      <c r="C724" s="230" t="s">
        <v>197</v>
      </c>
      <c r="D724" s="231" t="s">
        <v>309</v>
      </c>
      <c r="E724" s="231">
        <v>-10.0</v>
      </c>
      <c r="F724" s="232">
        <v>41.796</v>
      </c>
      <c r="G724" s="233">
        <v>417.96</v>
      </c>
      <c r="H724" s="230" t="s">
        <v>977</v>
      </c>
      <c r="I724" s="235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-138.44</v>
      </c>
      <c r="J724" s="235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-109.1938911</v>
      </c>
    </row>
    <row r="725">
      <c r="A725" s="184">
        <v>43136.0</v>
      </c>
      <c r="B725" s="229" t="s">
        <v>196</v>
      </c>
      <c r="C725" s="230" t="s">
        <v>197</v>
      </c>
      <c r="D725" s="231" t="s">
        <v>325</v>
      </c>
      <c r="E725" s="231"/>
      <c r="F725" s="232"/>
      <c r="G725" s="233">
        <v>-2.08</v>
      </c>
      <c r="H725" s="230" t="s">
        <v>978</v>
      </c>
      <c r="I725" s="235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-2.08</v>
      </c>
      <c r="J725" s="235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-2.08</v>
      </c>
    </row>
    <row r="726">
      <c r="A726" s="184">
        <v>43131.0</v>
      </c>
      <c r="B726" s="229"/>
      <c r="C726" s="230"/>
      <c r="D726" s="231" t="s">
        <v>325</v>
      </c>
      <c r="E726" s="231"/>
      <c r="F726" s="232"/>
      <c r="G726" s="233">
        <v>0.02</v>
      </c>
      <c r="H726" s="230" t="s">
        <v>979</v>
      </c>
      <c r="I726" s="235" t="str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/>
      </c>
      <c r="J726" s="235" t="str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/>
      </c>
    </row>
    <row r="727">
      <c r="A727" s="184">
        <v>43131.0</v>
      </c>
      <c r="B727" s="229"/>
      <c r="C727" s="230"/>
      <c r="D727" s="231" t="s">
        <v>325</v>
      </c>
      <c r="E727" s="231"/>
      <c r="F727" s="232"/>
      <c r="G727" s="233">
        <v>-193.75</v>
      </c>
      <c r="H727" s="230" t="s">
        <v>980</v>
      </c>
      <c r="I727" s="235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5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4">
        <v>43131.0</v>
      </c>
      <c r="B728" s="229"/>
      <c r="C728" s="230"/>
      <c r="D728" s="231" t="s">
        <v>325</v>
      </c>
      <c r="E728" s="231"/>
      <c r="F728" s="232"/>
      <c r="G728" s="233">
        <v>-7.5</v>
      </c>
      <c r="H728" s="230" t="s">
        <v>981</v>
      </c>
      <c r="I728" s="235" t="str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/>
      </c>
      <c r="J728" s="235" t="str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/>
      </c>
    </row>
    <row r="729">
      <c r="A729" s="184">
        <v>43126.0</v>
      </c>
      <c r="B729" s="229" t="s">
        <v>177</v>
      </c>
      <c r="C729" s="230" t="s">
        <v>180</v>
      </c>
      <c r="D729" s="231" t="s">
        <v>308</v>
      </c>
      <c r="E729" s="231">
        <v>1375.0</v>
      </c>
      <c r="F729" s="232">
        <v>7.35</v>
      </c>
      <c r="G729" s="233">
        <v>-10106.25</v>
      </c>
      <c r="H729" s="230" t="s">
        <v>982</v>
      </c>
      <c r="I729" s="235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-1333.75</v>
      </c>
      <c r="J729" s="235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-1129.912938</v>
      </c>
    </row>
    <row r="730">
      <c r="A730" s="184">
        <v>43126.0</v>
      </c>
      <c r="B730" s="229" t="s">
        <v>196</v>
      </c>
      <c r="C730" s="230" t="s">
        <v>197</v>
      </c>
      <c r="D730" s="231" t="s">
        <v>308</v>
      </c>
      <c r="E730" s="231">
        <v>937.0</v>
      </c>
      <c r="F730" s="232">
        <v>43.31</v>
      </c>
      <c r="G730" s="233">
        <v>-40581.47</v>
      </c>
      <c r="H730" s="230" t="s">
        <v>983</v>
      </c>
      <c r="I730" s="235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11553.21</v>
      </c>
      <c r="J730" s="235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8812.849591</v>
      </c>
    </row>
    <row r="731">
      <c r="A731" s="184">
        <v>43124.0</v>
      </c>
      <c r="B731" s="229"/>
      <c r="C731" s="230"/>
      <c r="D731" s="231" t="s">
        <v>325</v>
      </c>
      <c r="E731" s="231"/>
      <c r="F731" s="232"/>
      <c r="G731" s="233">
        <v>-0.01</v>
      </c>
      <c r="H731" s="230" t="s">
        <v>951</v>
      </c>
      <c r="I731" s="235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35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84">
        <v>43115.0</v>
      </c>
      <c r="B732" s="229" t="s">
        <v>177</v>
      </c>
      <c r="C732" s="230" t="s">
        <v>180</v>
      </c>
      <c r="D732" s="231" t="s">
        <v>308</v>
      </c>
      <c r="E732" s="231">
        <v>860.0</v>
      </c>
      <c r="F732" s="232">
        <v>7.395</v>
      </c>
      <c r="G732" s="233">
        <v>-6359.7</v>
      </c>
      <c r="H732" s="230" t="s">
        <v>984</v>
      </c>
      <c r="I732" s="235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-872.9</v>
      </c>
      <c r="J732" s="235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-745.4091829</v>
      </c>
    </row>
    <row r="733">
      <c r="A733" s="184">
        <v>43115.0</v>
      </c>
      <c r="B733" s="229" t="s">
        <v>196</v>
      </c>
      <c r="C733" s="230" t="s">
        <v>197</v>
      </c>
      <c r="D733" s="231" t="s">
        <v>308</v>
      </c>
      <c r="E733" s="231">
        <v>615.0</v>
      </c>
      <c r="F733" s="232">
        <v>43.436</v>
      </c>
      <c r="G733" s="233">
        <v>-26713.14</v>
      </c>
      <c r="H733" s="230" t="s">
        <v>985</v>
      </c>
      <c r="I733" s="235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7505.46</v>
      </c>
      <c r="J733" s="235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5706.8243</v>
      </c>
    </row>
    <row r="734">
      <c r="A734" s="184">
        <v>43109.0</v>
      </c>
      <c r="B734" s="229" t="s">
        <v>196</v>
      </c>
      <c r="C734" s="230" t="s">
        <v>197</v>
      </c>
      <c r="D734" s="231" t="s">
        <v>329</v>
      </c>
      <c r="E734" s="231"/>
      <c r="F734" s="232"/>
      <c r="G734" s="233">
        <v>-42.4</v>
      </c>
      <c r="H734" s="230" t="s">
        <v>986</v>
      </c>
      <c r="I734" s="235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35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4">
        <v>43108.0</v>
      </c>
      <c r="B735" s="229" t="s">
        <v>196</v>
      </c>
      <c r="C735" s="230" t="s">
        <v>197</v>
      </c>
      <c r="D735" s="231" t="s">
        <v>329</v>
      </c>
      <c r="E735" s="231"/>
      <c r="F735" s="232"/>
      <c r="G735" s="233">
        <v>259.89</v>
      </c>
      <c r="H735" s="230" t="s">
        <v>987</v>
      </c>
      <c r="I735" s="235" t="str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/>
      </c>
      <c r="J735" s="235" t="str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/>
      </c>
    </row>
    <row r="736">
      <c r="A736" s="184">
        <v>43105.0</v>
      </c>
      <c r="B736" s="229"/>
      <c r="C736" s="230"/>
      <c r="D736" s="231" t="s">
        <v>332</v>
      </c>
      <c r="E736" s="231"/>
      <c r="F736" s="232"/>
      <c r="G736" s="233">
        <v>30000.0</v>
      </c>
      <c r="H736" s="230" t="s">
        <v>988</v>
      </c>
      <c r="I736" s="235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5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4">
        <v>43102.0</v>
      </c>
      <c r="B737" s="229" t="s">
        <v>186</v>
      </c>
      <c r="C737" s="230" t="s">
        <v>191</v>
      </c>
      <c r="D737" s="231" t="s">
        <v>329</v>
      </c>
      <c r="E737" s="231"/>
      <c r="F737" s="232"/>
      <c r="G737" s="233">
        <v>-132.32</v>
      </c>
      <c r="H737" s="230" t="s">
        <v>989</v>
      </c>
      <c r="I737" s="235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5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4">
        <v>43100.0</v>
      </c>
      <c r="B738" s="229"/>
      <c r="C738" s="230"/>
      <c r="D738" s="231" t="s">
        <v>325</v>
      </c>
      <c r="E738" s="231"/>
      <c r="F738" s="232"/>
      <c r="G738" s="233">
        <v>0.05</v>
      </c>
      <c r="H738" s="230" t="s">
        <v>990</v>
      </c>
      <c r="I738" s="235" t="str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/>
      </c>
      <c r="J738" s="235" t="str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/>
      </c>
    </row>
    <row r="739">
      <c r="A739" s="184">
        <v>43100.0</v>
      </c>
      <c r="B739" s="229"/>
      <c r="C739" s="230"/>
      <c r="D739" s="231" t="s">
        <v>325</v>
      </c>
      <c r="E739" s="231"/>
      <c r="F739" s="232"/>
      <c r="G739" s="233">
        <v>-127.19</v>
      </c>
      <c r="H739" s="230" t="s">
        <v>991</v>
      </c>
      <c r="I739" s="235" t="str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/>
      </c>
      <c r="J739" s="235" t="str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/>
      </c>
    </row>
    <row r="740">
      <c r="A740" s="184">
        <v>43098.0</v>
      </c>
      <c r="B740" s="19" t="s">
        <v>192</v>
      </c>
      <c r="C740" s="19" t="s">
        <v>195</v>
      </c>
      <c r="D740" s="19" t="s">
        <v>329</v>
      </c>
      <c r="E740" s="19"/>
      <c r="F740" s="232"/>
      <c r="G740" s="233">
        <v>91.39</v>
      </c>
      <c r="H740" s="19" t="s">
        <v>992</v>
      </c>
      <c r="I740" s="235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5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4">
        <v>43098.0</v>
      </c>
      <c r="B741" s="229" t="s">
        <v>192</v>
      </c>
      <c r="C741" s="230" t="s">
        <v>195</v>
      </c>
      <c r="D741" s="231" t="s">
        <v>329</v>
      </c>
      <c r="E741" s="231"/>
      <c r="F741" s="232"/>
      <c r="G741" s="233">
        <v>208.14</v>
      </c>
      <c r="H741" s="230" t="s">
        <v>993</v>
      </c>
      <c r="I741" s="235" t="str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/>
      </c>
      <c r="J741" s="235" t="str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/>
      </c>
    </row>
    <row r="742">
      <c r="A742" s="184">
        <v>43098.0</v>
      </c>
      <c r="B742" s="229" t="s">
        <v>186</v>
      </c>
      <c r="C742" s="230" t="s">
        <v>191</v>
      </c>
      <c r="D742" s="231" t="s">
        <v>329</v>
      </c>
      <c r="E742" s="231"/>
      <c r="F742" s="232"/>
      <c r="G742" s="233">
        <v>43.79</v>
      </c>
      <c r="H742" s="230" t="s">
        <v>994</v>
      </c>
      <c r="I742" s="235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35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4">
        <v>43098.0</v>
      </c>
      <c r="B743" s="229" t="s">
        <v>192</v>
      </c>
      <c r="C743" s="230" t="s">
        <v>195</v>
      </c>
      <c r="D743" s="231" t="s">
        <v>329</v>
      </c>
      <c r="E743" s="231"/>
      <c r="F743" s="232"/>
      <c r="G743" s="233">
        <v>519.88</v>
      </c>
      <c r="H743" s="230" t="s">
        <v>995</v>
      </c>
      <c r="I743" s="235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5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4">
        <v>43090.0</v>
      </c>
      <c r="B744" s="229" t="s">
        <v>196</v>
      </c>
      <c r="C744" s="230" t="s">
        <v>197</v>
      </c>
      <c r="D744" s="231" t="s">
        <v>309</v>
      </c>
      <c r="E744" s="231">
        <v>-26.0</v>
      </c>
      <c r="F744" s="232">
        <v>42.848</v>
      </c>
      <c r="G744" s="233">
        <v>1114.05</v>
      </c>
      <c r="H744" s="230" t="s">
        <v>996</v>
      </c>
      <c r="I744" s="235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-332.59</v>
      </c>
      <c r="J744" s="235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-256.5501167</v>
      </c>
    </row>
    <row r="745">
      <c r="A745" s="184">
        <v>43090.0</v>
      </c>
      <c r="B745" s="229" t="s">
        <v>196</v>
      </c>
      <c r="C745" s="230" t="s">
        <v>197</v>
      </c>
      <c r="D745" s="231" t="s">
        <v>325</v>
      </c>
      <c r="E745" s="231"/>
      <c r="F745" s="232"/>
      <c r="G745" s="233">
        <v>-2.22</v>
      </c>
      <c r="H745" s="230" t="s">
        <v>997</v>
      </c>
      <c r="I745" s="235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-2.22</v>
      </c>
      <c r="J745" s="235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-2.22</v>
      </c>
    </row>
    <row r="746">
      <c r="A746" s="184">
        <v>43089.0</v>
      </c>
      <c r="B746" s="229" t="s">
        <v>192</v>
      </c>
      <c r="C746" s="230" t="s">
        <v>195</v>
      </c>
      <c r="D746" s="231" t="s">
        <v>308</v>
      </c>
      <c r="E746" s="231">
        <v>11.0</v>
      </c>
      <c r="F746" s="232">
        <v>99.46</v>
      </c>
      <c r="G746" s="233">
        <v>-1094.1</v>
      </c>
      <c r="H746" s="230" t="s">
        <v>998</v>
      </c>
      <c r="I746" s="235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5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4">
        <v>43080.0</v>
      </c>
      <c r="B747" s="229" t="s">
        <v>177</v>
      </c>
      <c r="C747" s="230" t="s">
        <v>180</v>
      </c>
      <c r="D747" s="231" t="s">
        <v>308</v>
      </c>
      <c r="E747" s="231">
        <v>311.0</v>
      </c>
      <c r="F747" s="232">
        <v>7.225</v>
      </c>
      <c r="G747" s="233">
        <v>-2246.97</v>
      </c>
      <c r="H747" s="230" t="s">
        <v>999</v>
      </c>
      <c r="I747" s="235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-262.79</v>
      </c>
      <c r="J747" s="235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-216.6857626</v>
      </c>
    </row>
    <row r="748">
      <c r="A748" s="184">
        <v>43080.0</v>
      </c>
      <c r="B748" s="229" t="s">
        <v>196</v>
      </c>
      <c r="C748" s="230" t="s">
        <v>197</v>
      </c>
      <c r="D748" s="231" t="s">
        <v>308</v>
      </c>
      <c r="E748" s="231">
        <v>206.0</v>
      </c>
      <c r="F748" s="232">
        <v>42.94</v>
      </c>
      <c r="G748" s="233">
        <v>-8845.64</v>
      </c>
      <c r="H748" s="230" t="s">
        <v>1000</v>
      </c>
      <c r="I748" s="235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2616.2</v>
      </c>
      <c r="J748" s="235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2013.730156</v>
      </c>
    </row>
    <row r="749">
      <c r="A749" s="184">
        <v>43080.0</v>
      </c>
      <c r="B749" s="229" t="s">
        <v>182</v>
      </c>
      <c r="C749" s="230" t="s">
        <v>185</v>
      </c>
      <c r="D749" s="231" t="s">
        <v>308</v>
      </c>
      <c r="E749" s="231">
        <v>267.0</v>
      </c>
      <c r="F749" s="232">
        <v>10.17</v>
      </c>
      <c r="G749" s="233">
        <v>-2714.52</v>
      </c>
      <c r="H749" s="230" t="s">
        <v>1001</v>
      </c>
      <c r="I749" s="235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5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4">
        <v>43080.0</v>
      </c>
      <c r="B750" s="229" t="s">
        <v>192</v>
      </c>
      <c r="C750" s="230" t="s">
        <v>195</v>
      </c>
      <c r="D750" s="231" t="s">
        <v>308</v>
      </c>
      <c r="E750" s="231">
        <v>108.0</v>
      </c>
      <c r="F750" s="232">
        <v>103.18</v>
      </c>
      <c r="G750" s="233">
        <v>-11143.33</v>
      </c>
      <c r="H750" s="230" t="s">
        <v>1002</v>
      </c>
      <c r="I750" s="235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5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4">
        <v>43080.0</v>
      </c>
      <c r="B751" s="229" t="s">
        <v>186</v>
      </c>
      <c r="C751" s="230" t="s">
        <v>191</v>
      </c>
      <c r="D751" s="231" t="s">
        <v>325</v>
      </c>
      <c r="E751" s="231"/>
      <c r="F751" s="232"/>
      <c r="G751" s="233">
        <v>-3.0</v>
      </c>
      <c r="H751" s="230" t="s">
        <v>1003</v>
      </c>
      <c r="I751" s="235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-3</v>
      </c>
      <c r="J751" s="235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-3</v>
      </c>
    </row>
    <row r="752">
      <c r="A752" s="184">
        <v>43080.0</v>
      </c>
      <c r="B752" s="229" t="s">
        <v>186</v>
      </c>
      <c r="C752" s="230" t="s">
        <v>191</v>
      </c>
      <c r="D752" s="231" t="s">
        <v>308</v>
      </c>
      <c r="E752" s="231">
        <v>92.0</v>
      </c>
      <c r="F752" s="232">
        <v>54.49</v>
      </c>
      <c r="G752" s="233">
        <v>-5013.47</v>
      </c>
      <c r="H752" s="230" t="s">
        <v>1004</v>
      </c>
      <c r="I752" s="235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5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4">
        <v>43076.0</v>
      </c>
      <c r="B753" s="229" t="s">
        <v>186</v>
      </c>
      <c r="C753" s="230" t="s">
        <v>191</v>
      </c>
      <c r="D753" s="231" t="s">
        <v>329</v>
      </c>
      <c r="E753" s="231"/>
      <c r="F753" s="232"/>
      <c r="G753" s="233">
        <v>-4.96</v>
      </c>
      <c r="H753" s="230" t="s">
        <v>1005</v>
      </c>
      <c r="I753" s="235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5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4">
        <v>43075.0</v>
      </c>
      <c r="B754" s="229" t="s">
        <v>186</v>
      </c>
      <c r="C754" s="230" t="s">
        <v>191</v>
      </c>
      <c r="D754" s="231" t="s">
        <v>329</v>
      </c>
      <c r="E754" s="231"/>
      <c r="F754" s="232"/>
      <c r="G754" s="233">
        <v>32.39</v>
      </c>
      <c r="H754" s="230" t="s">
        <v>1006</v>
      </c>
      <c r="I754" s="235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5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4">
        <v>43069.0</v>
      </c>
      <c r="B755" s="229"/>
      <c r="C755" s="230"/>
      <c r="D755" s="231" t="s">
        <v>325</v>
      </c>
      <c r="E755" s="231"/>
      <c r="F755" s="232"/>
      <c r="G755" s="233">
        <v>-102.08</v>
      </c>
      <c r="H755" s="230" t="s">
        <v>1007</v>
      </c>
      <c r="I755" s="235" t="str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/>
      </c>
      <c r="J755" s="235" t="str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/>
      </c>
    </row>
    <row r="756">
      <c r="A756" s="184">
        <v>43069.0</v>
      </c>
      <c r="B756" s="229"/>
      <c r="C756" s="230"/>
      <c r="D756" s="231" t="s">
        <v>332</v>
      </c>
      <c r="E756" s="231"/>
      <c r="F756" s="232"/>
      <c r="G756" s="233">
        <v>10000.0</v>
      </c>
      <c r="H756" s="230" t="s">
        <v>1008</v>
      </c>
      <c r="I756" s="235" t="str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/>
      </c>
      <c r="J756" s="235" t="str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/>
      </c>
    </row>
    <row r="757">
      <c r="A757" s="184">
        <v>43066.0</v>
      </c>
      <c r="B757" s="229" t="s">
        <v>192</v>
      </c>
      <c r="C757" s="230" t="s">
        <v>195</v>
      </c>
      <c r="D757" s="231" t="s">
        <v>308</v>
      </c>
      <c r="E757" s="231">
        <v>10.0</v>
      </c>
      <c r="F757" s="232">
        <v>101.56</v>
      </c>
      <c r="G757" s="233">
        <v>-1015.59</v>
      </c>
      <c r="H757" s="230" t="s">
        <v>1009</v>
      </c>
      <c r="I757" s="235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5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4">
        <v>43056.0</v>
      </c>
      <c r="B758" s="229"/>
      <c r="C758" s="230"/>
      <c r="D758" s="231" t="s">
        <v>332</v>
      </c>
      <c r="E758" s="231"/>
      <c r="F758" s="232"/>
      <c r="G758" s="233">
        <v>1000.0</v>
      </c>
      <c r="H758" s="230" t="s">
        <v>1010</v>
      </c>
      <c r="I758" s="235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5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4">
        <v>43046.0</v>
      </c>
      <c r="B759" s="229" t="s">
        <v>186</v>
      </c>
      <c r="C759" s="230" t="s">
        <v>191</v>
      </c>
      <c r="D759" s="231" t="s">
        <v>329</v>
      </c>
      <c r="E759" s="231"/>
      <c r="F759" s="232"/>
      <c r="G759" s="233">
        <v>-3.92</v>
      </c>
      <c r="H759" s="230" t="s">
        <v>1011</v>
      </c>
      <c r="I759" s="235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5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4">
        <v>43046.0</v>
      </c>
      <c r="B760" s="229" t="s">
        <v>196</v>
      </c>
      <c r="C760" s="230" t="s">
        <v>197</v>
      </c>
      <c r="D760" s="231" t="s">
        <v>308</v>
      </c>
      <c r="E760" s="231">
        <v>48.0</v>
      </c>
      <c r="F760" s="232">
        <v>42.6</v>
      </c>
      <c r="G760" s="233">
        <v>-2044.75</v>
      </c>
      <c r="H760" s="230" t="s">
        <v>1012</v>
      </c>
      <c r="I760" s="235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625.97</v>
      </c>
      <c r="J760" s="235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485.588677</v>
      </c>
    </row>
    <row r="761">
      <c r="A761" s="184">
        <v>43046.0</v>
      </c>
      <c r="B761" s="229" t="s">
        <v>186</v>
      </c>
      <c r="C761" s="230" t="s">
        <v>191</v>
      </c>
      <c r="D761" s="231" t="s">
        <v>325</v>
      </c>
      <c r="E761" s="231"/>
      <c r="F761" s="232"/>
      <c r="G761" s="233">
        <v>-2.31</v>
      </c>
      <c r="H761" s="230" t="s">
        <v>1013</v>
      </c>
      <c r="I761" s="235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-2.31</v>
      </c>
      <c r="J761" s="235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-2.31</v>
      </c>
    </row>
    <row r="762">
      <c r="A762" s="184">
        <v>43046.0</v>
      </c>
      <c r="B762" s="229" t="s">
        <v>177</v>
      </c>
      <c r="C762" s="230" t="s">
        <v>180</v>
      </c>
      <c r="D762" s="231" t="s">
        <v>308</v>
      </c>
      <c r="E762" s="231">
        <v>132.0</v>
      </c>
      <c r="F762" s="232">
        <v>7.675</v>
      </c>
      <c r="G762" s="233">
        <v>-1013.1</v>
      </c>
      <c r="H762" s="230" t="s">
        <v>1014</v>
      </c>
      <c r="I762" s="235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-170.94</v>
      </c>
      <c r="J762" s="235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-151.371642</v>
      </c>
    </row>
    <row r="763">
      <c r="A763" s="184">
        <v>43046.0</v>
      </c>
      <c r="B763" s="229" t="s">
        <v>192</v>
      </c>
      <c r="C763" s="230" t="s">
        <v>195</v>
      </c>
      <c r="D763" s="231" t="s">
        <v>308</v>
      </c>
      <c r="E763" s="231">
        <v>27.0</v>
      </c>
      <c r="F763" s="232">
        <v>103.66</v>
      </c>
      <c r="G763" s="233">
        <v>-2798.71</v>
      </c>
      <c r="H763" s="230" t="s">
        <v>1015</v>
      </c>
      <c r="I763" s="235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5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4">
        <v>43046.0</v>
      </c>
      <c r="B764" s="229" t="s">
        <v>182</v>
      </c>
      <c r="C764" s="230" t="s">
        <v>185</v>
      </c>
      <c r="D764" s="231" t="s">
        <v>308</v>
      </c>
      <c r="E764" s="231">
        <v>64.0</v>
      </c>
      <c r="F764" s="232">
        <v>10.63</v>
      </c>
      <c r="G764" s="233">
        <v>-680.11</v>
      </c>
      <c r="H764" s="230" t="s">
        <v>1016</v>
      </c>
      <c r="I764" s="235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5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4">
        <v>43046.0</v>
      </c>
      <c r="B765" s="229" t="s">
        <v>186</v>
      </c>
      <c r="C765" s="230" t="s">
        <v>191</v>
      </c>
      <c r="D765" s="231" t="s">
        <v>308</v>
      </c>
      <c r="E765" s="231">
        <v>28.0</v>
      </c>
      <c r="F765" s="232">
        <v>55.76</v>
      </c>
      <c r="G765" s="233">
        <v>-1561.34</v>
      </c>
      <c r="H765" s="230" t="s">
        <v>1017</v>
      </c>
      <c r="I765" s="235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5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4">
        <v>43045.0</v>
      </c>
      <c r="B766" s="229" t="s">
        <v>186</v>
      </c>
      <c r="C766" s="230" t="s">
        <v>191</v>
      </c>
      <c r="D766" s="231" t="s">
        <v>329</v>
      </c>
      <c r="E766" s="231"/>
      <c r="F766" s="232"/>
      <c r="G766" s="233">
        <v>28.53</v>
      </c>
      <c r="H766" s="230" t="s">
        <v>1018</v>
      </c>
      <c r="I766" s="235" t="str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/>
      </c>
      <c r="J766" s="235" t="str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/>
      </c>
    </row>
    <row r="767">
      <c r="A767" s="184">
        <v>43039.0</v>
      </c>
      <c r="B767" s="229"/>
      <c r="C767" s="230"/>
      <c r="D767" s="231" t="s">
        <v>325</v>
      </c>
      <c r="E767" s="231"/>
      <c r="F767" s="232"/>
      <c r="G767" s="233">
        <v>-93.75</v>
      </c>
      <c r="H767" s="230" t="s">
        <v>1019</v>
      </c>
      <c r="I767" s="235" t="str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/>
      </c>
      <c r="J767" s="235" t="str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/>
      </c>
    </row>
    <row r="768">
      <c r="A768" s="184">
        <v>43014.0</v>
      </c>
      <c r="B768" s="229" t="s">
        <v>186</v>
      </c>
      <c r="C768" s="230" t="s">
        <v>191</v>
      </c>
      <c r="D768" s="231" t="s">
        <v>329</v>
      </c>
      <c r="E768" s="231"/>
      <c r="F768" s="232"/>
      <c r="G768" s="233">
        <v>-4.5</v>
      </c>
      <c r="H768" s="230" t="s">
        <v>1020</v>
      </c>
      <c r="I768" s="235" t="str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/>
      </c>
      <c r="J768" s="235" t="str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/>
      </c>
    </row>
    <row r="769">
      <c r="A769" s="184">
        <v>43013.0</v>
      </c>
      <c r="B769" s="229" t="s">
        <v>196</v>
      </c>
      <c r="C769" s="230" t="s">
        <v>197</v>
      </c>
      <c r="D769" s="231" t="s">
        <v>329</v>
      </c>
      <c r="E769" s="231"/>
      <c r="F769" s="232"/>
      <c r="G769" s="233">
        <v>-26.14</v>
      </c>
      <c r="H769" s="230" t="s">
        <v>1021</v>
      </c>
      <c r="I769" s="235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5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4">
        <v>43013.0</v>
      </c>
      <c r="B770" s="229" t="s">
        <v>186</v>
      </c>
      <c r="C770" s="230" t="s">
        <v>191</v>
      </c>
      <c r="D770" s="231" t="s">
        <v>329</v>
      </c>
      <c r="E770" s="231"/>
      <c r="F770" s="232"/>
      <c r="G770" s="233">
        <v>30.34</v>
      </c>
      <c r="H770" s="230" t="s">
        <v>1022</v>
      </c>
      <c r="I770" s="235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5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4">
        <v>43012.0</v>
      </c>
      <c r="B771" s="229" t="s">
        <v>196</v>
      </c>
      <c r="C771" s="230" t="s">
        <v>197</v>
      </c>
      <c r="D771" s="231" t="s">
        <v>329</v>
      </c>
      <c r="E771" s="231"/>
      <c r="F771" s="232"/>
      <c r="G771" s="233">
        <v>178.2</v>
      </c>
      <c r="H771" s="230" t="s">
        <v>1023</v>
      </c>
      <c r="I771" s="235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5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4">
        <v>43012.0</v>
      </c>
      <c r="B772" s="229" t="s">
        <v>186</v>
      </c>
      <c r="C772" s="230" t="s">
        <v>191</v>
      </c>
      <c r="D772" s="231" t="s">
        <v>325</v>
      </c>
      <c r="E772" s="231"/>
      <c r="F772" s="232"/>
      <c r="G772" s="233">
        <v>-2.18</v>
      </c>
      <c r="H772" s="230" t="s">
        <v>1024</v>
      </c>
      <c r="I772" s="235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-2.18</v>
      </c>
      <c r="J772" s="235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-2.18</v>
      </c>
    </row>
    <row r="773">
      <c r="A773" s="184">
        <v>43012.0</v>
      </c>
      <c r="B773" s="229" t="s">
        <v>196</v>
      </c>
      <c r="C773" s="230" t="s">
        <v>197</v>
      </c>
      <c r="D773" s="231" t="s">
        <v>308</v>
      </c>
      <c r="E773" s="231">
        <v>25.0</v>
      </c>
      <c r="F773" s="232">
        <v>40.857</v>
      </c>
      <c r="G773" s="233">
        <v>-1021.42</v>
      </c>
      <c r="H773" s="230" t="s">
        <v>1025</v>
      </c>
      <c r="I773" s="235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369.58</v>
      </c>
      <c r="J773" s="235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296.4647276</v>
      </c>
    </row>
    <row r="774">
      <c r="A774" s="184">
        <v>43012.0</v>
      </c>
      <c r="B774" s="229" t="s">
        <v>177</v>
      </c>
      <c r="C774" s="230" t="s">
        <v>180</v>
      </c>
      <c r="D774" s="231" t="s">
        <v>308</v>
      </c>
      <c r="E774" s="231">
        <v>174.0</v>
      </c>
      <c r="F774" s="232">
        <v>7.205</v>
      </c>
      <c r="G774" s="233">
        <v>-1253.67</v>
      </c>
      <c r="H774" s="230" t="s">
        <v>1026</v>
      </c>
      <c r="I774" s="235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-143.55</v>
      </c>
      <c r="J774" s="235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-117.7553463</v>
      </c>
    </row>
    <row r="775">
      <c r="A775" s="184">
        <v>43012.0</v>
      </c>
      <c r="B775" s="229" t="s">
        <v>192</v>
      </c>
      <c r="C775" s="230" t="s">
        <v>195</v>
      </c>
      <c r="D775" s="231" t="s">
        <v>308</v>
      </c>
      <c r="E775" s="231">
        <v>37.0</v>
      </c>
      <c r="F775" s="232">
        <v>99.51</v>
      </c>
      <c r="G775" s="233">
        <v>-3682.04</v>
      </c>
      <c r="H775" s="230" t="s">
        <v>1027</v>
      </c>
      <c r="I775" s="235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5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4">
        <v>43012.0</v>
      </c>
      <c r="B776" s="229" t="s">
        <v>182</v>
      </c>
      <c r="C776" s="230" t="s">
        <v>185</v>
      </c>
      <c r="D776" s="231" t="s">
        <v>308</v>
      </c>
      <c r="E776" s="231">
        <v>147.0</v>
      </c>
      <c r="F776" s="232">
        <v>10.44</v>
      </c>
      <c r="G776" s="233">
        <v>-1534.32</v>
      </c>
      <c r="H776" s="230" t="s">
        <v>1028</v>
      </c>
      <c r="I776" s="235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35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4">
        <v>43012.0</v>
      </c>
      <c r="B777" s="229" t="s">
        <v>186</v>
      </c>
      <c r="C777" s="230" t="s">
        <v>191</v>
      </c>
      <c r="D777" s="231" t="s">
        <v>308</v>
      </c>
      <c r="E777" s="231">
        <v>16.0</v>
      </c>
      <c r="F777" s="232">
        <v>55.01</v>
      </c>
      <c r="G777" s="233">
        <v>-880.09</v>
      </c>
      <c r="H777" s="230" t="s">
        <v>1029</v>
      </c>
      <c r="I777" s="235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5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4">
        <v>43011.0</v>
      </c>
      <c r="B778" s="229" t="s">
        <v>192</v>
      </c>
      <c r="C778" s="230" t="s">
        <v>195</v>
      </c>
      <c r="D778" s="231" t="s">
        <v>329</v>
      </c>
      <c r="E778" s="231"/>
      <c r="F778" s="232"/>
      <c r="G778" s="233">
        <v>-54.04</v>
      </c>
      <c r="H778" s="230" t="s">
        <v>1030</v>
      </c>
      <c r="I778" s="235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35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4">
        <v>43010.0</v>
      </c>
      <c r="B779" s="229" t="s">
        <v>192</v>
      </c>
      <c r="C779" s="230" t="s">
        <v>195</v>
      </c>
      <c r="D779" s="231" t="s">
        <v>329</v>
      </c>
      <c r="E779" s="231"/>
      <c r="F779" s="232"/>
      <c r="G779" s="233">
        <v>359.13</v>
      </c>
      <c r="H779" s="230" t="s">
        <v>1031</v>
      </c>
      <c r="I779" s="235" t="str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/>
      </c>
      <c r="J779" s="235" t="str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/>
      </c>
    </row>
    <row r="780">
      <c r="A780" s="184">
        <v>43009.0</v>
      </c>
      <c r="B780" s="164"/>
      <c r="C780" s="245"/>
      <c r="D780" s="244" t="s">
        <v>332</v>
      </c>
      <c r="E780" s="244"/>
      <c r="F780" s="232"/>
      <c r="G780" s="233">
        <v>-2000.0</v>
      </c>
      <c r="H780" s="245" t="s">
        <v>1032</v>
      </c>
      <c r="I780" s="235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35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4">
        <v>43008.0</v>
      </c>
      <c r="B781" s="229"/>
      <c r="C781" s="230"/>
      <c r="D781" s="231" t="s">
        <v>325</v>
      </c>
      <c r="E781" s="231"/>
      <c r="F781" s="232"/>
      <c r="G781" s="233">
        <v>-86.11</v>
      </c>
      <c r="H781" s="230" t="s">
        <v>1033</v>
      </c>
      <c r="I781" s="235" t="str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/>
      </c>
      <c r="J781" s="235" t="str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/>
      </c>
    </row>
    <row r="782">
      <c r="A782" s="184">
        <v>42996.0</v>
      </c>
      <c r="B782" s="229" t="s">
        <v>196</v>
      </c>
      <c r="C782" s="230" t="s">
        <v>197</v>
      </c>
      <c r="D782" s="231" t="s">
        <v>308</v>
      </c>
      <c r="E782" s="231">
        <v>72.0</v>
      </c>
      <c r="F782" s="232">
        <v>39.983</v>
      </c>
      <c r="G782" s="233">
        <v>-2878.78</v>
      </c>
      <c r="H782" s="230" t="s">
        <v>1034</v>
      </c>
      <c r="I782" s="235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1127.3</v>
      </c>
      <c r="J782" s="235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916.7280156</v>
      </c>
    </row>
    <row r="783">
      <c r="A783" s="184">
        <v>42993.0</v>
      </c>
      <c r="B783" s="19" t="s">
        <v>192</v>
      </c>
      <c r="C783" s="49" t="s">
        <v>195</v>
      </c>
      <c r="D783" s="50" t="s">
        <v>308</v>
      </c>
      <c r="E783" s="50">
        <v>40.0</v>
      </c>
      <c r="F783" s="232">
        <v>101.03</v>
      </c>
      <c r="G783" s="233">
        <v>-4041.23</v>
      </c>
      <c r="H783" s="49" t="s">
        <v>1035</v>
      </c>
      <c r="I783" s="235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5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4">
        <v>42993.0</v>
      </c>
      <c r="B784" s="19" t="s">
        <v>186</v>
      </c>
      <c r="C784" s="49" t="s">
        <v>191</v>
      </c>
      <c r="D784" s="50" t="s">
        <v>325</v>
      </c>
      <c r="E784" s="50"/>
      <c r="F784" s="232"/>
      <c r="G784" s="233">
        <v>-2.32</v>
      </c>
      <c r="H784" s="49" t="s">
        <v>1036</v>
      </c>
      <c r="I784" s="235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-2.32</v>
      </c>
      <c r="J784" s="235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-2.32</v>
      </c>
    </row>
    <row r="785">
      <c r="A785" s="184">
        <v>42993.0</v>
      </c>
      <c r="B785" s="19" t="s">
        <v>186</v>
      </c>
      <c r="C785" s="49" t="s">
        <v>191</v>
      </c>
      <c r="D785" s="50" t="s">
        <v>308</v>
      </c>
      <c r="E785" s="50">
        <v>29.0</v>
      </c>
      <c r="F785" s="232">
        <v>54.53</v>
      </c>
      <c r="G785" s="233">
        <v>-1581.45</v>
      </c>
      <c r="H785" s="49" t="s">
        <v>1037</v>
      </c>
      <c r="I785" s="235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5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84">
        <v>42993.0</v>
      </c>
      <c r="C786" s="57"/>
      <c r="D786" s="50" t="s">
        <v>332</v>
      </c>
      <c r="E786" s="50"/>
      <c r="F786" s="232"/>
      <c r="G786" s="233">
        <v>8500.0</v>
      </c>
      <c r="H786" s="49" t="s">
        <v>1038</v>
      </c>
      <c r="I786" s="235" t="str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/>
      </c>
      <c r="J786" s="235" t="str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/>
      </c>
    </row>
    <row r="787">
      <c r="A787" s="184">
        <v>42992.0</v>
      </c>
      <c r="C787" s="57"/>
      <c r="D787" s="58" t="s">
        <v>332</v>
      </c>
      <c r="E787" s="50" t="s">
        <v>1039</v>
      </c>
      <c r="F787" s="232" t="s">
        <v>1039</v>
      </c>
      <c r="G787" s="233">
        <v>-30.0</v>
      </c>
      <c r="H787" s="57" t="s">
        <v>1040</v>
      </c>
      <c r="I787" s="235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5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84">
        <v>42986.0</v>
      </c>
      <c r="B788" s="229" t="s">
        <v>186</v>
      </c>
      <c r="C788" s="230" t="s">
        <v>191</v>
      </c>
      <c r="D788" s="231" t="s">
        <v>329</v>
      </c>
      <c r="E788" s="231"/>
      <c r="F788" s="232"/>
      <c r="G788" s="233">
        <v>23.49</v>
      </c>
      <c r="H788" s="230" t="s">
        <v>1041</v>
      </c>
      <c r="I788" s="235" t="str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/>
      </c>
      <c r="J788" s="235" t="str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/>
      </c>
    </row>
    <row r="789">
      <c r="A789" s="184">
        <v>42986.0</v>
      </c>
      <c r="B789" s="229" t="s">
        <v>186</v>
      </c>
      <c r="C789" s="230" t="s">
        <v>191</v>
      </c>
      <c r="D789" s="231" t="s">
        <v>329</v>
      </c>
      <c r="E789" s="231"/>
      <c r="F789" s="232"/>
      <c r="G789" s="233">
        <v>-4.0</v>
      </c>
      <c r="H789" s="230" t="s">
        <v>1042</v>
      </c>
      <c r="I789" s="235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35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4">
        <v>42979.0</v>
      </c>
      <c r="B790" s="229" t="s">
        <v>192</v>
      </c>
      <c r="C790" s="230" t="s">
        <v>195</v>
      </c>
      <c r="D790" s="231" t="s">
        <v>308</v>
      </c>
      <c r="E790" s="231">
        <v>23.0</v>
      </c>
      <c r="F790" s="232">
        <v>101.207</v>
      </c>
      <c r="G790" s="233">
        <v>-2327.77</v>
      </c>
      <c r="H790" s="230" t="s">
        <v>1043</v>
      </c>
      <c r="I790" s="235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5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4">
        <v>42979.0</v>
      </c>
      <c r="B791" s="229" t="s">
        <v>196</v>
      </c>
      <c r="C791" s="230" t="s">
        <v>197</v>
      </c>
      <c r="D791" s="231" t="s">
        <v>308</v>
      </c>
      <c r="E791" s="231">
        <v>57.0</v>
      </c>
      <c r="F791" s="232">
        <v>39.711</v>
      </c>
      <c r="G791" s="233">
        <v>-2263.53</v>
      </c>
      <c r="H791" s="230" t="s">
        <v>1044</v>
      </c>
      <c r="I791" s="235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907.95</v>
      </c>
      <c r="J791" s="235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741.247179</v>
      </c>
    </row>
    <row r="792">
      <c r="A792" s="184">
        <v>42979.0</v>
      </c>
      <c r="B792" s="229" t="s">
        <v>186</v>
      </c>
      <c r="C792" s="230" t="s">
        <v>191</v>
      </c>
      <c r="D792" s="231" t="s">
        <v>325</v>
      </c>
      <c r="E792" s="231"/>
      <c r="F792" s="232"/>
      <c r="G792" s="233">
        <v>-0.8</v>
      </c>
      <c r="H792" s="230" t="s">
        <v>1045</v>
      </c>
      <c r="I792" s="235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-0.8</v>
      </c>
      <c r="J792" s="235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-0.8</v>
      </c>
    </row>
    <row r="793">
      <c r="A793" s="184">
        <v>42979.0</v>
      </c>
      <c r="B793" s="229" t="s">
        <v>186</v>
      </c>
      <c r="C793" s="230" t="s">
        <v>191</v>
      </c>
      <c r="D793" s="231" t="s">
        <v>308</v>
      </c>
      <c r="E793" s="231">
        <v>21.0</v>
      </c>
      <c r="F793" s="232">
        <v>54.896</v>
      </c>
      <c r="G793" s="233">
        <v>-1152.82</v>
      </c>
      <c r="H793" s="230" t="s">
        <v>1046</v>
      </c>
      <c r="I793" s="235" t="str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/>
      </c>
      <c r="J793" s="235" t="str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/>
      </c>
    </row>
    <row r="794">
      <c r="A794" s="184">
        <v>42979.0</v>
      </c>
      <c r="B794" s="229" t="s">
        <v>177</v>
      </c>
      <c r="C794" s="230" t="s">
        <v>180</v>
      </c>
      <c r="D794" s="231" t="s">
        <v>308</v>
      </c>
      <c r="E794" s="231">
        <v>83.0</v>
      </c>
      <c r="F794" s="232">
        <v>7.215</v>
      </c>
      <c r="G794" s="233">
        <v>-598.84</v>
      </c>
      <c r="H794" s="230" t="s">
        <v>1047</v>
      </c>
      <c r="I794" s="235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-69.3</v>
      </c>
      <c r="J794" s="235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-56.9956537</v>
      </c>
    </row>
    <row r="795">
      <c r="A795" s="184">
        <v>42979.0</v>
      </c>
      <c r="B795" s="229" t="s">
        <v>182</v>
      </c>
      <c r="C795" s="230" t="s">
        <v>185</v>
      </c>
      <c r="D795" s="231" t="s">
        <v>308</v>
      </c>
      <c r="E795" s="231">
        <v>26.0</v>
      </c>
      <c r="F795" s="232">
        <v>10.705</v>
      </c>
      <c r="G795" s="233">
        <v>-278.32</v>
      </c>
      <c r="H795" s="230" t="s">
        <v>1048</v>
      </c>
      <c r="I795" s="235" t="str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/>
      </c>
      <c r="J795" s="235" t="str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/>
      </c>
    </row>
    <row r="796">
      <c r="A796" s="184">
        <v>42978.0</v>
      </c>
      <c r="B796" s="229"/>
      <c r="C796" s="230"/>
      <c r="D796" s="231" t="s">
        <v>325</v>
      </c>
      <c r="E796" s="231"/>
      <c r="F796" s="232"/>
      <c r="G796" s="233">
        <v>-78.9</v>
      </c>
      <c r="H796" s="230" t="s">
        <v>1049</v>
      </c>
      <c r="I796" s="235" t="str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/>
      </c>
      <c r="J796" s="235" t="str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/>
      </c>
    </row>
    <row r="797">
      <c r="A797" s="184">
        <v>42955.0</v>
      </c>
      <c r="B797" s="229" t="s">
        <v>186</v>
      </c>
      <c r="C797" s="230" t="s">
        <v>191</v>
      </c>
      <c r="D797" s="231" t="s">
        <v>329</v>
      </c>
      <c r="E797" s="231"/>
      <c r="F797" s="232"/>
      <c r="G797" s="233">
        <v>-3.14</v>
      </c>
      <c r="H797" s="230" t="s">
        <v>1050</v>
      </c>
      <c r="I797" s="235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5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>
      <c r="A798" s="184">
        <v>42954.0</v>
      </c>
      <c r="B798" s="229" t="s">
        <v>186</v>
      </c>
      <c r="C798" s="230" t="s">
        <v>191</v>
      </c>
      <c r="D798" s="231" t="s">
        <v>329</v>
      </c>
      <c r="E798" s="231"/>
      <c r="F798" s="232"/>
      <c r="G798" s="233">
        <v>20.91</v>
      </c>
      <c r="H798" s="230" t="s">
        <v>1051</v>
      </c>
      <c r="I798" s="235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5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4">
        <v>42950.0</v>
      </c>
      <c r="B799" s="19" t="s">
        <v>177</v>
      </c>
      <c r="C799" s="49" t="s">
        <v>180</v>
      </c>
      <c r="D799" s="19" t="s">
        <v>308</v>
      </c>
      <c r="E799" s="19">
        <v>67.0</v>
      </c>
      <c r="F799" s="232">
        <v>7.1</v>
      </c>
      <c r="G799" s="233">
        <v>-475.7</v>
      </c>
      <c r="H799" s="234" t="s">
        <v>1052</v>
      </c>
      <c r="I799" s="235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-48.24</v>
      </c>
      <c r="J799" s="235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-38.30757588</v>
      </c>
    </row>
    <row r="800">
      <c r="A800" s="184">
        <v>42950.0</v>
      </c>
      <c r="B800" s="19" t="s">
        <v>196</v>
      </c>
      <c r="C800" s="49" t="s">
        <v>197</v>
      </c>
      <c r="D800" s="19" t="s">
        <v>308</v>
      </c>
      <c r="E800" s="19">
        <v>45.0</v>
      </c>
      <c r="F800" s="232">
        <v>39.632</v>
      </c>
      <c r="G800" s="233">
        <v>-1783.44</v>
      </c>
      <c r="H800" s="234" t="s">
        <v>1053</v>
      </c>
      <c r="I800" s="235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720.36</v>
      </c>
      <c r="J800" s="235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588.7525097</v>
      </c>
    </row>
    <row r="801">
      <c r="A801" s="184">
        <v>42949.0</v>
      </c>
      <c r="B801" s="229" t="s">
        <v>186</v>
      </c>
      <c r="C801" s="230" t="s">
        <v>191</v>
      </c>
      <c r="D801" s="231" t="s">
        <v>325</v>
      </c>
      <c r="E801" s="231"/>
      <c r="F801" s="232"/>
      <c r="G801" s="233">
        <v>-0.8</v>
      </c>
      <c r="H801" s="246" t="s">
        <v>1045</v>
      </c>
      <c r="I801" s="235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-0.8</v>
      </c>
      <c r="J801" s="235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-0.8</v>
      </c>
    </row>
    <row r="802">
      <c r="A802" s="184">
        <v>42949.0</v>
      </c>
      <c r="B802" s="19" t="s">
        <v>192</v>
      </c>
      <c r="C802" s="49" t="s">
        <v>195</v>
      </c>
      <c r="D802" s="19" t="s">
        <v>308</v>
      </c>
      <c r="E802" s="19">
        <v>31.0</v>
      </c>
      <c r="F802" s="232">
        <v>99.369</v>
      </c>
      <c r="G802" s="233">
        <v>-3080.45</v>
      </c>
      <c r="H802" s="234" t="s">
        <v>1054</v>
      </c>
      <c r="I802" s="235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5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4">
        <v>42949.0</v>
      </c>
      <c r="B803" s="19" t="s">
        <v>186</v>
      </c>
      <c r="C803" s="49" t="s">
        <v>191</v>
      </c>
      <c r="D803" s="19" t="s">
        <v>308</v>
      </c>
      <c r="E803" s="19">
        <v>21.0</v>
      </c>
      <c r="F803" s="232">
        <v>54.704</v>
      </c>
      <c r="G803" s="233">
        <v>-1148.78</v>
      </c>
      <c r="H803" s="234" t="s">
        <v>1055</v>
      </c>
      <c r="I803" s="235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5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4">
        <v>42949.0</v>
      </c>
      <c r="B804" s="19" t="s">
        <v>182</v>
      </c>
      <c r="C804" s="49" t="s">
        <v>185</v>
      </c>
      <c r="D804" s="19" t="s">
        <v>308</v>
      </c>
      <c r="E804" s="19">
        <v>41.0</v>
      </c>
      <c r="F804" s="232">
        <v>10.317</v>
      </c>
      <c r="G804" s="233">
        <v>-422.98</v>
      </c>
      <c r="H804" s="234" t="s">
        <v>1056</v>
      </c>
      <c r="I804" s="235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5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4">
        <v>42947.0</v>
      </c>
      <c r="B805" s="229"/>
      <c r="C805" s="230"/>
      <c r="D805" s="231" t="s">
        <v>325</v>
      </c>
      <c r="E805" s="231"/>
      <c r="F805" s="232"/>
      <c r="G805" s="233">
        <v>-5.0</v>
      </c>
      <c r="H805" s="230" t="s">
        <v>465</v>
      </c>
      <c r="I805" s="235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5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4">
        <v>42947.0</v>
      </c>
      <c r="B806" s="229"/>
      <c r="C806" s="230"/>
      <c r="D806" s="231" t="s">
        <v>325</v>
      </c>
      <c r="E806" s="231"/>
      <c r="F806" s="232"/>
      <c r="G806" s="233">
        <v>-66.68</v>
      </c>
      <c r="H806" s="246" t="s">
        <v>1057</v>
      </c>
      <c r="I806" s="235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5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4">
        <v>42927.0</v>
      </c>
      <c r="B807" s="229" t="s">
        <v>186</v>
      </c>
      <c r="C807" s="230" t="s">
        <v>189</v>
      </c>
      <c r="D807" s="231" t="s">
        <v>329</v>
      </c>
      <c r="E807" s="231"/>
      <c r="F807" s="232"/>
      <c r="G807" s="233">
        <v>-2.54</v>
      </c>
      <c r="H807" s="246" t="s">
        <v>1058</v>
      </c>
      <c r="I807" s="235" t="str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/>
      </c>
      <c r="J807" s="235" t="str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/>
      </c>
    </row>
    <row r="808">
      <c r="A808" s="184">
        <v>42926.0</v>
      </c>
      <c r="B808" s="229" t="s">
        <v>186</v>
      </c>
      <c r="C808" s="230" t="s">
        <v>189</v>
      </c>
      <c r="D808" s="231" t="s">
        <v>329</v>
      </c>
      <c r="E808" s="231"/>
      <c r="F808" s="232"/>
      <c r="G808" s="233">
        <v>19.77</v>
      </c>
      <c r="H808" s="246" t="s">
        <v>1059</v>
      </c>
      <c r="I808" s="235" t="str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/>
      </c>
      <c r="J808" s="235" t="str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/>
      </c>
    </row>
    <row r="809">
      <c r="A809" s="184">
        <v>42922.0</v>
      </c>
      <c r="B809" s="229" t="s">
        <v>192</v>
      </c>
      <c r="C809" s="230" t="s">
        <v>195</v>
      </c>
      <c r="D809" s="231" t="s">
        <v>329</v>
      </c>
      <c r="E809" s="231"/>
      <c r="F809" s="232"/>
      <c r="G809" s="233">
        <v>-31.95</v>
      </c>
      <c r="H809" s="246" t="s">
        <v>1060</v>
      </c>
      <c r="I809" s="235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5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4">
        <v>42921.0</v>
      </c>
      <c r="B810" s="229" t="s">
        <v>192</v>
      </c>
      <c r="C810" s="230" t="s">
        <v>195</v>
      </c>
      <c r="D810" s="231" t="s">
        <v>329</v>
      </c>
      <c r="E810" s="231"/>
      <c r="F810" s="232"/>
      <c r="G810" s="233">
        <v>255.04</v>
      </c>
      <c r="H810" s="246" t="s">
        <v>1061</v>
      </c>
      <c r="I810" s="235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5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4">
        <v>42921.0</v>
      </c>
      <c r="B811" s="229" t="s">
        <v>186</v>
      </c>
      <c r="C811" s="230" t="s">
        <v>191</v>
      </c>
      <c r="D811" s="231" t="s">
        <v>308</v>
      </c>
      <c r="E811" s="231">
        <v>286.0</v>
      </c>
      <c r="F811" s="232">
        <v>56.941</v>
      </c>
      <c r="G811" s="233">
        <v>-16285.26</v>
      </c>
      <c r="H811" s="246" t="s">
        <v>1062</v>
      </c>
      <c r="I811" s="235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5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4">
        <v>42921.0</v>
      </c>
      <c r="B812" s="19" t="s">
        <v>186</v>
      </c>
      <c r="C812" s="49" t="s">
        <v>191</v>
      </c>
      <c r="D812" s="19" t="s">
        <v>325</v>
      </c>
      <c r="E812" s="171"/>
      <c r="F812" s="232"/>
      <c r="G812" s="233">
        <v>-4.77</v>
      </c>
      <c r="H812" s="247" t="s">
        <v>1063</v>
      </c>
      <c r="I812" s="235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-4.77</v>
      </c>
      <c r="J812" s="235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-4.77</v>
      </c>
    </row>
    <row r="813">
      <c r="A813" s="184">
        <v>42920.0</v>
      </c>
      <c r="B813" s="229" t="s">
        <v>177</v>
      </c>
      <c r="C813" s="230" t="s">
        <v>180</v>
      </c>
      <c r="D813" s="231" t="s">
        <v>308</v>
      </c>
      <c r="E813" s="231">
        <v>1096.0</v>
      </c>
      <c r="F813" s="232">
        <v>7.5</v>
      </c>
      <c r="G813" s="233">
        <v>-8220.0</v>
      </c>
      <c r="H813" s="246" t="s">
        <v>1064</v>
      </c>
      <c r="I813" s="235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-1227.52</v>
      </c>
      <c r="J813" s="235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-1065.043331</v>
      </c>
    </row>
    <row r="814">
      <c r="A814" s="184">
        <v>42919.0</v>
      </c>
      <c r="B814" s="229" t="s">
        <v>196</v>
      </c>
      <c r="C814" s="230" t="s">
        <v>197</v>
      </c>
      <c r="D814" s="231" t="s">
        <v>308</v>
      </c>
      <c r="E814" s="231">
        <v>804.0</v>
      </c>
      <c r="F814" s="232">
        <v>40.443</v>
      </c>
      <c r="G814" s="233">
        <v>-32516.18</v>
      </c>
      <c r="H814" s="246" t="s">
        <v>1065</v>
      </c>
      <c r="I814" s="235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12218.38</v>
      </c>
      <c r="J814" s="235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9866.99284</v>
      </c>
    </row>
    <row r="815">
      <c r="A815" s="184">
        <v>42919.0</v>
      </c>
      <c r="B815" s="19" t="s">
        <v>177</v>
      </c>
      <c r="C815" s="49" t="s">
        <v>178</v>
      </c>
      <c r="D815" s="19" t="s">
        <v>309</v>
      </c>
      <c r="E815" s="19">
        <v>-390.0</v>
      </c>
      <c r="F815" s="232">
        <v>18.19</v>
      </c>
      <c r="G815" s="233">
        <v>7094.1</v>
      </c>
      <c r="H815" s="247" t="s">
        <v>1066</v>
      </c>
      <c r="I815" s="235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5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4">
        <v>42919.0</v>
      </c>
      <c r="B816" s="19" t="s">
        <v>186</v>
      </c>
      <c r="C816" s="49" t="s">
        <v>189</v>
      </c>
      <c r="D816" s="19" t="s">
        <v>309</v>
      </c>
      <c r="E816" s="19">
        <v>-146.0</v>
      </c>
      <c r="F816" s="232">
        <v>93.62</v>
      </c>
      <c r="G816" s="233">
        <v>13669.24</v>
      </c>
      <c r="H816" s="247" t="s">
        <v>1067</v>
      </c>
      <c r="I816" s="235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5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4">
        <v>42919.0</v>
      </c>
      <c r="B817" s="19" t="s">
        <v>182</v>
      </c>
      <c r="C817" s="49" t="s">
        <v>185</v>
      </c>
      <c r="D817" s="19" t="s">
        <v>308</v>
      </c>
      <c r="E817" s="19">
        <v>122.0</v>
      </c>
      <c r="F817" s="232">
        <v>10.38</v>
      </c>
      <c r="G817" s="233">
        <v>-1266.54</v>
      </c>
      <c r="H817" s="247" t="s">
        <v>1068</v>
      </c>
      <c r="I817" s="235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5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4">
        <v>42919.0</v>
      </c>
      <c r="B818" s="19" t="s">
        <v>196</v>
      </c>
      <c r="C818" s="49" t="s">
        <v>199</v>
      </c>
      <c r="D818" s="19" t="s">
        <v>309</v>
      </c>
      <c r="E818" s="19">
        <v>-251.0</v>
      </c>
      <c r="F818" s="232">
        <v>109.93</v>
      </c>
      <c r="G818" s="233">
        <v>27592.74</v>
      </c>
      <c r="H818" s="247" t="s">
        <v>1069</v>
      </c>
      <c r="I818" s="235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5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4">
        <v>42919.0</v>
      </c>
      <c r="B819" s="19" t="s">
        <v>192</v>
      </c>
      <c r="C819" s="49" t="s">
        <v>195</v>
      </c>
      <c r="D819" s="19" t="s">
        <v>308</v>
      </c>
      <c r="E819" s="19">
        <v>67.0</v>
      </c>
      <c r="F819" s="232">
        <v>103.88</v>
      </c>
      <c r="G819" s="233">
        <v>-6959.73</v>
      </c>
      <c r="H819" s="247" t="s">
        <v>1070</v>
      </c>
      <c r="I819" s="235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5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4">
        <v>42916.0</v>
      </c>
      <c r="B820" s="229"/>
      <c r="C820" s="230"/>
      <c r="D820" s="231" t="s">
        <v>325</v>
      </c>
      <c r="E820" s="231"/>
      <c r="F820" s="232"/>
      <c r="G820" s="233">
        <v>-55.33</v>
      </c>
      <c r="H820" s="246" t="s">
        <v>1071</v>
      </c>
      <c r="I820" s="235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5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4">
        <v>42914.0</v>
      </c>
      <c r="B821" s="229" t="s">
        <v>196</v>
      </c>
      <c r="C821" s="230" t="s">
        <v>199</v>
      </c>
      <c r="D821" s="231" t="s">
        <v>329</v>
      </c>
      <c r="E821" s="231"/>
      <c r="F821" s="232"/>
      <c r="G821" s="233">
        <v>-14.95</v>
      </c>
      <c r="H821" s="246" t="s">
        <v>1072</v>
      </c>
      <c r="I821" s="235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5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4">
        <v>42913.0</v>
      </c>
      <c r="B822" s="229" t="s">
        <v>196</v>
      </c>
      <c r="C822" s="230" t="s">
        <v>199</v>
      </c>
      <c r="D822" s="231" t="s">
        <v>329</v>
      </c>
      <c r="E822" s="231"/>
      <c r="F822" s="232"/>
      <c r="G822" s="233">
        <v>122.68</v>
      </c>
      <c r="H822" s="246" t="s">
        <v>1073</v>
      </c>
      <c r="I822" s="235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5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4">
        <v>42901.0</v>
      </c>
      <c r="B823" s="19" t="s">
        <v>177</v>
      </c>
      <c r="C823" s="49" t="s">
        <v>178</v>
      </c>
      <c r="D823" s="19" t="s">
        <v>308</v>
      </c>
      <c r="E823" s="19">
        <v>111.0</v>
      </c>
      <c r="F823" s="232">
        <v>18.09</v>
      </c>
      <c r="G823" s="233">
        <v>-2007.99</v>
      </c>
      <c r="H823" s="247" t="s">
        <v>1074</v>
      </c>
      <c r="I823" s="235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5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4">
        <v>42901.0</v>
      </c>
      <c r="B824" s="19" t="s">
        <v>196</v>
      </c>
      <c r="C824" s="49" t="s">
        <v>199</v>
      </c>
      <c r="D824" s="19" t="s">
        <v>308</v>
      </c>
      <c r="E824" s="19">
        <v>60.0</v>
      </c>
      <c r="F824" s="232">
        <v>112.018</v>
      </c>
      <c r="G824" s="233">
        <v>-6721.09</v>
      </c>
      <c r="H824" s="247" t="s">
        <v>1075</v>
      </c>
      <c r="I824" s="235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5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4">
        <v>42901.0</v>
      </c>
      <c r="B825" s="19" t="s">
        <v>186</v>
      </c>
      <c r="C825" s="49" t="s">
        <v>189</v>
      </c>
      <c r="D825" s="19" t="s">
        <v>308</v>
      </c>
      <c r="E825" s="19">
        <v>36.0</v>
      </c>
      <c r="F825" s="232">
        <v>96.68</v>
      </c>
      <c r="G825" s="233">
        <v>-3480.61</v>
      </c>
      <c r="H825" s="247" t="s">
        <v>1076</v>
      </c>
      <c r="I825" s="235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5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4">
        <v>42901.0</v>
      </c>
      <c r="B826" s="19" t="s">
        <v>192</v>
      </c>
      <c r="C826" s="49" t="s">
        <v>195</v>
      </c>
      <c r="D826" s="19" t="s">
        <v>308</v>
      </c>
      <c r="E826" s="19">
        <v>66.0</v>
      </c>
      <c r="F826" s="232">
        <v>107.07</v>
      </c>
      <c r="G826" s="233">
        <v>-7066.71</v>
      </c>
      <c r="H826" s="247" t="s">
        <v>1077</v>
      </c>
      <c r="I826" s="235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5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4">
        <v>42901.0</v>
      </c>
      <c r="B827" s="19" t="s">
        <v>182</v>
      </c>
      <c r="C827" s="49" t="s">
        <v>185</v>
      </c>
      <c r="D827" s="19" t="s">
        <v>308</v>
      </c>
      <c r="E827" s="19">
        <v>167.0</v>
      </c>
      <c r="F827" s="232">
        <v>10.83</v>
      </c>
      <c r="G827" s="233">
        <v>-1808.18</v>
      </c>
      <c r="H827" s="247" t="s">
        <v>1078</v>
      </c>
      <c r="I827" s="235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5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4">
        <v>42894.0</v>
      </c>
      <c r="B828" s="229" t="s">
        <v>186</v>
      </c>
      <c r="C828" s="230" t="s">
        <v>189</v>
      </c>
      <c r="D828" s="231" t="s">
        <v>329</v>
      </c>
      <c r="E828" s="231"/>
      <c r="F828" s="232"/>
      <c r="G828" s="233">
        <v>-1.66</v>
      </c>
      <c r="H828" s="246" t="s">
        <v>1079</v>
      </c>
      <c r="I828" s="235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5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4">
        <v>42893.0</v>
      </c>
      <c r="B829" s="229" t="s">
        <v>186</v>
      </c>
      <c r="C829" s="230" t="s">
        <v>189</v>
      </c>
      <c r="D829" s="231" t="s">
        <v>329</v>
      </c>
      <c r="E829" s="231"/>
      <c r="F829" s="232"/>
      <c r="G829" s="233">
        <v>15.3</v>
      </c>
      <c r="H829" s="246" t="s">
        <v>1080</v>
      </c>
      <c r="I829" s="235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5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4">
        <v>42886.0</v>
      </c>
      <c r="B830" s="229"/>
      <c r="C830" s="230"/>
      <c r="D830" s="231" t="s">
        <v>325</v>
      </c>
      <c r="E830" s="231"/>
      <c r="F830" s="232"/>
      <c r="G830" s="233">
        <v>-5.0</v>
      </c>
      <c r="H830" s="246" t="s">
        <v>465</v>
      </c>
      <c r="I830" s="235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5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4">
        <v>42886.0</v>
      </c>
      <c r="B831" s="229"/>
      <c r="C831" s="230"/>
      <c r="D831" s="231" t="s">
        <v>325</v>
      </c>
      <c r="E831" s="231"/>
      <c r="F831" s="232"/>
      <c r="G831" s="233">
        <v>-30.68</v>
      </c>
      <c r="H831" s="246" t="s">
        <v>1081</v>
      </c>
      <c r="I831" s="235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5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>
      <c r="A832" s="184">
        <v>42871.0</v>
      </c>
      <c r="B832" s="19" t="s">
        <v>192</v>
      </c>
      <c r="C832" s="49" t="s">
        <v>195</v>
      </c>
      <c r="D832" s="19" t="s">
        <v>308</v>
      </c>
      <c r="E832" s="19">
        <v>10.0</v>
      </c>
      <c r="F832" s="232">
        <v>101.508</v>
      </c>
      <c r="G832" s="233">
        <v>-1015.08</v>
      </c>
      <c r="H832" s="247" t="s">
        <v>1082</v>
      </c>
      <c r="I832" s="235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5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>
      <c r="A833" s="184">
        <v>42870.0</v>
      </c>
      <c r="B833" s="229"/>
      <c r="C833" s="230"/>
      <c r="D833" s="231" t="s">
        <v>332</v>
      </c>
      <c r="E833" s="231"/>
      <c r="F833" s="232"/>
      <c r="G833" s="233">
        <v>30.0</v>
      </c>
      <c r="H833" s="246" t="s">
        <v>1083</v>
      </c>
      <c r="I833" s="235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5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4">
        <v>42866.0</v>
      </c>
      <c r="B834" s="229"/>
      <c r="C834" s="230"/>
      <c r="D834" s="231" t="s">
        <v>332</v>
      </c>
      <c r="E834" s="231"/>
      <c r="F834" s="232"/>
      <c r="G834" s="233">
        <v>500.0</v>
      </c>
      <c r="H834" s="246" t="s">
        <v>1084</v>
      </c>
      <c r="I834" s="235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5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4">
        <v>42864.0</v>
      </c>
      <c r="B835" s="229"/>
      <c r="C835" s="230"/>
      <c r="D835" s="231" t="s">
        <v>332</v>
      </c>
      <c r="E835" s="231"/>
      <c r="F835" s="232"/>
      <c r="G835" s="233">
        <v>500.0</v>
      </c>
      <c r="H835" s="246" t="s">
        <v>1084</v>
      </c>
      <c r="I835" s="235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5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>
      <c r="A836" s="184">
        <v>42858.0</v>
      </c>
      <c r="B836" s="19" t="s">
        <v>177</v>
      </c>
      <c r="C836" s="49" t="s">
        <v>178</v>
      </c>
      <c r="D836" s="19" t="s">
        <v>308</v>
      </c>
      <c r="E836" s="19">
        <v>98.0</v>
      </c>
      <c r="F836" s="232">
        <v>19.25</v>
      </c>
      <c r="G836" s="233">
        <v>-1886.5</v>
      </c>
      <c r="H836" s="247" t="s">
        <v>1085</v>
      </c>
      <c r="I836" s="235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5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 ht="1.5" customHeight="1">
      <c r="A837" s="184">
        <v>42858.0</v>
      </c>
      <c r="B837" s="19" t="s">
        <v>182</v>
      </c>
      <c r="C837" s="49" t="s">
        <v>185</v>
      </c>
      <c r="D837" s="19" t="s">
        <v>308</v>
      </c>
      <c r="E837" s="19">
        <v>195.0</v>
      </c>
      <c r="F837" s="232">
        <v>11.05</v>
      </c>
      <c r="G837" s="233">
        <v>-2154.76</v>
      </c>
      <c r="H837" s="247" t="s">
        <v>1086</v>
      </c>
      <c r="I837" s="235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5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 ht="1.5" customHeight="1">
      <c r="A838" s="184">
        <v>42858.0</v>
      </c>
      <c r="B838" s="19" t="s">
        <v>186</v>
      </c>
      <c r="C838" s="49" t="s">
        <v>189</v>
      </c>
      <c r="D838" s="19" t="s">
        <v>308</v>
      </c>
      <c r="E838" s="19">
        <v>44.0</v>
      </c>
      <c r="F838" s="232">
        <v>97.617</v>
      </c>
      <c r="G838" s="233">
        <v>-4295.13</v>
      </c>
      <c r="H838" s="247" t="s">
        <v>1087</v>
      </c>
      <c r="I838" s="235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5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 ht="1.5" customHeight="1">
      <c r="A839" s="184">
        <v>42858.0</v>
      </c>
      <c r="B839" s="19" t="s">
        <v>196</v>
      </c>
      <c r="C839" s="49" t="s">
        <v>199</v>
      </c>
      <c r="D839" s="19" t="s">
        <v>308</v>
      </c>
      <c r="E839" s="19">
        <v>76.0</v>
      </c>
      <c r="F839" s="232">
        <v>112.55</v>
      </c>
      <c r="G839" s="233">
        <v>-8554.15</v>
      </c>
      <c r="H839" s="247" t="s">
        <v>1088</v>
      </c>
      <c r="I839" s="235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5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4">
        <v>42858.0</v>
      </c>
      <c r="B840" s="19" t="s">
        <v>192</v>
      </c>
      <c r="C840" s="49" t="s">
        <v>195</v>
      </c>
      <c r="D840" s="19" t="s">
        <v>308</v>
      </c>
      <c r="E840" s="19">
        <v>111.0</v>
      </c>
      <c r="F840" s="232">
        <v>104.22</v>
      </c>
      <c r="G840" s="233">
        <v>-11568.3</v>
      </c>
      <c r="H840" s="247" t="s">
        <v>1089</v>
      </c>
      <c r="I840" s="235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5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4">
        <v>42857.0</v>
      </c>
      <c r="B841" s="19" t="s">
        <v>177</v>
      </c>
      <c r="C841" s="49" t="s">
        <v>178</v>
      </c>
      <c r="D841" s="19" t="s">
        <v>308</v>
      </c>
      <c r="E841" s="19">
        <v>181.0</v>
      </c>
      <c r="F841" s="232">
        <v>19.31</v>
      </c>
      <c r="G841" s="233">
        <v>-3495.11</v>
      </c>
      <c r="H841" s="234" t="s">
        <v>1090</v>
      </c>
      <c r="I841" s="235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5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 ht="1.5" customHeight="1">
      <c r="A842" s="184">
        <v>42856.0</v>
      </c>
      <c r="B842" s="19" t="s">
        <v>186</v>
      </c>
      <c r="C842" s="49" t="s">
        <v>189</v>
      </c>
      <c r="D842" s="19" t="s">
        <v>308</v>
      </c>
      <c r="E842" s="19">
        <v>66.0</v>
      </c>
      <c r="F842" s="232">
        <v>97.561</v>
      </c>
      <c r="G842" s="233">
        <v>-6439.03</v>
      </c>
      <c r="H842" s="234" t="s">
        <v>1091</v>
      </c>
      <c r="I842" s="235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5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 ht="1.5" customHeight="1">
      <c r="A843" s="184">
        <v>42856.0</v>
      </c>
      <c r="B843" s="19" t="s">
        <v>196</v>
      </c>
      <c r="C843" s="49" t="s">
        <v>199</v>
      </c>
      <c r="D843" s="19" t="s">
        <v>308</v>
      </c>
      <c r="E843" s="19">
        <v>115.0</v>
      </c>
      <c r="F843" s="232">
        <v>112.8</v>
      </c>
      <c r="G843" s="233">
        <v>-12972.31</v>
      </c>
      <c r="H843" s="234" t="s">
        <v>1092</v>
      </c>
      <c r="I843" s="235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5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4">
        <v>42856.0</v>
      </c>
      <c r="B844" s="19" t="s">
        <v>182</v>
      </c>
      <c r="C844" s="49" t="s">
        <v>185</v>
      </c>
      <c r="D844" s="19" t="s">
        <v>308</v>
      </c>
      <c r="E844" s="19">
        <v>290.0</v>
      </c>
      <c r="F844" s="232">
        <v>11.16</v>
      </c>
      <c r="G844" s="233">
        <v>-3235.89</v>
      </c>
      <c r="H844" s="234" t="s">
        <v>1093</v>
      </c>
      <c r="I844" s="235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5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4">
        <v>42856.0</v>
      </c>
      <c r="B845" s="19" t="s">
        <v>192</v>
      </c>
      <c r="C845" s="49" t="s">
        <v>195</v>
      </c>
      <c r="D845" s="19" t="s">
        <v>308</v>
      </c>
      <c r="E845" s="19">
        <v>166.0</v>
      </c>
      <c r="F845" s="232">
        <v>103.67</v>
      </c>
      <c r="G845" s="233">
        <v>-17209.62</v>
      </c>
      <c r="H845" s="234" t="s">
        <v>1094</v>
      </c>
      <c r="I845" s="235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5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4">
        <v>42853.0</v>
      </c>
      <c r="B846" s="229"/>
      <c r="C846" s="230"/>
      <c r="D846" s="231" t="s">
        <v>332</v>
      </c>
      <c r="E846" s="231"/>
      <c r="F846" s="232"/>
      <c r="G846" s="233">
        <v>43355.53</v>
      </c>
      <c r="H846" s="230" t="s">
        <v>1095</v>
      </c>
      <c r="I846" s="235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5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184">
        <v>42846.0</v>
      </c>
      <c r="B847" s="229"/>
      <c r="C847" s="230"/>
      <c r="D847" s="231" t="s">
        <v>332</v>
      </c>
      <c r="E847" s="231"/>
      <c r="F847" s="232"/>
      <c r="G847" s="233">
        <v>1.0</v>
      </c>
      <c r="H847" s="230" t="s">
        <v>1096</v>
      </c>
      <c r="I847" s="235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5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>
      <c r="A848" s="248">
        <v>42845.0</v>
      </c>
      <c r="B848" s="249"/>
      <c r="C848" s="250"/>
      <c r="D848" s="251" t="s">
        <v>325</v>
      </c>
      <c r="E848" s="249"/>
      <c r="F848" s="252"/>
      <c r="G848" s="253">
        <v>-6.0</v>
      </c>
      <c r="H848" s="236" t="s">
        <v>1097</v>
      </c>
      <c r="I848" s="235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5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>
      <c r="A849" s="248">
        <v>42845.0</v>
      </c>
      <c r="B849" s="249"/>
      <c r="C849" s="250"/>
      <c r="D849" s="251" t="s">
        <v>332</v>
      </c>
      <c r="E849" s="249"/>
      <c r="F849" s="252"/>
      <c r="G849" s="253">
        <v>-45404.0</v>
      </c>
      <c r="H849" s="236" t="s">
        <v>1098</v>
      </c>
      <c r="I849" s="235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5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>
      <c r="A850" s="248">
        <v>42845.0</v>
      </c>
      <c r="B850" s="249"/>
      <c r="C850" s="250"/>
      <c r="D850" s="251" t="s">
        <v>332</v>
      </c>
      <c r="E850" s="249"/>
      <c r="F850" s="252"/>
      <c r="G850" s="253">
        <v>-452.53</v>
      </c>
      <c r="H850" s="236" t="s">
        <v>1099</v>
      </c>
      <c r="I850" s="235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5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254">
        <v>42845.0</v>
      </c>
      <c r="B851" s="255" t="s">
        <v>192</v>
      </c>
      <c r="C851" s="256" t="s">
        <v>195</v>
      </c>
      <c r="D851" s="255" t="s">
        <v>309</v>
      </c>
      <c r="E851" s="257">
        <v>-179.0</v>
      </c>
      <c r="F851" s="258">
        <v>107.2757</v>
      </c>
      <c r="G851" s="259">
        <v>19185.08</v>
      </c>
      <c r="H851" s="236" t="s">
        <v>1100</v>
      </c>
      <c r="I851" s="235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5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>
      <c r="A852" s="254">
        <v>42845.0</v>
      </c>
      <c r="B852" s="255" t="s">
        <v>182</v>
      </c>
      <c r="C852" s="256" t="s">
        <v>185</v>
      </c>
      <c r="D852" s="255" t="s">
        <v>309</v>
      </c>
      <c r="E852" s="257">
        <v>-292.0</v>
      </c>
      <c r="F852" s="258">
        <v>11.4687</v>
      </c>
      <c r="G852" s="259">
        <v>3340.35</v>
      </c>
      <c r="H852" s="236" t="s">
        <v>1101</v>
      </c>
      <c r="I852" s="235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5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>
      <c r="A853" s="254">
        <v>42845.0</v>
      </c>
      <c r="B853" s="255" t="s">
        <v>186</v>
      </c>
      <c r="C853" s="256" t="s">
        <v>189</v>
      </c>
      <c r="D853" s="255" t="s">
        <v>309</v>
      </c>
      <c r="E853" s="257">
        <v>-67.0</v>
      </c>
      <c r="F853" s="258">
        <v>99.6126</v>
      </c>
      <c r="G853" s="259">
        <v>6665.55</v>
      </c>
      <c r="H853" s="236" t="s">
        <v>1102</v>
      </c>
      <c r="I853" s="235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5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 ht="1.5" customHeight="1">
      <c r="A854" s="254">
        <v>42845.0</v>
      </c>
      <c r="B854" s="255" t="s">
        <v>177</v>
      </c>
      <c r="C854" s="256" t="s">
        <v>178</v>
      </c>
      <c r="D854" s="255" t="s">
        <v>309</v>
      </c>
      <c r="E854" s="257">
        <v>-211.0</v>
      </c>
      <c r="F854" s="258">
        <v>14.3195</v>
      </c>
      <c r="G854" s="259">
        <v>3012.92</v>
      </c>
      <c r="H854" s="236" t="s">
        <v>1103</v>
      </c>
      <c r="I854" s="235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5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 ht="1.5" customHeight="1">
      <c r="A855" s="254">
        <v>42845.0</v>
      </c>
      <c r="B855" s="255" t="s">
        <v>196</v>
      </c>
      <c r="C855" s="260" t="s">
        <v>199</v>
      </c>
      <c r="D855" s="255" t="s">
        <v>309</v>
      </c>
      <c r="E855" s="257">
        <v>-120.0</v>
      </c>
      <c r="F855" s="258">
        <v>112.3483</v>
      </c>
      <c r="G855" s="259">
        <v>13469.67</v>
      </c>
      <c r="H855" s="236" t="s">
        <v>1104</v>
      </c>
      <c r="I855" s="235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5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 ht="1.5" customHeight="1">
      <c r="A856" s="184">
        <v>42845.0</v>
      </c>
      <c r="B856" s="19" t="s">
        <v>186</v>
      </c>
      <c r="C856" s="49" t="s">
        <v>189</v>
      </c>
      <c r="D856" s="19" t="s">
        <v>329</v>
      </c>
      <c r="E856" s="19"/>
      <c r="F856" s="232"/>
      <c r="G856" s="233">
        <v>4.9</v>
      </c>
      <c r="H856" s="236" t="s">
        <v>1105</v>
      </c>
      <c r="I856" s="235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5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4">
        <v>42836.0</v>
      </c>
      <c r="B857" s="19" t="s">
        <v>192</v>
      </c>
      <c r="C857" s="49" t="s">
        <v>195</v>
      </c>
      <c r="D857" s="19" t="s">
        <v>329</v>
      </c>
      <c r="E857" s="19"/>
      <c r="F857" s="232"/>
      <c r="G857" s="233">
        <v>56.77</v>
      </c>
      <c r="H857" s="236" t="s">
        <v>1106</v>
      </c>
      <c r="I857" s="235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5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 ht="1.5" customHeight="1">
      <c r="A858" s="184">
        <v>42835.0</v>
      </c>
      <c r="B858" s="19" t="s">
        <v>196</v>
      </c>
      <c r="C858" s="49" t="s">
        <v>199</v>
      </c>
      <c r="D858" s="19" t="s">
        <v>329</v>
      </c>
      <c r="E858" s="19"/>
      <c r="F858" s="232"/>
      <c r="G858" s="233">
        <v>29.55</v>
      </c>
      <c r="H858" s="236" t="s">
        <v>1107</v>
      </c>
      <c r="I858" s="235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5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 ht="1.5" customHeight="1">
      <c r="A859" s="184">
        <v>42829.0</v>
      </c>
      <c r="B859" s="171"/>
      <c r="C859" s="261"/>
      <c r="D859" s="19" t="s">
        <v>325</v>
      </c>
      <c r="E859" s="171"/>
      <c r="F859" s="232"/>
      <c r="G859" s="233">
        <v>-0.16</v>
      </c>
      <c r="H859" s="236" t="s">
        <v>1108</v>
      </c>
      <c r="I859" s="235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5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 ht="1.5" customHeight="1">
      <c r="A860" s="184">
        <v>42803.0</v>
      </c>
      <c r="B860" s="19" t="s">
        <v>186</v>
      </c>
      <c r="C860" s="49" t="s">
        <v>189</v>
      </c>
      <c r="D860" s="19" t="s">
        <v>329</v>
      </c>
      <c r="E860" s="19"/>
      <c r="F860" s="232"/>
      <c r="G860" s="233">
        <v>4.5</v>
      </c>
      <c r="H860" s="236" t="s">
        <v>1109</v>
      </c>
      <c r="I860" s="235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5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4">
        <v>42787.0</v>
      </c>
      <c r="B861" s="19" t="s">
        <v>192</v>
      </c>
      <c r="C861" s="49" t="s">
        <v>195</v>
      </c>
      <c r="D861" s="19" t="s">
        <v>308</v>
      </c>
      <c r="E861" s="19">
        <v>23.0</v>
      </c>
      <c r="F861" s="232">
        <v>105.6173</v>
      </c>
      <c r="G861" s="233">
        <v>-2437.7</v>
      </c>
      <c r="H861" s="236" t="s">
        <v>1110</v>
      </c>
      <c r="I861" s="235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5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4">
        <v>42787.0</v>
      </c>
      <c r="B862" s="19" t="s">
        <v>196</v>
      </c>
      <c r="C862" s="49" t="s">
        <v>199</v>
      </c>
      <c r="D862" s="19" t="s">
        <v>309</v>
      </c>
      <c r="E862" s="19">
        <v>-16.0</v>
      </c>
      <c r="F862" s="232">
        <v>114.4055</v>
      </c>
      <c r="G862" s="233">
        <v>1821.99</v>
      </c>
      <c r="H862" s="236" t="s">
        <v>1111</v>
      </c>
      <c r="I862" s="235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5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4">
        <v>42776.0</v>
      </c>
      <c r="B863" s="19" t="s">
        <v>186</v>
      </c>
      <c r="C863" s="49" t="s">
        <v>189</v>
      </c>
      <c r="D863" s="19" t="s">
        <v>329</v>
      </c>
      <c r="E863" s="19"/>
      <c r="F863" s="232"/>
      <c r="G863" s="233">
        <v>4.87</v>
      </c>
      <c r="H863" s="236" t="s">
        <v>1112</v>
      </c>
      <c r="I863" s="235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35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4">
        <v>42739.0</v>
      </c>
      <c r="B864" s="171"/>
      <c r="C864" s="261"/>
      <c r="D864" s="19" t="s">
        <v>325</v>
      </c>
      <c r="E864" s="171"/>
      <c r="F864" s="232"/>
      <c r="G864" s="233">
        <v>-0.18</v>
      </c>
      <c r="H864" s="236" t="s">
        <v>1113</v>
      </c>
      <c r="I864" s="235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5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4">
        <v>42738.0</v>
      </c>
      <c r="B865" s="19" t="s">
        <v>186</v>
      </c>
      <c r="C865" s="49" t="s">
        <v>189</v>
      </c>
      <c r="D865" s="19" t="s">
        <v>329</v>
      </c>
      <c r="E865" s="19"/>
      <c r="F865" s="232"/>
      <c r="G865" s="233">
        <v>5.12</v>
      </c>
      <c r="H865" s="236" t="s">
        <v>1114</v>
      </c>
      <c r="I865" s="235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5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4">
        <v>42737.0</v>
      </c>
      <c r="B866" s="19" t="s">
        <v>192</v>
      </c>
      <c r="C866" s="49" t="s">
        <v>195</v>
      </c>
      <c r="D866" s="19" t="s">
        <v>329</v>
      </c>
      <c r="E866" s="19"/>
      <c r="F866" s="232"/>
      <c r="G866" s="233">
        <v>2.51</v>
      </c>
      <c r="H866" s="236" t="s">
        <v>1115</v>
      </c>
      <c r="I866" s="235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5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4">
        <v>42737.0</v>
      </c>
      <c r="B867" s="19" t="s">
        <v>192</v>
      </c>
      <c r="C867" s="49" t="s">
        <v>195</v>
      </c>
      <c r="D867" s="19" t="s">
        <v>329</v>
      </c>
      <c r="E867" s="19"/>
      <c r="F867" s="232"/>
      <c r="G867" s="233">
        <v>230.23</v>
      </c>
      <c r="H867" s="236" t="s">
        <v>1116</v>
      </c>
      <c r="I867" s="235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5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4">
        <v>42733.0</v>
      </c>
      <c r="B868" s="19" t="s">
        <v>192</v>
      </c>
      <c r="C868" s="49" t="s">
        <v>195</v>
      </c>
      <c r="D868" s="19" t="s">
        <v>329</v>
      </c>
      <c r="E868" s="19"/>
      <c r="F868" s="232"/>
      <c r="G868" s="233">
        <v>71.1</v>
      </c>
      <c r="H868" s="236" t="s">
        <v>1117</v>
      </c>
      <c r="I868" s="235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5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4">
        <v>42733.0</v>
      </c>
      <c r="B869" s="19" t="s">
        <v>196</v>
      </c>
      <c r="C869" s="49" t="s">
        <v>199</v>
      </c>
      <c r="D869" s="19" t="s">
        <v>329</v>
      </c>
      <c r="E869" s="19"/>
      <c r="F869" s="232"/>
      <c r="G869" s="233">
        <v>46.16</v>
      </c>
      <c r="H869" s="236" t="s">
        <v>1118</v>
      </c>
      <c r="I869" s="235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5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4">
        <v>42713.0</v>
      </c>
      <c r="B870" s="19" t="s">
        <v>186</v>
      </c>
      <c r="C870" s="49" t="s">
        <v>189</v>
      </c>
      <c r="D870" s="19" t="s">
        <v>329</v>
      </c>
      <c r="E870" s="19"/>
      <c r="F870" s="232"/>
      <c r="G870" s="233">
        <v>4.57</v>
      </c>
      <c r="H870" s="236" t="s">
        <v>1119</v>
      </c>
      <c r="I870" s="235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5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4">
        <v>42683.0</v>
      </c>
      <c r="B871" s="19" t="s">
        <v>186</v>
      </c>
      <c r="C871" s="49" t="s">
        <v>189</v>
      </c>
      <c r="D871" s="19" t="s">
        <v>329</v>
      </c>
      <c r="E871" s="19"/>
      <c r="F871" s="232"/>
      <c r="G871" s="233">
        <v>4.57</v>
      </c>
      <c r="H871" s="236" t="s">
        <v>1119</v>
      </c>
      <c r="I871" s="235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5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4">
        <v>42653.0</v>
      </c>
      <c r="B872" s="171"/>
      <c r="C872" s="261"/>
      <c r="D872" s="262" t="s">
        <v>325</v>
      </c>
      <c r="E872" s="171"/>
      <c r="F872" s="232"/>
      <c r="G872" s="233">
        <v>-0.16</v>
      </c>
      <c r="H872" s="236" t="s">
        <v>1108</v>
      </c>
      <c r="I872" s="235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5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4">
        <v>42644.0</v>
      </c>
      <c r="B873" s="19" t="s">
        <v>186</v>
      </c>
      <c r="C873" s="49" t="s">
        <v>189</v>
      </c>
      <c r="D873" s="19" t="s">
        <v>329</v>
      </c>
      <c r="E873" s="19"/>
      <c r="F873" s="232"/>
      <c r="G873" s="233">
        <v>4.4</v>
      </c>
      <c r="H873" s="236" t="s">
        <v>1120</v>
      </c>
      <c r="I873" s="235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5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4">
        <v>42641.0</v>
      </c>
      <c r="B874" s="19" t="s">
        <v>192</v>
      </c>
      <c r="C874" s="49" t="s">
        <v>195</v>
      </c>
      <c r="D874" s="19" t="s">
        <v>329</v>
      </c>
      <c r="E874" s="19"/>
      <c r="F874" s="232"/>
      <c r="G874" s="233">
        <v>58.66</v>
      </c>
      <c r="H874" s="236" t="s">
        <v>1121</v>
      </c>
      <c r="I874" s="235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5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4">
        <v>42634.0</v>
      </c>
      <c r="B875" s="19" t="s">
        <v>196</v>
      </c>
      <c r="C875" s="49" t="s">
        <v>199</v>
      </c>
      <c r="D875" s="19" t="s">
        <v>329</v>
      </c>
      <c r="E875" s="19"/>
      <c r="F875" s="232"/>
      <c r="G875" s="233">
        <v>31.85</v>
      </c>
      <c r="H875" s="236" t="s">
        <v>1122</v>
      </c>
      <c r="I875" s="235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5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4">
        <v>42632.0</v>
      </c>
      <c r="B876" s="19" t="s">
        <v>186</v>
      </c>
      <c r="C876" s="49" t="s">
        <v>189</v>
      </c>
      <c r="D876" s="19" t="s">
        <v>329</v>
      </c>
      <c r="E876" s="19"/>
      <c r="F876" s="232"/>
      <c r="G876" s="233">
        <v>3.31</v>
      </c>
      <c r="H876" s="236" t="s">
        <v>1123</v>
      </c>
      <c r="I876" s="235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5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4">
        <v>42632.0</v>
      </c>
      <c r="B877" s="19" t="s">
        <v>192</v>
      </c>
      <c r="C877" s="49" t="s">
        <v>195</v>
      </c>
      <c r="D877" s="19" t="s">
        <v>329</v>
      </c>
      <c r="E877" s="19"/>
      <c r="F877" s="232"/>
      <c r="G877" s="233">
        <v>21.31</v>
      </c>
      <c r="H877" s="236" t="s">
        <v>1124</v>
      </c>
      <c r="I877" s="235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5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4">
        <v>42625.0</v>
      </c>
      <c r="B878" s="19" t="s">
        <v>186</v>
      </c>
      <c r="C878" s="49" t="s">
        <v>189</v>
      </c>
      <c r="D878" s="19" t="s">
        <v>329</v>
      </c>
      <c r="E878" s="19"/>
      <c r="F878" s="232"/>
      <c r="G878" s="233">
        <v>4.53</v>
      </c>
      <c r="H878" s="236" t="s">
        <v>1125</v>
      </c>
      <c r="I878" s="235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5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4">
        <v>42605.0</v>
      </c>
      <c r="B879" s="19" t="s">
        <v>186</v>
      </c>
      <c r="C879" s="49" t="s">
        <v>189</v>
      </c>
      <c r="D879" s="19" t="s">
        <v>329</v>
      </c>
      <c r="E879" s="19"/>
      <c r="F879" s="232"/>
      <c r="G879" s="233">
        <v>4.7</v>
      </c>
      <c r="H879" s="236" t="s">
        <v>1126</v>
      </c>
      <c r="I879" s="235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5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4">
        <v>42563.0</v>
      </c>
      <c r="B880" s="19" t="s">
        <v>186</v>
      </c>
      <c r="C880" s="49" t="s">
        <v>189</v>
      </c>
      <c r="D880" s="19" t="s">
        <v>329</v>
      </c>
      <c r="E880" s="19"/>
      <c r="F880" s="232"/>
      <c r="G880" s="233">
        <v>4.69</v>
      </c>
      <c r="H880" s="236" t="s">
        <v>1127</v>
      </c>
      <c r="I880" s="235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5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4">
        <v>42557.0</v>
      </c>
      <c r="B881" s="171"/>
      <c r="C881" s="261"/>
      <c r="D881" s="262" t="s">
        <v>325</v>
      </c>
      <c r="E881" s="171"/>
      <c r="F881" s="232"/>
      <c r="G881" s="233">
        <v>-0.17</v>
      </c>
      <c r="H881" s="236" t="s">
        <v>1128</v>
      </c>
      <c r="I881" s="235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5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4">
        <v>42551.0</v>
      </c>
      <c r="B882" s="19" t="s">
        <v>196</v>
      </c>
      <c r="C882" s="49" t="s">
        <v>199</v>
      </c>
      <c r="D882" s="19" t="s">
        <v>329</v>
      </c>
      <c r="E882" s="19"/>
      <c r="F882" s="232"/>
      <c r="G882" s="233">
        <v>27.41</v>
      </c>
      <c r="H882" s="236" t="s">
        <v>1129</v>
      </c>
      <c r="I882" s="235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5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4">
        <v>42550.0</v>
      </c>
      <c r="B883" s="19" t="s">
        <v>192</v>
      </c>
      <c r="C883" s="49" t="s">
        <v>195</v>
      </c>
      <c r="D883" s="19" t="s">
        <v>329</v>
      </c>
      <c r="E883" s="19"/>
      <c r="F883" s="232"/>
      <c r="G883" s="233">
        <v>56.25</v>
      </c>
      <c r="H883" s="236" t="s">
        <v>1130</v>
      </c>
      <c r="I883" s="235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5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4">
        <v>42536.0</v>
      </c>
      <c r="B884" s="19" t="s">
        <v>186</v>
      </c>
      <c r="C884" s="49" t="s">
        <v>189</v>
      </c>
      <c r="D884" s="19" t="s">
        <v>329</v>
      </c>
      <c r="E884" s="19"/>
      <c r="F884" s="232"/>
      <c r="G884" s="233">
        <v>4.72</v>
      </c>
      <c r="H884" s="236" t="s">
        <v>1131</v>
      </c>
      <c r="I884" s="235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5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4">
        <v>42501.0</v>
      </c>
      <c r="B885" s="19" t="s">
        <v>186</v>
      </c>
      <c r="C885" s="49" t="s">
        <v>189</v>
      </c>
      <c r="D885" s="19" t="s">
        <v>329</v>
      </c>
      <c r="E885" s="19"/>
      <c r="F885" s="232"/>
      <c r="G885" s="233">
        <v>4.65</v>
      </c>
      <c r="H885" s="236" t="s">
        <v>1132</v>
      </c>
      <c r="I885" s="235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5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4">
        <v>42478.0</v>
      </c>
      <c r="B886" s="229"/>
      <c r="C886" s="229"/>
      <c r="D886" s="229" t="s">
        <v>325</v>
      </c>
      <c r="E886" s="238"/>
      <c r="F886" s="239"/>
      <c r="G886" s="233">
        <v>6.89</v>
      </c>
      <c r="H886" s="237" t="s">
        <v>1133</v>
      </c>
      <c r="I886" s="235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5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4">
        <v>42478.0</v>
      </c>
      <c r="B887" s="19" t="s">
        <v>186</v>
      </c>
      <c r="C887" s="49" t="s">
        <v>189</v>
      </c>
      <c r="D887" s="19" t="s">
        <v>308</v>
      </c>
      <c r="E887" s="19">
        <v>11.0</v>
      </c>
      <c r="F887" s="232">
        <v>97.7077</v>
      </c>
      <c r="G887" s="233">
        <v>-1083.28</v>
      </c>
      <c r="H887" s="236" t="s">
        <v>1134</v>
      </c>
      <c r="I887" s="235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5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4">
        <v>42478.0</v>
      </c>
      <c r="B888" s="19" t="s">
        <v>192</v>
      </c>
      <c r="C888" s="49" t="s">
        <v>195</v>
      </c>
      <c r="D888" s="19" t="s">
        <v>308</v>
      </c>
      <c r="E888" s="19">
        <v>19.0</v>
      </c>
      <c r="F888" s="232">
        <v>112.6586</v>
      </c>
      <c r="G888" s="233">
        <v>-2149.01</v>
      </c>
      <c r="H888" s="236" t="s">
        <v>1135</v>
      </c>
      <c r="I888" s="235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5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4">
        <v>42478.0</v>
      </c>
      <c r="B889" s="19" t="s">
        <v>196</v>
      </c>
      <c r="C889" s="49" t="s">
        <v>199</v>
      </c>
      <c r="D889" s="19" t="s">
        <v>308</v>
      </c>
      <c r="E889" s="19">
        <v>21.0</v>
      </c>
      <c r="F889" s="232">
        <v>94.3352</v>
      </c>
      <c r="G889" s="233">
        <v>-1989.54</v>
      </c>
      <c r="H889" s="236" t="s">
        <v>1136</v>
      </c>
      <c r="I889" s="235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5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4">
        <v>42471.0</v>
      </c>
      <c r="B890" s="19" t="s">
        <v>186</v>
      </c>
      <c r="C890" s="49" t="s">
        <v>189</v>
      </c>
      <c r="D890" s="19" t="s">
        <v>329</v>
      </c>
      <c r="E890" s="19"/>
      <c r="F890" s="232"/>
      <c r="G890" s="233">
        <v>4.08</v>
      </c>
      <c r="H890" s="236" t="s">
        <v>1137</v>
      </c>
      <c r="I890" s="235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5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4">
        <v>42459.0</v>
      </c>
      <c r="B891" s="19" t="s">
        <v>192</v>
      </c>
      <c r="C891" s="49" t="s">
        <v>195</v>
      </c>
      <c r="D891" s="19" t="s">
        <v>329</v>
      </c>
      <c r="E891" s="19"/>
      <c r="F891" s="232"/>
      <c r="G891" s="233">
        <v>41.4</v>
      </c>
      <c r="H891" s="236" t="s">
        <v>1138</v>
      </c>
      <c r="I891" s="235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5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4">
        <v>42452.0</v>
      </c>
      <c r="B892" s="19" t="s">
        <v>196</v>
      </c>
      <c r="C892" s="49" t="s">
        <v>199</v>
      </c>
      <c r="D892" s="19" t="s">
        <v>329</v>
      </c>
      <c r="E892" s="19"/>
      <c r="F892" s="232"/>
      <c r="G892" s="233">
        <v>23.94</v>
      </c>
      <c r="H892" s="236" t="s">
        <v>1139</v>
      </c>
      <c r="I892" s="235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5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4">
        <v>42437.0</v>
      </c>
      <c r="B893" s="19" t="s">
        <v>186</v>
      </c>
      <c r="C893" s="49" t="s">
        <v>189</v>
      </c>
      <c r="D893" s="19" t="s">
        <v>329</v>
      </c>
      <c r="E893" s="19"/>
      <c r="F893" s="232"/>
      <c r="G893" s="233">
        <v>3.92</v>
      </c>
      <c r="H893" s="236" t="s">
        <v>1140</v>
      </c>
      <c r="I893" s="235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5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4">
        <v>42409.0</v>
      </c>
      <c r="B894" s="19" t="s">
        <v>186</v>
      </c>
      <c r="C894" s="49" t="s">
        <v>189</v>
      </c>
      <c r="D894" s="19" t="s">
        <v>329</v>
      </c>
      <c r="E894" s="19"/>
      <c r="F894" s="232"/>
      <c r="G894" s="233">
        <v>3.92</v>
      </c>
      <c r="H894" s="236" t="s">
        <v>1140</v>
      </c>
      <c r="I894" s="235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5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4">
        <v>42375.0</v>
      </c>
      <c r="B895" s="171"/>
      <c r="C895" s="261"/>
      <c r="D895" s="262" t="s">
        <v>325</v>
      </c>
      <c r="E895" s="171"/>
      <c r="F895" s="232"/>
      <c r="G895" s="233">
        <v>-0.22</v>
      </c>
      <c r="H895" s="236" t="s">
        <v>1141</v>
      </c>
      <c r="I895" s="235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5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4">
        <v>42374.0</v>
      </c>
      <c r="B896" s="19" t="s">
        <v>196</v>
      </c>
      <c r="C896" s="49" t="s">
        <v>199</v>
      </c>
      <c r="D896" s="19" t="s">
        <v>329</v>
      </c>
      <c r="E896" s="19"/>
      <c r="F896" s="232"/>
      <c r="G896" s="233">
        <v>29.75</v>
      </c>
      <c r="H896" s="236" t="s">
        <v>1142</v>
      </c>
      <c r="I896" s="235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5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4">
        <v>42374.0</v>
      </c>
      <c r="B897" s="19" t="s">
        <v>186</v>
      </c>
      <c r="C897" s="49" t="s">
        <v>189</v>
      </c>
      <c r="D897" s="19" t="s">
        <v>329</v>
      </c>
      <c r="E897" s="19"/>
      <c r="F897" s="232"/>
      <c r="G897" s="233">
        <v>4.14</v>
      </c>
      <c r="H897" s="236" t="s">
        <v>1143</v>
      </c>
      <c r="I897" s="235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5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4">
        <v>42373.0</v>
      </c>
      <c r="B898" s="19" t="s">
        <v>192</v>
      </c>
      <c r="C898" s="49" t="s">
        <v>195</v>
      </c>
      <c r="D898" s="19" t="s">
        <v>329</v>
      </c>
      <c r="E898" s="19"/>
      <c r="F898" s="232"/>
      <c r="G898" s="233">
        <v>61.86</v>
      </c>
      <c r="H898" s="236" t="s">
        <v>1144</v>
      </c>
      <c r="I898" s="235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5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4">
        <v>42373.0</v>
      </c>
      <c r="B899" s="19" t="s">
        <v>192</v>
      </c>
      <c r="C899" s="49" t="s">
        <v>195</v>
      </c>
      <c r="D899" s="19" t="s">
        <v>329</v>
      </c>
      <c r="E899" s="19"/>
      <c r="F899" s="232"/>
      <c r="G899" s="233">
        <v>1.85</v>
      </c>
      <c r="H899" s="236" t="s">
        <v>1145</v>
      </c>
      <c r="I899" s="235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5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4">
        <v>42373.0</v>
      </c>
      <c r="B900" s="19" t="s">
        <v>192</v>
      </c>
      <c r="C900" s="49" t="s">
        <v>195</v>
      </c>
      <c r="D900" s="19" t="s">
        <v>329</v>
      </c>
      <c r="E900" s="19"/>
      <c r="F900" s="232"/>
      <c r="G900" s="233">
        <v>87.38</v>
      </c>
      <c r="H900" s="236" t="s">
        <v>1146</v>
      </c>
      <c r="I900" s="235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5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4">
        <v>42348.0</v>
      </c>
      <c r="B901" s="19" t="s">
        <v>192</v>
      </c>
      <c r="C901" s="49" t="s">
        <v>195</v>
      </c>
      <c r="D901" s="19" t="s">
        <v>308</v>
      </c>
      <c r="E901" s="19">
        <v>1.0</v>
      </c>
      <c r="F901" s="232">
        <v>107.2959</v>
      </c>
      <c r="G901" s="233">
        <v>-115.8</v>
      </c>
      <c r="H901" s="236" t="s">
        <v>1147</v>
      </c>
      <c r="I901" s="235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5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4">
        <v>42348.0</v>
      </c>
      <c r="B902" s="19" t="s">
        <v>196</v>
      </c>
      <c r="C902" s="49" t="s">
        <v>199</v>
      </c>
      <c r="D902" s="19" t="s">
        <v>308</v>
      </c>
      <c r="E902" s="19">
        <v>7.0</v>
      </c>
      <c r="F902" s="232">
        <v>96.1932</v>
      </c>
      <c r="G902" s="233">
        <v>-681.85</v>
      </c>
      <c r="H902" s="236" t="s">
        <v>1148</v>
      </c>
      <c r="I902" s="235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5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4">
        <v>42348.0</v>
      </c>
      <c r="B903" s="19" t="s">
        <v>182</v>
      </c>
      <c r="C903" s="49" t="s">
        <v>185</v>
      </c>
      <c r="D903" s="19" t="s">
        <v>308</v>
      </c>
      <c r="E903" s="19">
        <v>17.0</v>
      </c>
      <c r="F903" s="232">
        <v>9.4474</v>
      </c>
      <c r="G903" s="233">
        <v>-169.11</v>
      </c>
      <c r="H903" s="236" t="s">
        <v>1149</v>
      </c>
      <c r="I903" s="235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5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4">
        <v>42348.0</v>
      </c>
      <c r="B904" s="19" t="s">
        <v>186</v>
      </c>
      <c r="C904" s="49" t="s">
        <v>189</v>
      </c>
      <c r="D904" s="19" t="s">
        <v>308</v>
      </c>
      <c r="E904" s="19">
        <v>1.0</v>
      </c>
      <c r="F904" s="232">
        <v>97.2815</v>
      </c>
      <c r="G904" s="233">
        <v>-105.78</v>
      </c>
      <c r="H904" s="236" t="s">
        <v>1150</v>
      </c>
      <c r="I904" s="235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5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4">
        <v>42348.0</v>
      </c>
      <c r="B905" s="19" t="s">
        <v>177</v>
      </c>
      <c r="C905" s="49" t="s">
        <v>178</v>
      </c>
      <c r="D905" s="19" t="s">
        <v>308</v>
      </c>
      <c r="E905" s="19">
        <v>30.0</v>
      </c>
      <c r="F905" s="232">
        <v>13.1056</v>
      </c>
      <c r="G905" s="233">
        <v>-401.67</v>
      </c>
      <c r="H905" s="236" t="s">
        <v>1151</v>
      </c>
      <c r="I905" s="235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5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4">
        <v>42347.0</v>
      </c>
      <c r="B906" s="19" t="s">
        <v>186</v>
      </c>
      <c r="C906" s="49" t="s">
        <v>189</v>
      </c>
      <c r="D906" s="19" t="s">
        <v>329</v>
      </c>
      <c r="E906" s="19"/>
      <c r="F906" s="232"/>
      <c r="G906" s="233">
        <v>4.1</v>
      </c>
      <c r="H906" s="236" t="s">
        <v>1152</v>
      </c>
      <c r="I906" s="235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5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4">
        <v>42318.0</v>
      </c>
      <c r="B907" s="19" t="s">
        <v>186</v>
      </c>
      <c r="C907" s="49" t="s">
        <v>189</v>
      </c>
      <c r="D907" s="19" t="s">
        <v>329</v>
      </c>
      <c r="E907" s="19"/>
      <c r="F907" s="232"/>
      <c r="G907" s="233">
        <v>4.09</v>
      </c>
      <c r="H907" s="236" t="s">
        <v>1153</v>
      </c>
      <c r="I907" s="235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5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4">
        <v>42314.0</v>
      </c>
      <c r="B908" s="19" t="s">
        <v>196</v>
      </c>
      <c r="C908" s="49" t="s">
        <v>199</v>
      </c>
      <c r="D908" s="19" t="s">
        <v>308</v>
      </c>
      <c r="E908" s="19">
        <v>8.0</v>
      </c>
      <c r="F908" s="232">
        <v>98.96531</v>
      </c>
      <c r="G908" s="233">
        <v>-800.22</v>
      </c>
      <c r="H908" s="236" t="s">
        <v>1154</v>
      </c>
      <c r="I908" s="235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5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4">
        <v>42314.0</v>
      </c>
      <c r="B909" s="19" t="s">
        <v>192</v>
      </c>
      <c r="C909" s="49" t="s">
        <v>195</v>
      </c>
      <c r="D909" s="19" t="s">
        <v>308</v>
      </c>
      <c r="E909" s="19">
        <v>9.0</v>
      </c>
      <c r="F909" s="232">
        <v>104.23462</v>
      </c>
      <c r="G909" s="233">
        <v>-946.61</v>
      </c>
      <c r="H909" s="236" t="s">
        <v>1155</v>
      </c>
      <c r="I909" s="235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5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4">
        <v>42314.0</v>
      </c>
      <c r="B910" s="19" t="s">
        <v>177</v>
      </c>
      <c r="C910" s="49" t="s">
        <v>178</v>
      </c>
      <c r="D910" s="19" t="s">
        <v>308</v>
      </c>
      <c r="E910" s="19">
        <v>2.0</v>
      </c>
      <c r="F910" s="232">
        <v>14.30627</v>
      </c>
      <c r="G910" s="233">
        <v>-37.11</v>
      </c>
      <c r="H910" s="236" t="s">
        <v>1156</v>
      </c>
      <c r="I910" s="235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5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4">
        <v>42314.0</v>
      </c>
      <c r="B911" s="19" t="s">
        <v>182</v>
      </c>
      <c r="C911" s="49" t="s">
        <v>185</v>
      </c>
      <c r="D911" s="19" t="s">
        <v>308</v>
      </c>
      <c r="E911" s="19">
        <v>20.0</v>
      </c>
      <c r="F911" s="232">
        <v>9.70023</v>
      </c>
      <c r="G911" s="233">
        <v>-202.5</v>
      </c>
      <c r="H911" s="236" t="s">
        <v>1157</v>
      </c>
      <c r="I911" s="235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5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248">
        <v>42303.0</v>
      </c>
      <c r="B912" s="251" t="s">
        <v>182</v>
      </c>
      <c r="C912" s="263" t="s">
        <v>185</v>
      </c>
      <c r="D912" s="264" t="s">
        <v>308</v>
      </c>
      <c r="E912" s="251">
        <v>255.0</v>
      </c>
      <c r="F912" s="252">
        <v>10.2342</v>
      </c>
      <c r="G912" s="253">
        <v>-2618.23</v>
      </c>
      <c r="H912" s="236" t="s">
        <v>1158</v>
      </c>
      <c r="I912" s="235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5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248">
        <v>42303.0</v>
      </c>
      <c r="B913" s="251" t="s">
        <v>186</v>
      </c>
      <c r="C913" s="263" t="s">
        <v>189</v>
      </c>
      <c r="D913" s="264" t="s">
        <v>308</v>
      </c>
      <c r="E913" s="251">
        <v>55.0</v>
      </c>
      <c r="F913" s="252">
        <v>97.8714</v>
      </c>
      <c r="G913" s="253">
        <v>-5391.43</v>
      </c>
      <c r="H913" s="236" t="s">
        <v>1159</v>
      </c>
      <c r="I913" s="235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5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248">
        <v>42303.0</v>
      </c>
      <c r="B914" s="251" t="s">
        <v>177</v>
      </c>
      <c r="C914" s="263" t="s">
        <v>178</v>
      </c>
      <c r="D914" s="264" t="s">
        <v>308</v>
      </c>
      <c r="E914" s="251">
        <v>179.0</v>
      </c>
      <c r="F914" s="252">
        <v>14.3383</v>
      </c>
      <c r="G914" s="253">
        <v>-2575.06</v>
      </c>
      <c r="H914" s="236" t="s">
        <v>1160</v>
      </c>
      <c r="I914" s="235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5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248">
        <v>42303.0</v>
      </c>
      <c r="B915" s="251" t="s">
        <v>192</v>
      </c>
      <c r="C915" s="263" t="s">
        <v>195</v>
      </c>
      <c r="D915" s="264" t="s">
        <v>308</v>
      </c>
      <c r="E915" s="251">
        <v>127.0</v>
      </c>
      <c r="F915" s="252">
        <v>108.0799</v>
      </c>
      <c r="G915" s="253">
        <v>-13738.49</v>
      </c>
      <c r="H915" s="236" t="s">
        <v>1161</v>
      </c>
      <c r="I915" s="235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5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248">
        <v>42303.0</v>
      </c>
      <c r="B916" s="251" t="s">
        <v>196</v>
      </c>
      <c r="C916" s="263" t="s">
        <v>199</v>
      </c>
      <c r="D916" s="264" t="s">
        <v>308</v>
      </c>
      <c r="E916" s="251">
        <v>100.0</v>
      </c>
      <c r="F916" s="252">
        <v>95.7279</v>
      </c>
      <c r="G916" s="253">
        <v>-9581.29</v>
      </c>
      <c r="H916" s="236" t="s">
        <v>1162</v>
      </c>
      <c r="I916" s="235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5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4">
        <v>42302.0</v>
      </c>
      <c r="B917" s="19"/>
      <c r="C917" s="49" t="s">
        <v>1163</v>
      </c>
      <c r="D917" s="19" t="s">
        <v>309</v>
      </c>
      <c r="E917" s="19">
        <v>-117.0</v>
      </c>
      <c r="F917" s="232">
        <v>184.14</v>
      </c>
      <c r="G917" s="233">
        <v>21524.99</v>
      </c>
      <c r="H917" s="236" t="s">
        <v>1164</v>
      </c>
      <c r="I917" s="235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5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4">
        <v>42297.0</v>
      </c>
      <c r="B918" s="171"/>
      <c r="C918" s="261"/>
      <c r="D918" s="19" t="s">
        <v>332</v>
      </c>
      <c r="E918" s="171"/>
      <c r="F918" s="232"/>
      <c r="G918" s="233">
        <v>12000.0</v>
      </c>
      <c r="H918" s="236" t="s">
        <v>1165</v>
      </c>
      <c r="I918" s="235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5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4">
        <v>42297.0</v>
      </c>
      <c r="B919" s="171"/>
      <c r="C919" s="261"/>
      <c r="D919" s="19" t="s">
        <v>332</v>
      </c>
      <c r="E919" s="171"/>
      <c r="F919" s="232"/>
      <c r="G919" s="233">
        <v>30356.53</v>
      </c>
      <c r="H919" s="234" t="s">
        <v>1166</v>
      </c>
      <c r="I919" s="235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5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4">
        <v>42277.0</v>
      </c>
      <c r="B920" s="164"/>
      <c r="C920" s="164"/>
      <c r="D920" s="164" t="s">
        <v>332</v>
      </c>
      <c r="E920" s="265"/>
      <c r="F920" s="266"/>
      <c r="G920" s="233">
        <v>-30356.53</v>
      </c>
      <c r="H920" s="267" t="s">
        <v>1167</v>
      </c>
      <c r="I920" s="268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68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4">
        <v>42173.0</v>
      </c>
      <c r="B921" s="171"/>
      <c r="C921" s="261" t="s">
        <v>1163</v>
      </c>
      <c r="D921" s="19" t="s">
        <v>329</v>
      </c>
      <c r="E921" s="269"/>
      <c r="F921" s="232"/>
      <c r="G921" s="233">
        <v>684.3</v>
      </c>
      <c r="H921" s="236" t="s">
        <v>1168</v>
      </c>
      <c r="I921" s="235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5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4">
        <v>41983.0</v>
      </c>
      <c r="B922" s="19"/>
      <c r="C922" s="49" t="s">
        <v>1163</v>
      </c>
      <c r="D922" s="19" t="s">
        <v>309</v>
      </c>
      <c r="E922" s="19">
        <v>-21.0</v>
      </c>
      <c r="F922" s="232">
        <v>305.05</v>
      </c>
      <c r="G922" s="233">
        <v>6400.28</v>
      </c>
      <c r="H922" s="236" t="s">
        <v>1169</v>
      </c>
      <c r="I922" s="235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5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4">
        <v>41982.0</v>
      </c>
      <c r="B923" s="171"/>
      <c r="C923" s="261"/>
      <c r="D923" s="19" t="s">
        <v>325</v>
      </c>
      <c r="E923" s="171"/>
      <c r="F923" s="232"/>
      <c r="G923" s="233">
        <v>-6.0</v>
      </c>
      <c r="H923" s="236" t="s">
        <v>1097</v>
      </c>
      <c r="I923" s="235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5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4">
        <v>41981.0</v>
      </c>
      <c r="B924" s="171"/>
      <c r="C924" s="261"/>
      <c r="D924" s="19" t="s">
        <v>332</v>
      </c>
      <c r="E924" s="171"/>
      <c r="F924" s="232"/>
      <c r="G924" s="233">
        <v>-13500.0</v>
      </c>
      <c r="H924" s="236" t="s">
        <v>1170</v>
      </c>
      <c r="I924" s="235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5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4">
        <v>41981.0</v>
      </c>
      <c r="B925" s="171"/>
      <c r="C925" s="261"/>
      <c r="D925" s="19" t="s">
        <v>332</v>
      </c>
      <c r="E925" s="171"/>
      <c r="F925" s="232"/>
      <c r="G925" s="233">
        <v>7020.41</v>
      </c>
      <c r="H925" s="236" t="s">
        <v>1171</v>
      </c>
      <c r="I925" s="235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5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4">
        <v>41933.0</v>
      </c>
      <c r="B926" s="171"/>
      <c r="C926" s="261" t="s">
        <v>1163</v>
      </c>
      <c r="D926" s="19" t="s">
        <v>308</v>
      </c>
      <c r="E926" s="17">
        <v>38.0</v>
      </c>
      <c r="F926" s="232">
        <v>346.34</v>
      </c>
      <c r="G926" s="233">
        <v>-13172.76</v>
      </c>
      <c r="H926" s="236" t="s">
        <v>1172</v>
      </c>
      <c r="I926" s="235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5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4">
        <v>41887.0</v>
      </c>
      <c r="C927" s="57" t="s">
        <v>1173</v>
      </c>
      <c r="D927" s="19" t="s">
        <v>309</v>
      </c>
      <c r="E927" s="17">
        <v>-525.0</v>
      </c>
      <c r="F927" s="232">
        <v>25.3755</v>
      </c>
      <c r="G927" s="233">
        <v>13310.15</v>
      </c>
      <c r="H927" s="236" t="s">
        <v>1174</v>
      </c>
      <c r="I927" s="235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5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4">
        <v>41821.0</v>
      </c>
      <c r="B928" s="270"/>
      <c r="C928" s="271" t="s">
        <v>1173</v>
      </c>
      <c r="D928" s="229" t="s">
        <v>325</v>
      </c>
      <c r="E928" s="17"/>
      <c r="F928" s="232"/>
      <c r="G928" s="233">
        <v>-24.17</v>
      </c>
      <c r="H928" s="236" t="s">
        <v>1175</v>
      </c>
      <c r="I928" s="235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5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4">
        <v>41821.0</v>
      </c>
      <c r="C929" s="57" t="s">
        <v>1173</v>
      </c>
      <c r="D929" s="19" t="s">
        <v>308</v>
      </c>
      <c r="E929" s="19">
        <v>525.0</v>
      </c>
      <c r="F929" s="232">
        <v>23.02</v>
      </c>
      <c r="G929" s="233">
        <v>-12096.38</v>
      </c>
      <c r="H929" s="236" t="s">
        <v>1176</v>
      </c>
      <c r="I929" s="235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5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4">
        <v>41816.0</v>
      </c>
      <c r="C930" s="57" t="s">
        <v>1177</v>
      </c>
      <c r="D930" s="19" t="s">
        <v>309</v>
      </c>
      <c r="E930" s="17">
        <v>-345.0</v>
      </c>
      <c r="F930" s="232">
        <v>31.1974</v>
      </c>
      <c r="G930" s="233">
        <v>10753.41</v>
      </c>
      <c r="H930" s="236" t="s">
        <v>1178</v>
      </c>
      <c r="I930" s="235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5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4">
        <v>41809.0</v>
      </c>
      <c r="B931" s="171"/>
      <c r="C931" s="261" t="s">
        <v>1163</v>
      </c>
      <c r="D931" s="19" t="s">
        <v>329</v>
      </c>
      <c r="E931" s="17"/>
      <c r="F931" s="232"/>
      <c r="G931" s="233">
        <v>1586.91</v>
      </c>
      <c r="H931" s="236" t="s">
        <v>1179</v>
      </c>
      <c r="I931" s="235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5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4">
        <v>41794.0</v>
      </c>
      <c r="C932" s="57" t="s">
        <v>1177</v>
      </c>
      <c r="D932" s="19" t="s">
        <v>329</v>
      </c>
      <c r="E932" s="17"/>
      <c r="F932" s="232"/>
      <c r="G932" s="233">
        <v>330.2</v>
      </c>
      <c r="H932" s="236" t="s">
        <v>1180</v>
      </c>
      <c r="I932" s="235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5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4">
        <v>41764.0</v>
      </c>
      <c r="C933" s="57" t="s">
        <v>1177</v>
      </c>
      <c r="D933" s="262" t="s">
        <v>325</v>
      </c>
      <c r="E933" s="17">
        <v>20.0</v>
      </c>
      <c r="F933" s="232">
        <v>25.21</v>
      </c>
      <c r="G933" s="233">
        <v>0.0</v>
      </c>
      <c r="H933" s="236" t="s">
        <v>1181</v>
      </c>
      <c r="I933" s="235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5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4">
        <v>41764.0</v>
      </c>
      <c r="B934" s="19"/>
      <c r="C934" s="49" t="s">
        <v>1177</v>
      </c>
      <c r="D934" s="262" t="s">
        <v>325</v>
      </c>
      <c r="E934" s="17"/>
      <c r="F934" s="232"/>
      <c r="G934" s="233">
        <v>-504.2</v>
      </c>
      <c r="H934" s="236" t="s">
        <v>1182</v>
      </c>
      <c r="I934" s="235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5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4">
        <v>41746.0</v>
      </c>
      <c r="C935" s="57" t="s">
        <v>1177</v>
      </c>
      <c r="D935" s="19" t="s">
        <v>308</v>
      </c>
      <c r="E935" s="17">
        <v>325.0</v>
      </c>
      <c r="F935" s="232">
        <v>29.205</v>
      </c>
      <c r="G935" s="233">
        <v>-9500.17</v>
      </c>
      <c r="H935" s="236" t="s">
        <v>1183</v>
      </c>
      <c r="I935" s="235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5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4">
        <v>41746.0</v>
      </c>
      <c r="B936" s="19"/>
      <c r="C936" s="49" t="s">
        <v>1177</v>
      </c>
      <c r="D936" s="262" t="s">
        <v>325</v>
      </c>
      <c r="E936" s="17"/>
      <c r="F936" s="232"/>
      <c r="G936" s="233">
        <v>-18.98</v>
      </c>
      <c r="H936" s="236" t="s">
        <v>1184</v>
      </c>
      <c r="I936" s="235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5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4">
        <v>41744.0</v>
      </c>
      <c r="B937" s="171"/>
      <c r="C937" s="261"/>
      <c r="D937" s="19" t="s">
        <v>332</v>
      </c>
      <c r="E937" s="171"/>
      <c r="F937" s="232"/>
      <c r="G937" s="233">
        <v>7979.59</v>
      </c>
      <c r="H937" s="236" t="s">
        <v>1185</v>
      </c>
      <c r="I937" s="235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5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4">
        <v>41743.0</v>
      </c>
      <c r="B938" s="171"/>
      <c r="C938" s="261" t="s">
        <v>1163</v>
      </c>
      <c r="D938" s="19" t="s">
        <v>308</v>
      </c>
      <c r="E938" s="17">
        <v>100.0</v>
      </c>
      <c r="F938" s="232">
        <v>411.5</v>
      </c>
      <c r="G938" s="233">
        <v>-41162.0</v>
      </c>
      <c r="H938" s="236" t="s">
        <v>1186</v>
      </c>
      <c r="I938" s="235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5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4">
        <v>41722.0</v>
      </c>
      <c r="C939" s="57" t="s">
        <v>1187</v>
      </c>
      <c r="D939" s="19" t="s">
        <v>309</v>
      </c>
      <c r="E939" s="19">
        <v>-580.0</v>
      </c>
      <c r="F939" s="232">
        <v>73.2</v>
      </c>
      <c r="G939" s="233">
        <v>42444.0</v>
      </c>
      <c r="H939" s="236" t="s">
        <v>1188</v>
      </c>
      <c r="I939" s="235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5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4">
        <v>41599.0</v>
      </c>
      <c r="C940" s="57" t="s">
        <v>1187</v>
      </c>
      <c r="D940" s="19" t="s">
        <v>308</v>
      </c>
      <c r="E940" s="17">
        <v>580.0</v>
      </c>
      <c r="F940" s="232">
        <v>74.2</v>
      </c>
      <c r="G940" s="233">
        <v>-43048.0</v>
      </c>
      <c r="H940" s="236" t="s">
        <v>1189</v>
      </c>
      <c r="I940" s="235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5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4">
        <v>41599.0</v>
      </c>
      <c r="B941" s="19"/>
      <c r="C941" s="49" t="s">
        <v>1187</v>
      </c>
      <c r="D941" s="262" t="s">
        <v>325</v>
      </c>
      <c r="E941" s="17"/>
      <c r="F941" s="232"/>
      <c r="G941" s="233">
        <v>-86.07</v>
      </c>
      <c r="H941" s="236" t="s">
        <v>1190</v>
      </c>
      <c r="I941" s="235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5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4">
        <v>41599.0</v>
      </c>
      <c r="C942" s="57" t="s">
        <v>1191</v>
      </c>
      <c r="D942" s="19" t="s">
        <v>309</v>
      </c>
      <c r="E942" s="17">
        <v>-7300.0</v>
      </c>
      <c r="F942" s="232">
        <v>5.873</v>
      </c>
      <c r="G942" s="233">
        <v>42860.9</v>
      </c>
      <c r="H942" s="236" t="s">
        <v>1192</v>
      </c>
      <c r="I942" s="235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5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4">
        <v>41571.0</v>
      </c>
      <c r="C943" s="57" t="s">
        <v>1191</v>
      </c>
      <c r="D943" s="19" t="s">
        <v>308</v>
      </c>
      <c r="E943" s="17">
        <v>7300.0</v>
      </c>
      <c r="F943" s="232">
        <v>5.704</v>
      </c>
      <c r="G943" s="233">
        <v>-41651.2</v>
      </c>
      <c r="H943" s="236" t="s">
        <v>1193</v>
      </c>
      <c r="I943" s="235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5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4">
        <v>41569.0</v>
      </c>
      <c r="C944" s="57" t="s">
        <v>1194</v>
      </c>
      <c r="D944" s="19" t="s">
        <v>309</v>
      </c>
      <c r="E944" s="17">
        <v>-1500.0</v>
      </c>
      <c r="F944" s="232">
        <v>27.59</v>
      </c>
      <c r="G944" s="233">
        <v>41373.0</v>
      </c>
      <c r="H944" s="236" t="s">
        <v>1195</v>
      </c>
      <c r="I944" s="235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5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4">
        <v>41564.0</v>
      </c>
      <c r="C945" s="57" t="s">
        <v>1196</v>
      </c>
      <c r="D945" s="19" t="s">
        <v>309</v>
      </c>
      <c r="E945" s="17">
        <v>-32.0</v>
      </c>
      <c r="F945" s="232">
        <v>21.6</v>
      </c>
      <c r="G945" s="233">
        <v>690.21</v>
      </c>
      <c r="H945" s="236" t="s">
        <v>1197</v>
      </c>
      <c r="I945" s="235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5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4">
        <v>41564.0</v>
      </c>
      <c r="C946" s="57" t="s">
        <v>1198</v>
      </c>
      <c r="D946" s="19" t="s">
        <v>309</v>
      </c>
      <c r="E946" s="17">
        <v>-16.0</v>
      </c>
      <c r="F946" s="232">
        <v>72.89</v>
      </c>
      <c r="G946" s="233">
        <v>1165.19</v>
      </c>
      <c r="H946" s="236" t="s">
        <v>1199</v>
      </c>
      <c r="I946" s="235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5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4">
        <v>41564.0</v>
      </c>
      <c r="C947" s="57" t="s">
        <v>1194</v>
      </c>
      <c r="D947" s="19" t="s">
        <v>308</v>
      </c>
      <c r="E947" s="17">
        <v>1500.0</v>
      </c>
      <c r="F947" s="232">
        <v>25.2</v>
      </c>
      <c r="G947" s="233">
        <v>-37812.0</v>
      </c>
      <c r="H947" s="236" t="s">
        <v>1200</v>
      </c>
      <c r="I947" s="235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5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4">
        <v>41564.0</v>
      </c>
      <c r="B948" s="19"/>
      <c r="C948" s="49" t="s">
        <v>1194</v>
      </c>
      <c r="D948" s="262" t="s">
        <v>325</v>
      </c>
      <c r="E948" s="17"/>
      <c r="F948" s="232"/>
      <c r="G948" s="233">
        <v>-75.6</v>
      </c>
      <c r="H948" s="236" t="s">
        <v>1201</v>
      </c>
      <c r="I948" s="235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5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4">
        <v>41557.0</v>
      </c>
      <c r="B949" s="269"/>
      <c r="C949" s="272" t="s">
        <v>1202</v>
      </c>
      <c r="D949" s="19" t="s">
        <v>309</v>
      </c>
      <c r="E949" s="17">
        <v>-12.0</v>
      </c>
      <c r="F949" s="232">
        <v>185.05</v>
      </c>
      <c r="G949" s="233">
        <v>2218.6</v>
      </c>
      <c r="H949" s="236" t="s">
        <v>1203</v>
      </c>
      <c r="I949" s="235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5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4">
        <v>41537.0</v>
      </c>
      <c r="B950" s="171"/>
      <c r="C950" s="261"/>
      <c r="D950" s="19" t="s">
        <v>332</v>
      </c>
      <c r="E950" s="171"/>
      <c r="F950" s="232"/>
      <c r="G950" s="233">
        <v>16133.41</v>
      </c>
      <c r="H950" s="236" t="s">
        <v>1204</v>
      </c>
      <c r="I950" s="235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5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4">
        <v>41537.0</v>
      </c>
      <c r="B951" s="171"/>
      <c r="C951" s="261"/>
      <c r="D951" s="19" t="s">
        <v>332</v>
      </c>
      <c r="E951" s="171"/>
      <c r="F951" s="232"/>
      <c r="G951" s="233">
        <v>16872.9</v>
      </c>
      <c r="H951" s="236" t="s">
        <v>1205</v>
      </c>
      <c r="I951" s="235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5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4">
        <v>41512.0</v>
      </c>
      <c r="C952" s="57" t="s">
        <v>1196</v>
      </c>
      <c r="D952" s="19" t="s">
        <v>308</v>
      </c>
      <c r="E952" s="17">
        <v>32.0</v>
      </c>
      <c r="F952" s="232">
        <v>21.71</v>
      </c>
      <c r="G952" s="233">
        <v>-695.71</v>
      </c>
      <c r="H952" s="236" t="s">
        <v>1206</v>
      </c>
      <c r="I952" s="235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5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4">
        <v>41509.0</v>
      </c>
      <c r="C953" s="57" t="s">
        <v>1198</v>
      </c>
      <c r="D953" s="19" t="s">
        <v>308</v>
      </c>
      <c r="E953" s="17">
        <v>16.0</v>
      </c>
      <c r="F953" s="232">
        <v>74.62</v>
      </c>
      <c r="G953" s="233">
        <v>-1194.99</v>
      </c>
      <c r="H953" s="236" t="s">
        <v>1207</v>
      </c>
      <c r="I953" s="235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5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4">
        <v>41509.0</v>
      </c>
      <c r="B954" s="19"/>
      <c r="C954" s="49" t="s">
        <v>1198</v>
      </c>
      <c r="D954" s="262" t="s">
        <v>325</v>
      </c>
      <c r="E954" s="17"/>
      <c r="F954" s="232"/>
      <c r="G954" s="233">
        <v>-2.39</v>
      </c>
      <c r="H954" s="236" t="s">
        <v>1208</v>
      </c>
      <c r="I954" s="235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5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4">
        <v>41508.0</v>
      </c>
      <c r="C955" s="57" t="s">
        <v>1202</v>
      </c>
      <c r="D955" s="19" t="s">
        <v>308</v>
      </c>
      <c r="E955" s="17">
        <v>12.0</v>
      </c>
      <c r="F955" s="232">
        <v>175.4</v>
      </c>
      <c r="G955" s="233">
        <v>-2106.69</v>
      </c>
      <c r="H955" s="236" t="s">
        <v>1209</v>
      </c>
      <c r="I955" s="235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5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4">
        <v>41508.0</v>
      </c>
      <c r="B956" s="19"/>
      <c r="C956" s="49" t="s">
        <v>1202</v>
      </c>
      <c r="D956" s="262" t="s">
        <v>325</v>
      </c>
      <c r="E956" s="17"/>
      <c r="F956" s="232"/>
      <c r="G956" s="233">
        <v>-4.21</v>
      </c>
      <c r="H956" s="236" t="s">
        <v>1210</v>
      </c>
      <c r="I956" s="235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5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4">
        <v>41508.0</v>
      </c>
      <c r="C957" s="57" t="s">
        <v>1211</v>
      </c>
      <c r="D957" s="19" t="s">
        <v>309</v>
      </c>
      <c r="E957" s="17">
        <v>-135.0</v>
      </c>
      <c r="F957" s="232">
        <v>7.8</v>
      </c>
      <c r="G957" s="233">
        <v>1052.01</v>
      </c>
      <c r="H957" s="236" t="s">
        <v>1212</v>
      </c>
      <c r="I957" s="235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5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4">
        <v>41508.0</v>
      </c>
      <c r="C958" s="57" t="s">
        <v>1213</v>
      </c>
      <c r="D958" s="19" t="s">
        <v>309</v>
      </c>
      <c r="E958" s="17">
        <v>-95.0</v>
      </c>
      <c r="F958" s="232">
        <v>16.74</v>
      </c>
      <c r="G958" s="233">
        <v>1588.87</v>
      </c>
      <c r="H958" s="236" t="s">
        <v>1214</v>
      </c>
      <c r="I958" s="235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5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4">
        <v>41506.0</v>
      </c>
      <c r="C959" s="57" t="s">
        <v>1215</v>
      </c>
      <c r="D959" s="19" t="s">
        <v>309</v>
      </c>
      <c r="E959" s="17">
        <v>-355.0</v>
      </c>
      <c r="F959" s="232">
        <v>5.07</v>
      </c>
      <c r="G959" s="233">
        <v>1798.23</v>
      </c>
      <c r="H959" s="236" t="s">
        <v>1216</v>
      </c>
      <c r="I959" s="235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5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4">
        <v>41491.0</v>
      </c>
      <c r="C960" s="49" t="s">
        <v>1217</v>
      </c>
      <c r="D960" s="19" t="s">
        <v>309</v>
      </c>
      <c r="E960" s="17">
        <v>-30.0</v>
      </c>
      <c r="F960" s="232">
        <v>40.655</v>
      </c>
      <c r="G960" s="233">
        <v>1218.55</v>
      </c>
      <c r="H960" s="236" t="s">
        <v>1218</v>
      </c>
      <c r="I960" s="235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5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4">
        <v>41466.0</v>
      </c>
      <c r="C961" s="57" t="s">
        <v>1215</v>
      </c>
      <c r="D961" s="19" t="s">
        <v>308</v>
      </c>
      <c r="E961" s="17">
        <v>355.0</v>
      </c>
      <c r="F961" s="232">
        <v>4.45</v>
      </c>
      <c r="G961" s="233">
        <v>-1581.17</v>
      </c>
      <c r="H961" s="236" t="s">
        <v>1219</v>
      </c>
      <c r="I961" s="235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5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4">
        <v>41466.0</v>
      </c>
      <c r="C962" s="57" t="s">
        <v>1173</v>
      </c>
      <c r="D962" s="19" t="s">
        <v>309</v>
      </c>
      <c r="E962" s="17">
        <v>-75.0</v>
      </c>
      <c r="F962" s="232">
        <v>19.625</v>
      </c>
      <c r="G962" s="233">
        <v>1470.56</v>
      </c>
      <c r="H962" s="236" t="s">
        <v>1220</v>
      </c>
      <c r="I962" s="235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5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4">
        <v>41464.0</v>
      </c>
      <c r="C963" s="57" t="s">
        <v>1173</v>
      </c>
      <c r="D963" s="19" t="s">
        <v>329</v>
      </c>
      <c r="E963" s="17"/>
      <c r="F963" s="232"/>
      <c r="G963" s="233">
        <v>27.67</v>
      </c>
      <c r="H963" s="236" t="s">
        <v>1221</v>
      </c>
      <c r="I963" s="235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5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4">
        <v>41464.0</v>
      </c>
      <c r="C964" s="57" t="s">
        <v>1173</v>
      </c>
      <c r="D964" s="19" t="s">
        <v>329</v>
      </c>
      <c r="E964" s="17"/>
      <c r="F964" s="232"/>
      <c r="G964" s="233">
        <v>4.8</v>
      </c>
      <c r="H964" s="236" t="s">
        <v>1222</v>
      </c>
      <c r="I964" s="235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5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4">
        <v>41452.0</v>
      </c>
      <c r="C965" s="49" t="s">
        <v>1217</v>
      </c>
      <c r="D965" s="19" t="s">
        <v>329</v>
      </c>
      <c r="E965" s="17"/>
      <c r="F965" s="232"/>
      <c r="G965" s="233">
        <v>11.29</v>
      </c>
      <c r="H965" s="236" t="s">
        <v>1223</v>
      </c>
      <c r="I965" s="235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5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4">
        <v>41436.0</v>
      </c>
      <c r="B966" s="19"/>
      <c r="C966" s="49" t="s">
        <v>1211</v>
      </c>
      <c r="D966" s="19" t="s">
        <v>329</v>
      </c>
      <c r="E966" s="17"/>
      <c r="F966" s="232"/>
      <c r="G966" s="233">
        <v>17.19</v>
      </c>
      <c r="H966" s="236" t="s">
        <v>1224</v>
      </c>
      <c r="I966" s="235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5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4">
        <v>41394.0</v>
      </c>
      <c r="C967" s="57" t="s">
        <v>1213</v>
      </c>
      <c r="D967" s="19" t="s">
        <v>329</v>
      </c>
      <c r="E967" s="17"/>
      <c r="F967" s="232"/>
      <c r="G967" s="233">
        <v>40.46</v>
      </c>
      <c r="H967" s="236" t="s">
        <v>1225</v>
      </c>
      <c r="I967" s="235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5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4">
        <v>41355.0</v>
      </c>
      <c r="C968" s="49" t="s">
        <v>1217</v>
      </c>
      <c r="D968" s="19" t="s">
        <v>308</v>
      </c>
      <c r="E968" s="17">
        <v>30.0</v>
      </c>
      <c r="F968" s="232">
        <v>38.33</v>
      </c>
      <c r="G968" s="233">
        <v>-1150.93</v>
      </c>
      <c r="H968" s="236" t="s">
        <v>1226</v>
      </c>
      <c r="I968" s="235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5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4">
        <v>41355.0</v>
      </c>
      <c r="B969" s="19"/>
      <c r="C969" s="49" t="s">
        <v>1211</v>
      </c>
      <c r="D969" s="19" t="s">
        <v>308</v>
      </c>
      <c r="E969" s="17">
        <v>135.0</v>
      </c>
      <c r="F969" s="232">
        <v>8.42</v>
      </c>
      <c r="G969" s="233">
        <v>-1137.32</v>
      </c>
      <c r="H969" s="236" t="s">
        <v>1227</v>
      </c>
      <c r="I969" s="235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5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4">
        <v>41355.0</v>
      </c>
      <c r="C970" s="57" t="s">
        <v>1213</v>
      </c>
      <c r="D970" s="19" t="s">
        <v>308</v>
      </c>
      <c r="E970" s="17">
        <v>95.0</v>
      </c>
      <c r="F970" s="232">
        <v>15.4</v>
      </c>
      <c r="G970" s="233">
        <v>-1464.32</v>
      </c>
      <c r="H970" s="236" t="s">
        <v>1228</v>
      </c>
      <c r="I970" s="235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5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4">
        <v>41355.0</v>
      </c>
      <c r="C971" s="57" t="s">
        <v>1173</v>
      </c>
      <c r="D971" s="19" t="s">
        <v>308</v>
      </c>
      <c r="E971" s="17">
        <v>75.0</v>
      </c>
      <c r="F971" s="232">
        <v>15.15</v>
      </c>
      <c r="G971" s="233">
        <v>-1137.27</v>
      </c>
      <c r="H971" s="236" t="s">
        <v>1229</v>
      </c>
      <c r="I971" s="235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5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4">
        <v>41355.0</v>
      </c>
      <c r="B972" s="19"/>
      <c r="C972" s="49" t="s">
        <v>1217</v>
      </c>
      <c r="D972" s="262" t="s">
        <v>325</v>
      </c>
      <c r="E972" s="17"/>
      <c r="F972" s="232"/>
      <c r="G972" s="233">
        <v>-2.3</v>
      </c>
      <c r="H972" s="236" t="s">
        <v>1230</v>
      </c>
      <c r="I972" s="235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5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4">
        <v>41355.0</v>
      </c>
      <c r="B973" s="19"/>
      <c r="C973" s="49" t="s">
        <v>1231</v>
      </c>
      <c r="D973" s="262" t="s">
        <v>325</v>
      </c>
      <c r="E973" s="17"/>
      <c r="F973" s="232"/>
      <c r="G973" s="233">
        <v>-2.27</v>
      </c>
      <c r="H973" s="236" t="s">
        <v>1232</v>
      </c>
      <c r="I973" s="235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5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4">
        <v>41355.0</v>
      </c>
      <c r="B974" s="19"/>
      <c r="C974" s="49" t="s">
        <v>1213</v>
      </c>
      <c r="D974" s="262" t="s">
        <v>325</v>
      </c>
      <c r="E974" s="17"/>
      <c r="F974" s="232"/>
      <c r="G974" s="233">
        <v>-2.93</v>
      </c>
      <c r="H974" s="236" t="s">
        <v>1233</v>
      </c>
      <c r="I974" s="235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5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4">
        <v>41355.0</v>
      </c>
      <c r="B975" s="19"/>
      <c r="C975" s="49" t="s">
        <v>1173</v>
      </c>
      <c r="D975" s="262" t="s">
        <v>325</v>
      </c>
      <c r="E975" s="17"/>
      <c r="F975" s="232"/>
      <c r="G975" s="233">
        <v>-2.27</v>
      </c>
      <c r="H975" s="236" t="s">
        <v>1234</v>
      </c>
      <c r="I975" s="235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5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4">
        <v>41326.0</v>
      </c>
      <c r="B976" s="171"/>
      <c r="C976" s="261"/>
      <c r="D976" s="19" t="s">
        <v>325</v>
      </c>
      <c r="E976" s="171"/>
      <c r="F976" s="232"/>
      <c r="G976" s="233">
        <v>-6.0</v>
      </c>
      <c r="H976" s="236" t="s">
        <v>1097</v>
      </c>
      <c r="I976" s="235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5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4">
        <v>41326.0</v>
      </c>
      <c r="B977" s="171"/>
      <c r="C977" s="261"/>
      <c r="D977" s="19" t="s">
        <v>332</v>
      </c>
      <c r="E977" s="171"/>
      <c r="F977" s="232"/>
      <c r="G977" s="233">
        <v>-9872.9</v>
      </c>
      <c r="H977" s="236" t="s">
        <v>1235</v>
      </c>
      <c r="I977" s="235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5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4">
        <v>41124.0</v>
      </c>
      <c r="C978" s="57" t="s">
        <v>1231</v>
      </c>
      <c r="D978" s="19" t="s">
        <v>309</v>
      </c>
      <c r="E978" s="17">
        <v>-455.0</v>
      </c>
      <c r="F978" s="232">
        <v>10.8</v>
      </c>
      <c r="G978" s="233">
        <v>4909.58</v>
      </c>
      <c r="H978" s="236" t="s">
        <v>1236</v>
      </c>
      <c r="I978" s="235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5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4">
        <v>41122.0</v>
      </c>
      <c r="C979" s="49" t="s">
        <v>1217</v>
      </c>
      <c r="D979" s="19" t="s">
        <v>309</v>
      </c>
      <c r="E979" s="17">
        <v>-33.0</v>
      </c>
      <c r="F979" s="232">
        <v>37.93</v>
      </c>
      <c r="G979" s="233">
        <v>1250.4</v>
      </c>
      <c r="H979" s="236" t="s">
        <v>1237</v>
      </c>
      <c r="I979" s="235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5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4">
        <v>41122.0</v>
      </c>
      <c r="C980" s="57" t="s">
        <v>1177</v>
      </c>
      <c r="D980" s="19" t="s">
        <v>309</v>
      </c>
      <c r="E980" s="17">
        <v>-70.0</v>
      </c>
      <c r="F980" s="232">
        <v>20.6</v>
      </c>
      <c r="G980" s="233">
        <v>1440.7</v>
      </c>
      <c r="H980" s="236" t="s">
        <v>1238</v>
      </c>
      <c r="I980" s="235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5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4">
        <v>41122.0</v>
      </c>
      <c r="C981" s="57" t="s">
        <v>1213</v>
      </c>
      <c r="D981" s="19" t="s">
        <v>309</v>
      </c>
      <c r="E981" s="17">
        <v>-74.0</v>
      </c>
      <c r="F981" s="232">
        <v>18.27</v>
      </c>
      <c r="G981" s="233">
        <v>1350.39</v>
      </c>
      <c r="H981" s="236" t="s">
        <v>1239</v>
      </c>
      <c r="I981" s="235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5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4">
        <v>41122.0</v>
      </c>
      <c r="C982" s="57" t="s">
        <v>1173</v>
      </c>
      <c r="D982" s="19" t="s">
        <v>309</v>
      </c>
      <c r="E982" s="17">
        <v>-70.0</v>
      </c>
      <c r="F982" s="232">
        <v>16.67</v>
      </c>
      <c r="G982" s="233">
        <v>1165.5</v>
      </c>
      <c r="H982" s="236" t="s">
        <v>1240</v>
      </c>
      <c r="I982" s="235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5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4">
        <v>41100.0</v>
      </c>
      <c r="C983" s="57" t="s">
        <v>1241</v>
      </c>
      <c r="D983" s="19" t="s">
        <v>309</v>
      </c>
      <c r="E983" s="17">
        <v>-263.0</v>
      </c>
      <c r="F983" s="232">
        <v>15.08</v>
      </c>
      <c r="G983" s="233">
        <v>3962.47</v>
      </c>
      <c r="H983" s="236" t="s">
        <v>1242</v>
      </c>
      <c r="I983" s="235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5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4">
        <v>41081.0</v>
      </c>
      <c r="C984" s="49" t="s">
        <v>1217</v>
      </c>
      <c r="D984" s="19" t="s">
        <v>329</v>
      </c>
      <c r="E984" s="17"/>
      <c r="F984" s="232"/>
      <c r="G984" s="233">
        <v>16.32</v>
      </c>
      <c r="H984" s="236" t="s">
        <v>1243</v>
      </c>
      <c r="I984" s="235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5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4">
        <v>41073.0</v>
      </c>
      <c r="B985" s="19"/>
      <c r="C985" s="49" t="s">
        <v>1231</v>
      </c>
      <c r="D985" s="19" t="s">
        <v>329</v>
      </c>
      <c r="E985" s="17"/>
      <c r="F985" s="232"/>
      <c r="G985" s="233">
        <v>314.9</v>
      </c>
      <c r="H985" s="236" t="s">
        <v>1244</v>
      </c>
      <c r="I985" s="235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5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4">
        <v>41066.0</v>
      </c>
      <c r="B986" s="19"/>
      <c r="C986" s="49" t="s">
        <v>1173</v>
      </c>
      <c r="D986" s="19" t="s">
        <v>329</v>
      </c>
      <c r="E986" s="17"/>
      <c r="F986" s="232"/>
      <c r="G986" s="233">
        <v>35.14</v>
      </c>
      <c r="H986" s="236" t="s">
        <v>1245</v>
      </c>
      <c r="I986" s="235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5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4">
        <v>41061.0</v>
      </c>
      <c r="B987" s="19"/>
      <c r="C987" s="49" t="s">
        <v>1241</v>
      </c>
      <c r="D987" s="19" t="s">
        <v>329</v>
      </c>
      <c r="E987" s="17"/>
      <c r="F987" s="232"/>
      <c r="G987" s="233">
        <v>6.5</v>
      </c>
      <c r="H987" s="236" t="s">
        <v>1246</v>
      </c>
      <c r="I987" s="235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5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4">
        <v>41061.0</v>
      </c>
      <c r="B988" s="19"/>
      <c r="C988" s="49" t="s">
        <v>1241</v>
      </c>
      <c r="D988" s="19" t="s">
        <v>329</v>
      </c>
      <c r="E988" s="17">
        <v>-15.0</v>
      </c>
      <c r="F988" s="232">
        <v>0.0</v>
      </c>
      <c r="G988" s="233">
        <v>0.0</v>
      </c>
      <c r="H988" s="236" t="s">
        <v>1247</v>
      </c>
      <c r="I988" s="235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5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4">
        <v>41053.0</v>
      </c>
      <c r="C989" s="57" t="s">
        <v>1213</v>
      </c>
      <c r="D989" s="19" t="s">
        <v>329</v>
      </c>
      <c r="E989" s="17"/>
      <c r="F989" s="232"/>
      <c r="G989" s="233">
        <v>41.75</v>
      </c>
      <c r="H989" s="236" t="s">
        <v>1248</v>
      </c>
      <c r="I989" s="235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5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4">
        <v>41050.0</v>
      </c>
      <c r="B990" s="19"/>
      <c r="C990" s="49" t="s">
        <v>1241</v>
      </c>
      <c r="D990" s="19" t="s">
        <v>329</v>
      </c>
      <c r="E990" s="17">
        <v>8.0</v>
      </c>
      <c r="F990" s="232">
        <v>13.2</v>
      </c>
      <c r="G990" s="233">
        <v>0.0</v>
      </c>
      <c r="H990" s="236" t="s">
        <v>1249</v>
      </c>
      <c r="I990" s="235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5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4">
        <v>41050.0</v>
      </c>
      <c r="B991" s="19"/>
      <c r="C991" s="49" t="s">
        <v>1241</v>
      </c>
      <c r="D991" s="19" t="s">
        <v>329</v>
      </c>
      <c r="E991" s="17">
        <v>-240.0</v>
      </c>
      <c r="F991" s="232">
        <v>0.0</v>
      </c>
      <c r="G991" s="233">
        <v>0.0</v>
      </c>
      <c r="H991" s="236" t="s">
        <v>1250</v>
      </c>
      <c r="I991" s="235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5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4">
        <v>41038.0</v>
      </c>
      <c r="C992" s="57" t="s">
        <v>1241</v>
      </c>
      <c r="D992" s="19" t="s">
        <v>329</v>
      </c>
      <c r="E992" s="17"/>
      <c r="F992" s="232"/>
      <c r="G992" s="233">
        <v>220.61</v>
      </c>
      <c r="H992" s="236" t="s">
        <v>1251</v>
      </c>
      <c r="I992" s="235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5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4">
        <v>41038.0</v>
      </c>
      <c r="B993" s="19"/>
      <c r="C993" s="49" t="s">
        <v>1241</v>
      </c>
      <c r="D993" s="19" t="s">
        <v>329</v>
      </c>
      <c r="E993" s="17">
        <v>255.0</v>
      </c>
      <c r="F993" s="232">
        <v>0.0</v>
      </c>
      <c r="G993" s="233">
        <v>0.0</v>
      </c>
      <c r="H993" s="236" t="s">
        <v>1252</v>
      </c>
      <c r="I993" s="235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5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4">
        <v>41033.0</v>
      </c>
      <c r="C994" s="57" t="s">
        <v>1177</v>
      </c>
      <c r="D994" s="19" t="s">
        <v>329</v>
      </c>
      <c r="E994" s="17"/>
      <c r="F994" s="232"/>
      <c r="G994" s="233">
        <v>96.91</v>
      </c>
      <c r="H994" s="236" t="s">
        <v>1253</v>
      </c>
      <c r="I994" s="235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5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4">
        <v>41025.0</v>
      </c>
      <c r="C995" s="49" t="s">
        <v>1217</v>
      </c>
      <c r="D995" s="19" t="s">
        <v>308</v>
      </c>
      <c r="E995" s="17">
        <v>33.0</v>
      </c>
      <c r="F995" s="232">
        <v>36.5</v>
      </c>
      <c r="G995" s="233">
        <v>-1205.42</v>
      </c>
      <c r="H995" s="236" t="s">
        <v>1254</v>
      </c>
      <c r="I995" s="235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5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4">
        <v>41025.0</v>
      </c>
      <c r="C996" s="57" t="s">
        <v>1255</v>
      </c>
      <c r="D996" s="19" t="s">
        <v>309</v>
      </c>
      <c r="E996" s="17">
        <v>-135.0</v>
      </c>
      <c r="F996" s="232">
        <v>9.03</v>
      </c>
      <c r="G996" s="233">
        <v>1218.49</v>
      </c>
      <c r="H996" s="236" t="s">
        <v>1256</v>
      </c>
      <c r="I996" s="235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5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4">
        <v>41024.0</v>
      </c>
      <c r="B997" s="19"/>
      <c r="C997" s="49" t="s">
        <v>1213</v>
      </c>
      <c r="D997" s="262" t="s">
        <v>329</v>
      </c>
      <c r="E997" s="17">
        <v>2.0</v>
      </c>
      <c r="F997" s="232">
        <v>16.43</v>
      </c>
      <c r="G997" s="233">
        <v>0.0</v>
      </c>
      <c r="H997" s="236" t="s">
        <v>1257</v>
      </c>
      <c r="I997" s="235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5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4">
        <v>41024.0</v>
      </c>
      <c r="B998" s="19"/>
      <c r="C998" s="49" t="s">
        <v>1241</v>
      </c>
      <c r="D998" s="262" t="s">
        <v>329</v>
      </c>
      <c r="E998" s="17"/>
      <c r="F998" s="232"/>
      <c r="G998" s="233">
        <v>-32.86</v>
      </c>
      <c r="H998" s="236" t="s">
        <v>1258</v>
      </c>
      <c r="I998" s="235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5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4">
        <v>41004.0</v>
      </c>
      <c r="C999" s="57" t="s">
        <v>1177</v>
      </c>
      <c r="D999" s="19" t="s">
        <v>308</v>
      </c>
      <c r="E999" s="17">
        <v>70.0</v>
      </c>
      <c r="F999" s="232">
        <v>21.5</v>
      </c>
      <c r="G999" s="233">
        <v>-1506.35</v>
      </c>
      <c r="H999" s="236" t="s">
        <v>1259</v>
      </c>
      <c r="I999" s="235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5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4">
        <v>41002.0</v>
      </c>
      <c r="B1000" s="171"/>
      <c r="C1000" s="261"/>
      <c r="D1000" s="19" t="s">
        <v>332</v>
      </c>
      <c r="E1000" s="171"/>
      <c r="F1000" s="232"/>
      <c r="G1000" s="233">
        <v>1520.0</v>
      </c>
      <c r="H1000" s="236" t="s">
        <v>1260</v>
      </c>
      <c r="I1000" s="235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5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4">
        <v>40987.0</v>
      </c>
      <c r="C1001" s="57" t="s">
        <v>1213</v>
      </c>
      <c r="D1001" s="19" t="s">
        <v>308</v>
      </c>
      <c r="E1001" s="17">
        <v>72.0</v>
      </c>
      <c r="F1001" s="232">
        <v>19.86</v>
      </c>
      <c r="G1001" s="233">
        <v>-1430.85</v>
      </c>
      <c r="H1001" s="236" t="s">
        <v>1261</v>
      </c>
      <c r="I1001" s="235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5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4">
        <v>40983.0</v>
      </c>
      <c r="B1002" s="273"/>
      <c r="C1002" s="274" t="s">
        <v>1255</v>
      </c>
      <c r="D1002" s="275" t="s">
        <v>308</v>
      </c>
      <c r="E1002" s="17">
        <v>135.0</v>
      </c>
      <c r="F1002" s="232">
        <v>12.96</v>
      </c>
      <c r="G1002" s="233">
        <v>-1750.5</v>
      </c>
      <c r="H1002" s="236" t="s">
        <v>1262</v>
      </c>
      <c r="I1002" s="235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5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4">
        <v>40983.0</v>
      </c>
      <c r="C1003" s="57" t="s">
        <v>1231</v>
      </c>
      <c r="D1003" s="19" t="s">
        <v>308</v>
      </c>
      <c r="E1003" s="17">
        <v>110.0</v>
      </c>
      <c r="F1003" s="232">
        <v>11.24</v>
      </c>
      <c r="G1003" s="233">
        <v>-1236.96</v>
      </c>
      <c r="H1003" s="236" t="s">
        <v>1263</v>
      </c>
      <c r="I1003" s="235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5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4">
        <v>40983.0</v>
      </c>
      <c r="C1004" s="57" t="s">
        <v>1264</v>
      </c>
      <c r="D1004" s="19" t="s">
        <v>309</v>
      </c>
      <c r="E1004" s="17">
        <v>-445.0</v>
      </c>
      <c r="F1004" s="232">
        <v>5.09</v>
      </c>
      <c r="G1004" s="233">
        <v>2262.12</v>
      </c>
      <c r="H1004" s="236" t="s">
        <v>1265</v>
      </c>
      <c r="I1004" s="235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5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4">
        <v>40980.0</v>
      </c>
      <c r="B1005" s="171"/>
      <c r="C1005" s="261"/>
      <c r="D1005" s="19" t="s">
        <v>332</v>
      </c>
      <c r="E1005" s="171"/>
      <c r="F1005" s="232"/>
      <c r="G1005" s="233">
        <v>1700.0</v>
      </c>
      <c r="H1005" s="236" t="s">
        <v>1266</v>
      </c>
      <c r="I1005" s="235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5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4">
        <v>40970.0</v>
      </c>
      <c r="C1006" s="57" t="s">
        <v>1241</v>
      </c>
      <c r="D1006" s="19" t="s">
        <v>308</v>
      </c>
      <c r="E1006" s="17">
        <v>100.0</v>
      </c>
      <c r="F1006" s="232">
        <v>14.2</v>
      </c>
      <c r="G1006" s="233">
        <v>-1421.28</v>
      </c>
      <c r="H1006" s="236" t="s">
        <v>1267</v>
      </c>
      <c r="I1006" s="235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5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4">
        <v>40969.0</v>
      </c>
      <c r="C1007" s="57" t="s">
        <v>1241</v>
      </c>
      <c r="D1007" s="19" t="s">
        <v>308</v>
      </c>
      <c r="E1007" s="17">
        <v>155.0</v>
      </c>
      <c r="F1007" s="232">
        <v>14.67</v>
      </c>
      <c r="G1007" s="233">
        <v>-2275.13</v>
      </c>
      <c r="H1007" s="236" t="s">
        <v>1268</v>
      </c>
      <c r="I1007" s="235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5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4">
        <v>40969.0</v>
      </c>
      <c r="C1008" s="57" t="s">
        <v>1269</v>
      </c>
      <c r="D1008" s="19" t="s">
        <v>309</v>
      </c>
      <c r="E1008" s="17">
        <v>-250.0</v>
      </c>
      <c r="F1008" s="232">
        <v>9.68</v>
      </c>
      <c r="G1008" s="233">
        <v>2416.57</v>
      </c>
      <c r="H1008" s="236" t="s">
        <v>1270</v>
      </c>
      <c r="I1008" s="235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5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4">
        <v>40968.0</v>
      </c>
      <c r="B1009" s="171"/>
      <c r="C1009" s="261"/>
      <c r="D1009" s="19" t="s">
        <v>332</v>
      </c>
      <c r="E1009" s="171"/>
      <c r="F1009" s="232"/>
      <c r="G1009" s="233">
        <v>1280.0</v>
      </c>
      <c r="H1009" s="236" t="s">
        <v>1271</v>
      </c>
      <c r="I1009" s="235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5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4">
        <v>40967.0</v>
      </c>
      <c r="C1010" s="57" t="s">
        <v>1264</v>
      </c>
      <c r="D1010" s="19" t="s">
        <v>308</v>
      </c>
      <c r="E1010" s="17">
        <v>445.0</v>
      </c>
      <c r="F1010" s="232">
        <v>4.69</v>
      </c>
      <c r="G1010" s="233">
        <v>-2088.93</v>
      </c>
      <c r="H1010" s="236" t="s">
        <v>1272</v>
      </c>
      <c r="I1010" s="235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5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4">
        <v>40967.0</v>
      </c>
      <c r="C1011" s="57" t="s">
        <v>1231</v>
      </c>
      <c r="D1011" s="19" t="s">
        <v>308</v>
      </c>
      <c r="E1011" s="17">
        <v>100.0</v>
      </c>
      <c r="F1011" s="232">
        <v>11.66</v>
      </c>
      <c r="G1011" s="233">
        <v>-1166.55</v>
      </c>
      <c r="H1011" s="236" t="s">
        <v>1273</v>
      </c>
      <c r="I1011" s="235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5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4">
        <v>40967.0</v>
      </c>
      <c r="C1012" s="57" t="s">
        <v>1173</v>
      </c>
      <c r="D1012" s="19" t="s">
        <v>308</v>
      </c>
      <c r="E1012" s="17">
        <v>70.0</v>
      </c>
      <c r="F1012" s="232">
        <v>18.58</v>
      </c>
      <c r="G1012" s="233">
        <v>-1301.77</v>
      </c>
      <c r="H1012" s="236" t="s">
        <v>1274</v>
      </c>
      <c r="I1012" s="235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5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4">
        <v>40963.0</v>
      </c>
      <c r="B1013" s="171"/>
      <c r="C1013" s="261"/>
      <c r="D1013" s="19" t="s">
        <v>332</v>
      </c>
      <c r="E1013" s="171"/>
      <c r="F1013" s="232"/>
      <c r="G1013" s="233">
        <v>5000.0</v>
      </c>
      <c r="H1013" s="236" t="s">
        <v>1275</v>
      </c>
      <c r="I1013" s="235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5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>
      <c r="A1014" s="184">
        <v>40917.0</v>
      </c>
      <c r="C1014" s="57" t="s">
        <v>1269</v>
      </c>
      <c r="D1014" s="19" t="s">
        <v>308</v>
      </c>
      <c r="E1014" s="17">
        <v>250.0</v>
      </c>
      <c r="F1014" s="232">
        <v>8.06</v>
      </c>
      <c r="G1014" s="233">
        <v>-2015.56</v>
      </c>
      <c r="H1014" s="236" t="s">
        <v>1276</v>
      </c>
      <c r="I1014" s="235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5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4">
        <v>40914.0</v>
      </c>
      <c r="B1015" s="171"/>
      <c r="C1015" s="261"/>
      <c r="D1015" s="19" t="s">
        <v>332</v>
      </c>
      <c r="E1015" s="171"/>
      <c r="F1015" s="232"/>
      <c r="G1015" s="233">
        <v>2000.0</v>
      </c>
      <c r="H1015" s="236" t="s">
        <v>638</v>
      </c>
      <c r="I1015" s="235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5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4">
        <v>40906.0</v>
      </c>
      <c r="C1016" s="57" t="s">
        <v>1231</v>
      </c>
      <c r="D1016" s="19" t="s">
        <v>308</v>
      </c>
      <c r="E1016" s="17">
        <v>245.0</v>
      </c>
      <c r="F1016" s="232">
        <v>11.815</v>
      </c>
      <c r="G1016" s="233">
        <v>-2897.57</v>
      </c>
      <c r="H1016" s="236" t="s">
        <v>1277</v>
      </c>
      <c r="I1016" s="235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5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4">
        <v>40828.0</v>
      </c>
      <c r="B1017" s="269"/>
      <c r="C1017" s="272" t="s">
        <v>1231</v>
      </c>
      <c r="D1017" s="269" t="s">
        <v>309</v>
      </c>
      <c r="E1017" s="17">
        <v>-555.0</v>
      </c>
      <c r="F1017" s="232">
        <f t="shared" ref="F1017:F1018" si="4">-G1017/E1017</f>
        <v>17.61367568</v>
      </c>
      <c r="G1017" s="233">
        <v>9775.59</v>
      </c>
      <c r="H1017" s="236" t="s">
        <v>1278</v>
      </c>
      <c r="I1017" s="235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5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4">
        <v>40668.0</v>
      </c>
      <c r="B1018" s="269"/>
      <c r="C1018" s="272" t="s">
        <v>1231</v>
      </c>
      <c r="D1018" s="269" t="s">
        <v>308</v>
      </c>
      <c r="E1018" s="17">
        <v>555.0</v>
      </c>
      <c r="F1018" s="232">
        <f t="shared" si="4"/>
        <v>15.58</v>
      </c>
      <c r="G1018" s="233">
        <v>-8646.9</v>
      </c>
      <c r="H1018" s="236" t="s">
        <v>1279</v>
      </c>
      <c r="I1018" s="235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5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4">
        <v>40639.0</v>
      </c>
      <c r="B1019" s="276"/>
      <c r="C1019" s="277"/>
      <c r="D1019" s="278" t="s">
        <v>332</v>
      </c>
      <c r="E1019" s="278"/>
      <c r="F1019" s="232"/>
      <c r="G1019" s="233">
        <f>10000-133.41</f>
        <v>9866.59</v>
      </c>
      <c r="H1019" s="236" t="s">
        <v>1280</v>
      </c>
      <c r="I1019" s="235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5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</sheetData>
  <autoFilter ref="$A$1:$J$1019">
    <sortState ref="A1:J1019">
      <sortCondition descending="1" ref="A1:A1019"/>
    </sortState>
  </autoFilter>
  <conditionalFormatting sqref="I2:J1019">
    <cfRule type="expression" dxfId="7" priority="1">
      <formula>AND($D2&lt;&gt;"COST",I2&lt;&gt;"",I2&gt;0.01)</formula>
    </cfRule>
  </conditionalFormatting>
  <conditionalFormatting sqref="I2:J1019">
    <cfRule type="expression" dxfId="12" priority="2">
      <formula>AND($D2&lt;&gt;"COST",I2&lt;&gt;"",I2&lt;0.01)</formula>
    </cfRule>
  </conditionalFormatting>
  <conditionalFormatting sqref="A1:G1019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281</v>
      </c>
      <c r="C1" s="9" t="s">
        <v>1281</v>
      </c>
      <c r="D1" s="9" t="s">
        <v>282</v>
      </c>
      <c r="E1" s="9" t="s">
        <v>1282</v>
      </c>
      <c r="F1" s="9" t="s">
        <v>1283</v>
      </c>
      <c r="G1" s="9" t="s">
        <v>1284</v>
      </c>
      <c r="H1" s="9" t="s">
        <v>1285</v>
      </c>
      <c r="I1" s="9" t="s">
        <v>323</v>
      </c>
      <c r="J1" s="9" t="s">
        <v>18</v>
      </c>
    </row>
    <row r="2">
      <c r="A2" s="242">
        <f>DateTime!$B$1-TIME(2,0,0)</f>
        <v>44114.93722</v>
      </c>
      <c r="B2" s="279">
        <f>Dashboard!$B$41</f>
        <v>0.2272470818</v>
      </c>
      <c r="C2" s="279">
        <f>Dashboard!$B$43</f>
        <v>0.04154883213</v>
      </c>
      <c r="D2" s="279">
        <f>Dashboard!$B$39</f>
        <v>0.2503390643</v>
      </c>
      <c r="E2" s="280">
        <f>$F2/Dashboard!$B$35</f>
        <v>0</v>
      </c>
      <c r="F2" s="235">
        <f t="array" ref="F2">INDEX($H:$H,2)-INDEX($H:$H,3)</f>
        <v>0</v>
      </c>
      <c r="G2" s="235">
        <f t="array" ref="G2">INDEX($I:$I,2)-INDEX($I:$I,3)</f>
        <v>121.6767981</v>
      </c>
      <c r="H2" s="235">
        <f>Dashboard!$B$38</f>
        <v>213805.572</v>
      </c>
      <c r="I2" s="235">
        <f>SUM(Historic!J:J)</f>
        <v>200432.2219</v>
      </c>
      <c r="J2" s="235">
        <f>Dashboard!$B$37</f>
        <v>386814.102</v>
      </c>
    </row>
    <row r="3">
      <c r="A3" s="184">
        <v>44113.98316142361</v>
      </c>
      <c r="B3" s="281">
        <v>0.22759619229452288</v>
      </c>
      <c r="C3" s="281">
        <v>0.04161266192370079</v>
      </c>
      <c r="D3" s="281">
        <v>0.2507236501204851</v>
      </c>
      <c r="E3" s="282">
        <v>0.001378661450488788</v>
      </c>
      <c r="F3" s="233">
        <v>1650.8300000006566</v>
      </c>
      <c r="G3" s="233">
        <v>6082.373310852738</v>
      </c>
      <c r="H3" s="233">
        <v>213805.5719999998</v>
      </c>
      <c r="I3" s="233">
        <v>200310.5451232558</v>
      </c>
      <c r="J3" s="233">
        <v>386814.10199999984</v>
      </c>
    </row>
    <row r="4">
      <c r="A4" s="184">
        <v>44112.98322083333</v>
      </c>
      <c r="B4" s="281">
        <v>0.22594654993043475</v>
      </c>
      <c r="C4" s="281">
        <v>0.041676707512338824</v>
      </c>
      <c r="D4" s="281">
        <v>0.24917067572907997</v>
      </c>
      <c r="E4" s="282">
        <v>0.007707501654014052</v>
      </c>
      <c r="F4" s="233">
        <v>7275.627999999851</v>
      </c>
      <c r="G4" s="233">
        <v>124.38342635642039</v>
      </c>
      <c r="H4" s="233">
        <v>212154.74199999915</v>
      </c>
      <c r="I4" s="233">
        <v>194228.17181240307</v>
      </c>
      <c r="J4" s="233">
        <v>385111.2719999992</v>
      </c>
    </row>
    <row r="5">
      <c r="A5" s="184">
        <v>44111.98313248843</v>
      </c>
      <c r="B5" s="281">
        <v>0.21941020760106666</v>
      </c>
      <c r="C5" s="281">
        <v>0.04006545886177626</v>
      </c>
      <c r="D5" s="281">
        <v>0.24099476512010246</v>
      </c>
      <c r="E5" s="282">
        <v>0.001210769567289107</v>
      </c>
      <c r="F5" s="233">
        <v>1134.240000000107</v>
      </c>
      <c r="G5" s="233">
        <v>47.53413178288611</v>
      </c>
      <c r="H5" s="233">
        <v>204879.1139999993</v>
      </c>
      <c r="I5" s="233">
        <v>194103.78838604665</v>
      </c>
      <c r="J5" s="233">
        <v>377835.6439999993</v>
      </c>
    </row>
    <row r="6">
      <c r="A6" s="184">
        <v>44110.98319322917</v>
      </c>
      <c r="B6" s="281">
        <v>0.21840386985358465</v>
      </c>
      <c r="C6" s="281">
        <v>0.04012569109570645</v>
      </c>
      <c r="D6" s="281">
        <v>0.24002087642361597</v>
      </c>
      <c r="E6" s="282">
        <v>3.347888560146809E-4</v>
      </c>
      <c r="F6" s="233">
        <v>313.247999999905</v>
      </c>
      <c r="G6" s="233">
        <v>13.294582668342628</v>
      </c>
      <c r="H6" s="233">
        <v>203744.8739999992</v>
      </c>
      <c r="I6" s="233">
        <v>194056.25425426377</v>
      </c>
      <c r="J6" s="233">
        <v>376701.40399999917</v>
      </c>
    </row>
    <row r="7">
      <c r="A7" s="184">
        <v>44109.98325773148</v>
      </c>
      <c r="B7" s="281">
        <v>0.2183620801173222</v>
      </c>
      <c r="C7" s="281">
        <v>0.04018591250232624</v>
      </c>
      <c r="D7" s="281">
        <v>0.2400115299053271</v>
      </c>
      <c r="E7" s="282">
        <v>-0.0027124468844192564</v>
      </c>
      <c r="F7" s="233">
        <v>-2537.073999999906</v>
      </c>
      <c r="G7" s="233">
        <v>90.17369640161633</v>
      </c>
      <c r="H7" s="233">
        <v>203431.6259999993</v>
      </c>
      <c r="I7" s="233">
        <v>194042.95967159542</v>
      </c>
      <c r="J7" s="233">
        <v>376388.15599999926</v>
      </c>
    </row>
    <row r="8">
      <c r="A8" s="184">
        <v>44106.98320333334</v>
      </c>
      <c r="B8" s="281">
        <v>0.22193362232863165</v>
      </c>
      <c r="C8" s="281">
        <v>0.04029089371488676</v>
      </c>
      <c r="D8" s="281">
        <v>0.2436396288886118</v>
      </c>
      <c r="E8" s="282">
        <v>-9.961805331596663E-5</v>
      </c>
      <c r="F8" s="233">
        <v>-93.4299999998766</v>
      </c>
      <c r="G8" s="233">
        <v>79.17415503863594</v>
      </c>
      <c r="H8" s="233">
        <v>205968.6999999992</v>
      </c>
      <c r="I8" s="233">
        <v>193952.7859751938</v>
      </c>
      <c r="J8" s="233">
        <v>378925.22999999917</v>
      </c>
    </row>
    <row r="9">
      <c r="A9" s="184">
        <v>44105.9831092824</v>
      </c>
      <c r="B9" s="281">
        <v>0.22238004700152333</v>
      </c>
      <c r="C9" s="281">
        <v>0.04035202174171956</v>
      </c>
      <c r="D9" s="281">
        <v>0.24411995665172886</v>
      </c>
      <c r="E9" s="282">
        <v>-0.001184042445830494</v>
      </c>
      <c r="F9" s="233">
        <v>-1110.6020000002172</v>
      </c>
      <c r="G9" s="233">
        <v>63.33613178291125</v>
      </c>
      <c r="H9" s="233">
        <v>206062.12999999907</v>
      </c>
      <c r="I9" s="233">
        <v>193873.61182015517</v>
      </c>
      <c r="J9" s="233">
        <v>380018.6599999991</v>
      </c>
    </row>
    <row r="10">
      <c r="A10" s="184">
        <v>44104.98322375</v>
      </c>
      <c r="B10" s="281">
        <v>0.22284943491410328</v>
      </c>
      <c r="C10" s="281">
        <v>0.04041037916952329</v>
      </c>
      <c r="D10" s="281">
        <v>0.24580996876865524</v>
      </c>
      <c r="E10" s="282">
        <v>-0.0011632517727359732</v>
      </c>
      <c r="F10" s="233">
        <v>-1089.0119999998715</v>
      </c>
      <c r="G10" s="233">
        <v>113.0618217055453</v>
      </c>
      <c r="H10" s="233">
        <v>207172.7319999993</v>
      </c>
      <c r="I10" s="233">
        <v>193810.27568837226</v>
      </c>
      <c r="J10" s="233">
        <v>380129.2619999993</v>
      </c>
    </row>
    <row r="11">
      <c r="A11" s="184">
        <v>44103.983189872684</v>
      </c>
      <c r="B11" s="281">
        <v>0.2244841043078832</v>
      </c>
      <c r="C11" s="281">
        <v>0.040472139008920195</v>
      </c>
      <c r="D11" s="281">
        <v>0.24747972911957214</v>
      </c>
      <c r="E11" s="282">
        <v>-0.005991576372961816</v>
      </c>
      <c r="F11" s="233">
        <v>-5558.446000000113</v>
      </c>
      <c r="G11" s="233">
        <v>5.522506355540827</v>
      </c>
      <c r="H11" s="233">
        <v>208261.74399999916</v>
      </c>
      <c r="I11" s="233">
        <v>193697.21386666672</v>
      </c>
      <c r="J11" s="233">
        <v>381218.27399999916</v>
      </c>
    </row>
    <row r="12">
      <c r="A12" s="184">
        <v>44102.98317905093</v>
      </c>
      <c r="B12" s="281">
        <v>0.2314442656424073</v>
      </c>
      <c r="C12" s="281">
        <v>0.04053431218073631</v>
      </c>
      <c r="D12" s="281">
        <v>0.25447521626013087</v>
      </c>
      <c r="E12" s="282">
        <v>0.006602159618448937</v>
      </c>
      <c r="F12" s="233">
        <v>6161.587999999989</v>
      </c>
      <c r="G12" s="233">
        <v>112.01780372206122</v>
      </c>
      <c r="H12" s="233">
        <v>213820.18999999927</v>
      </c>
      <c r="I12" s="233">
        <v>193691.69136031118</v>
      </c>
      <c r="J12" s="233">
        <v>386776.7199999993</v>
      </c>
    </row>
    <row r="13">
      <c r="A13" s="184">
        <v>44099.98347827546</v>
      </c>
      <c r="B13" s="281">
        <v>0.22471168473537032</v>
      </c>
      <c r="C13" s="281">
        <v>0.0406429318628974</v>
      </c>
      <c r="D13" s="281">
        <v>0.24780435132658343</v>
      </c>
      <c r="E13" s="282">
        <v>0.006855709418610675</v>
      </c>
      <c r="F13" s="233">
        <v>6355.976000000024</v>
      </c>
      <c r="G13" s="233">
        <v>64.52867441857234</v>
      </c>
      <c r="H13" s="233">
        <v>207658.6019999993</v>
      </c>
      <c r="I13" s="233">
        <v>193579.6735565891</v>
      </c>
      <c r="J13" s="233">
        <v>380615.1319999993</v>
      </c>
    </row>
    <row r="14">
      <c r="A14" s="184">
        <v>44098.983132905094</v>
      </c>
      <c r="B14" s="281">
        <v>0.2174612488400281</v>
      </c>
      <c r="C14" s="281">
        <v>0.04070551042469665</v>
      </c>
      <c r="D14" s="281">
        <v>0.2405894715734079</v>
      </c>
      <c r="E14" s="282">
        <v>-0.00430904774172002</v>
      </c>
      <c r="F14" s="233">
        <v>-3967.5600000002596</v>
      </c>
      <c r="G14" s="233">
        <v>-3.0018604651850183</v>
      </c>
      <c r="H14" s="233">
        <v>201302.62599999926</v>
      </c>
      <c r="I14" s="233">
        <v>193515.14488217054</v>
      </c>
      <c r="J14" s="233">
        <v>374259.15599999926</v>
      </c>
    </row>
    <row r="15">
      <c r="A15" s="184">
        <v>44097.98317869213</v>
      </c>
      <c r="B15" s="281">
        <v>0.22253927229279022</v>
      </c>
      <c r="C15" s="281">
        <v>0.04076708848026542</v>
      </c>
      <c r="D15" s="281">
        <v>0.24570248269663103</v>
      </c>
      <c r="E15" s="282">
        <v>8.521944270360648E-5</v>
      </c>
      <c r="F15" s="233">
        <v>78.80400000000373</v>
      </c>
      <c r="G15" s="233">
        <v>27.83357364346739</v>
      </c>
      <c r="H15" s="233">
        <v>205270.18599999952</v>
      </c>
      <c r="I15" s="233">
        <v>193518.14674263573</v>
      </c>
      <c r="J15" s="233">
        <v>338226.71599999955</v>
      </c>
    </row>
    <row r="16">
      <c r="A16" s="184">
        <v>44096.98318790509</v>
      </c>
      <c r="B16" s="281">
        <v>0.22274443996592644</v>
      </c>
      <c r="C16" s="281">
        <v>0.04082197617192124</v>
      </c>
      <c r="D16" s="281">
        <v>0.24593883668200578</v>
      </c>
      <c r="E16" s="282">
        <v>0.006580526077144208</v>
      </c>
      <c r="F16" s="233">
        <v>6084.616000000155</v>
      </c>
      <c r="G16" s="233">
        <v>39.68437677441398</v>
      </c>
      <c r="H16" s="233">
        <v>205191.38199999952</v>
      </c>
      <c r="I16" s="233">
        <v>193490.31316899226</v>
      </c>
      <c r="J16" s="233">
        <v>338147.91199999955</v>
      </c>
    </row>
    <row r="17">
      <c r="A17" s="184">
        <v>44095.98324008102</v>
      </c>
      <c r="B17" s="281">
        <v>0.21574199531842952</v>
      </c>
      <c r="C17" s="281">
        <v>0.04087701216370941</v>
      </c>
      <c r="D17" s="281">
        <v>0.23896766260852084</v>
      </c>
      <c r="E17" s="282">
        <v>-0.0027891412279907107</v>
      </c>
      <c r="F17" s="233">
        <v>-2561.980000000214</v>
      </c>
      <c r="G17" s="233">
        <v>42.20049144254881</v>
      </c>
      <c r="H17" s="233">
        <v>199106.76599999936</v>
      </c>
      <c r="I17" s="233">
        <v>193450.62879221785</v>
      </c>
      <c r="J17" s="233">
        <v>332063.2959999994</v>
      </c>
    </row>
    <row r="18">
      <c r="A18" s="184">
        <v>44092.98318997685</v>
      </c>
      <c r="B18" s="281">
        <v>0.21935091181185895</v>
      </c>
      <c r="C18" s="281">
        <v>0.04097677420772459</v>
      </c>
      <c r="D18" s="281">
        <v>0.2426332623065151</v>
      </c>
      <c r="E18" s="282">
        <v>-0.005451076646804857</v>
      </c>
      <c r="F18" s="233">
        <v>-5021.079999999842</v>
      </c>
      <c r="G18" s="233">
        <v>31.976465116458712</v>
      </c>
      <c r="H18" s="233">
        <v>201668.74599999958</v>
      </c>
      <c r="I18" s="233">
        <v>193408.4283007753</v>
      </c>
      <c r="J18" s="233">
        <v>334625.2759999996</v>
      </c>
    </row>
    <row r="19">
      <c r="A19" s="184">
        <v>44091.98314175926</v>
      </c>
      <c r="B19" s="281">
        <v>0.22569316410451343</v>
      </c>
      <c r="C19" s="281">
        <v>0.041031542461904</v>
      </c>
      <c r="D19" s="281">
        <v>0.24900663304893633</v>
      </c>
      <c r="E19" s="282">
        <v>-0.006607165136292516</v>
      </c>
      <c r="F19" s="233">
        <v>-6119.148000000045</v>
      </c>
      <c r="G19" s="233">
        <v>44.6725891471724</v>
      </c>
      <c r="H19" s="233">
        <v>206689.82599999942</v>
      </c>
      <c r="I19" s="233">
        <v>193376.45183565884</v>
      </c>
      <c r="J19" s="233">
        <v>339646.35599999945</v>
      </c>
    </row>
    <row r="20">
      <c r="A20" s="184">
        <v>44090.98316108796</v>
      </c>
      <c r="B20" s="281">
        <v>0.23338265931544433</v>
      </c>
      <c r="C20" s="281">
        <v>0.04108744570576982</v>
      </c>
      <c r="D20" s="281">
        <v>0.25672789159269754</v>
      </c>
      <c r="E20" s="282">
        <v>0.003692930951048628</v>
      </c>
      <c r="F20" s="233">
        <v>3442.761999999988</v>
      </c>
      <c r="G20" s="233">
        <v>93.60465116277919</v>
      </c>
      <c r="H20" s="233">
        <v>212808.97399999946</v>
      </c>
      <c r="I20" s="233">
        <v>193331.77924651167</v>
      </c>
      <c r="J20" s="233">
        <v>345765.5039999995</v>
      </c>
    </row>
    <row r="21">
      <c r="A21" s="184">
        <v>44089.983157118055</v>
      </c>
      <c r="B21" s="281">
        <v>0.22954885304711214</v>
      </c>
      <c r="C21" s="281">
        <v>0.041144706818035</v>
      </c>
      <c r="D21" s="281">
        <v>0.2529266201763943</v>
      </c>
      <c r="E21" s="282">
        <v>0.0026956811924814745</v>
      </c>
      <c r="F21" s="233">
        <v>2503.7879999999423</v>
      </c>
      <c r="G21" s="233">
        <v>42.976752547430806</v>
      </c>
      <c r="H21" s="233">
        <v>209366.21199999948</v>
      </c>
      <c r="I21" s="233">
        <v>193238.1745953489</v>
      </c>
      <c r="J21" s="233">
        <v>342322.7419999995</v>
      </c>
    </row>
    <row r="22">
      <c r="A22" s="184">
        <v>44088.98315741898</v>
      </c>
      <c r="B22" s="281">
        <v>0.2268366596885743</v>
      </c>
      <c r="C22" s="281">
        <v>0.04120147299524363</v>
      </c>
      <c r="D22" s="281">
        <v>0.2502466804556688</v>
      </c>
      <c r="E22" s="282">
        <v>0.003116971127511336</v>
      </c>
      <c r="F22" s="233">
        <v>2887.2840000001015</v>
      </c>
      <c r="G22" s="233">
        <v>154.31660404190188</v>
      </c>
      <c r="H22" s="233">
        <v>206862.42399999953</v>
      </c>
      <c r="I22" s="233">
        <v>193195.19784280146</v>
      </c>
      <c r="J22" s="233">
        <v>339818.95399999956</v>
      </c>
    </row>
    <row r="23">
      <c r="A23" s="184">
        <v>44085.983099895835</v>
      </c>
      <c r="B23" s="281">
        <v>0.2239007095024475</v>
      </c>
      <c r="C23" s="281">
        <v>0.04130420187090643</v>
      </c>
      <c r="D23" s="281">
        <v>0.24736909918059824</v>
      </c>
      <c r="E23" s="282">
        <v>2.2022614520620233E-4</v>
      </c>
      <c r="F23" s="233">
        <v>203.36200000008103</v>
      </c>
      <c r="G23" s="233">
        <v>46.52532558122766</v>
      </c>
      <c r="H23" s="233">
        <v>203975.13999999943</v>
      </c>
      <c r="I23" s="233">
        <v>193040.88123875955</v>
      </c>
      <c r="J23" s="233">
        <v>336931.66999999946</v>
      </c>
    </row>
    <row r="24">
      <c r="A24" s="184">
        <v>44084.983133333335</v>
      </c>
      <c r="B24" s="281">
        <v>0.2239580885211845</v>
      </c>
      <c r="C24" s="281">
        <v>0.041360345110363836</v>
      </c>
      <c r="D24" s="281">
        <v>0.24745837789383845</v>
      </c>
      <c r="E24" s="282">
        <v>-0.005047680133601365</v>
      </c>
      <c r="F24" s="233">
        <v>-4660.120000000112</v>
      </c>
      <c r="G24" s="233">
        <v>45.13480620161863</v>
      </c>
      <c r="H24" s="233">
        <v>203771.77799999935</v>
      </c>
      <c r="I24" s="233">
        <v>192994.35591317833</v>
      </c>
      <c r="J24" s="233">
        <v>336728.3079999994</v>
      </c>
    </row>
    <row r="25">
      <c r="A25" s="184">
        <v>44083.983159560186</v>
      </c>
      <c r="B25" s="281">
        <v>0.2299296917660684</v>
      </c>
      <c r="C25" s="281">
        <v>0.04141661703364239</v>
      </c>
      <c r="D25" s="281">
        <v>0.2534619539493233</v>
      </c>
      <c r="E25" s="282">
        <v>0.0027631625420015526</v>
      </c>
      <c r="F25" s="233">
        <v>2563.883999999962</v>
      </c>
      <c r="G25" s="233">
        <v>77.37203875972773</v>
      </c>
      <c r="H25" s="233">
        <v>208431.89799999946</v>
      </c>
      <c r="I25" s="233">
        <v>192949.2211069767</v>
      </c>
      <c r="J25" s="233">
        <v>341388.4279999995</v>
      </c>
    </row>
    <row r="26">
      <c r="A26" s="184">
        <v>44082.98313530092</v>
      </c>
      <c r="B26" s="281">
        <v>0.2271260338309235</v>
      </c>
      <c r="C26" s="281">
        <v>0.04147397874780924</v>
      </c>
      <c r="D26" s="281">
        <v>0.25069088802660566</v>
      </c>
      <c r="E26" s="282">
        <v>-0.00548814447448485</v>
      </c>
      <c r="F26" s="233">
        <v>-5078.269999999902</v>
      </c>
      <c r="G26" s="233">
        <v>1.2883071273681708</v>
      </c>
      <c r="H26" s="233">
        <v>205868.0139999995</v>
      </c>
      <c r="I26" s="233">
        <v>192871.84906821698</v>
      </c>
      <c r="J26" s="233">
        <v>339824.5439999995</v>
      </c>
    </row>
    <row r="27">
      <c r="A27" s="184">
        <v>44081.98470541667</v>
      </c>
      <c r="B27" s="281">
        <v>0.23363190711309734</v>
      </c>
      <c r="C27" s="281">
        <v>0.041531206216510914</v>
      </c>
      <c r="D27" s="281">
        <v>0.2572292770450714</v>
      </c>
      <c r="E27" s="282">
        <v>0.002241412277074335</v>
      </c>
      <c r="F27" s="233">
        <v>2085.3979999999283</v>
      </c>
      <c r="G27" s="233">
        <v>105.58811147717643</v>
      </c>
      <c r="H27" s="233">
        <v>210946.2839999994</v>
      </c>
      <c r="I27" s="233">
        <v>192870.5607610896</v>
      </c>
      <c r="J27" s="233">
        <v>344902.81399999943</v>
      </c>
    </row>
    <row r="28">
      <c r="A28" s="184">
        <v>44078.983152581015</v>
      </c>
      <c r="B28" s="281">
        <v>0.23167457366335942</v>
      </c>
      <c r="C28" s="281">
        <v>0.04163645259673604</v>
      </c>
      <c r="D28" s="281">
        <v>0.2553317429123874</v>
      </c>
      <c r="E28" s="282">
        <v>-0.01252123462614702</v>
      </c>
      <c r="F28" s="233">
        <v>-11623.57799999998</v>
      </c>
      <c r="G28" s="233">
        <v>13.952736434177496</v>
      </c>
      <c r="H28" s="233">
        <v>208860.88599999947</v>
      </c>
      <c r="I28" s="233">
        <v>192764.97264961243</v>
      </c>
      <c r="J28" s="233">
        <v>342817.4159999995</v>
      </c>
    </row>
    <row r="29">
      <c r="A29" s="184">
        <v>44077.98314321759</v>
      </c>
      <c r="B29" s="281">
        <v>0.24622846735255632</v>
      </c>
      <c r="C29" s="281">
        <v>0.041694721598992575</v>
      </c>
      <c r="D29" s="281">
        <v>0.26991874412065436</v>
      </c>
      <c r="E29" s="282">
        <v>-0.0071896732995710404</v>
      </c>
      <c r="F29" s="233">
        <v>-6757.8099999999395</v>
      </c>
      <c r="G29" s="233">
        <v>10321.718147286825</v>
      </c>
      <c r="H29" s="233">
        <v>220484.46399999945</v>
      </c>
      <c r="I29" s="233">
        <v>192751.01991317826</v>
      </c>
      <c r="J29" s="233">
        <v>354440.9939999995</v>
      </c>
    </row>
    <row r="30">
      <c r="A30" s="184">
        <v>44076.98318923611</v>
      </c>
      <c r="B30" s="281">
        <v>0.2548724013430055</v>
      </c>
      <c r="C30" s="281">
        <v>0.04175549758233518</v>
      </c>
      <c r="D30" s="281">
        <v>0.27859721005689964</v>
      </c>
      <c r="E30" s="282">
        <v>0.01598394026709496</v>
      </c>
      <c r="F30" s="233">
        <v>17010.842000000062</v>
      </c>
      <c r="G30" s="233">
        <v>278.3414651163039</v>
      </c>
      <c r="H30" s="233">
        <v>227242.2739999994</v>
      </c>
      <c r="I30" s="233">
        <v>182429.30176589143</v>
      </c>
      <c r="J30" s="233">
        <v>362698.8039999994</v>
      </c>
    </row>
    <row r="31">
      <c r="A31" s="184">
        <v>44075.98318387731</v>
      </c>
      <c r="B31" s="281">
        <v>0.2343682524438996</v>
      </c>
      <c r="C31" s="281">
        <v>0.041818127517738425</v>
      </c>
      <c r="D31" s="281">
        <v>0.258128646489624</v>
      </c>
      <c r="E31" s="282">
        <v>0.0019265240295974911</v>
      </c>
      <c r="F31" s="233">
        <v>2015.345999999845</v>
      </c>
      <c r="G31" s="233">
        <v>130.7601856000838</v>
      </c>
      <c r="H31" s="233">
        <v>210231.43199999933</v>
      </c>
      <c r="I31" s="233">
        <v>182150.96030077513</v>
      </c>
      <c r="J31" s="233">
        <v>345687.96199999936</v>
      </c>
    </row>
    <row r="32">
      <c r="A32" s="184">
        <v>44074.983374131945</v>
      </c>
      <c r="B32" s="281">
        <v>0.23138687293445148</v>
      </c>
      <c r="C32" s="281">
        <v>0.04187753732415179</v>
      </c>
      <c r="D32" s="281">
        <v>0.2560173428735868</v>
      </c>
      <c r="E32" s="282">
        <v>-0.001622041590332041</v>
      </c>
      <c r="F32" s="233">
        <v>-1690.6439999999711</v>
      </c>
      <c r="G32" s="233">
        <v>233.2360702138394</v>
      </c>
      <c r="H32" s="233">
        <v>208216.0859999995</v>
      </c>
      <c r="I32" s="233">
        <v>182020.20011517504</v>
      </c>
      <c r="J32" s="233">
        <v>343672.61599999946</v>
      </c>
    </row>
    <row r="33">
      <c r="A33" s="184">
        <v>44071.98312766204</v>
      </c>
      <c r="B33" s="281">
        <v>0.23405994852982134</v>
      </c>
      <c r="C33" s="281">
        <v>0.041984139249692284</v>
      </c>
      <c r="D33" s="281">
        <v>0.25875311689131514</v>
      </c>
      <c r="E33" s="282">
        <v>-0.006261501413119268</v>
      </c>
      <c r="F33" s="233">
        <v>-6525.21399999992</v>
      </c>
      <c r="G33" s="233">
        <v>142.15323255804833</v>
      </c>
      <c r="H33" s="233">
        <v>209906.72999999946</v>
      </c>
      <c r="I33" s="233">
        <v>181786.9640449612</v>
      </c>
      <c r="J33" s="233">
        <v>345363.2599999994</v>
      </c>
    </row>
    <row r="34">
      <c r="A34" s="184">
        <v>44070.98313912037</v>
      </c>
      <c r="B34" s="281">
        <v>0.2424485164568369</v>
      </c>
      <c r="C34" s="281">
        <v>0.04204395018595989</v>
      </c>
      <c r="D34" s="281">
        <v>0.2671768629009473</v>
      </c>
      <c r="E34" s="282">
        <v>0.003915642402952564</v>
      </c>
      <c r="F34" s="233">
        <v>4106.10599999968</v>
      </c>
      <c r="G34" s="233">
        <v>247.18383720924612</v>
      </c>
      <c r="H34" s="233">
        <v>216431.94399999938</v>
      </c>
      <c r="I34" s="233">
        <v>181644.81081240316</v>
      </c>
      <c r="J34" s="233">
        <v>351888.47399999935</v>
      </c>
    </row>
    <row r="35">
      <c r="A35" s="184">
        <v>44069.98320857639</v>
      </c>
      <c r="B35" s="281">
        <v>0.23772594163082073</v>
      </c>
      <c r="C35" s="281">
        <v>0.042105277650316186</v>
      </c>
      <c r="D35" s="281">
        <v>0.2624903581106541</v>
      </c>
      <c r="E35" s="282">
        <v>0.004121904194106544</v>
      </c>
      <c r="F35" s="233">
        <v>4300.802000000258</v>
      </c>
      <c r="G35" s="233">
        <v>255.07195348857203</v>
      </c>
      <c r="H35" s="233">
        <v>212325.8379999997</v>
      </c>
      <c r="I35" s="233">
        <v>181397.6269751939</v>
      </c>
      <c r="J35" s="233">
        <v>347782.36799999967</v>
      </c>
    </row>
    <row r="36">
      <c r="A36" s="184">
        <v>44068.98318372685</v>
      </c>
      <c r="B36" s="281">
        <v>0.23274399512392657</v>
      </c>
      <c r="C36" s="281">
        <v>0.04216596404262143</v>
      </c>
      <c r="D36" s="281">
        <v>0.25754410458995003</v>
      </c>
      <c r="E36" s="282">
        <v>-0.002401905946643672</v>
      </c>
      <c r="F36" s="233">
        <v>-2493.1040000003995</v>
      </c>
      <c r="G36" s="233">
        <v>2005.1738792929682</v>
      </c>
      <c r="H36" s="233">
        <v>208025.03599999944</v>
      </c>
      <c r="I36" s="233">
        <v>181142.55502170534</v>
      </c>
      <c r="J36" s="233">
        <v>343481.5659999994</v>
      </c>
    </row>
    <row r="37">
      <c r="A37" s="184">
        <v>44067.98321777778</v>
      </c>
      <c r="B37" s="281">
        <v>0.23616613370913583</v>
      </c>
      <c r="C37" s="281">
        <v>0.042225962589874315</v>
      </c>
      <c r="D37" s="281">
        <v>0.26100153160205664</v>
      </c>
      <c r="E37" s="282">
        <v>0.0039555693683493015</v>
      </c>
      <c r="F37" s="233">
        <v>3754.374000000069</v>
      </c>
      <c r="G37" s="233">
        <v>332.03898117211065</v>
      </c>
      <c r="H37" s="233">
        <v>210518.13999999984</v>
      </c>
      <c r="I37" s="233">
        <v>179137.38114241237</v>
      </c>
      <c r="J37" s="233">
        <v>345974.6699999998</v>
      </c>
    </row>
    <row r="38">
      <c r="A38" s="184">
        <v>44064.9831471412</v>
      </c>
      <c r="B38" s="281">
        <v>0.23210739647485149</v>
      </c>
      <c r="C38" s="281">
        <v>0.04233466052792454</v>
      </c>
      <c r="D38" s="281">
        <v>0.25700672556971643</v>
      </c>
      <c r="E38" s="282">
        <v>0.007253955974693166</v>
      </c>
      <c r="F38" s="233">
        <v>6857.757999999914</v>
      </c>
      <c r="G38" s="233">
        <v>188.40062015512376</v>
      </c>
      <c r="H38" s="233">
        <v>206763.76599999977</v>
      </c>
      <c r="I38" s="233">
        <v>178805.34216124026</v>
      </c>
      <c r="J38" s="233">
        <v>342220.29599999974</v>
      </c>
    </row>
    <row r="39">
      <c r="A39" s="184">
        <v>44063.98314143519</v>
      </c>
      <c r="B39" s="281">
        <v>0.22390123360928205</v>
      </c>
      <c r="C39" s="281">
        <v>0.042394874408536135</v>
      </c>
      <c r="D39" s="281">
        <v>0.24883597778036898</v>
      </c>
      <c r="E39" s="282">
        <v>1.2754494704211416E-4</v>
      </c>
      <c r="F39" s="233">
        <v>119.7039999999106</v>
      </c>
      <c r="G39" s="233">
        <v>141.07986821702798</v>
      </c>
      <c r="H39" s="233">
        <v>199906.00799999986</v>
      </c>
      <c r="I39" s="233">
        <v>178616.94154108514</v>
      </c>
      <c r="J39" s="233">
        <v>335362.5379999998</v>
      </c>
    </row>
    <row r="40">
      <c r="A40" s="184">
        <v>44062.9832450463</v>
      </c>
      <c r="B40" s="281">
        <v>0.22406353494375209</v>
      </c>
      <c r="C40" s="281">
        <v>0.04245385805464324</v>
      </c>
      <c r="D40" s="281">
        <v>0.2490329706228686</v>
      </c>
      <c r="E40" s="282">
        <v>0.0032040175636698738</v>
      </c>
      <c r="F40" s="233">
        <v>3006.664000000106</v>
      </c>
      <c r="G40" s="233">
        <v>150.72125581401633</v>
      </c>
      <c r="H40" s="233">
        <v>199786.30399999995</v>
      </c>
      <c r="I40" s="233">
        <v>178475.8616728681</v>
      </c>
      <c r="J40" s="233">
        <v>335242.8339999999</v>
      </c>
    </row>
    <row r="41">
      <c r="A41" s="184">
        <v>44061.984082256946</v>
      </c>
      <c r="B41" s="281">
        <v>0.22062264834327625</v>
      </c>
      <c r="C41" s="281">
        <v>0.04251299827525819</v>
      </c>
      <c r="D41" s="281">
        <v>0.24562686762045333</v>
      </c>
      <c r="E41" s="282">
        <v>-0.0026367266594034657</v>
      </c>
      <c r="F41" s="233">
        <v>-2466.388000000152</v>
      </c>
      <c r="G41" s="233">
        <v>30.043352462758776</v>
      </c>
      <c r="H41" s="233">
        <v>196779.63999999984</v>
      </c>
      <c r="I41" s="233">
        <v>178325.1404170541</v>
      </c>
      <c r="J41" s="233">
        <v>332236.1699999998</v>
      </c>
    </row>
    <row r="42">
      <c r="A42" s="184">
        <v>44060.98467878472</v>
      </c>
      <c r="B42" s="281">
        <v>0.22401013250847845</v>
      </c>
      <c r="C42" s="281">
        <v>0.04257169456187886</v>
      </c>
      <c r="D42" s="281">
        <v>0.24904887428185582</v>
      </c>
      <c r="E42" s="282">
        <v>0.001465687882606926</v>
      </c>
      <c r="F42" s="233">
        <v>1374.6160000000382</v>
      </c>
      <c r="G42" s="233">
        <v>283.3754304830509</v>
      </c>
      <c r="H42" s="233">
        <v>199246.028</v>
      </c>
      <c r="I42" s="233">
        <v>178295.09706459133</v>
      </c>
      <c r="J42" s="233">
        <v>334702.55799999996</v>
      </c>
    </row>
    <row r="43">
      <c r="A43" s="184">
        <v>44057.9835600463</v>
      </c>
      <c r="B43" s="281">
        <v>0.22285571337342575</v>
      </c>
      <c r="C43" s="281">
        <v>0.042679667640041434</v>
      </c>
      <c r="D43" s="281">
        <v>0.24795796001900544</v>
      </c>
      <c r="E43" s="282">
        <v>-0.0019548645167227815</v>
      </c>
      <c r="F43" s="233">
        <v>-1830.7099999999627</v>
      </c>
      <c r="G43" s="233">
        <v>168.5775193796435</v>
      </c>
      <c r="H43" s="233">
        <v>197871.41199999995</v>
      </c>
      <c r="I43" s="233">
        <v>178011.72163410828</v>
      </c>
      <c r="J43" s="233">
        <v>333327.9419999999</v>
      </c>
    </row>
    <row r="44">
      <c r="A44" s="184">
        <v>44056.98320953704</v>
      </c>
      <c r="B44" s="281">
        <v>0.22546308106214635</v>
      </c>
      <c r="C44" s="281">
        <v>0.04273904882066719</v>
      </c>
      <c r="D44" s="281">
        <v>0.25060025302754685</v>
      </c>
      <c r="E44" s="282">
        <v>-7.467408549618237E-4</v>
      </c>
      <c r="F44" s="233">
        <v>-700.681999999797</v>
      </c>
      <c r="G44" s="233">
        <v>176.31488372088643</v>
      </c>
      <c r="H44" s="233">
        <v>199702.12199999992</v>
      </c>
      <c r="I44" s="233">
        <v>177843.14411472864</v>
      </c>
      <c r="J44" s="233">
        <v>335158.6519999999</v>
      </c>
    </row>
    <row r="45">
      <c r="A45" s="184">
        <v>44055.9831977662</v>
      </c>
      <c r="B45" s="281">
        <v>0.22665983067153478</v>
      </c>
      <c r="C45" s="281">
        <v>0.042798997789189865</v>
      </c>
      <c r="D45" s="281">
        <v>0.25183226190387</v>
      </c>
      <c r="E45" s="282">
        <v>-0.004134434315070627</v>
      </c>
      <c r="F45" s="233">
        <v>-3882.3200000001816</v>
      </c>
      <c r="G45" s="233">
        <v>196.47367441881215</v>
      </c>
      <c r="H45" s="233">
        <v>200402.8039999997</v>
      </c>
      <c r="I45" s="233">
        <v>177666.82923100775</v>
      </c>
      <c r="J45" s="233">
        <v>335859.3339999997</v>
      </c>
    </row>
    <row r="46">
      <c r="A46" s="184">
        <v>44054.98316871528</v>
      </c>
      <c r="B46" s="281">
        <v>0.23186459581162697</v>
      </c>
      <c r="C46" s="281">
        <v>0.042859280500759295</v>
      </c>
      <c r="D46" s="281">
        <v>0.2570724826034347</v>
      </c>
      <c r="E46" s="282">
        <v>-0.004638552681747079</v>
      </c>
      <c r="F46" s="233">
        <v>-4373.706000000006</v>
      </c>
      <c r="G46" s="233">
        <v>55.15211067473865</v>
      </c>
      <c r="H46" s="233">
        <v>204285.1239999999</v>
      </c>
      <c r="I46" s="233">
        <v>177470.35555658894</v>
      </c>
      <c r="J46" s="233">
        <v>339741.65399999986</v>
      </c>
    </row>
    <row r="47">
      <c r="A47" s="184">
        <v>44053.98470045139</v>
      </c>
      <c r="B47" s="281">
        <v>0.2377079249596249</v>
      </c>
      <c r="C47" s="281">
        <v>0.042920572673446636</v>
      </c>
      <c r="D47" s="281">
        <v>0.262951861030195</v>
      </c>
      <c r="E47" s="282">
        <v>0.0022729025358764294</v>
      </c>
      <c r="F47" s="233">
        <v>2153.0680000000866</v>
      </c>
      <c r="G47" s="233">
        <v>394.75938389869407</v>
      </c>
      <c r="H47" s="233">
        <v>208658.8299999999</v>
      </c>
      <c r="I47" s="233">
        <v>177415.2034459142</v>
      </c>
      <c r="J47" s="233">
        <v>344115.35999999987</v>
      </c>
    </row>
    <row r="48">
      <c r="A48" s="184">
        <v>44050.98315290509</v>
      </c>
      <c r="B48" s="281">
        <v>0.23560561846374403</v>
      </c>
      <c r="C48" s="281">
        <v>0.0430321668562704</v>
      </c>
      <c r="D48" s="281">
        <v>0.26091518917620216</v>
      </c>
      <c r="E48" s="282">
        <v>0.0035016089881523384</v>
      </c>
      <c r="F48" s="233">
        <v>3309.4539999999106</v>
      </c>
      <c r="G48" s="233">
        <v>95.43891804668237</v>
      </c>
      <c r="H48" s="233">
        <v>206505.7619999998</v>
      </c>
      <c r="I48" s="233">
        <v>177020.4440620155</v>
      </c>
      <c r="J48" s="233">
        <v>341962.2919999998</v>
      </c>
    </row>
    <row r="49">
      <c r="A49" s="184">
        <v>44049.98325348379</v>
      </c>
      <c r="B49" s="281">
        <v>0.23175900819837597</v>
      </c>
      <c r="C49" s="281">
        <v>0.043094422587034394</v>
      </c>
      <c r="D49" s="281">
        <v>0.2571051949107973</v>
      </c>
      <c r="E49" s="282">
        <v>0.006547817001403193</v>
      </c>
      <c r="F49" s="233">
        <v>6166.827999999863</v>
      </c>
      <c r="G49" s="233">
        <v>465.8589036586636</v>
      </c>
      <c r="H49" s="233">
        <v>203196.3079999999</v>
      </c>
      <c r="I49" s="233">
        <v>176925.00514396882</v>
      </c>
      <c r="J49" s="233">
        <v>338652.8379999999</v>
      </c>
    </row>
    <row r="50">
      <c r="A50" s="184">
        <v>44048.983191527775</v>
      </c>
      <c r="B50" s="281">
        <v>0.22427698281663597</v>
      </c>
      <c r="C50" s="281">
        <v>0.043156169296462474</v>
      </c>
      <c r="D50" s="281">
        <v>0.24965948614573505</v>
      </c>
      <c r="E50" s="282">
        <v>-0.004301138958824733</v>
      </c>
      <c r="F50" s="233">
        <v>-4024.349999999744</v>
      </c>
      <c r="G50" s="233">
        <v>215.25356589147123</v>
      </c>
      <c r="H50" s="233">
        <v>197029.48000000004</v>
      </c>
      <c r="I50" s="233">
        <v>176459.14624031016</v>
      </c>
      <c r="J50" s="233">
        <v>332486.01</v>
      </c>
    </row>
    <row r="51">
      <c r="A51" s="184">
        <v>44047.98322415509</v>
      </c>
      <c r="B51" s="281">
        <v>0.2296984982529146</v>
      </c>
      <c r="C51" s="281">
        <v>0.043216788237542866</v>
      </c>
      <c r="D51" s="281">
        <v>0.25511665489644975</v>
      </c>
      <c r="E51" s="282">
        <v>0.001762906875141182</v>
      </c>
      <c r="F51" s="233">
        <v>1656.553999999771</v>
      </c>
      <c r="G51" s="233">
        <v>70.81525807612343</v>
      </c>
      <c r="H51" s="233">
        <v>201053.82999999978</v>
      </c>
      <c r="I51" s="233">
        <v>176243.8926744187</v>
      </c>
      <c r="J51" s="233">
        <v>336510.35999999975</v>
      </c>
    </row>
    <row r="52">
      <c r="A52" s="184">
        <v>44046.983242013885</v>
      </c>
      <c r="B52" s="281">
        <v>0.22792129750703616</v>
      </c>
      <c r="C52" s="281">
        <v>0.043278461610775754</v>
      </c>
      <c r="D52" s="281">
        <v>0.25337572763422195</v>
      </c>
      <c r="E52" s="282">
        <v>0.014407687987047856</v>
      </c>
      <c r="F52" s="233">
        <v>13514.6320000001</v>
      </c>
      <c r="G52" s="233">
        <v>331.86521479219664</v>
      </c>
      <c r="H52" s="233">
        <v>199397.276</v>
      </c>
      <c r="I52" s="233">
        <v>176173.07741634257</v>
      </c>
      <c r="J52" s="233">
        <v>334853.806</v>
      </c>
    </row>
    <row r="53">
      <c r="A53" s="184">
        <v>44043.98371217593</v>
      </c>
      <c r="B53" s="281">
        <v>0.21040987823945764</v>
      </c>
      <c r="C53" s="281">
        <v>0.043389759305867505</v>
      </c>
      <c r="D53" s="281">
        <v>0.2368100095394062</v>
      </c>
      <c r="E53" s="282">
        <v>4.298482480609104E-4</v>
      </c>
      <c r="F53" s="233">
        <v>397.09799999999814</v>
      </c>
      <c r="G53" s="233">
        <v>104.47283720911946</v>
      </c>
      <c r="H53" s="233">
        <v>185882.6439999999</v>
      </c>
      <c r="I53" s="233">
        <v>175841.21220155037</v>
      </c>
      <c r="J53" s="233">
        <v>321339.1739999999</v>
      </c>
    </row>
    <row r="54">
      <c r="A54" s="184">
        <v>44042.98394230324</v>
      </c>
      <c r="B54" s="281">
        <v>0.2101887914036828</v>
      </c>
      <c r="C54" s="281">
        <v>0.04344863233407448</v>
      </c>
      <c r="D54" s="281">
        <v>0.23662474349866583</v>
      </c>
      <c r="E54" s="282">
        <v>-0.002451772790644568</v>
      </c>
      <c r="F54" s="233">
        <v>-2263.997999999905</v>
      </c>
      <c r="G54" s="233">
        <v>105.38010077516083</v>
      </c>
      <c r="H54" s="233">
        <v>185485.54599999991</v>
      </c>
      <c r="I54" s="233">
        <v>175736.73936434125</v>
      </c>
      <c r="J54" s="233">
        <v>320942.0759999999</v>
      </c>
    </row>
    <row r="55">
      <c r="A55" s="184">
        <v>44041.98395645834</v>
      </c>
      <c r="B55" s="281">
        <v>0.21336614723833208</v>
      </c>
      <c r="C55" s="281">
        <v>0.04350759578999728</v>
      </c>
      <c r="D55" s="281">
        <v>0.23983797514832683</v>
      </c>
      <c r="E55" s="282">
        <v>-0.002345183940927108</v>
      </c>
      <c r="F55" s="233">
        <v>-2170.8820000000997</v>
      </c>
      <c r="G55" s="233">
        <v>109.07332558144117</v>
      </c>
      <c r="H55" s="233">
        <v>187749.54399999982</v>
      </c>
      <c r="I55" s="233">
        <v>175631.3592635661</v>
      </c>
      <c r="J55" s="233">
        <v>323206.0739999998</v>
      </c>
    </row>
    <row r="56">
      <c r="A56" s="184">
        <v>44040.983220462964</v>
      </c>
      <c r="B56" s="281">
        <v>0.21643556373788483</v>
      </c>
      <c r="C56" s="281">
        <v>0.04356723006598331</v>
      </c>
      <c r="D56" s="281">
        <v>0.24294367561767322</v>
      </c>
      <c r="E56" s="282">
        <v>0.005310721710109983</v>
      </c>
      <c r="F56" s="233">
        <v>4927.540000000037</v>
      </c>
      <c r="G56" s="233">
        <v>40.3415177508723</v>
      </c>
      <c r="H56" s="233">
        <v>189920.42599999992</v>
      </c>
      <c r="I56" s="233">
        <v>175522.28593798465</v>
      </c>
      <c r="J56" s="233">
        <v>325376.9559999999</v>
      </c>
    </row>
    <row r="57">
      <c r="A57" s="184">
        <v>44039.98330314815</v>
      </c>
      <c r="B57" s="281">
        <v>0.21042310943518464</v>
      </c>
      <c r="C57" s="281">
        <v>0.04362752006439087</v>
      </c>
      <c r="D57" s="281">
        <v>0.23696790425351652</v>
      </c>
      <c r="E57" s="282">
        <v>-0.007832015894821052</v>
      </c>
      <c r="F57" s="233">
        <v>-7228.324000000022</v>
      </c>
      <c r="G57" s="233">
        <v>188.65835821814835</v>
      </c>
      <c r="H57" s="233">
        <v>184992.88599999988</v>
      </c>
      <c r="I57" s="233">
        <v>175481.94442023378</v>
      </c>
      <c r="J57" s="233">
        <v>320449.41599999985</v>
      </c>
    </row>
    <row r="58">
      <c r="A58" s="184">
        <v>44036.98330869213</v>
      </c>
      <c r="B58" s="281">
        <v>0.2202350780319888</v>
      </c>
      <c r="C58" s="281">
        <v>0.043737302166324765</v>
      </c>
      <c r="D58" s="281">
        <v>0.24684666883978462</v>
      </c>
      <c r="E58" s="282">
        <v>-0.01091942208657029</v>
      </c>
      <c r="F58" s="233">
        <v>-10156.68200000003</v>
      </c>
      <c r="G58" s="233">
        <v>97.18160465100664</v>
      </c>
      <c r="H58" s="233">
        <v>192221.2099999999</v>
      </c>
      <c r="I58" s="233">
        <v>175293.28606201563</v>
      </c>
      <c r="J58" s="233">
        <v>327677.7399999999</v>
      </c>
    </row>
    <row r="59">
      <c r="A59" s="184">
        <v>44035.98314776621</v>
      </c>
      <c r="B59" s="281">
        <v>0.23360483994729672</v>
      </c>
      <c r="C59" s="281">
        <v>0.0437985649187449</v>
      </c>
      <c r="D59" s="281">
        <v>0.26025370555757044</v>
      </c>
      <c r="E59" s="282">
        <v>0.0038170827875388612</v>
      </c>
      <c r="F59" s="233">
        <v>3589.222000000067</v>
      </c>
      <c r="G59" s="233">
        <v>207.67128682186012</v>
      </c>
      <c r="H59" s="233">
        <v>202377.89199999993</v>
      </c>
      <c r="I59" s="233">
        <v>175196.10445736462</v>
      </c>
      <c r="J59" s="233">
        <v>337834.4219999999</v>
      </c>
    </row>
    <row r="60">
      <c r="A60" s="184">
        <v>44034.983165196754</v>
      </c>
      <c r="B60" s="281">
        <v>0.22932219959201608</v>
      </c>
      <c r="C60" s="281">
        <v>0.043862262044422826</v>
      </c>
      <c r="D60" s="281">
        <v>0.2560098211785438</v>
      </c>
      <c r="E60" s="282">
        <v>-0.007756397653046919</v>
      </c>
      <c r="F60" s="233">
        <v>-7265.540000000037</v>
      </c>
      <c r="G60" s="233">
        <v>171.13453488372033</v>
      </c>
      <c r="H60" s="233">
        <v>198788.66999999987</v>
      </c>
      <c r="I60" s="233">
        <v>174988.43317054276</v>
      </c>
      <c r="J60" s="233">
        <v>334245.19999999984</v>
      </c>
    </row>
    <row r="61">
      <c r="A61" s="184">
        <v>44033.98384851852</v>
      </c>
      <c r="B61" s="281">
        <v>0.23902251442659336</v>
      </c>
      <c r="C61" s="281">
        <v>0.04392536808081342</v>
      </c>
      <c r="D61" s="281">
        <v>0.265748532346108</v>
      </c>
      <c r="E61" s="282">
        <v>0.005360108241973504</v>
      </c>
      <c r="F61" s="233">
        <v>5059.841999999946</v>
      </c>
      <c r="G61" s="233">
        <v>106.37682242924348</v>
      </c>
      <c r="H61" s="233">
        <v>206054.2099999999</v>
      </c>
      <c r="I61" s="233">
        <v>174817.29863565904</v>
      </c>
      <c r="J61" s="233">
        <v>341510.7399999999</v>
      </c>
    </row>
    <row r="62">
      <c r="A62" s="184">
        <v>44032.983224814816</v>
      </c>
      <c r="B62" s="281">
        <v>0.23284046099236153</v>
      </c>
      <c r="C62" s="281">
        <v>0.04399029067066959</v>
      </c>
      <c r="D62" s="281">
        <v>0.2596059805114231</v>
      </c>
      <c r="E62" s="282">
        <v>0.0011319924362408848</v>
      </c>
      <c r="F62" s="233">
        <v>1062.8520000001881</v>
      </c>
      <c r="G62" s="233">
        <v>359.2116333846934</v>
      </c>
      <c r="H62" s="233">
        <v>200994.36799999996</v>
      </c>
      <c r="I62" s="233">
        <v>174710.9218132298</v>
      </c>
      <c r="J62" s="233">
        <v>336450.8979999999</v>
      </c>
    </row>
    <row r="63">
      <c r="A63" s="184">
        <v>44029.983179629635</v>
      </c>
      <c r="B63" s="281">
        <v>0.23207290398524652</v>
      </c>
      <c r="C63" s="281">
        <v>0.044105314528308015</v>
      </c>
      <c r="D63" s="281">
        <v>0.25890840879560395</v>
      </c>
      <c r="E63" s="282">
        <v>0.0011450851777427785</v>
      </c>
      <c r="F63" s="233">
        <v>1073.9279999999562</v>
      </c>
      <c r="G63" s="233">
        <v>205.17654263562872</v>
      </c>
      <c r="H63" s="233">
        <v>199931.51599999977</v>
      </c>
      <c r="I63" s="233">
        <v>174351.7101798451</v>
      </c>
      <c r="J63" s="233">
        <v>335388.04599999974</v>
      </c>
    </row>
    <row r="64">
      <c r="A64" s="184">
        <v>44028.98360743056</v>
      </c>
      <c r="B64" s="281">
        <v>0.23101732294655827</v>
      </c>
      <c r="C64" s="281">
        <v>0.04416939169384309</v>
      </c>
      <c r="D64" s="281">
        <v>0.2578918149651998</v>
      </c>
      <c r="E64" s="282">
        <v>-0.0011728949181971646</v>
      </c>
      <c r="F64" s="233">
        <v>-1098.7500000001164</v>
      </c>
      <c r="G64" s="233">
        <v>183.47673488379223</v>
      </c>
      <c r="H64" s="233">
        <v>198857.5879999998</v>
      </c>
      <c r="I64" s="233">
        <v>174146.53363720948</v>
      </c>
      <c r="J64" s="233">
        <v>334314.1179999998</v>
      </c>
    </row>
    <row r="65">
      <c r="A65" s="184">
        <v>44027.983152789355</v>
      </c>
      <c r="B65" s="281">
        <v>0.23277927473038412</v>
      </c>
      <c r="C65" s="281">
        <v>0.044233433141804925</v>
      </c>
      <c r="D65" s="281">
        <v>0.2596927322252551</v>
      </c>
      <c r="E65" s="282">
        <v>0.004631223693705903</v>
      </c>
      <c r="F65" s="233">
        <v>4343.547999999952</v>
      </c>
      <c r="G65" s="233">
        <v>265.2129381231789</v>
      </c>
      <c r="H65" s="233">
        <v>199956.33799999993</v>
      </c>
      <c r="I65" s="233">
        <v>173963.05690232568</v>
      </c>
      <c r="J65" s="233">
        <v>335412.8679999999</v>
      </c>
    </row>
    <row r="66">
      <c r="A66" s="184">
        <v>44026.0</v>
      </c>
      <c r="B66" s="279">
        <v>0.22746928188471763</v>
      </c>
      <c r="C66" s="279">
        <v>0.044297927544019275</v>
      </c>
      <c r="D66" s="279">
        <v>0.2544219804519939</v>
      </c>
      <c r="E66" s="280">
        <v>-0.010393349126195127</v>
      </c>
      <c r="F66" s="235">
        <v>-9702.605999999796</v>
      </c>
      <c r="G66" s="235">
        <v>-37.753330739215016</v>
      </c>
      <c r="H66" s="235">
        <v>195612.78999999998</v>
      </c>
      <c r="I66" s="235">
        <v>173697.8439642025</v>
      </c>
      <c r="J66" s="235">
        <v>331069.31999999995</v>
      </c>
    </row>
    <row r="67">
      <c r="A67" s="184">
        <v>44025.98387409722</v>
      </c>
      <c r="B67" s="281">
        <v>0.2404342393804579</v>
      </c>
      <c r="C67" s="281">
        <v>0.044361647191033034</v>
      </c>
      <c r="D67" s="281">
        <v>0.2674257076269041</v>
      </c>
      <c r="E67" s="282">
        <v>0.004110771107581556</v>
      </c>
      <c r="F67" s="233">
        <v>3877.4539999999106</v>
      </c>
      <c r="G67" s="233">
        <v>375.46906703463173</v>
      </c>
      <c r="H67" s="233">
        <v>205315.39599999978</v>
      </c>
      <c r="I67" s="233">
        <v>173735.59729494172</v>
      </c>
      <c r="J67" s="233">
        <v>340771.92599999974</v>
      </c>
    </row>
    <row r="68">
      <c r="A68" s="184">
        <v>44022.98317260417</v>
      </c>
      <c r="B68" s="281">
        <v>0.23600877561529462</v>
      </c>
      <c r="C68" s="281">
        <v>0.04447943140891431</v>
      </c>
      <c r="D68" s="281">
        <v>0.2630719086708311</v>
      </c>
      <c r="E68" s="282">
        <v>0.006060353265732835</v>
      </c>
      <c r="F68" s="233">
        <v>5692.883999999962</v>
      </c>
      <c r="G68" s="233">
        <v>233.01024031016277</v>
      </c>
      <c r="H68" s="233">
        <v>201437.94199999986</v>
      </c>
      <c r="I68" s="233">
        <v>173360.1282279071</v>
      </c>
      <c r="J68" s="233">
        <v>336894.47199999983</v>
      </c>
    </row>
    <row r="69">
      <c r="A69" s="184">
        <v>44021.983304803245</v>
      </c>
      <c r="B69" s="281">
        <v>0.22891097075215297</v>
      </c>
      <c r="C69" s="281">
        <v>0.044544996563532085</v>
      </c>
      <c r="D69" s="281">
        <v>0.25601399637031946</v>
      </c>
      <c r="E69" s="282">
        <v>0.001798271465646556</v>
      </c>
      <c r="F69" s="233">
        <v>1678.9960000000428</v>
      </c>
      <c r="G69" s="233">
        <v>201.63170542634907</v>
      </c>
      <c r="H69" s="233">
        <v>195745.0579999999</v>
      </c>
      <c r="I69" s="233">
        <v>173127.11798759692</v>
      </c>
      <c r="J69" s="233">
        <v>331201.5879999999</v>
      </c>
    </row>
    <row r="70">
      <c r="A70" s="184">
        <v>44020.98318141204</v>
      </c>
      <c r="B70" s="281">
        <v>0.22704318037230362</v>
      </c>
      <c r="C70" s="281">
        <v>0.0446094735244271</v>
      </c>
      <c r="D70" s="281">
        <v>0.25418543645085245</v>
      </c>
      <c r="E70" s="282">
        <v>-0.006042091540581584</v>
      </c>
      <c r="F70" s="233">
        <v>-5631.188000000082</v>
      </c>
      <c r="G70" s="233">
        <v>164.3518294573878</v>
      </c>
      <c r="H70" s="233">
        <v>194066.06199999986</v>
      </c>
      <c r="I70" s="233">
        <v>172925.48628217058</v>
      </c>
      <c r="J70" s="233">
        <v>329522.59199999983</v>
      </c>
    </row>
    <row r="71">
      <c r="A71" s="184">
        <v>44019.98321366898</v>
      </c>
      <c r="B71" s="281">
        <v>0.23475672498645342</v>
      </c>
      <c r="C71" s="281">
        <v>0.04467377166784951</v>
      </c>
      <c r="D71" s="281">
        <v>0.261938102725409</v>
      </c>
      <c r="E71" s="282">
        <v>0.0038845663511191514</v>
      </c>
      <c r="F71" s="233">
        <v>3642.2639999999665</v>
      </c>
      <c r="G71" s="233">
        <v>84.12634065083694</v>
      </c>
      <c r="H71" s="233">
        <v>199697.24999999994</v>
      </c>
      <c r="I71" s="233">
        <v>172761.1344527132</v>
      </c>
      <c r="J71" s="233">
        <v>335153.7799999999</v>
      </c>
    </row>
    <row r="72">
      <c r="A72" s="184">
        <v>44018.98341570602</v>
      </c>
      <c r="B72" s="281">
        <v>0.23031798417722946</v>
      </c>
      <c r="C72" s="281">
        <v>0.0447395703552831</v>
      </c>
      <c r="D72" s="281">
        <v>0.2575393965698775</v>
      </c>
      <c r="E72" s="282">
        <v>0.0029600375011907057</v>
      </c>
      <c r="F72" s="233">
        <v>2764.622000000323</v>
      </c>
      <c r="G72" s="233">
        <v>339.47917872897233</v>
      </c>
      <c r="H72" s="233">
        <v>196054.98599999998</v>
      </c>
      <c r="I72" s="233">
        <v>172677.00811206235</v>
      </c>
      <c r="J72" s="233">
        <v>331511.51599999995</v>
      </c>
    </row>
    <row r="73">
      <c r="A73" s="184">
        <v>44015.98323453704</v>
      </c>
      <c r="B73" s="281">
        <v>0.22728161988320394</v>
      </c>
      <c r="C73" s="281">
        <v>0.04485705388040223</v>
      </c>
      <c r="D73" s="281">
        <v>0.25457451413097976</v>
      </c>
      <c r="E73" s="282">
        <v>-0.0032289536185075678</v>
      </c>
      <c r="F73" s="233">
        <v>-3006.8580000002403</v>
      </c>
      <c r="G73" s="233">
        <v>175.55881395348115</v>
      </c>
      <c r="H73" s="233">
        <v>193290.36399999965</v>
      </c>
      <c r="I73" s="233">
        <v>172337.52893333338</v>
      </c>
      <c r="J73" s="233">
        <v>328746.8939999996</v>
      </c>
    </row>
    <row r="74">
      <c r="A74" s="184">
        <v>44014.98316203704</v>
      </c>
      <c r="B74" s="281">
        <v>0.23157612135271818</v>
      </c>
      <c r="C74" s="281">
        <v>0.044921901866851084</v>
      </c>
      <c r="D74" s="281">
        <v>0.2589084718082299</v>
      </c>
      <c r="E74" s="282">
        <v>0.00889273786215987</v>
      </c>
      <c r="F74" s="233">
        <v>8307.812000000034</v>
      </c>
      <c r="G74" s="233">
        <v>91.38192171455012</v>
      </c>
      <c r="H74" s="233">
        <v>196297.2219999999</v>
      </c>
      <c r="I74" s="233">
        <v>172161.9701193799</v>
      </c>
      <c r="J74" s="233">
        <v>331753.75199999986</v>
      </c>
    </row>
    <row r="75">
      <c r="A75" s="184">
        <v>44013.983109479166</v>
      </c>
      <c r="B75" s="281">
        <v>0.22094136783787463</v>
      </c>
      <c r="C75" s="281">
        <v>0.04498765633056952</v>
      </c>
      <c r="D75" s="281">
        <v>0.2483137260395342</v>
      </c>
      <c r="E75" s="282">
        <v>0.001863530870618053</v>
      </c>
      <c r="F75" s="233">
        <v>1725.4739999999292</v>
      </c>
      <c r="G75" s="233">
        <v>382.849278285692</v>
      </c>
      <c r="H75" s="233">
        <v>187989.40999999986</v>
      </c>
      <c r="I75" s="233">
        <v>172070.58819766535</v>
      </c>
      <c r="J75" s="233">
        <v>323445.9399999998</v>
      </c>
    </row>
    <row r="76">
      <c r="A76" s="184">
        <v>44012.98317060185</v>
      </c>
      <c r="B76" s="281">
        <v>0.21813841582296092</v>
      </c>
      <c r="C76" s="281">
        <v>0.04505168539172018</v>
      </c>
      <c r="D76" s="281">
        <v>0.24638473183217757</v>
      </c>
      <c r="E76" s="282">
        <v>0.006370387807249122</v>
      </c>
      <c r="F76" s="233">
        <v>5883.434000000008</v>
      </c>
      <c r="G76" s="233">
        <v>42.297552842850564</v>
      </c>
      <c r="H76" s="233">
        <v>186263.93599999993</v>
      </c>
      <c r="I76" s="233">
        <v>171687.73891937966</v>
      </c>
      <c r="J76" s="233">
        <v>321720.4659999999</v>
      </c>
    </row>
    <row r="77">
      <c r="A77" s="184">
        <v>44011.983203703705</v>
      </c>
      <c r="B77" s="281">
        <v>0.2106539949885506</v>
      </c>
      <c r="C77" s="281">
        <v>0.04511551225981119</v>
      </c>
      <c r="D77" s="281">
        <v>0.23894032889876926</v>
      </c>
      <c r="E77" s="282">
        <v>0.0012658929234346963</v>
      </c>
      <c r="F77" s="233">
        <v>1161.6800000001676</v>
      </c>
      <c r="G77" s="233">
        <v>404.058540180471</v>
      </c>
      <c r="H77" s="233">
        <v>180380.50199999992</v>
      </c>
      <c r="I77" s="233">
        <v>171645.4413665368</v>
      </c>
      <c r="J77" s="233">
        <v>315837.0319999999</v>
      </c>
    </row>
    <row r="78">
      <c r="A78" s="184">
        <v>44008.983426886574</v>
      </c>
      <c r="B78" s="281">
        <v>0.20965104398706508</v>
      </c>
      <c r="C78" s="281">
        <v>0.0452311221048384</v>
      </c>
      <c r="D78" s="281">
        <v>0.23800986247112424</v>
      </c>
      <c r="E78" s="282">
        <v>0.0034186926796955924</v>
      </c>
      <c r="F78" s="233">
        <v>3133.2820000000065</v>
      </c>
      <c r="G78" s="233">
        <v>192.68953488371335</v>
      </c>
      <c r="H78" s="233">
        <v>179218.82199999975</v>
      </c>
      <c r="I78" s="233">
        <v>171241.38282635633</v>
      </c>
      <c r="J78" s="233">
        <v>314675.3519999997</v>
      </c>
    </row>
    <row r="79">
      <c r="A79" s="184">
        <v>44007.98330918982</v>
      </c>
      <c r="B79" s="281">
        <v>0.21034043226791274</v>
      </c>
      <c r="C79" s="281">
        <v>0.040727992369574535</v>
      </c>
      <c r="D79" s="281">
        <v>0.23417274376128233</v>
      </c>
      <c r="E79" s="282">
        <v>0.0027851933383743763</v>
      </c>
      <c r="F79" s="233">
        <v>2553.5060000001686</v>
      </c>
      <c r="G79" s="233">
        <v>194.91327131789876</v>
      </c>
      <c r="H79" s="233">
        <v>176085.53999999975</v>
      </c>
      <c r="I79" s="233">
        <v>171048.69329147262</v>
      </c>
      <c r="J79" s="233">
        <v>311542.0699999997</v>
      </c>
    </row>
    <row r="80">
      <c r="A80" s="184">
        <v>44006.98320567129</v>
      </c>
      <c r="B80" s="281">
        <v>0.20722840124568317</v>
      </c>
      <c r="C80" s="281">
        <v>0.04078385132048517</v>
      </c>
      <c r="D80" s="281">
        <v>0.23109339905233126</v>
      </c>
      <c r="E80" s="282">
        <v>-0.010325535836740082</v>
      </c>
      <c r="F80" s="233">
        <v>-9440.236000000266</v>
      </c>
      <c r="G80" s="233">
        <v>142.26410077509354</v>
      </c>
      <c r="H80" s="233">
        <v>173532.03399999958</v>
      </c>
      <c r="I80" s="233">
        <v>170853.78002015472</v>
      </c>
      <c r="J80" s="233">
        <v>308988.56399999955</v>
      </c>
    </row>
    <row r="81">
      <c r="A81" s="184">
        <v>44005.98317166667</v>
      </c>
      <c r="B81" s="281">
        <v>0.22009903207975418</v>
      </c>
      <c r="C81" s="281">
        <v>0.040839335468253794</v>
      </c>
      <c r="D81" s="281">
        <v>0.24399649688061512</v>
      </c>
      <c r="E81" s="282">
        <v>-6.518340516461513E-4</v>
      </c>
      <c r="F81" s="233">
        <v>-602.0999999998603</v>
      </c>
      <c r="G81" s="233">
        <v>21.41141665604664</v>
      </c>
      <c r="H81" s="233">
        <v>182972.26999999984</v>
      </c>
      <c r="I81" s="233">
        <v>170711.51591937963</v>
      </c>
      <c r="J81" s="233">
        <v>318428.7999999998</v>
      </c>
    </row>
    <row r="82">
      <c r="A82" s="184">
        <v>44004.98319782407</v>
      </c>
      <c r="B82" s="281">
        <v>0.2212138824635682</v>
      </c>
      <c r="C82" s="281">
        <v>0.0408970055465188</v>
      </c>
      <c r="D82" s="281">
        <v>0.24514509337340962</v>
      </c>
      <c r="E82" s="282">
        <v>-0.007838256929169207</v>
      </c>
      <c r="F82" s="233">
        <v>-7244.928000000073</v>
      </c>
      <c r="G82" s="233">
        <v>334.1101957470528</v>
      </c>
      <c r="H82" s="233">
        <v>183574.3699999997</v>
      </c>
      <c r="I82" s="233">
        <v>170690.10450272358</v>
      </c>
      <c r="J82" s="233">
        <v>319030.8999999997</v>
      </c>
    </row>
    <row r="83">
      <c r="A83" s="184">
        <v>44001.98315118055</v>
      </c>
      <c r="B83" s="281">
        <v>0.23148826323605268</v>
      </c>
      <c r="C83" s="281">
        <v>0.0410031956875171</v>
      </c>
      <c r="D83" s="281">
        <v>0.2554816121588565</v>
      </c>
      <c r="E83" s="282">
        <v>0.007056305485228236</v>
      </c>
      <c r="F83" s="233">
        <v>6573.289999999921</v>
      </c>
      <c r="G83" s="233">
        <v>259.3919961239153</v>
      </c>
      <c r="H83" s="233">
        <v>190819.29799999978</v>
      </c>
      <c r="I83" s="233">
        <v>170355.99430697653</v>
      </c>
      <c r="J83" s="233">
        <v>326275.82799999975</v>
      </c>
    </row>
    <row r="84">
      <c r="A84" s="184">
        <v>44000.98316282408</v>
      </c>
      <c r="B84" s="281">
        <v>0.2230123802219175</v>
      </c>
      <c r="C84" s="281">
        <v>0.0410630148012677</v>
      </c>
      <c r="D84" s="281">
        <v>0.24704073277905783</v>
      </c>
      <c r="E84" s="282">
        <v>0.0019199868232561439</v>
      </c>
      <c r="F84" s="233">
        <v>1775.9400000000605</v>
      </c>
      <c r="G84" s="233">
        <v>198.75771317849285</v>
      </c>
      <c r="H84" s="233">
        <v>184246.00799999986</v>
      </c>
      <c r="I84" s="233">
        <v>170096.6023108526</v>
      </c>
      <c r="J84" s="233">
        <v>319702.5379999998</v>
      </c>
    </row>
    <row r="85">
      <c r="A85" s="184">
        <v>43999.98317890047</v>
      </c>
      <c r="B85" s="281">
        <v>0.2209459750327084</v>
      </c>
      <c r="C85" s="281">
        <v>0.04112160614237573</v>
      </c>
      <c r="D85" s="281">
        <v>0.24500861278317299</v>
      </c>
      <c r="E85" s="282">
        <v>0.003577061321366551</v>
      </c>
      <c r="F85" s="233">
        <v>3302.3399999999674</v>
      </c>
      <c r="G85" s="233">
        <v>234.96760852707666</v>
      </c>
      <c r="H85" s="233">
        <v>182470.0679999998</v>
      </c>
      <c r="I85" s="233">
        <v>169897.84459767412</v>
      </c>
      <c r="J85" s="233">
        <v>317926.59799999977</v>
      </c>
    </row>
    <row r="86">
      <c r="A86" s="184">
        <v>43998.98355042824</v>
      </c>
      <c r="B86" s="281">
        <v>0.21681925290279117</v>
      </c>
      <c r="C86" s="281">
        <v>0.04117999740822518</v>
      </c>
      <c r="D86" s="281">
        <v>0.24091605877093733</v>
      </c>
      <c r="E86" s="282">
        <v>0.014404428562769512</v>
      </c>
      <c r="F86" s="233">
        <v>13250.587999999989</v>
      </c>
      <c r="G86" s="233">
        <v>64.58956813561963</v>
      </c>
      <c r="H86" s="233">
        <v>179167.72799999983</v>
      </c>
      <c r="I86" s="233">
        <v>169662.87698914704</v>
      </c>
      <c r="J86" s="233">
        <v>314624.2579999998</v>
      </c>
    </row>
    <row r="87">
      <c r="A87" s="184">
        <v>43997.983149039355</v>
      </c>
      <c r="B87" s="281">
        <v>0.19928157633541557</v>
      </c>
      <c r="C87" s="281">
        <v>0.04123785400158118</v>
      </c>
      <c r="D87" s="281">
        <v>0.22341223745334407</v>
      </c>
      <c r="E87" s="282">
        <v>-0.0057259202412389245</v>
      </c>
      <c r="F87" s="233">
        <v>-5191.383999999962</v>
      </c>
      <c r="G87" s="233">
        <v>357.97682721330784</v>
      </c>
      <c r="H87" s="233">
        <v>165917.13999999984</v>
      </c>
      <c r="I87" s="233">
        <v>169598.28742101142</v>
      </c>
      <c r="J87" s="233">
        <v>301373.6699999998</v>
      </c>
    </row>
    <row r="88">
      <c r="A88" s="184">
        <v>43994.983169178246</v>
      </c>
      <c r="B88" s="281">
        <v>0.2067919143600617</v>
      </c>
      <c r="C88" s="281">
        <v>0.04134181013200238</v>
      </c>
      <c r="D88" s="281">
        <v>0.23098340624174013</v>
      </c>
      <c r="E88" s="282">
        <v>0.00309268443931504</v>
      </c>
      <c r="F88" s="233">
        <v>2820.0259999999544</v>
      </c>
      <c r="G88" s="233">
        <v>225.78829844947904</v>
      </c>
      <c r="H88" s="233">
        <v>171108.5239999998</v>
      </c>
      <c r="I88" s="233">
        <v>169240.31059379812</v>
      </c>
      <c r="J88" s="233">
        <v>306565.05399999977</v>
      </c>
    </row>
    <row r="89">
      <c r="A89" s="184">
        <v>43993.983202083335</v>
      </c>
      <c r="B89" s="281">
        <v>0.20326270736170343</v>
      </c>
      <c r="C89" s="281">
        <v>0.0413983511806385</v>
      </c>
      <c r="D89" s="281">
        <v>0.2274872846916168</v>
      </c>
      <c r="E89" s="282">
        <v>-0.021322001087618014</v>
      </c>
      <c r="F89" s="233">
        <v>-19382.073999999906</v>
      </c>
      <c r="G89" s="233">
        <v>-102.19462371733971</v>
      </c>
      <c r="H89" s="233">
        <v>168288.49799999985</v>
      </c>
      <c r="I89" s="233">
        <v>169014.52229534864</v>
      </c>
      <c r="J89" s="233">
        <v>303745.0279999998</v>
      </c>
    </row>
    <row r="90">
      <c r="A90" s="184">
        <v>43992.98337318287</v>
      </c>
      <c r="B90" s="281">
        <v>0.22977371828560453</v>
      </c>
      <c r="C90" s="281">
        <v>0.04145444402659398</v>
      </c>
      <c r="D90" s="281">
        <v>0.2540311187943584</v>
      </c>
      <c r="E90" s="282">
        <v>0.0010997742047864165</v>
      </c>
      <c r="F90" s="233">
        <v>1021.0300000000279</v>
      </c>
      <c r="G90" s="233">
        <v>497.8161237172608</v>
      </c>
      <c r="H90" s="233">
        <v>187670.57199999975</v>
      </c>
      <c r="I90" s="233">
        <v>169116.71691906598</v>
      </c>
      <c r="J90" s="233">
        <v>323127.1019999997</v>
      </c>
    </row>
    <row r="91">
      <c r="A91" s="184">
        <v>43991.9838824537</v>
      </c>
      <c r="B91" s="281">
        <v>0.22872514761969528</v>
      </c>
      <c r="C91" s="281">
        <v>0.041514975682100184</v>
      </c>
      <c r="D91" s="281">
        <v>0.2530179687123106</v>
      </c>
      <c r="E91" s="282">
        <v>-7.760778339778234E-4</v>
      </c>
      <c r="F91" s="233">
        <v>-719.7179999998771</v>
      </c>
      <c r="G91" s="233">
        <v>43.40468173008412</v>
      </c>
      <c r="H91" s="233">
        <v>186649.54199999972</v>
      </c>
      <c r="I91" s="233">
        <v>168618.90079534872</v>
      </c>
      <c r="J91" s="233">
        <v>322106.0719999997</v>
      </c>
    </row>
    <row r="92">
      <c r="A92" s="184">
        <v>43990.98435254629</v>
      </c>
      <c r="B92" s="281">
        <v>0.23003553330321375</v>
      </c>
      <c r="C92" s="281">
        <v>0.041575477086038995</v>
      </c>
      <c r="D92" s="281">
        <v>0.2543637572777431</v>
      </c>
      <c r="E92" s="282">
        <v>0.005384498313136543</v>
      </c>
      <c r="F92" s="233">
        <v>4997.343999999808</v>
      </c>
      <c r="G92" s="233">
        <v>548.4489926885581</v>
      </c>
      <c r="H92" s="233">
        <v>187369.2599999996</v>
      </c>
      <c r="I92" s="233">
        <v>168575.49611361863</v>
      </c>
      <c r="J92" s="233">
        <v>322825.7899999996</v>
      </c>
    </row>
    <row r="93">
      <c r="A93" s="184">
        <v>43987.983116145835</v>
      </c>
      <c r="B93" s="281">
        <v>0.22384353079286734</v>
      </c>
      <c r="C93" s="281">
        <v>0.04166773139080485</v>
      </c>
      <c r="D93" s="281">
        <v>0.24823628364489075</v>
      </c>
      <c r="E93" s="282">
        <v>0.009796574742331197</v>
      </c>
      <c r="F93" s="233">
        <v>9043.22800000012</v>
      </c>
      <c r="G93" s="233">
        <v>318.78492635671864</v>
      </c>
      <c r="H93" s="233">
        <v>182371.9159999998</v>
      </c>
      <c r="I93" s="233">
        <v>168027.04712093007</v>
      </c>
      <c r="J93" s="233">
        <v>317828.44599999976</v>
      </c>
    </row>
    <row r="94">
      <c r="A94" s="184">
        <v>43986.98314200231</v>
      </c>
      <c r="B94" s="281">
        <v>0.2118389860623154</v>
      </c>
      <c r="C94" s="281">
        <v>0.04172774727650384</v>
      </c>
      <c r="D94" s="281">
        <v>0.23626687288055653</v>
      </c>
      <c r="E94" s="282">
        <v>-0.009203866760378947</v>
      </c>
      <c r="F94" s="233">
        <v>-8412.866000000038</v>
      </c>
      <c r="G94" s="233">
        <v>220.15113953480613</v>
      </c>
      <c r="H94" s="233">
        <v>173328.68799999967</v>
      </c>
      <c r="I94" s="233">
        <v>167708.26219457336</v>
      </c>
      <c r="J94" s="233">
        <v>308785.21799999964</v>
      </c>
    </row>
    <row r="95">
      <c r="A95" s="184">
        <v>43985.983211956016</v>
      </c>
      <c r="B95" s="281">
        <v>0.22361807909999878</v>
      </c>
      <c r="C95" s="281">
        <v>0.04178593494170056</v>
      </c>
      <c r="D95" s="281">
        <v>0.24808002962386544</v>
      </c>
      <c r="E95" s="282">
        <v>-7.953770721838717E-4</v>
      </c>
      <c r="F95" s="233">
        <v>-733.7120000002906</v>
      </c>
      <c r="G95" s="233">
        <v>287.13526356595685</v>
      </c>
      <c r="H95" s="233">
        <v>181741.5539999997</v>
      </c>
      <c r="I95" s="233">
        <v>167488.11105503855</v>
      </c>
      <c r="J95" s="233">
        <v>317198.0839999997</v>
      </c>
    </row>
    <row r="96">
      <c r="A96" s="184">
        <v>43984.98322386574</v>
      </c>
      <c r="B96" s="281">
        <v>0.22494348936583863</v>
      </c>
      <c r="C96" s="281">
        <v>0.04184618664610751</v>
      </c>
      <c r="D96" s="281">
        <v>0.24944071190681433</v>
      </c>
      <c r="E96" s="282">
        <v>-0.003682887735421471</v>
      </c>
      <c r="F96" s="233">
        <v>-3400.0580000000773</v>
      </c>
      <c r="G96" s="233">
        <v>22.250280966894934</v>
      </c>
      <c r="H96" s="233">
        <v>182475.266</v>
      </c>
      <c r="I96" s="233">
        <v>167200.9757914726</v>
      </c>
      <c r="J96" s="233">
        <v>417931.79600000003</v>
      </c>
    </row>
    <row r="97">
      <c r="A97" s="184">
        <v>43983.98315565972</v>
      </c>
      <c r="B97" s="281">
        <v>0.23004719910024166</v>
      </c>
      <c r="C97" s="281">
        <v>0.041929278147958896</v>
      </c>
      <c r="D97" s="281">
        <v>0.25459306432948264</v>
      </c>
      <c r="E97" s="282">
        <v>0.007066055267032335</v>
      </c>
      <c r="F97" s="233">
        <v>6547.438000000111</v>
      </c>
      <c r="G97" s="233">
        <v>538.5447950020607</v>
      </c>
      <c r="H97" s="233">
        <v>185875.32400000008</v>
      </c>
      <c r="I97" s="233">
        <v>167178.7255105057</v>
      </c>
      <c r="J97" s="233">
        <v>421331.8540000001</v>
      </c>
    </row>
    <row r="98">
      <c r="A98" s="184">
        <v>43980.983122164354</v>
      </c>
      <c r="B98" s="281">
        <v>0.22103888864718313</v>
      </c>
      <c r="C98" s="281">
        <v>0.04206357406790135</v>
      </c>
      <c r="D98" s="281">
        <v>0.24641176762364791</v>
      </c>
      <c r="E98" s="282">
        <v>-0.011169712150220775</v>
      </c>
      <c r="F98" s="233">
        <v>-10270.687999999966</v>
      </c>
      <c r="G98" s="233">
        <v>209.42397364330827</v>
      </c>
      <c r="H98" s="233">
        <v>179327.88599999997</v>
      </c>
      <c r="I98" s="233">
        <v>166640.18071550364</v>
      </c>
      <c r="J98" s="233">
        <v>415184.416</v>
      </c>
    </row>
    <row r="99">
      <c r="A99" s="184">
        <v>43979.98316521991</v>
      </c>
      <c r="B99" s="281">
        <v>0.23561750237145931</v>
      </c>
      <c r="C99" s="281">
        <v>0.042146898318419806</v>
      </c>
      <c r="D99" s="281">
        <v>0.2610406427955319</v>
      </c>
      <c r="E99" s="282">
        <v>0.0030843110239911035</v>
      </c>
      <c r="F99" s="233">
        <v>2867.7399999998743</v>
      </c>
      <c r="G99" s="233">
        <v>289.9907705427613</v>
      </c>
      <c r="H99" s="233">
        <v>189598.57399999994</v>
      </c>
      <c r="I99" s="233">
        <v>166430.75674186033</v>
      </c>
      <c r="J99" s="233">
        <v>425455.104</v>
      </c>
    </row>
    <row r="100">
      <c r="A100" s="184">
        <v>43978.983182372685</v>
      </c>
      <c r="B100" s="281">
        <v>0.2332369122698586</v>
      </c>
      <c r="C100" s="281">
        <v>0.041138061949741594</v>
      </c>
      <c r="D100" s="281">
        <v>0.2576170807284789</v>
      </c>
      <c r="E100" s="282">
        <v>-0.004108709215602466</v>
      </c>
      <c r="F100" s="233">
        <v>-3811.685999999987</v>
      </c>
      <c r="G100" s="233">
        <v>265.93609612391447</v>
      </c>
      <c r="H100" s="233">
        <v>186730.83400000006</v>
      </c>
      <c r="I100" s="233">
        <v>166140.76597131757</v>
      </c>
      <c r="J100" s="233">
        <v>422587.3640000001</v>
      </c>
    </row>
    <row r="101">
      <c r="A101" s="184">
        <v>43977.983150995366</v>
      </c>
      <c r="B101" s="281">
        <v>0.23897984672674227</v>
      </c>
      <c r="C101" s="281">
        <v>0.04122159302658229</v>
      </c>
      <c r="D101" s="281">
        <v>0.2634095192608679</v>
      </c>
      <c r="E101" s="282">
        <v>-0.008077322523079815</v>
      </c>
      <c r="F101" s="233">
        <v>-7524.191999999923</v>
      </c>
      <c r="G101" s="233">
        <v>43.721938229049556</v>
      </c>
      <c r="H101" s="233">
        <v>190542.52000000005</v>
      </c>
      <c r="I101" s="233">
        <v>165874.82987519365</v>
      </c>
      <c r="J101" s="233">
        <v>426399.0500000001</v>
      </c>
    </row>
    <row r="102">
      <c r="A102" s="184">
        <v>43976.98317258102</v>
      </c>
      <c r="B102" s="281">
        <v>0.24989418340089053</v>
      </c>
      <c r="C102" s="281">
        <v>0.04130634886350756</v>
      </c>
      <c r="D102" s="281">
        <v>0.27437408585553635</v>
      </c>
      <c r="E102" s="282">
        <v>0.00895073848408035</v>
      </c>
      <c r="F102" s="233">
        <v>8405.144000000088</v>
      </c>
      <c r="G102" s="233">
        <v>598.8645175849379</v>
      </c>
      <c r="H102" s="233">
        <v>198066.71199999997</v>
      </c>
      <c r="I102" s="233">
        <v>165831.1079369646</v>
      </c>
      <c r="J102" s="233">
        <v>433923.242</v>
      </c>
    </row>
    <row r="103">
      <c r="A103" s="184">
        <v>43973.983142453704</v>
      </c>
      <c r="B103" s="281">
        <v>0.23903745240566224</v>
      </c>
      <c r="C103" s="281">
        <v>0.04144272207147067</v>
      </c>
      <c r="D103" s="281">
        <v>0.2635981754343896</v>
      </c>
      <c r="E103" s="282">
        <v>0.00469320880226266</v>
      </c>
      <c r="F103" s="233">
        <v>4367.685999999871</v>
      </c>
      <c r="G103" s="233">
        <v>293.09888682173914</v>
      </c>
      <c r="H103" s="233">
        <v>189661.56799999988</v>
      </c>
      <c r="I103" s="233">
        <v>165232.24341937967</v>
      </c>
      <c r="J103" s="233">
        <v>425518.09799999994</v>
      </c>
    </row>
    <row r="104">
      <c r="A104" s="184">
        <v>43972.98317396991</v>
      </c>
      <c r="B104" s="281">
        <v>0.2334474952691644</v>
      </c>
      <c r="C104" s="281">
        <v>0.04152818142232483</v>
      </c>
      <c r="D104" s="281">
        <v>0.2580588651507439</v>
      </c>
      <c r="E104" s="282">
        <v>-0.0014654443989503838</v>
      </c>
      <c r="F104" s="233">
        <v>-1357.3999999999069</v>
      </c>
      <c r="G104" s="233">
        <v>250.21567751950352</v>
      </c>
      <c r="H104" s="233">
        <v>185293.882</v>
      </c>
      <c r="I104" s="233">
        <v>164939.14453255793</v>
      </c>
      <c r="J104" s="233">
        <v>421150.41200000007</v>
      </c>
    </row>
    <row r="105">
      <c r="A105" s="184">
        <v>43971.98361809028</v>
      </c>
      <c r="B105" s="281">
        <v>0.23581879146245577</v>
      </c>
      <c r="C105" s="281">
        <v>0.041613032184807164</v>
      </c>
      <c r="D105" s="281">
        <v>0.2604804475214855</v>
      </c>
      <c r="E105" s="282">
        <v>-0.001027759663681827</v>
      </c>
      <c r="F105" s="233">
        <v>-953.3800000001211</v>
      </c>
      <c r="G105" s="233">
        <v>266.3101193799812</v>
      </c>
      <c r="H105" s="233">
        <v>186651.28199999992</v>
      </c>
      <c r="I105" s="233">
        <v>164688.92885503842</v>
      </c>
      <c r="J105" s="233">
        <v>422507.812</v>
      </c>
    </row>
    <row r="106">
      <c r="A106" s="184">
        <v>43970.98323745371</v>
      </c>
      <c r="B106" s="281">
        <v>0.23763675872643295</v>
      </c>
      <c r="C106" s="281">
        <v>0.04169857150861688</v>
      </c>
      <c r="D106" s="281">
        <v>0.26234910903369596</v>
      </c>
      <c r="E106" s="282">
        <v>-0.00543432479318355</v>
      </c>
      <c r="F106" s="233">
        <v>-5046.219999999972</v>
      </c>
      <c r="G106" s="233">
        <v>47.5831255420926</v>
      </c>
      <c r="H106" s="233">
        <v>187604.66200000004</v>
      </c>
      <c r="I106" s="233">
        <v>164422.61873565844</v>
      </c>
      <c r="J106" s="233">
        <v>423461.1920000001</v>
      </c>
    </row>
    <row r="107">
      <c r="A107" s="184">
        <v>43969.98433399305</v>
      </c>
      <c r="B107" s="281">
        <v>0.24519896024586238</v>
      </c>
      <c r="C107" s="281">
        <v>0.04178471339685256</v>
      </c>
      <c r="D107" s="281">
        <v>0.2699623619067136</v>
      </c>
      <c r="E107" s="282">
        <v>0.014666694312197075</v>
      </c>
      <c r="F107" s="233">
        <v>13693.250000000087</v>
      </c>
      <c r="G107" s="233">
        <v>504.55084965151036</v>
      </c>
      <c r="H107" s="233">
        <v>192650.882</v>
      </c>
      <c r="I107" s="233">
        <v>164375.03561011635</v>
      </c>
      <c r="J107" s="233">
        <v>428507.41200000007</v>
      </c>
    </row>
    <row r="108">
      <c r="A108" s="184">
        <v>43966.98318451389</v>
      </c>
      <c r="B108" s="281">
        <v>0.22816303554461728</v>
      </c>
      <c r="C108" s="281">
        <v>0.04186660900355012</v>
      </c>
      <c r="D108" s="281">
        <v>0.2516023017631222</v>
      </c>
      <c r="E108" s="282">
        <v>0.0023911507252376467</v>
      </c>
      <c r="F108" s="233">
        <v>2202.0960000000196</v>
      </c>
      <c r="G108" s="233">
        <v>255.49394883718924</v>
      </c>
      <c r="H108" s="233">
        <v>178957.63199999993</v>
      </c>
      <c r="I108" s="233">
        <v>163870.48476046484</v>
      </c>
      <c r="J108" s="233">
        <v>415614.16199999995</v>
      </c>
    </row>
    <row r="109">
      <c r="A109" s="184">
        <v>43965.98317482639</v>
      </c>
      <c r="B109" s="281">
        <v>0.2255246763119253</v>
      </c>
      <c r="C109" s="281">
        <v>0.04195173818188828</v>
      </c>
      <c r="D109" s="281">
        <v>0.24901160259943317</v>
      </c>
      <c r="E109" s="282">
        <v>0.00173420242997643</v>
      </c>
      <c r="F109" s="233">
        <v>1593.270000000135</v>
      </c>
      <c r="G109" s="233">
        <v>257.15595658909297</v>
      </c>
      <c r="H109" s="233">
        <v>176755.5359999999</v>
      </c>
      <c r="I109" s="233">
        <v>163614.99081162765</v>
      </c>
      <c r="J109" s="233">
        <v>413412.06599999993</v>
      </c>
    </row>
    <row r="110">
      <c r="A110" s="184">
        <v>43964.98316293981</v>
      </c>
      <c r="B110" s="281">
        <v>0.22373246449520856</v>
      </c>
      <c r="C110" s="281">
        <v>0.042036733737841656</v>
      </c>
      <c r="D110" s="281">
        <v>0.24726697604244482</v>
      </c>
      <c r="E110" s="282">
        <v>-0.009506569434317293</v>
      </c>
      <c r="F110" s="233">
        <v>-8718.858000000007</v>
      </c>
      <c r="G110" s="233">
        <v>241.85455038768123</v>
      </c>
      <c r="H110" s="233">
        <v>175162.26599999977</v>
      </c>
      <c r="I110" s="233">
        <v>163357.83485503856</v>
      </c>
      <c r="J110" s="233">
        <v>411818.7959999998</v>
      </c>
    </row>
    <row r="111">
      <c r="A111" s="184">
        <v>43963.98321686343</v>
      </c>
      <c r="B111" s="281">
        <v>0.23651768191638137</v>
      </c>
      <c r="C111" s="281">
        <v>0.04212173370345987</v>
      </c>
      <c r="D111" s="281">
        <v>0.2600997811921227</v>
      </c>
      <c r="E111" s="282">
        <v>-0.005106774533151582</v>
      </c>
      <c r="F111" s="233">
        <v>-4728.154000000213</v>
      </c>
      <c r="G111" s="233">
        <v>43.307508542056894</v>
      </c>
      <c r="H111" s="233">
        <v>183881.12399999978</v>
      </c>
      <c r="I111" s="233">
        <v>163115.98030465088</v>
      </c>
      <c r="J111" s="233">
        <v>420537.6539999998</v>
      </c>
    </row>
    <row r="112">
      <c r="A112" s="184">
        <v>43962.98321101852</v>
      </c>
      <c r="B112" s="281">
        <v>0.24371040167726488</v>
      </c>
      <c r="C112" s="281">
        <v>0.04220915292101515</v>
      </c>
      <c r="D112" s="281">
        <v>0.2673414431138752</v>
      </c>
      <c r="E112" s="282">
        <v>0.0013233535168380181</v>
      </c>
      <c r="F112" s="233">
        <v>1231.4960000001593</v>
      </c>
      <c r="G112" s="233">
        <v>566.9734604500991</v>
      </c>
      <c r="H112" s="233">
        <v>188609.278</v>
      </c>
      <c r="I112" s="233">
        <v>163072.67279610882</v>
      </c>
      <c r="J112" s="233">
        <v>425265.808</v>
      </c>
    </row>
    <row r="113">
      <c r="A113" s="184">
        <v>43959.98385730324</v>
      </c>
      <c r="B113" s="281">
        <v>0.24276728731536898</v>
      </c>
      <c r="C113" s="281">
        <v>0.04234913523772904</v>
      </c>
      <c r="D113" s="281">
        <v>0.266476698671718</v>
      </c>
      <c r="E113" s="282">
        <v>-0.0013535310913455614</v>
      </c>
      <c r="F113" s="233">
        <v>-1257.9120000000112</v>
      </c>
      <c r="G113" s="233">
        <v>270.37996434111847</v>
      </c>
      <c r="H113" s="233">
        <v>187377.78199999983</v>
      </c>
      <c r="I113" s="233">
        <v>162505.69933565872</v>
      </c>
      <c r="J113" s="233">
        <v>424034.31199999986</v>
      </c>
    </row>
    <row r="114">
      <c r="A114" s="184">
        <v>43958.9835503588</v>
      </c>
      <c r="B114" s="281">
        <v>0.24507122785095733</v>
      </c>
      <c r="C114" s="281">
        <v>0.04243831959977423</v>
      </c>
      <c r="D114" s="281">
        <v>0.2688305695946547</v>
      </c>
      <c r="E114" s="282">
        <v>0.012064107362507353</v>
      </c>
      <c r="F114" s="233">
        <v>11227.02399999986</v>
      </c>
      <c r="G114" s="233">
        <v>316.0317782945931</v>
      </c>
      <c r="H114" s="233">
        <v>188635.69399999984</v>
      </c>
      <c r="I114" s="233">
        <v>162235.3193713176</v>
      </c>
      <c r="J114" s="233">
        <v>425292.2239999999</v>
      </c>
    </row>
    <row r="115">
      <c r="A115" s="184">
        <v>43957.98321369213</v>
      </c>
      <c r="B115" s="281">
        <v>0.22955646913866826</v>
      </c>
      <c r="C115" s="281">
        <v>0.04252821285123435</v>
      </c>
      <c r="D115" s="281">
        <v>0.25336613814560394</v>
      </c>
      <c r="E115" s="282">
        <v>-0.007512062035353843</v>
      </c>
      <c r="F115" s="233">
        <v>-6906.489999999874</v>
      </c>
      <c r="G115" s="233">
        <v>191.70449922481203</v>
      </c>
      <c r="H115" s="233">
        <v>177408.66999999998</v>
      </c>
      <c r="I115" s="233">
        <v>161919.287593023</v>
      </c>
      <c r="J115" s="233">
        <v>414065.2</v>
      </c>
    </row>
    <row r="116">
      <c r="A116" s="184">
        <v>43956.98385945601</v>
      </c>
      <c r="B116" s="281">
        <v>0.23991327744491106</v>
      </c>
      <c r="C116" s="281">
        <v>0.04261583901194832</v>
      </c>
      <c r="D116" s="281">
        <v>0.26377200447105503</v>
      </c>
      <c r="E116" s="282">
        <v>0.019885513571728686</v>
      </c>
      <c r="F116" s="233">
        <v>18419.81599999999</v>
      </c>
      <c r="G116" s="233">
        <v>140.46861052981694</v>
      </c>
      <c r="H116" s="233">
        <v>184315.15999999986</v>
      </c>
      <c r="I116" s="233">
        <v>161727.5830937982</v>
      </c>
      <c r="J116" s="233">
        <v>420971.6899999999</v>
      </c>
    </row>
    <row r="117">
      <c r="A117" s="184">
        <v>43955.98329002315</v>
      </c>
      <c r="B117" s="281">
        <v>0.21400220633375738</v>
      </c>
      <c r="C117" s="281">
        <v>0.0427055167902406</v>
      </c>
      <c r="D117" s="281">
        <v>0.23791113998922495</v>
      </c>
      <c r="E117" s="282">
        <v>-0.016952855179197514</v>
      </c>
      <c r="F117" s="233">
        <v>-15391.045999999973</v>
      </c>
      <c r="G117" s="233">
        <v>283.50723753200145</v>
      </c>
      <c r="H117" s="233">
        <v>165895.34399999987</v>
      </c>
      <c r="I117" s="233">
        <v>161587.11448326838</v>
      </c>
      <c r="J117" s="233">
        <v>402551.8739999999</v>
      </c>
    </row>
    <row r="118">
      <c r="A118" s="184">
        <v>43951.98312075232</v>
      </c>
      <c r="B118" s="281">
        <v>0.23596466218173867</v>
      </c>
      <c r="C118" s="281">
        <v>0.04286901598918263</v>
      </c>
      <c r="D118" s="281">
        <v>0.26097885092859463</v>
      </c>
      <c r="E118" s="282">
        <v>-0.0111760179221246</v>
      </c>
      <c r="F118" s="233">
        <v>-10310.54999999993</v>
      </c>
      <c r="G118" s="233">
        <v>181.39612713173847</v>
      </c>
      <c r="H118" s="233">
        <v>181286.38999999984</v>
      </c>
      <c r="I118" s="233">
        <v>161303.60724573638</v>
      </c>
      <c r="J118" s="233">
        <v>418342.91999999987</v>
      </c>
    </row>
    <row r="119">
      <c r="A119" s="184">
        <v>43950.98315702546</v>
      </c>
      <c r="B119" s="281">
        <v>0.2513345646631049</v>
      </c>
      <c r="C119" s="281">
        <v>0.04295907468374588</v>
      </c>
      <c r="D119" s="281">
        <v>0.2764013029059574</v>
      </c>
      <c r="E119" s="282">
        <v>0.008451704046779944</v>
      </c>
      <c r="F119" s="233">
        <v>7884.347999999882</v>
      </c>
      <c r="G119" s="233">
        <v>274.65298759692814</v>
      </c>
      <c r="H119" s="233">
        <v>191596.93999999977</v>
      </c>
      <c r="I119" s="233">
        <v>161122.21111860464</v>
      </c>
      <c r="J119" s="233">
        <v>428653.4699999998</v>
      </c>
    </row>
    <row r="120">
      <c r="A120" s="184">
        <v>43949.98333368056</v>
      </c>
      <c r="B120" s="281">
        <v>0.2404798432729574</v>
      </c>
      <c r="C120" s="281">
        <v>0.043052057991000446</v>
      </c>
      <c r="D120" s="281">
        <v>0.26560083753135644</v>
      </c>
      <c r="E120" s="282">
        <v>0.0030019271784757964</v>
      </c>
      <c r="F120" s="233">
        <v>2776.7419999999693</v>
      </c>
      <c r="G120" s="233">
        <v>77.9402562995383</v>
      </c>
      <c r="H120" s="233">
        <v>183712.5919999999</v>
      </c>
      <c r="I120" s="233">
        <v>160847.5581310077</v>
      </c>
      <c r="J120" s="233">
        <v>420769.1219999999</v>
      </c>
    </row>
    <row r="121">
      <c r="A121" s="184">
        <v>43948.98325770833</v>
      </c>
      <c r="B121" s="281">
        <v>0.23696791840764234</v>
      </c>
      <c r="C121" s="281">
        <v>0.04314355018619601</v>
      </c>
      <c r="D121" s="281">
        <v>0.26214229861359994</v>
      </c>
      <c r="E121" s="282">
        <v>0.005604100551011407</v>
      </c>
      <c r="F121" s="233">
        <v>5168.156000000075</v>
      </c>
      <c r="G121" s="233">
        <v>1778.0867111422995</v>
      </c>
      <c r="H121" s="233">
        <v>180935.84999999992</v>
      </c>
      <c r="I121" s="233">
        <v>160769.61787470817</v>
      </c>
      <c r="J121" s="233">
        <v>417992.37999999995</v>
      </c>
    </row>
    <row r="122">
      <c r="A122" s="184">
        <v>43945.98317368056</v>
      </c>
      <c r="B122" s="281">
        <v>0.2302454290094722</v>
      </c>
      <c r="C122" s="281">
        <v>0.04328741289513534</v>
      </c>
      <c r="D122" s="281">
        <v>0.2555037535018102</v>
      </c>
      <c r="E122" s="282">
        <v>-0.007087307986729836</v>
      </c>
      <c r="F122" s="233">
        <v>-6456.477999999945</v>
      </c>
      <c r="G122" s="233">
        <v>395.87576279079076</v>
      </c>
      <c r="H122" s="233">
        <v>175767.69399999984</v>
      </c>
      <c r="I122" s="233">
        <v>158991.53116356587</v>
      </c>
      <c r="J122" s="233">
        <v>412824.2239999999</v>
      </c>
    </row>
    <row r="123">
      <c r="A123" s="184">
        <v>43944.9836240625</v>
      </c>
      <c r="B123" s="281">
        <v>0.2401319573484522</v>
      </c>
      <c r="C123" s="281">
        <v>0.043377933388721555</v>
      </c>
      <c r="D123" s="281">
        <v>0.26544310079778694</v>
      </c>
      <c r="E123" s="282">
        <v>0.009639900652008532</v>
      </c>
      <c r="F123" s="233">
        <v>8834.430000000168</v>
      </c>
      <c r="G123" s="233">
        <v>268.96420465115807</v>
      </c>
      <c r="H123" s="233">
        <v>182224.1719999998</v>
      </c>
      <c r="I123" s="233">
        <v>158595.65540077508</v>
      </c>
      <c r="J123" s="233">
        <v>419280.7019999998</v>
      </c>
    </row>
    <row r="124">
      <c r="A124" s="184">
        <v>43943.98326761574</v>
      </c>
      <c r="B124" s="281">
        <v>0.227747795583184</v>
      </c>
      <c r="C124" s="281">
        <v>0.04347047040779157</v>
      </c>
      <c r="D124" s="281">
        <v>0.253112934637682</v>
      </c>
      <c r="E124" s="282">
        <v>0.011228787469651277</v>
      </c>
      <c r="F124" s="233">
        <v>10191.356000000029</v>
      </c>
      <c r="G124" s="233">
        <v>76.43298367262469</v>
      </c>
      <c r="H124" s="233">
        <v>173389.74199999962</v>
      </c>
      <c r="I124" s="233">
        <v>158326.69119612392</v>
      </c>
      <c r="J124" s="233">
        <v>410446.27199999965</v>
      </c>
    </row>
    <row r="125">
      <c r="A125" s="184">
        <v>43942.98318570602</v>
      </c>
      <c r="B125" s="281">
        <v>0.21331499740042967</v>
      </c>
      <c r="C125" s="281">
        <v>0.04356123403519021</v>
      </c>
      <c r="D125" s="281">
        <v>0.23873309728117265</v>
      </c>
      <c r="E125" s="282">
        <v>-0.022451529978039148</v>
      </c>
      <c r="F125" s="233">
        <v>-20148.414000000106</v>
      </c>
      <c r="G125" s="233">
        <v>-5966.594297704636</v>
      </c>
      <c r="H125" s="233">
        <v>163198.3859999996</v>
      </c>
      <c r="I125" s="233">
        <v>158250.2582124513</v>
      </c>
      <c r="J125" s="233">
        <v>400254.9159999996</v>
      </c>
    </row>
    <row r="126">
      <c r="A126" s="184">
        <v>43941.98316886574</v>
      </c>
      <c r="B126" s="281">
        <v>0.2432828457758698</v>
      </c>
      <c r="C126" s="281">
        <v>0.043649857946521146</v>
      </c>
      <c r="D126" s="281">
        <v>0.2687526579526468</v>
      </c>
      <c r="E126" s="282">
        <v>0.0013710855631675397</v>
      </c>
      <c r="F126" s="233">
        <v>1414.0080000001471</v>
      </c>
      <c r="G126" s="233">
        <v>270.48638437484624</v>
      </c>
      <c r="H126" s="233">
        <v>183346.7999999997</v>
      </c>
      <c r="I126" s="233">
        <v>164216.85251015594</v>
      </c>
      <c r="J126" s="233">
        <v>420403.3299999997</v>
      </c>
    </row>
    <row r="127">
      <c r="A127" s="184">
        <v>43938.983139814816</v>
      </c>
      <c r="B127" s="281">
        <v>0.24202561879336343</v>
      </c>
      <c r="C127" s="281">
        <v>0.04379742307217386</v>
      </c>
      <c r="D127" s="281">
        <v>0.26758153562685705</v>
      </c>
      <c r="E127" s="282">
        <v>0.00573219838185808</v>
      </c>
      <c r="F127" s="233">
        <v>5903.541999999899</v>
      </c>
      <c r="G127" s="233">
        <v>301.9427921875031</v>
      </c>
      <c r="H127" s="233">
        <v>181932.79199999955</v>
      </c>
      <c r="I127" s="233">
        <v>163946.3661257811</v>
      </c>
      <c r="J127" s="233">
        <v>418989.3219999996</v>
      </c>
    </row>
    <row r="128">
      <c r="A128" s="184">
        <v>43937.983162986115</v>
      </c>
      <c r="B128" s="281">
        <v>0.2338453796114005</v>
      </c>
      <c r="C128" s="281">
        <v>0.043891744075391585</v>
      </c>
      <c r="D128" s="281">
        <v>0.2594563330097147</v>
      </c>
      <c r="E128" s="282">
        <v>0.013316921160073296</v>
      </c>
      <c r="F128" s="233">
        <v>13636.365999999805</v>
      </c>
      <c r="G128" s="233">
        <v>300.4166046876053</v>
      </c>
      <c r="H128" s="233">
        <v>176029.24999999965</v>
      </c>
      <c r="I128" s="233">
        <v>163644.4233335936</v>
      </c>
      <c r="J128" s="233">
        <v>413085.7799999997</v>
      </c>
    </row>
    <row r="129">
      <c r="A129" s="184">
        <v>43936.98324774306</v>
      </c>
      <c r="B129" s="281">
        <v>0.2142003861760218</v>
      </c>
      <c r="C129" s="281">
        <v>0.04398500666899715</v>
      </c>
      <c r="D129" s="281">
        <v>0.2398657585542365</v>
      </c>
      <c r="E129" s="282">
        <v>-0.001973540844582298</v>
      </c>
      <c r="F129" s="233">
        <v>-1993.969999999972</v>
      </c>
      <c r="G129" s="233">
        <v>188.14098749979166</v>
      </c>
      <c r="H129" s="233">
        <v>162392.88399999985</v>
      </c>
      <c r="I129" s="233">
        <v>163344.00672890598</v>
      </c>
      <c r="J129" s="233">
        <v>399449.4139999999</v>
      </c>
    </row>
    <row r="130">
      <c r="A130" s="184">
        <v>43935.98327053241</v>
      </c>
      <c r="B130" s="281">
        <v>0.21759097998947466</v>
      </c>
      <c r="C130" s="281">
        <v>0.04407521862790602</v>
      </c>
      <c r="D130" s="281">
        <v>0.24330899129385322</v>
      </c>
      <c r="E130" s="282">
        <v>0.0015488862342880611</v>
      </c>
      <c r="F130" s="233">
        <v>1568.0080000001471</v>
      </c>
      <c r="G130" s="233">
        <v>1173.7785576854076</v>
      </c>
      <c r="H130" s="233">
        <v>164386.85399999982</v>
      </c>
      <c r="I130" s="233">
        <v>163155.8657414062</v>
      </c>
      <c r="J130" s="233">
        <v>401443.38399999985</v>
      </c>
    </row>
    <row r="131">
      <c r="A131" s="184">
        <v>43930.98317361111</v>
      </c>
      <c r="B131" s="281">
        <v>0.2158344028407546</v>
      </c>
      <c r="C131" s="281">
        <v>0.04468572675606596</v>
      </c>
      <c r="D131" s="281">
        <v>0.24207977084233798</v>
      </c>
      <c r="E131" s="282">
        <v>0.013724760784636247</v>
      </c>
      <c r="F131" s="233">
        <v>13918.16800000018</v>
      </c>
      <c r="G131" s="233">
        <v>234.36766201537102</v>
      </c>
      <c r="H131" s="233">
        <v>162818.84599999967</v>
      </c>
      <c r="I131" s="233">
        <v>161982.08718372078</v>
      </c>
      <c r="J131" s="233">
        <v>399875.3759999997</v>
      </c>
    </row>
    <row r="132">
      <c r="A132" s="184">
        <v>43929.98318899305</v>
      </c>
      <c r="B132" s="281">
        <v>0.20033577222969184</v>
      </c>
      <c r="C132" s="281">
        <v>0.03998599859441791</v>
      </c>
      <c r="D132" s="281">
        <v>0.2218433333165361</v>
      </c>
      <c r="E132" s="282">
        <v>5.436749105201156E-4</v>
      </c>
      <c r="F132" s="233">
        <v>545.5179999999236</v>
      </c>
      <c r="G132" s="233">
        <v>145.0745302325522</v>
      </c>
      <c r="H132" s="233">
        <v>148900.6779999995</v>
      </c>
      <c r="I132" s="233">
        <v>161747.7195217054</v>
      </c>
      <c r="J132" s="233">
        <v>386257.2079999995</v>
      </c>
    </row>
    <row r="133">
      <c r="A133" s="184">
        <v>43928.98328827546</v>
      </c>
      <c r="B133" s="281">
        <v>0.1999201461342099</v>
      </c>
      <c r="C133" s="281">
        <v>0.0400655860611545</v>
      </c>
      <c r="D133" s="281">
        <v>0.22147051551302524</v>
      </c>
      <c r="E133" s="282">
        <v>0.013560440783772892</v>
      </c>
      <c r="F133" s="233">
        <v>13599.013999999966</v>
      </c>
      <c r="G133" s="233">
        <v>416.95610509166727</v>
      </c>
      <c r="H133" s="233">
        <v>148355.15999999957</v>
      </c>
      <c r="I133" s="233">
        <v>161602.64499147286</v>
      </c>
      <c r="J133" s="233">
        <v>385711.6899999996</v>
      </c>
    </row>
    <row r="134">
      <c r="A134" s="184">
        <v>43927.983243043986</v>
      </c>
      <c r="B134" s="281">
        <v>0.17997677420480107</v>
      </c>
      <c r="C134" s="281">
        <v>0.040145392013778036</v>
      </c>
      <c r="D134" s="281">
        <v>0.20157006939418712</v>
      </c>
      <c r="E134" s="282">
        <v>0.02061870416525139</v>
      </c>
      <c r="F134" s="233">
        <v>20462.984000000055</v>
      </c>
      <c r="G134" s="233">
        <v>368.08097087743226</v>
      </c>
      <c r="H134" s="233">
        <v>134756.1459999996</v>
      </c>
      <c r="I134" s="233">
        <v>161185.6888863812</v>
      </c>
      <c r="J134" s="233">
        <v>372112.6759999996</v>
      </c>
    </row>
    <row r="135">
      <c r="A135" s="184">
        <v>43924.983165983795</v>
      </c>
      <c r="B135" s="281">
        <v>0.14988604543811865</v>
      </c>
      <c r="C135" s="281">
        <v>0.040271935810511486</v>
      </c>
      <c r="D135" s="281">
        <v>0.17150015401920274</v>
      </c>
      <c r="E135" s="282">
        <v>0.006330250905753216</v>
      </c>
      <c r="F135" s="233">
        <v>6153.105999999738</v>
      </c>
      <c r="G135" s="233">
        <v>938.6196767440997</v>
      </c>
      <c r="H135" s="233">
        <v>114293.16199999955</v>
      </c>
      <c r="I135" s="233">
        <v>160817.60791550376</v>
      </c>
      <c r="J135" s="233">
        <v>351881.18199999956</v>
      </c>
    </row>
    <row r="136">
      <c r="A136" s="184">
        <v>43923.98313918982</v>
      </c>
      <c r="B136" s="281">
        <v>0.14089985124844162</v>
      </c>
      <c r="C136" s="281">
        <v>0.04034453873892178</v>
      </c>
      <c r="D136" s="281">
        <v>0.16255978085664857</v>
      </c>
      <c r="E136" s="282">
        <v>0.008708569649761782</v>
      </c>
      <c r="F136" s="233">
        <v>8462.728000000177</v>
      </c>
      <c r="G136" s="233">
        <v>2348.314938954165</v>
      </c>
      <c r="H136" s="233">
        <v>108140.05599999981</v>
      </c>
      <c r="I136" s="233">
        <v>159878.98823875966</v>
      </c>
      <c r="J136" s="233">
        <v>345723.5159999998</v>
      </c>
    </row>
    <row r="137">
      <c r="A137" s="184">
        <v>43922.9835022801</v>
      </c>
      <c r="B137" s="281">
        <v>0.12839453762950545</v>
      </c>
      <c r="C137" s="281">
        <v>0.04041596465595434</v>
      </c>
      <c r="D137" s="281">
        <v>0.15010359615656435</v>
      </c>
      <c r="E137" s="282">
        <v>-0.0206254619684986</v>
      </c>
      <c r="F137" s="233">
        <v>-20058.90399999966</v>
      </c>
      <c r="G137" s="233">
        <v>8314.311571400845</v>
      </c>
      <c r="H137" s="233">
        <v>99677.32799999963</v>
      </c>
      <c r="I137" s="233">
        <v>157530.6732998055</v>
      </c>
      <c r="J137" s="233">
        <v>337253.61799999967</v>
      </c>
    </row>
    <row r="138">
      <c r="A138" s="184">
        <v>43921.9831868287</v>
      </c>
      <c r="B138" s="281">
        <v>0.1576420311782398</v>
      </c>
      <c r="C138" s="281">
        <v>0.040485646577048194</v>
      </c>
      <c r="D138" s="281">
        <v>0.18062107685673265</v>
      </c>
      <c r="E138" s="282">
        <v>0.00343205993014727</v>
      </c>
      <c r="F138" s="233">
        <v>3549.978000000003</v>
      </c>
      <c r="G138" s="233">
        <v>-114.83813175157411</v>
      </c>
      <c r="H138" s="233">
        <v>119736.23199999929</v>
      </c>
      <c r="I138" s="233">
        <v>149216.36172840465</v>
      </c>
      <c r="J138" s="233">
        <v>357301.8019999993</v>
      </c>
    </row>
    <row r="139">
      <c r="A139" s="184">
        <v>43920.98325709491</v>
      </c>
      <c r="B139" s="281">
        <v>0.1525680947398839</v>
      </c>
      <c r="C139" s="281">
        <v>0.040560397226304785</v>
      </c>
      <c r="D139" s="281">
        <v>0.17558956776557239</v>
      </c>
      <c r="E139" s="282">
        <v>0.018549707684895233</v>
      </c>
      <c r="F139" s="233">
        <v>19121.18400000001</v>
      </c>
      <c r="G139" s="233">
        <v>459.2519589889562</v>
      </c>
      <c r="H139" s="233">
        <v>116186.25399999929</v>
      </c>
      <c r="I139" s="233">
        <v>149331.19986015622</v>
      </c>
      <c r="J139" s="233">
        <v>353751.8239999993</v>
      </c>
    </row>
    <row r="140">
      <c r="A140" s="184">
        <v>43917.98329224537</v>
      </c>
      <c r="B140" s="281">
        <v>0.12405036738710716</v>
      </c>
      <c r="C140" s="281">
        <v>0.040684918200874935</v>
      </c>
      <c r="D140" s="281">
        <v>0.14714251665004266</v>
      </c>
      <c r="E140" s="282">
        <v>-0.008662862161915407</v>
      </c>
      <c r="F140" s="233">
        <v>-8764.101999999955</v>
      </c>
      <c r="G140" s="233">
        <v>240.71361089494894</v>
      </c>
      <c r="H140" s="233">
        <v>97065.06999999928</v>
      </c>
      <c r="I140" s="233">
        <v>148871.94790116727</v>
      </c>
      <c r="J140" s="233">
        <v>334630.6399999993</v>
      </c>
    </row>
    <row r="141">
      <c r="A141" s="184">
        <v>43916.983238437504</v>
      </c>
      <c r="B141" s="281">
        <v>0.13757229438247087</v>
      </c>
      <c r="C141" s="281">
        <v>0.04075491535031934</v>
      </c>
      <c r="D141" s="281">
        <v>0.16070417297741507</v>
      </c>
      <c r="E141" s="282">
        <v>-0.007461903528447707</v>
      </c>
      <c r="F141" s="233">
        <v>-7607.03600000008</v>
      </c>
      <c r="G141" s="233">
        <v>66.80764202339924</v>
      </c>
      <c r="H141" s="233">
        <v>105829.17199999923</v>
      </c>
      <c r="I141" s="233">
        <v>148631.23429027232</v>
      </c>
      <c r="J141" s="233">
        <v>343394.74199999927</v>
      </c>
    </row>
    <row r="142">
      <c r="A142" s="184">
        <v>43915.98423446759</v>
      </c>
      <c r="B142" s="281">
        <v>0.14938863911735376</v>
      </c>
      <c r="C142" s="281">
        <v>0.040827304730215556</v>
      </c>
      <c r="D142" s="281">
        <v>0.17256160483842567</v>
      </c>
      <c r="E142" s="282">
        <v>0.01993306255493773</v>
      </c>
      <c r="F142" s="233">
        <v>20472.38799999992</v>
      </c>
      <c r="G142" s="233">
        <v>226.72072529178695</v>
      </c>
      <c r="H142" s="233">
        <v>113436.20799999931</v>
      </c>
      <c r="I142" s="233">
        <v>148564.42664824892</v>
      </c>
      <c r="J142" s="233">
        <v>351001.77799999935</v>
      </c>
    </row>
    <row r="143">
      <c r="A143" s="184">
        <v>43914.98395212963</v>
      </c>
      <c r="B143" s="281">
        <v>0.11846144525043567</v>
      </c>
      <c r="C143" s="281">
        <v>0.04090183038840697</v>
      </c>
      <c r="D143" s="281">
        <v>0.14167671061714968</v>
      </c>
      <c r="E143" s="282">
        <v>0.03646130273978803</v>
      </c>
      <c r="F143" s="233">
        <v>36701.380000000005</v>
      </c>
      <c r="G143" s="233">
        <v>-86.48795282424544</v>
      </c>
      <c r="H143" s="233">
        <v>92963.8199999994</v>
      </c>
      <c r="I143" s="233">
        <v>148337.70592295713</v>
      </c>
      <c r="J143" s="233">
        <v>330529.38999999943</v>
      </c>
    </row>
    <row r="144">
      <c r="A144" s="184">
        <v>43913.98316733797</v>
      </c>
      <c r="B144" s="281">
        <v>0.0626353342841489</v>
      </c>
      <c r="C144" s="281">
        <v>0.04097164732200359</v>
      </c>
      <c r="D144" s="281">
        <v>0.08589022669505983</v>
      </c>
      <c r="E144" s="282">
        <v>-0.015720227137486525</v>
      </c>
      <c r="F144" s="233">
        <v>-15246.782000000472</v>
      </c>
      <c r="G144" s="233">
        <v>6898.295474225044</v>
      </c>
      <c r="H144" s="233">
        <v>56262.43999999939</v>
      </c>
      <c r="I144" s="233">
        <v>148424.19387578138</v>
      </c>
      <c r="J144" s="233">
        <v>293828.0099999994</v>
      </c>
    </row>
    <row r="145">
      <c r="A145" s="184">
        <v>43910.98327734954</v>
      </c>
      <c r="B145" s="281">
        <v>0.08614614040379552</v>
      </c>
      <c r="C145" s="281">
        <v>0.04108375523352389</v>
      </c>
      <c r="D145" s="281">
        <v>0.10946466358357271</v>
      </c>
      <c r="E145" s="282">
        <v>0.013930638002420705</v>
      </c>
      <c r="F145" s="233">
        <v>13412.032000000123</v>
      </c>
      <c r="G145" s="233">
        <v>76.9489143967221</v>
      </c>
      <c r="H145" s="233">
        <v>71509.22199999986</v>
      </c>
      <c r="I145" s="233">
        <v>141525.89840155633</v>
      </c>
      <c r="J145" s="233">
        <v>309074.7919999999</v>
      </c>
    </row>
    <row r="146">
      <c r="A146" s="184">
        <v>43909.98352311343</v>
      </c>
      <c r="B146" s="281">
        <v>0.06571934747738066</v>
      </c>
      <c r="C146" s="281">
        <v>0.041148895071341625</v>
      </c>
      <c r="D146" s="281">
        <v>0.08907484305195103</v>
      </c>
      <c r="E146" s="282">
        <v>0.013575971961918162</v>
      </c>
      <c r="F146" s="233">
        <v>12888.487999999896</v>
      </c>
      <c r="G146" s="233">
        <v>2.894256809435319</v>
      </c>
      <c r="H146" s="233">
        <v>58097.18999999974</v>
      </c>
      <c r="I146" s="233">
        <v>141448.9494871596</v>
      </c>
      <c r="J146" s="233">
        <v>295662.7599999998</v>
      </c>
    </row>
    <row r="147">
      <c r="A147" s="184">
        <v>43908.983183460645</v>
      </c>
      <c r="B147" s="281">
        <v>0.04602796971058877</v>
      </c>
      <c r="C147" s="281">
        <v>0.04121094553517255</v>
      </c>
      <c r="D147" s="281">
        <v>0.06941868419762058</v>
      </c>
      <c r="E147" s="282">
        <v>-0.03928257090663429</v>
      </c>
      <c r="F147" s="233">
        <v>-36787.01800000004</v>
      </c>
      <c r="G147" s="233">
        <v>-230.16021789895603</v>
      </c>
      <c r="H147" s="233">
        <v>45208.701999999845</v>
      </c>
      <c r="I147" s="233">
        <v>141446.05523035018</v>
      </c>
      <c r="J147" s="233">
        <v>282774.2719999999</v>
      </c>
    </row>
    <row r="148">
      <c r="A148" s="184">
        <v>43907.9834725463</v>
      </c>
      <c r="B148" s="281">
        <v>0.10266193802528685</v>
      </c>
      <c r="C148" s="281">
        <v>0.04127000500866827</v>
      </c>
      <c r="D148" s="281">
        <v>0.1260861737835332</v>
      </c>
      <c r="E148" s="282">
        <v>0.015726366380443734</v>
      </c>
      <c r="F148" s="233">
        <v>15305.824000000022</v>
      </c>
      <c r="G148" s="233">
        <v>-186.88703690716648</v>
      </c>
      <c r="H148" s="233">
        <v>81995.71999999988</v>
      </c>
      <c r="I148" s="233">
        <v>141676.21544824913</v>
      </c>
      <c r="J148" s="233">
        <v>319561.2899999999</v>
      </c>
    </row>
    <row r="149">
      <c r="A149" s="184">
        <v>43906.98317771991</v>
      </c>
      <c r="B149" s="281">
        <v>0.07925706965954543</v>
      </c>
      <c r="C149" s="281">
        <v>0.04133840949230498</v>
      </c>
      <c r="D149" s="281">
        <v>0.10272013077657939</v>
      </c>
      <c r="E149" s="282">
        <v>-0.01144561332138713</v>
      </c>
      <c r="F149" s="233">
        <v>-10964.358999999647</v>
      </c>
      <c r="G149" s="233">
        <v>5129.5087760123715</v>
      </c>
      <c r="H149" s="233">
        <v>66689.89599999986</v>
      </c>
      <c r="I149" s="233">
        <v>141863.1024851563</v>
      </c>
      <c r="J149" s="233">
        <v>304255.4659999999</v>
      </c>
    </row>
    <row r="150">
      <c r="A150" s="184">
        <v>43903.983156828705</v>
      </c>
      <c r="B150" s="281">
        <v>0.09640220482824725</v>
      </c>
      <c r="C150" s="281">
        <v>0.04145496139542421</v>
      </c>
      <c r="D150" s="281">
        <v>0.11994538231329646</v>
      </c>
      <c r="E150" s="282">
        <v>0.006281563424537967</v>
      </c>
      <c r="F150" s="233">
        <v>6314.819999999949</v>
      </c>
      <c r="G150" s="233">
        <v>100.15038910502335</v>
      </c>
      <c r="H150" s="233">
        <v>77654.25499999951</v>
      </c>
      <c r="I150" s="233">
        <v>136733.59370914393</v>
      </c>
      <c r="J150" s="233">
        <v>315210.78499999957</v>
      </c>
    </row>
    <row r="151">
      <c r="A151" s="184">
        <v>43902.98317790509</v>
      </c>
      <c r="B151" s="281">
        <v>0.08679024525058565</v>
      </c>
      <c r="C151" s="281">
        <v>0.041522879897226035</v>
      </c>
      <c r="D151" s="281">
        <v>0.11037199513538182</v>
      </c>
      <c r="E151" s="282">
        <v>-0.0549817241243773</v>
      </c>
      <c r="F151" s="233">
        <v>-54925.61499999976</v>
      </c>
      <c r="G151" s="233">
        <v>1798.7786653696967</v>
      </c>
      <c r="H151" s="233">
        <v>71339.43499999956</v>
      </c>
      <c r="I151" s="233">
        <v>136633.4433200389</v>
      </c>
      <c r="J151" s="233">
        <v>308895.9649999996</v>
      </c>
    </row>
    <row r="152">
      <c r="A152" s="184">
        <v>43901.9831352662</v>
      </c>
      <c r="B152" s="281">
        <v>0.1720431787625625</v>
      </c>
      <c r="C152" s="281">
        <v>0.04158945303183508</v>
      </c>
      <c r="D152" s="281">
        <v>0.19566273698370923</v>
      </c>
      <c r="E152" s="282">
        <v>-0.005412471075391539</v>
      </c>
      <c r="F152" s="233">
        <v>-5670.376999999979</v>
      </c>
      <c r="G152" s="233">
        <v>645.0197354085685</v>
      </c>
      <c r="H152" s="233">
        <v>126265.04999999932</v>
      </c>
      <c r="I152" s="233">
        <v>134834.6646546692</v>
      </c>
      <c r="J152" s="233">
        <v>363821.5799999994</v>
      </c>
    </row>
    <row r="153">
      <c r="A153" s="184">
        <v>43900.98314306713</v>
      </c>
      <c r="B153" s="281">
        <v>0.1811809768118709</v>
      </c>
      <c r="C153" s="281">
        <v>0.04167015105393302</v>
      </c>
      <c r="D153" s="281">
        <v>0.20484636520130126</v>
      </c>
      <c r="E153" s="282">
        <v>-0.00228228400035518</v>
      </c>
      <c r="F153" s="233">
        <v>-2416.9660000002477</v>
      </c>
      <c r="G153" s="233">
        <v>-31.83060124714393</v>
      </c>
      <c r="H153" s="233">
        <v>131935.4269999993</v>
      </c>
      <c r="I153" s="233">
        <v>134189.64491926064</v>
      </c>
      <c r="J153" s="233">
        <v>369491.95699999935</v>
      </c>
    </row>
    <row r="154">
      <c r="A154" s="184">
        <v>43899.98321179398</v>
      </c>
      <c r="B154" s="281">
        <v>0.18529967742116113</v>
      </c>
      <c r="C154" s="281">
        <v>0.04175263270616035</v>
      </c>
      <c r="D154" s="281">
        <v>0.20901190894135996</v>
      </c>
      <c r="E154" s="282">
        <v>-0.02185166800569041</v>
      </c>
      <c r="F154" s="233">
        <v>-23193.992000000173</v>
      </c>
      <c r="G154" s="233">
        <v>10136.354609029164</v>
      </c>
      <c r="H154" s="233">
        <v>134352.39299999955</v>
      </c>
      <c r="I154" s="233">
        <v>134221.47552050778</v>
      </c>
      <c r="J154" s="233">
        <v>371908.9229999996</v>
      </c>
    </row>
    <row r="155">
      <c r="A155" s="184">
        <v>43896.983179097224</v>
      </c>
      <c r="B155" s="281">
        <v>0.22365653549471257</v>
      </c>
      <c r="C155" s="281">
        <v>0.042158307178609224</v>
      </c>
      <c r="D155" s="281">
        <v>0.24760836565341698</v>
      </c>
      <c r="E155" s="282">
        <v>-0.014770964903814446</v>
      </c>
      <c r="F155" s="233">
        <v>-14905.735999999917</v>
      </c>
      <c r="G155" s="233">
        <v>1219.86335408561</v>
      </c>
      <c r="H155" s="233">
        <v>157546.38499999972</v>
      </c>
      <c r="I155" s="233">
        <v>124085.12091147862</v>
      </c>
      <c r="J155" s="233">
        <v>395105.1949999997</v>
      </c>
    </row>
    <row r="156">
      <c r="A156" s="184">
        <v>43895.98312953704</v>
      </c>
      <c r="B156" s="281">
        <v>0.24761770888379553</v>
      </c>
      <c r="C156" s="281">
        <v>0.04224950867919087</v>
      </c>
      <c r="D156" s="281">
        <v>0.2716213542836314</v>
      </c>
      <c r="E156" s="282">
        <v>-0.003109868947087218</v>
      </c>
      <c r="F156" s="233">
        <v>-3160.8620000001974</v>
      </c>
      <c r="G156" s="233">
        <v>494.8774319066142</v>
      </c>
      <c r="H156" s="233">
        <v>172452.12099999964</v>
      </c>
      <c r="I156" s="233">
        <v>122865.25755739301</v>
      </c>
      <c r="J156" s="233">
        <v>410010.93099999963</v>
      </c>
    </row>
    <row r="157">
      <c r="A157" s="184">
        <v>43894.98317175926</v>
      </c>
      <c r="B157" s="281">
        <v>0.2531673591175454</v>
      </c>
      <c r="C157" s="281">
        <v>0.04234503526985102</v>
      </c>
      <c r="D157" s="281">
        <v>0.27722527701616634</v>
      </c>
      <c r="E157" s="282">
        <v>0.007362420536193176</v>
      </c>
      <c r="F157" s="233">
        <v>7506.414999999921</v>
      </c>
      <c r="G157" s="233">
        <v>554.6826186770777</v>
      </c>
      <c r="H157" s="233">
        <v>175612.98299999983</v>
      </c>
      <c r="I157" s="233">
        <v>122370.3801254864</v>
      </c>
      <c r="J157" s="233">
        <v>413871.79299999983</v>
      </c>
    </row>
    <row r="158">
      <c r="A158" s="184">
        <v>43893.983186666665</v>
      </c>
      <c r="B158" s="281">
        <v>0.24187046853868355</v>
      </c>
      <c r="C158" s="281">
        <v>0.04244204591180626</v>
      </c>
      <c r="D158" s="281">
        <v>0.2659835020853274</v>
      </c>
      <c r="E158" s="282">
        <v>0.008414569818908353</v>
      </c>
      <c r="F158" s="233">
        <v>8515.979000000167</v>
      </c>
      <c r="G158" s="233">
        <v>200.51437302021077</v>
      </c>
      <c r="H158" s="233">
        <v>168106.5679999999</v>
      </c>
      <c r="I158" s="233">
        <v>121815.69750680932</v>
      </c>
      <c r="J158" s="233">
        <v>406365.3779999999</v>
      </c>
    </row>
    <row r="159">
      <c r="A159" s="184">
        <v>43892.983147604165</v>
      </c>
      <c r="B159" s="281">
        <v>0.2289102132662498</v>
      </c>
      <c r="C159" s="281">
        <v>0.042537559692663166</v>
      </c>
      <c r="D159" s="281">
        <v>0.25307751203391426</v>
      </c>
      <c r="E159" s="282">
        <v>0.004287332539866032</v>
      </c>
      <c r="F159" s="233">
        <v>4302.490999999951</v>
      </c>
      <c r="G159" s="233">
        <v>741.5925686140399</v>
      </c>
      <c r="H159" s="233">
        <v>159590.58899999975</v>
      </c>
      <c r="I159" s="233">
        <v>121615.1831337891</v>
      </c>
      <c r="J159" s="233">
        <v>397849.39899999974</v>
      </c>
    </row>
    <row r="160">
      <c r="A160" s="184">
        <v>43889.97557229167</v>
      </c>
      <c r="B160" s="281">
        <v>0.22213479220159044</v>
      </c>
      <c r="C160" s="281">
        <v>0.04268500988507955</v>
      </c>
      <c r="D160" s="281">
        <v>0.24710826087685817</v>
      </c>
      <c r="E160" s="282">
        <v>-0.00744207751533863</v>
      </c>
      <c r="F160" s="233">
        <v>-7429.862000000023</v>
      </c>
      <c r="G160" s="233">
        <v>4807.087346303437</v>
      </c>
      <c r="H160" s="233">
        <v>155288.0979999998</v>
      </c>
      <c r="I160" s="233">
        <v>120873.59056517507</v>
      </c>
      <c r="J160" s="233">
        <v>393546.9079999998</v>
      </c>
    </row>
    <row r="161">
      <c r="A161" s="184">
        <v>43888.975518148145</v>
      </c>
      <c r="B161" s="281">
        <v>0.23446857484190942</v>
      </c>
      <c r="C161" s="281">
        <v>0.04277819018254226</v>
      </c>
      <c r="D161" s="281">
        <v>0.2594965599679429</v>
      </c>
      <c r="E161" s="282">
        <v>-0.017135880205715905</v>
      </c>
      <c r="F161" s="233">
        <v>-12366.68799999985</v>
      </c>
      <c r="G161" s="233">
        <v>609.1256536965957</v>
      </c>
      <c r="H161" s="233">
        <v>162717.95999999982</v>
      </c>
      <c r="I161" s="233">
        <v>116066.50321887163</v>
      </c>
      <c r="J161" s="233">
        <v>400976.76999999984</v>
      </c>
    </row>
    <row r="162">
      <c r="A162" s="184">
        <v>43887.975519224536</v>
      </c>
      <c r="B162" s="281">
        <v>0.25475865569812456</v>
      </c>
      <c r="C162" s="281">
        <v>0.042873804535165344</v>
      </c>
      <c r="D162" s="281">
        <v>0.27984258135331724</v>
      </c>
      <c r="E162" s="282">
        <v>-0.004577171968746254</v>
      </c>
      <c r="F162" s="233">
        <v>-3339.462000000174</v>
      </c>
      <c r="G162" s="233">
        <v>457.34151750960154</v>
      </c>
      <c r="H162" s="233">
        <v>175084.64799999967</v>
      </c>
      <c r="I162" s="233">
        <v>115457.37756517503</v>
      </c>
      <c r="J162" s="233">
        <v>413343.4579999997</v>
      </c>
    </row>
    <row r="163">
      <c r="A163" s="184">
        <v>43886.97634311343</v>
      </c>
      <c r="B163" s="281">
        <v>0.2606992797901145</v>
      </c>
      <c r="C163" s="281">
        <v>0.04297321364631102</v>
      </c>
      <c r="D163" s="281">
        <v>0.28584136615160477</v>
      </c>
      <c r="E163" s="282">
        <v>-0.00584547364903837</v>
      </c>
      <c r="F163" s="233">
        <v>-4278.439999999828</v>
      </c>
      <c r="G163" s="233">
        <v>452.94537743197</v>
      </c>
      <c r="H163" s="233">
        <v>178424.10999999984</v>
      </c>
      <c r="I163" s="233">
        <v>115000.03604766543</v>
      </c>
      <c r="J163" s="233">
        <v>416682.91999999987</v>
      </c>
    </row>
    <row r="164">
      <c r="A164" s="184">
        <v>43885.975562164356</v>
      </c>
      <c r="B164" s="281">
        <v>0.2681811568244691</v>
      </c>
      <c r="C164" s="281">
        <v>0.043074027713505415</v>
      </c>
      <c r="D164" s="281">
        <v>0.29338222588166174</v>
      </c>
      <c r="E164" s="282">
        <v>-0.0029553629999721073</v>
      </c>
      <c r="F164" s="233">
        <v>-2172.06700000001</v>
      </c>
      <c r="G164" s="233">
        <v>1218.1226249027968</v>
      </c>
      <c r="H164" s="233">
        <v>182702.54999999967</v>
      </c>
      <c r="I164" s="233">
        <v>114547.09067023346</v>
      </c>
      <c r="J164" s="233">
        <v>420961.3599999997</v>
      </c>
    </row>
    <row r="165">
      <c r="A165" s="184">
        <v>43882.975535474536</v>
      </c>
      <c r="B165" s="281">
        <v>0.2726564905331333</v>
      </c>
      <c r="C165" s="281">
        <v>0.0432311732754526</v>
      </c>
      <c r="D165" s="281">
        <v>0.29795317438563507</v>
      </c>
      <c r="E165" s="282">
        <v>-0.0027085861736125816</v>
      </c>
      <c r="F165" s="233">
        <v>-1977.439000000013</v>
      </c>
      <c r="G165" s="233">
        <v>488.7167665369343</v>
      </c>
      <c r="H165" s="233">
        <v>184874.61699999968</v>
      </c>
      <c r="I165" s="233">
        <v>113328.96804533066</v>
      </c>
      <c r="J165" s="233">
        <v>423131.1469999997</v>
      </c>
    </row>
    <row r="166">
      <c r="A166" s="184">
        <v>43881.97554706018</v>
      </c>
      <c r="B166" s="281">
        <v>0.276453422413606</v>
      </c>
      <c r="C166" s="281">
        <v>0.04332677346603896</v>
      </c>
      <c r="D166" s="281">
        <v>0.30180604663538935</v>
      </c>
      <c r="E166" s="282">
        <v>0.0025213217880738826</v>
      </c>
      <c r="F166" s="233">
        <v>1846.0730000000913</v>
      </c>
      <c r="G166" s="233">
        <v>486.6214435796428</v>
      </c>
      <c r="H166" s="233">
        <v>186852.0559999997</v>
      </c>
      <c r="I166" s="233">
        <v>112840.25127879373</v>
      </c>
      <c r="J166" s="233">
        <v>425108.5859999997</v>
      </c>
    </row>
    <row r="167">
      <c r="A167" s="184">
        <v>43880.975503587964</v>
      </c>
      <c r="B167" s="281">
        <v>0.27408137237547997</v>
      </c>
      <c r="C167" s="281">
        <v>0.043423378086962124</v>
      </c>
      <c r="D167" s="281">
        <v>0.29949052470809234</v>
      </c>
      <c r="E167" s="282">
        <v>0.0036661053456971374</v>
      </c>
      <c r="F167" s="233">
        <v>2677.497999999905</v>
      </c>
      <c r="G167" s="233">
        <v>477.6893696498446</v>
      </c>
      <c r="H167" s="233">
        <v>185005.9829999996</v>
      </c>
      <c r="I167" s="233">
        <v>112353.62983521409</v>
      </c>
      <c r="J167" s="233">
        <v>423262.5129999996</v>
      </c>
    </row>
    <row r="168">
      <c r="A168" s="184">
        <v>43879.97565519676</v>
      </c>
      <c r="B168" s="281">
        <v>0.27034685761994515</v>
      </c>
      <c r="C168" s="281">
        <v>0.04351994246833182</v>
      </c>
      <c r="D168" s="281">
        <v>0.2958125145172464</v>
      </c>
      <c r="E168" s="282">
        <v>0.004132589015158621</v>
      </c>
      <c r="F168" s="233">
        <v>3007.1239999999525</v>
      </c>
      <c r="G168" s="233">
        <v>467.512673151723</v>
      </c>
      <c r="H168" s="233">
        <v>182328.4849999997</v>
      </c>
      <c r="I168" s="233">
        <v>111875.94046556424</v>
      </c>
      <c r="J168" s="233">
        <v>420585.0149999997</v>
      </c>
    </row>
    <row r="169">
      <c r="A169" s="184">
        <v>43878.975490972225</v>
      </c>
      <c r="B169" s="281">
        <v>0.2660554132576888</v>
      </c>
      <c r="C169" s="281">
        <v>0.04361623221058636</v>
      </c>
      <c r="D169" s="281">
        <v>0.29157741401483706</v>
      </c>
      <c r="E169" s="282">
        <v>0.002082101506797954</v>
      </c>
      <c r="F169" s="233">
        <v>1508.8030000001309</v>
      </c>
      <c r="G169" s="233">
        <v>447.5712645914318</v>
      </c>
      <c r="H169" s="233">
        <v>179321.36099999974</v>
      </c>
      <c r="I169" s="233">
        <v>111408.42779241252</v>
      </c>
      <c r="J169" s="233">
        <v>417577.89099999977</v>
      </c>
    </row>
    <row r="170">
      <c r="A170" s="184">
        <v>43875.975535879625</v>
      </c>
      <c r="B170" s="281">
        <v>0.26458395124093864</v>
      </c>
      <c r="C170" s="281">
        <v>0.04376772648843443</v>
      </c>
      <c r="D170" s="281">
        <v>0.2901283210161904</v>
      </c>
      <c r="E170" s="282">
        <v>0.004592497986907084</v>
      </c>
      <c r="F170" s="233">
        <v>3321.228999999934</v>
      </c>
      <c r="G170" s="233">
        <v>463.2046614786814</v>
      </c>
      <c r="H170" s="233">
        <v>177812.5579999996</v>
      </c>
      <c r="I170" s="233">
        <v>110960.85652782109</v>
      </c>
      <c r="J170" s="233">
        <v>416075.4779999997</v>
      </c>
    </row>
    <row r="171">
      <c r="A171" s="184">
        <v>43874.97632726852</v>
      </c>
      <c r="B171" s="281">
        <v>0.25973398074748655</v>
      </c>
      <c r="C171" s="281">
        <v>0.04386383963547743</v>
      </c>
      <c r="D171" s="281">
        <v>0.2853344455033396</v>
      </c>
      <c r="E171" s="282">
        <v>0.006069543651714472</v>
      </c>
      <c r="F171" s="233">
        <v>4369.249000000069</v>
      </c>
      <c r="G171" s="233">
        <v>456.13983657574863</v>
      </c>
      <c r="H171" s="233">
        <v>174491.32899999968</v>
      </c>
      <c r="I171" s="233">
        <v>110497.6518663424</v>
      </c>
      <c r="J171" s="233">
        <v>412754.2489999998</v>
      </c>
    </row>
    <row r="172">
      <c r="A172" s="184">
        <v>43873.97553956018</v>
      </c>
      <c r="B172" s="281">
        <v>0.2531399590537857</v>
      </c>
      <c r="C172" s="281">
        <v>0.04395947767239594</v>
      </c>
      <c r="D172" s="281">
        <v>0.27879624149942156</v>
      </c>
      <c r="E172" s="282">
        <v>0.0014037353846863949</v>
      </c>
      <c r="F172" s="233">
        <v>1004.3660000000382</v>
      </c>
      <c r="G172" s="233">
        <v>433.9707937742205</v>
      </c>
      <c r="H172" s="233">
        <v>170122.0799999996</v>
      </c>
      <c r="I172" s="233">
        <v>110041.51202976666</v>
      </c>
      <c r="J172" s="233">
        <v>408384.9999999997</v>
      </c>
    </row>
    <row r="173">
      <c r="A173" s="184">
        <v>43872.9755089699</v>
      </c>
      <c r="B173" s="281">
        <v>0.2520366821172934</v>
      </c>
      <c r="C173" s="281">
        <v>0.04405433436817839</v>
      </c>
      <c r="D173" s="281">
        <v>0.2777483262348078</v>
      </c>
      <c r="E173" s="282">
        <v>-4.514977128805676E-4</v>
      </c>
      <c r="F173" s="233">
        <v>-322.5910000000149</v>
      </c>
      <c r="G173" s="233">
        <v>422.15190272372274</v>
      </c>
      <c r="H173" s="233">
        <v>169117.71399999957</v>
      </c>
      <c r="I173" s="233">
        <v>109607.54123599244</v>
      </c>
      <c r="J173" s="233">
        <v>407380.63399999967</v>
      </c>
    </row>
    <row r="174">
      <c r="A174" s="184">
        <v>43871.97556304398</v>
      </c>
      <c r="B174" s="281">
        <v>0.2531112309479183</v>
      </c>
      <c r="C174" s="281">
        <v>0.04414935253741937</v>
      </c>
      <c r="D174" s="281">
        <v>0.2788783309788464</v>
      </c>
      <c r="E174" s="282">
        <v>0.004968363250287211</v>
      </c>
      <c r="F174" s="233">
        <v>3551.453000000096</v>
      </c>
      <c r="G174" s="233">
        <v>448.58654863820993</v>
      </c>
      <c r="H174" s="233">
        <v>169440.3049999996</v>
      </c>
      <c r="I174" s="233">
        <v>109185.38933326871</v>
      </c>
      <c r="J174" s="233">
        <v>407703.2249999997</v>
      </c>
    </row>
    <row r="175">
      <c r="A175" s="184">
        <v>43868.975528634255</v>
      </c>
      <c r="B175" s="281">
        <v>0.24811763206343398</v>
      </c>
      <c r="C175" s="281">
        <v>0.044301417361008996</v>
      </c>
      <c r="D175" s="281">
        <v>0.27397348242240593</v>
      </c>
      <c r="E175" s="282">
        <v>0.007131360656284199</v>
      </c>
      <c r="F175" s="233">
        <v>5072.265999999945</v>
      </c>
      <c r="G175" s="233">
        <v>451.90905058367935</v>
      </c>
      <c r="H175" s="233">
        <v>165888.8519999995</v>
      </c>
      <c r="I175" s="233">
        <v>108736.8027846305</v>
      </c>
      <c r="J175" s="233">
        <v>404151.7719999996</v>
      </c>
    </row>
    <row r="176">
      <c r="A176" s="184">
        <v>43867.97553763889</v>
      </c>
      <c r="B176" s="281">
        <v>0.24025544061620016</v>
      </c>
      <c r="C176" s="281">
        <v>0.04439656555369936</v>
      </c>
      <c r="D176" s="281">
        <v>0.26616682277480014</v>
      </c>
      <c r="E176" s="282">
        <v>0.004083648871281568</v>
      </c>
      <c r="F176" s="233">
        <v>2883.8310000000056</v>
      </c>
      <c r="G176" s="233">
        <v>417.25628015566326</v>
      </c>
      <c r="H176" s="233">
        <v>160816.58599999954</v>
      </c>
      <c r="I176" s="233">
        <v>108284.89373404683</v>
      </c>
      <c r="J176" s="233">
        <v>399079.50599999964</v>
      </c>
    </row>
    <row r="177">
      <c r="A177" s="184">
        <v>43866.97552116898</v>
      </c>
      <c r="B177" s="281">
        <v>0.23598170111422367</v>
      </c>
      <c r="C177" s="281">
        <v>0.044490696403940856</v>
      </c>
      <c r="D177" s="281">
        <v>0.2619480213159606</v>
      </c>
      <c r="E177" s="282">
        <v>0.0025798175950246275</v>
      </c>
      <c r="F177" s="233">
        <v>1814.4010000000708</v>
      </c>
      <c r="G177" s="233">
        <v>407.7232256808493</v>
      </c>
      <c r="H177" s="233">
        <v>157932.75499999954</v>
      </c>
      <c r="I177" s="233">
        <v>107867.63745389116</v>
      </c>
      <c r="J177" s="233">
        <v>396195.67499999964</v>
      </c>
    </row>
    <row r="178">
      <c r="A178" s="184">
        <v>43865.975517638886</v>
      </c>
      <c r="B178" s="281">
        <v>0.23346314350466305</v>
      </c>
      <c r="C178" s="281">
        <v>0.0445844275796365</v>
      </c>
      <c r="D178" s="281">
        <v>0.2594841684855497</v>
      </c>
      <c r="E178" s="282">
        <v>0.00188303059239789</v>
      </c>
      <c r="F178" s="233">
        <v>1320.9299999998184</v>
      </c>
      <c r="G178" s="233">
        <v>415.51096498062543</v>
      </c>
      <c r="H178" s="233">
        <v>156118.35399999947</v>
      </c>
      <c r="I178" s="233">
        <v>107459.91422821031</v>
      </c>
      <c r="J178" s="233">
        <v>394381.27399999957</v>
      </c>
    </row>
    <row r="179">
      <c r="A179" s="184">
        <v>43864.97551770833</v>
      </c>
      <c r="B179" s="281">
        <v>0.23174499945666405</v>
      </c>
      <c r="C179" s="281">
        <v>0.04467806227796676</v>
      </c>
      <c r="D179" s="281">
        <v>0.25782900085783866</v>
      </c>
      <c r="E179" s="282">
        <v>-9.454049237389907E-4</v>
      </c>
      <c r="F179" s="233">
        <v>-661.9400000002352</v>
      </c>
      <c r="G179" s="233">
        <v>496.3710350192996</v>
      </c>
      <c r="H179" s="233">
        <v>154797.42399999965</v>
      </c>
      <c r="I179" s="233">
        <v>107044.40326322969</v>
      </c>
      <c r="J179" s="233">
        <v>393360.34399999975</v>
      </c>
    </row>
    <row r="180">
      <c r="A180" s="184">
        <v>43861.97552847222</v>
      </c>
      <c r="B180" s="281">
        <v>0.2330060556848576</v>
      </c>
      <c r="C180" s="281">
        <v>0.044829265109776896</v>
      </c>
      <c r="D180" s="281">
        <v>0.25980781670237324</v>
      </c>
      <c r="E180" s="282">
        <v>-0.00455685221890436</v>
      </c>
      <c r="F180" s="233">
        <v>-3183.043999999878</v>
      </c>
      <c r="G180" s="233">
        <v>469.593451362045</v>
      </c>
      <c r="H180" s="233">
        <v>155459.36399999988</v>
      </c>
      <c r="I180" s="233">
        <v>106548.03222821039</v>
      </c>
      <c r="J180" s="233">
        <v>394022.2839999999</v>
      </c>
    </row>
    <row r="181">
      <c r="A181" s="184">
        <v>43860.97550706018</v>
      </c>
      <c r="B181" s="281">
        <v>0.23882117727889993</v>
      </c>
      <c r="C181" s="281">
        <v>0.04492381432986639</v>
      </c>
      <c r="D181" s="281">
        <v>0.26568658347434043</v>
      </c>
      <c r="E181" s="282">
        <v>-0.0017376387874653613</v>
      </c>
      <c r="F181" s="233">
        <v>-1215.4049999999115</v>
      </c>
      <c r="G181" s="233">
        <v>496.9272607002931</v>
      </c>
      <c r="H181" s="233">
        <v>158642.40799999976</v>
      </c>
      <c r="I181" s="233">
        <v>106078.43877684834</v>
      </c>
      <c r="J181" s="233">
        <v>397201.0779999998</v>
      </c>
    </row>
    <row r="182">
      <c r="A182" s="184">
        <v>43859.97553355324</v>
      </c>
      <c r="B182" s="281">
        <v>0.24136738137244168</v>
      </c>
      <c r="C182" s="281">
        <v>0.045019738902976565</v>
      </c>
      <c r="D182" s="281">
        <v>0.2682937441442116</v>
      </c>
      <c r="E182" s="282">
        <v>0.0023037659135186593</v>
      </c>
      <c r="F182" s="233">
        <v>1607.6490000000922</v>
      </c>
      <c r="G182" s="233">
        <v>449.78868093393976</v>
      </c>
      <c r="H182" s="233">
        <v>159857.81299999967</v>
      </c>
      <c r="I182" s="233">
        <v>105581.51151614805</v>
      </c>
      <c r="J182" s="233">
        <v>398414.3429999997</v>
      </c>
    </row>
    <row r="183">
      <c r="A183" s="184">
        <v>43858.97552258102</v>
      </c>
      <c r="B183" s="281">
        <v>0.23918204064401413</v>
      </c>
      <c r="C183" s="281">
        <v>0.045116471316245466</v>
      </c>
      <c r="D183" s="281">
        <v>0.26616625919449216</v>
      </c>
      <c r="E183" s="282">
        <v>0.0015474767737365567</v>
      </c>
      <c r="F183" s="233">
        <v>1077.3959999999497</v>
      </c>
      <c r="G183" s="233">
        <v>447.2882217898732</v>
      </c>
      <c r="H183" s="233">
        <v>158250.16399999958</v>
      </c>
      <c r="I183" s="233">
        <v>105131.72283521411</v>
      </c>
      <c r="J183" s="233">
        <v>396806.6939999996</v>
      </c>
    </row>
    <row r="184">
      <c r="A184" s="184">
        <v>43857.976126435184</v>
      </c>
      <c r="B184" s="281">
        <v>0.23787873489749528</v>
      </c>
      <c r="C184" s="281">
        <v>0.04521317852508001</v>
      </c>
      <c r="D184" s="281">
        <v>0.26492079415187736</v>
      </c>
      <c r="E184" s="282">
        <v>-6.891604363513256E-4</v>
      </c>
      <c r="F184" s="233">
        <v>-479.0700000001816</v>
      </c>
      <c r="G184" s="233">
        <v>813.7999260700599</v>
      </c>
      <c r="H184" s="233">
        <v>157172.76799999963</v>
      </c>
      <c r="I184" s="233">
        <v>104684.43461342424</v>
      </c>
      <c r="J184" s="233">
        <v>395729.29799999966</v>
      </c>
    </row>
    <row r="185">
      <c r="A185" s="184">
        <v>43854.97551575232</v>
      </c>
      <c r="B185" s="281">
        <v>0.23950568806471784</v>
      </c>
      <c r="C185" s="281">
        <v>0.0453684052728826</v>
      </c>
      <c r="D185" s="281">
        <v>0.26664058863326706</v>
      </c>
      <c r="E185" s="282">
        <v>0.0027515427487206957</v>
      </c>
      <c r="F185" s="233">
        <v>1880.2590000000782</v>
      </c>
      <c r="G185" s="233">
        <v>426.97342412456055</v>
      </c>
      <c r="H185" s="233">
        <v>157651.8379999998</v>
      </c>
      <c r="I185" s="233">
        <v>103870.63468735418</v>
      </c>
      <c r="J185" s="233">
        <v>396208.36799999984</v>
      </c>
    </row>
    <row r="186">
      <c r="A186" s="184">
        <v>43853.97554241898</v>
      </c>
      <c r="B186" s="281">
        <v>0.23683395137903487</v>
      </c>
      <c r="C186" s="281">
        <v>0.04546600369552951</v>
      </c>
      <c r="D186" s="281">
        <v>0.2640272256875964</v>
      </c>
      <c r="E186" s="282">
        <v>0.0065525116626753655</v>
      </c>
      <c r="F186" s="233">
        <v>4465.320000000065</v>
      </c>
      <c r="G186" s="233">
        <v>446.08577042794786</v>
      </c>
      <c r="H186" s="233">
        <v>155771.57899999974</v>
      </c>
      <c r="I186" s="233">
        <v>103443.66126322962</v>
      </c>
      <c r="J186" s="233">
        <v>394328.10899999976</v>
      </c>
    </row>
    <row r="187">
      <c r="A187" s="184">
        <v>43852.975547951384</v>
      </c>
      <c r="B187" s="281">
        <v>0.22975698467792094</v>
      </c>
      <c r="C187" s="281">
        <v>0.04556349176000755</v>
      </c>
      <c r="D187" s="281">
        <v>0.25700856672113437</v>
      </c>
      <c r="E187" s="282">
        <v>0.001759413839147805</v>
      </c>
      <c r="F187" s="233">
        <v>1191.125999999931</v>
      </c>
      <c r="G187" s="233">
        <v>408.07128793775337</v>
      </c>
      <c r="H187" s="233">
        <v>151306.25899999967</v>
      </c>
      <c r="I187" s="233">
        <v>102997.57549280167</v>
      </c>
      <c r="J187" s="233">
        <v>389862.7889999997</v>
      </c>
    </row>
    <row r="188">
      <c r="A188" s="184">
        <v>43851.97553408565</v>
      </c>
      <c r="B188" s="281">
        <v>0.22821649824335927</v>
      </c>
      <c r="C188" s="281">
        <v>0.04566007890640154</v>
      </c>
      <c r="D188" s="281">
        <v>0.25552584918097926</v>
      </c>
      <c r="E188" s="282">
        <v>0.0022161789994016154</v>
      </c>
      <c r="F188" s="233">
        <v>1497.7170000000624</v>
      </c>
      <c r="G188" s="233">
        <v>405.2156381322711</v>
      </c>
      <c r="H188" s="233">
        <v>150115.13299999974</v>
      </c>
      <c r="I188" s="233">
        <v>102589.50420486392</v>
      </c>
      <c r="J188" s="233">
        <v>388671.66299999977</v>
      </c>
    </row>
    <row r="189">
      <c r="A189" s="184">
        <v>43850.97556121528</v>
      </c>
      <c r="B189" s="281">
        <v>0.22614486613158208</v>
      </c>
      <c r="C189" s="281">
        <v>0.045756750043600726</v>
      </c>
      <c r="D189" s="281">
        <v>0.25351203619861534</v>
      </c>
      <c r="E189" s="282">
        <v>0.0016906902219318265</v>
      </c>
      <c r="F189" s="233">
        <v>1140.0540000000037</v>
      </c>
      <c r="G189" s="233">
        <v>395.1518754864228</v>
      </c>
      <c r="H189" s="233">
        <v>148617.41599999968</v>
      </c>
      <c r="I189" s="233">
        <v>102184.28856673164</v>
      </c>
      <c r="J189" s="233">
        <v>387173.9459999997</v>
      </c>
    </row>
    <row r="190">
      <c r="A190" s="184">
        <v>43847.975520798616</v>
      </c>
      <c r="B190" s="281">
        <v>0.22496461236040358</v>
      </c>
      <c r="C190" s="281">
        <v>0.045912766527649015</v>
      </c>
      <c r="D190" s="281">
        <v>0.2524250960838513</v>
      </c>
      <c r="E190" s="282">
        <v>0.002468736433273517</v>
      </c>
      <c r="F190" s="233">
        <v>1661.8859999999404</v>
      </c>
      <c r="G190" s="233">
        <v>526.6177120623033</v>
      </c>
      <c r="H190" s="233">
        <v>147477.36199999967</v>
      </c>
      <c r="I190" s="233">
        <v>101789.13669124522</v>
      </c>
      <c r="J190" s="233">
        <v>386033.8919999997</v>
      </c>
    </row>
    <row r="191">
      <c r="A191" s="184">
        <v>43846.9755346875</v>
      </c>
      <c r="B191" s="281">
        <v>0.2225889754607139</v>
      </c>
      <c r="C191" s="281">
        <v>0.04600968500750873</v>
      </c>
      <c r="D191" s="281">
        <v>0.25010742624953297</v>
      </c>
      <c r="E191" s="282">
        <v>6.429312013699427E-4</v>
      </c>
      <c r="F191" s="233">
        <v>432.39300000004005</v>
      </c>
      <c r="G191" s="233">
        <v>396.6186303501163</v>
      </c>
      <c r="H191" s="233">
        <v>145815.47599999973</v>
      </c>
      <c r="I191" s="233">
        <v>101262.51897918292</v>
      </c>
      <c r="J191" s="233">
        <v>384372.00599999976</v>
      </c>
    </row>
    <row r="192">
      <c r="A192" s="184">
        <v>43845.975559976854</v>
      </c>
      <c r="B192" s="281">
        <v>0.22231431189569323</v>
      </c>
      <c r="C192" s="281">
        <v>0.04610653587139387</v>
      </c>
      <c r="D192" s="281">
        <v>0.2498906893086838</v>
      </c>
      <c r="E192" s="282">
        <v>8.389536863721491E-4</v>
      </c>
      <c r="F192" s="233">
        <v>563.8619999999646</v>
      </c>
      <c r="G192" s="233">
        <v>401.0419027238386</v>
      </c>
      <c r="H192" s="233">
        <v>145383.0829999997</v>
      </c>
      <c r="I192" s="233">
        <v>100865.9003488328</v>
      </c>
      <c r="J192" s="233">
        <v>383939.6129999997</v>
      </c>
    </row>
    <row r="193">
      <c r="A193" s="184">
        <v>43844.97557841435</v>
      </c>
      <c r="B193" s="281">
        <v>0.22181157192800563</v>
      </c>
      <c r="C193" s="281">
        <v>0.046203698192634764</v>
      </c>
      <c r="D193" s="281">
        <v>0.24944606224820604</v>
      </c>
      <c r="E193" s="282">
        <v>0.004109707328212549</v>
      </c>
      <c r="F193" s="233">
        <v>2759.822999999975</v>
      </c>
      <c r="G193" s="233">
        <v>422.7921712061943</v>
      </c>
      <c r="H193" s="233">
        <v>144819.22099999973</v>
      </c>
      <c r="I193" s="233">
        <v>100464.85844610896</v>
      </c>
      <c r="J193" s="233">
        <v>383375.75099999976</v>
      </c>
    </row>
    <row r="194">
      <c r="A194" s="184">
        <v>43843.97552636574</v>
      </c>
      <c r="B194" s="281">
        <v>0.21751560296283887</v>
      </c>
      <c r="C194" s="281">
        <v>0.0463011322000575</v>
      </c>
      <c r="D194" s="281">
        <v>0.24520836868609808</v>
      </c>
      <c r="E194" s="282">
        <v>-0.005143547099138234</v>
      </c>
      <c r="F194" s="233">
        <v>-3439.890000000014</v>
      </c>
      <c r="G194" s="233">
        <v>384.70228015563043</v>
      </c>
      <c r="H194" s="233">
        <v>142059.39799999975</v>
      </c>
      <c r="I194" s="233">
        <v>100042.06627490277</v>
      </c>
      <c r="J194" s="233">
        <v>381915.9279999998</v>
      </c>
    </row>
    <row r="195">
      <c r="A195" s="184">
        <v>43840.97553277778</v>
      </c>
      <c r="B195" s="281">
        <v>0.22421455740870525</v>
      </c>
      <c r="C195" s="281">
        <v>0.04645889341408529</v>
      </c>
      <c r="D195" s="281">
        <v>0.2520016803135861</v>
      </c>
      <c r="E195" s="282">
        <v>0.0064388786639271965</v>
      </c>
      <c r="F195" s="233">
        <v>4328.328000000096</v>
      </c>
      <c r="G195" s="233">
        <v>438.18228793768503</v>
      </c>
      <c r="H195" s="233">
        <v>145499.28799999977</v>
      </c>
      <c r="I195" s="233">
        <v>99657.36399474714</v>
      </c>
      <c r="J195" s="233">
        <v>385355.8179999998</v>
      </c>
    </row>
    <row r="196">
      <c r="A196" s="184">
        <v>43839.975477245374</v>
      </c>
      <c r="B196" s="281">
        <v>0.21718038731241163</v>
      </c>
      <c r="C196" s="281">
        <v>0.04655802082928438</v>
      </c>
      <c r="D196" s="281">
        <v>0.24502679844968386</v>
      </c>
      <c r="E196" s="282">
        <v>-0.0032044410231192757</v>
      </c>
      <c r="F196" s="233">
        <v>-2140.2120000000577</v>
      </c>
      <c r="G196" s="233">
        <v>823.9181789883733</v>
      </c>
      <c r="H196" s="233">
        <v>141170.95999999967</v>
      </c>
      <c r="I196" s="233">
        <v>99219.18170680945</v>
      </c>
      <c r="J196" s="233">
        <v>381027.4899999997</v>
      </c>
    </row>
    <row r="197">
      <c r="A197" s="184">
        <v>43838.97552744213</v>
      </c>
      <c r="B197" s="281">
        <v>0.22136108466503412</v>
      </c>
      <c r="C197" s="281">
        <v>0.04665623672581874</v>
      </c>
      <c r="D197" s="281">
        <v>0.24926623885423155</v>
      </c>
      <c r="E197" s="282">
        <v>0.0012506484356518772</v>
      </c>
      <c r="F197" s="233">
        <v>842.7960000000894</v>
      </c>
      <c r="G197" s="233">
        <v>410.76898832684674</v>
      </c>
      <c r="H197" s="233">
        <v>143311.17199999973</v>
      </c>
      <c r="I197" s="233">
        <v>98395.26352782108</v>
      </c>
      <c r="J197" s="233">
        <v>383167.70199999976</v>
      </c>
    </row>
    <row r="198">
      <c r="A198" s="184">
        <v>43837.97553430556</v>
      </c>
      <c r="B198" s="281">
        <v>0.22036343387092475</v>
      </c>
      <c r="C198" s="281">
        <v>0.046755588550695205</v>
      </c>
      <c r="D198" s="281">
        <v>0.2483280105122254</v>
      </c>
      <c r="E198" s="282">
        <v>0.004222401806206985</v>
      </c>
      <c r="F198" s="233">
        <v>2841.863999999943</v>
      </c>
      <c r="G198" s="233">
        <v>416.0291556420125</v>
      </c>
      <c r="H198" s="233">
        <v>142468.37599999964</v>
      </c>
      <c r="I198" s="233">
        <v>97984.49453949423</v>
      </c>
      <c r="J198" s="233">
        <v>382324.90599999967</v>
      </c>
    </row>
    <row r="199">
      <c r="A199" s="184">
        <v>43836.97554234954</v>
      </c>
      <c r="B199" s="281">
        <v>0.21578034728276346</v>
      </c>
      <c r="C199" s="281">
        <v>0.04683598419409615</v>
      </c>
      <c r="D199" s="281">
        <v>0.24379300866005404</v>
      </c>
      <c r="E199" s="282">
        <v>-8.86706547683905E-4</v>
      </c>
      <c r="F199" s="233">
        <v>-594.2729999999283</v>
      </c>
      <c r="G199" s="233">
        <v>467.65983268487616</v>
      </c>
      <c r="H199" s="233">
        <v>139626.5119999997</v>
      </c>
      <c r="I199" s="233">
        <v>97568.46538385222</v>
      </c>
      <c r="J199" s="233">
        <v>379483.0419999997</v>
      </c>
    </row>
    <row r="200">
      <c r="A200" s="184">
        <v>43833.97552361111</v>
      </c>
      <c r="B200" s="281">
        <v>0.217560140970315</v>
      </c>
      <c r="C200" s="281">
        <v>0.046996304487998984</v>
      </c>
      <c r="D200" s="281">
        <v>0.24566869011813683</v>
      </c>
      <c r="E200" s="282">
        <v>0.0077729230763409225</v>
      </c>
      <c r="F200" s="233">
        <v>5219.2619999998715</v>
      </c>
      <c r="G200" s="233">
        <v>421.5080544746306</v>
      </c>
      <c r="H200" s="233">
        <v>140220.78499999963</v>
      </c>
      <c r="I200" s="233">
        <v>97100.80555116734</v>
      </c>
      <c r="J200" s="233">
        <v>380077.31499999965</v>
      </c>
    </row>
    <row r="201">
      <c r="A201" s="184">
        <v>43832.97551805555</v>
      </c>
      <c r="B201" s="281">
        <v>0.20885863378039612</v>
      </c>
      <c r="C201" s="281">
        <v>0.04709613234932768</v>
      </c>
      <c r="D201" s="281">
        <v>0.2370268900983252</v>
      </c>
      <c r="E201" s="282">
        <v>0.005846870887261459</v>
      </c>
      <c r="F201" s="233">
        <v>3895.4650000000256</v>
      </c>
      <c r="G201" s="233">
        <v>391.770389105106</v>
      </c>
      <c r="H201" s="233">
        <v>135001.52299999975</v>
      </c>
      <c r="I201" s="233">
        <v>96679.29749669271</v>
      </c>
      <c r="J201" s="233">
        <v>374858.053</v>
      </c>
    </row>
    <row r="202">
      <c r="A202" s="184">
        <v>43830.975504375005</v>
      </c>
      <c r="B202" s="281">
        <v>0.2020434479816019</v>
      </c>
      <c r="C202" s="281">
        <v>0.047245062465907775</v>
      </c>
      <c r="D202" s="281">
        <v>0.23091539830939461</v>
      </c>
      <c r="E202" s="282">
        <v>5.634110053342113E-5</v>
      </c>
      <c r="F202" s="233">
        <v>37.2980000001844</v>
      </c>
      <c r="G202" s="233">
        <v>118.07819879846647</v>
      </c>
      <c r="H202" s="233">
        <v>131106.05799999973</v>
      </c>
      <c r="I202" s="233">
        <v>96287.52710758761</v>
      </c>
      <c r="J202" s="233">
        <v>370562.588</v>
      </c>
    </row>
    <row r="203">
      <c r="A203" s="184">
        <v>43829.975571724535</v>
      </c>
      <c r="B203" s="281">
        <v>0.2023959331159585</v>
      </c>
      <c r="C203" s="281">
        <v>0.04734287931519133</v>
      </c>
      <c r="D203" s="281">
        <v>0.23132766034034807</v>
      </c>
      <c r="E203" s="282">
        <v>-0.009498776447918092</v>
      </c>
      <c r="F203" s="233">
        <v>-6287.868000000191</v>
      </c>
      <c r="G203" s="233">
        <v>632.4200035361573</v>
      </c>
      <c r="H203" s="233">
        <v>131068.75999999954</v>
      </c>
      <c r="I203" s="233">
        <v>96169.44890878914</v>
      </c>
      <c r="J203" s="233">
        <v>341025.28999999963</v>
      </c>
    </row>
    <row r="204">
      <c r="A204" s="184">
        <v>43826.975597199074</v>
      </c>
      <c r="B204" s="281">
        <v>0.2139090877066315</v>
      </c>
      <c r="C204" s="279">
        <v>0.0474242282043736</v>
      </c>
      <c r="D204" s="279">
        <v>0.2428418874341774</v>
      </c>
      <c r="E204" s="282">
        <v>0.004566832594240918</v>
      </c>
      <c r="F204" s="233">
        <v>3051.7990000000573</v>
      </c>
      <c r="G204" s="233">
        <v>562.4866995887423</v>
      </c>
      <c r="H204" s="235">
        <v>137356.62799999974</v>
      </c>
      <c r="I204" s="235">
        <v>95537.02890525298</v>
      </c>
      <c r="J204" s="233">
        <v>343651.27799999976</v>
      </c>
    </row>
    <row r="205">
      <c r="A205" s="184">
        <v>43823.975529143514</v>
      </c>
      <c r="B205" s="281">
        <v>0.21603472117527964</v>
      </c>
      <c r="C205" s="281">
        <v>0.04115889494866326</v>
      </c>
      <c r="D205" s="281">
        <v>0.23865681449930765</v>
      </c>
      <c r="E205" s="282">
        <v>0.0011920494175043002</v>
      </c>
      <c r="F205" s="233">
        <v>797.3190000000177</v>
      </c>
      <c r="G205" s="233">
        <v>434.0209453125135</v>
      </c>
      <c r="H205" s="233">
        <v>134304.82899999968</v>
      </c>
      <c r="I205" s="233">
        <v>94974.54220566424</v>
      </c>
      <c r="J205" s="233">
        <v>344261.35899999976</v>
      </c>
    </row>
    <row r="206">
      <c r="A206" s="184">
        <v>43822.97559078704</v>
      </c>
      <c r="B206" s="281">
        <v>0.2150713092993525</v>
      </c>
      <c r="C206" s="281">
        <v>0.04124584822515931</v>
      </c>
      <c r="D206" s="281">
        <v>0.23774119460463208</v>
      </c>
      <c r="E206" s="282">
        <v>-4.435425185746161E-4</v>
      </c>
      <c r="F206" s="233">
        <v>-296.31600000010803</v>
      </c>
      <c r="G206" s="233">
        <v>407.79076562494447</v>
      </c>
      <c r="H206" s="233">
        <v>133507.50999999966</v>
      </c>
      <c r="I206" s="233">
        <v>94540.52126035173</v>
      </c>
      <c r="J206" s="233">
        <v>343464.03999999975</v>
      </c>
    </row>
    <row r="207">
      <c r="A207" s="184">
        <v>43819.975599247686</v>
      </c>
      <c r="B207" s="281">
        <v>0.2163392332138586</v>
      </c>
      <c r="C207" s="281">
        <v>0.04138746684961032</v>
      </c>
      <c r="D207" s="281">
        <v>0.23908695612247388</v>
      </c>
      <c r="E207" s="282">
        <v>0.006150925046804717</v>
      </c>
      <c r="F207" s="233">
        <v>4111.051000000094</v>
      </c>
      <c r="G207" s="233">
        <v>1003.4039648437902</v>
      </c>
      <c r="H207" s="233">
        <v>133803.82599999977</v>
      </c>
      <c r="I207" s="233">
        <v>94132.73049472678</v>
      </c>
      <c r="J207" s="233">
        <v>343760.35599999985</v>
      </c>
    </row>
    <row r="208">
      <c r="A208" s="184">
        <v>43818.97548230324</v>
      </c>
      <c r="B208" s="281">
        <v>0.20943660236815057</v>
      </c>
      <c r="C208" s="281">
        <v>0.04147523243670381</v>
      </c>
      <c r="D208" s="281">
        <v>0.23223256372690756</v>
      </c>
      <c r="E208" s="282">
        <v>0.0014632600709655987</v>
      </c>
      <c r="F208" s="233">
        <v>981.5039999999572</v>
      </c>
      <c r="G208" s="233">
        <v>383.06102734376327</v>
      </c>
      <c r="H208" s="233">
        <v>129692.77499999967</v>
      </c>
      <c r="I208" s="233">
        <v>93129.326529883</v>
      </c>
      <c r="J208" s="233">
        <v>339649.30499999976</v>
      </c>
    </row>
    <row r="209">
      <c r="A209" s="184">
        <v>43817.97549996528</v>
      </c>
      <c r="B209" s="281">
        <v>0.2081146028156298</v>
      </c>
      <c r="C209" s="281">
        <v>0.04156220877322641</v>
      </c>
      <c r="D209" s="281">
        <v>0.23095836883008153</v>
      </c>
      <c r="E209" s="282">
        <v>-8.694537719450301E-4</v>
      </c>
      <c r="F209" s="233">
        <v>-582.3459999999031</v>
      </c>
      <c r="G209" s="233">
        <v>500.37110546865733</v>
      </c>
      <c r="H209" s="233">
        <v>128711.27099999972</v>
      </c>
      <c r="I209" s="233">
        <v>92746.26550253923</v>
      </c>
      <c r="J209" s="233">
        <v>338667.8009999998</v>
      </c>
    </row>
    <row r="210">
      <c r="A210" s="184">
        <v>43816.97597165509</v>
      </c>
      <c r="B210" s="281">
        <v>0.20959782831018975</v>
      </c>
      <c r="C210" s="281">
        <v>0.04164929743673085</v>
      </c>
      <c r="D210" s="281">
        <v>0.2324894607184239</v>
      </c>
      <c r="E210" s="282">
        <v>-8.596613028473832E-4</v>
      </c>
      <c r="F210" s="233">
        <v>-577.4110000001965</v>
      </c>
      <c r="G210" s="233">
        <v>464.9000585938338</v>
      </c>
      <c r="H210" s="233">
        <v>129293.61699999962</v>
      </c>
      <c r="I210" s="233">
        <v>92245.89439707057</v>
      </c>
      <c r="J210" s="233">
        <v>339250.1469999997</v>
      </c>
    </row>
    <row r="211">
      <c r="A211" s="184">
        <v>43815.9755720949</v>
      </c>
      <c r="B211" s="281">
        <v>0.21107942564836454</v>
      </c>
      <c r="C211" s="281">
        <v>0.04173695657615913</v>
      </c>
      <c r="D211" s="281">
        <v>0.23401923800009147</v>
      </c>
      <c r="E211" s="282">
        <v>-0.0021445043907476103</v>
      </c>
      <c r="F211" s="233">
        <v>-1443.854999999865</v>
      </c>
      <c r="G211" s="233">
        <v>347.1834687500668</v>
      </c>
      <c r="H211" s="233">
        <v>129871.02799999982</v>
      </c>
      <c r="I211" s="233">
        <v>91780.99433847674</v>
      </c>
      <c r="J211" s="233">
        <v>339827.5579999999</v>
      </c>
    </row>
    <row r="212">
      <c r="A212" s="184">
        <v>43812.97556849537</v>
      </c>
      <c r="B212" s="281">
        <v>0.21441650821819405</v>
      </c>
      <c r="C212" s="281">
        <v>0.041880587481956465</v>
      </c>
      <c r="D212" s="281">
        <v>0.23743526418002553</v>
      </c>
      <c r="E212" s="282">
        <v>0.0073607585954243914</v>
      </c>
      <c r="F212" s="233">
        <v>4966.489999999991</v>
      </c>
      <c r="G212" s="233">
        <v>382.8357109374192</v>
      </c>
      <c r="H212" s="233">
        <v>131314.88299999968</v>
      </c>
      <c r="I212" s="233">
        <v>91433.81086972667</v>
      </c>
      <c r="J212" s="233">
        <v>341271.41299999977</v>
      </c>
    </row>
    <row r="213">
      <c r="A213" s="184">
        <v>43811.97554490741</v>
      </c>
      <c r="B213" s="281">
        <v>0.20587408542741567</v>
      </c>
      <c r="C213" s="281">
        <v>0.04196981161784379</v>
      </c>
      <c r="D213" s="281">
        <v>0.228941881499078</v>
      </c>
      <c r="E213" s="282">
        <v>-0.01242632864655314</v>
      </c>
      <c r="F213" s="233">
        <v>-8322.64300000004</v>
      </c>
      <c r="G213" s="233">
        <v>291.48374609375605</v>
      </c>
      <c r="H213" s="233">
        <v>126348.39299999969</v>
      </c>
      <c r="I213" s="233">
        <v>91050.97515878925</v>
      </c>
      <c r="J213" s="233">
        <v>336304.9229999998</v>
      </c>
    </row>
    <row r="214">
      <c r="A214" s="184">
        <v>43810.975510000004</v>
      </c>
      <c r="B214" s="281">
        <v>0.22141874883493146</v>
      </c>
      <c r="C214" s="281">
        <v>0.04205797144148664</v>
      </c>
      <c r="D214" s="281">
        <v>0.24453500004029852</v>
      </c>
      <c r="E214" s="282">
        <v>0.0030314853947501184</v>
      </c>
      <c r="F214" s="233">
        <v>2055.594000000041</v>
      </c>
      <c r="G214" s="233">
        <v>176.4753277934651</v>
      </c>
      <c r="H214" s="233">
        <v>134671.03599999973</v>
      </c>
      <c r="I214" s="233">
        <v>90759.4914126955</v>
      </c>
      <c r="J214" s="233">
        <v>344727.5659999998</v>
      </c>
    </row>
    <row r="215">
      <c r="A215" s="184">
        <v>43809.97550876158</v>
      </c>
      <c r="B215" s="281">
        <v>0.2181576638431393</v>
      </c>
      <c r="C215" s="281">
        <v>0.04214905820295639</v>
      </c>
      <c r="D215" s="281">
        <v>0.24132397891006346</v>
      </c>
      <c r="E215" s="282">
        <v>-0.0030491762909682987</v>
      </c>
      <c r="F215" s="233">
        <v>-2061.3220000000438</v>
      </c>
      <c r="G215" s="233">
        <v>534.473722987881</v>
      </c>
      <c r="H215" s="233">
        <v>132615.4419999997</v>
      </c>
      <c r="I215" s="233">
        <v>90583.01608490203</v>
      </c>
      <c r="J215" s="233">
        <v>342671.9719999998</v>
      </c>
    </row>
    <row r="216">
      <c r="A216" s="184">
        <v>43808.975557638885</v>
      </c>
      <c r="B216" s="281">
        <v>0.22238728282444162</v>
      </c>
      <c r="C216" s="281">
        <v>0.04223995802844319</v>
      </c>
      <c r="D216" s="281">
        <v>0.245603559007617</v>
      </c>
      <c r="E216" s="282">
        <v>-6.988024816998613E-4</v>
      </c>
      <c r="F216" s="233">
        <v>-473.84900000004563</v>
      </c>
      <c r="G216" s="233">
        <v>451.47872812498827</v>
      </c>
      <c r="H216" s="233">
        <v>134676.76399999973</v>
      </c>
      <c r="I216" s="233">
        <v>90048.54236191415</v>
      </c>
      <c r="J216" s="233">
        <v>344733.2939999998</v>
      </c>
    </row>
    <row r="217">
      <c r="A217" s="184">
        <v>43805.975519803236</v>
      </c>
      <c r="B217" s="281">
        <v>0.22489112127600042</v>
      </c>
      <c r="C217" s="281">
        <v>0.04238823936207761</v>
      </c>
      <c r="D217" s="281">
        <v>0.2473329076604907</v>
      </c>
      <c r="E217" s="282">
        <v>0.005956321997635396</v>
      </c>
      <c r="F217" s="233">
        <v>4049.9930000000168</v>
      </c>
      <c r="G217" s="233">
        <v>388.52253124988056</v>
      </c>
      <c r="H217" s="233">
        <v>135150.61299999978</v>
      </c>
      <c r="I217" s="233">
        <v>89597.06363378916</v>
      </c>
      <c r="J217" s="233">
        <v>345774.88299999986</v>
      </c>
    </row>
    <row r="218">
      <c r="A218" s="184">
        <v>43804.97555787037</v>
      </c>
      <c r="B218" s="281">
        <v>0.21795588047593997</v>
      </c>
      <c r="C218" s="281">
        <v>0.042481105625386685</v>
      </c>
      <c r="D218" s="281">
        <v>0.24044683344236134</v>
      </c>
      <c r="E218" s="282">
        <v>-0.002121576986750759</v>
      </c>
      <c r="F218" s="233">
        <v>-1433.971000000136</v>
      </c>
      <c r="G218" s="233">
        <v>334.8030429688224</v>
      </c>
      <c r="H218" s="233">
        <v>131100.61999999976</v>
      </c>
      <c r="I218" s="233">
        <v>89208.54110253928</v>
      </c>
      <c r="J218" s="233">
        <v>341724.88999999984</v>
      </c>
    </row>
    <row r="219">
      <c r="A219" s="184">
        <v>43803.97555159722</v>
      </c>
      <c r="B219" s="281">
        <v>0.2210639744667804</v>
      </c>
      <c r="C219" s="281">
        <v>0.04257317967603836</v>
      </c>
      <c r="D219" s="281">
        <v>0.24360367459060617</v>
      </c>
      <c r="E219" s="282">
        <v>-0.0021439496289067635</v>
      </c>
      <c r="F219" s="233">
        <v>-1452.1669999998994</v>
      </c>
      <c r="G219" s="233">
        <v>329.67222656245576</v>
      </c>
      <c r="H219" s="233">
        <v>132534.5909999999</v>
      </c>
      <c r="I219" s="233">
        <v>88873.73805957046</v>
      </c>
      <c r="J219" s="233">
        <v>343158.861</v>
      </c>
    </row>
    <row r="220">
      <c r="A220" s="184">
        <v>43802.97553322917</v>
      </c>
      <c r="B220" s="281">
        <v>0.2242215917044538</v>
      </c>
      <c r="C220" s="281">
        <v>0.04266613006943523</v>
      </c>
      <c r="D220" s="281">
        <v>0.24681050295156187</v>
      </c>
      <c r="E220" s="282">
        <v>0.006188634654385493</v>
      </c>
      <c r="F220" s="233">
        <v>4200.751000000164</v>
      </c>
      <c r="G220" s="233">
        <v>370.2599999999802</v>
      </c>
      <c r="H220" s="233">
        <v>133986.7579999998</v>
      </c>
      <c r="I220" s="233">
        <v>88544.065833008</v>
      </c>
      <c r="J220" s="233">
        <v>344611.0279999999</v>
      </c>
    </row>
    <row r="221">
      <c r="A221" s="184">
        <v>43801.97558643519</v>
      </c>
      <c r="B221" s="281">
        <v>0.21695973540805566</v>
      </c>
      <c r="C221" s="281">
        <v>0.042759971768312664</v>
      </c>
      <c r="D221" s="281">
        <v>0.23959832966610867</v>
      </c>
      <c r="E221" s="282">
        <v>-0.01190332216389714</v>
      </c>
      <c r="F221" s="233">
        <v>-8029.791000000085</v>
      </c>
      <c r="G221" s="233">
        <v>316.4172265625093</v>
      </c>
      <c r="H221" s="233">
        <v>129786.00699999963</v>
      </c>
      <c r="I221" s="233">
        <v>88173.80583300802</v>
      </c>
      <c r="J221" s="233">
        <v>340410.2769999997</v>
      </c>
    </row>
    <row r="222">
      <c r="A222" s="184">
        <v>43798.97552765046</v>
      </c>
      <c r="B222" s="281">
        <v>0.23414695542095798</v>
      </c>
      <c r="C222" s="281">
        <v>0.0406535568754653</v>
      </c>
      <c r="D222" s="281">
        <v>0.25531632937103194</v>
      </c>
      <c r="E222" s="282">
        <v>-0.003326492899490551</v>
      </c>
      <c r="F222" s="233">
        <v>-2273.491000000038</v>
      </c>
      <c r="G222" s="233">
        <v>390.2665820312395</v>
      </c>
      <c r="H222" s="233">
        <v>137815.79799999972</v>
      </c>
      <c r="I222" s="233">
        <v>87857.38860644551</v>
      </c>
      <c r="J222" s="233">
        <v>348440.0679999998</v>
      </c>
    </row>
    <row r="223">
      <c r="A223" s="184">
        <v>43797.975504525464</v>
      </c>
      <c r="B223" s="281">
        <v>0.23889261903694226</v>
      </c>
      <c r="C223" s="281">
        <v>0.04074460217714222</v>
      </c>
      <c r="D223" s="281">
        <v>0.260109402664932</v>
      </c>
      <c r="E223" s="282">
        <v>-0.0011073052045353219</v>
      </c>
      <c r="F223" s="233">
        <v>-759.3049999999348</v>
      </c>
      <c r="G223" s="233">
        <v>400.71557421883335</v>
      </c>
      <c r="H223" s="233">
        <v>140089.28899999976</v>
      </c>
      <c r="I223" s="233">
        <v>87467.12202441428</v>
      </c>
      <c r="J223" s="233">
        <v>350713.55899999983</v>
      </c>
    </row>
    <row r="224">
      <c r="A224" s="184">
        <v>43796.97553082176</v>
      </c>
      <c r="B224" s="281">
        <v>0.2408460189167272</v>
      </c>
      <c r="C224" s="281">
        <v>0.040836767091548834</v>
      </c>
      <c r="D224" s="281">
        <v>0.2621107952343634</v>
      </c>
      <c r="E224" s="282">
        <v>1.3955196628552476E-4</v>
      </c>
      <c r="F224" s="233">
        <v>95.80000000004657</v>
      </c>
      <c r="G224" s="233">
        <v>415.0710625000356</v>
      </c>
      <c r="H224" s="233">
        <v>140848.5939999997</v>
      </c>
      <c r="I224" s="233">
        <v>87066.40645019544</v>
      </c>
      <c r="J224" s="233">
        <v>351472.86399999977</v>
      </c>
    </row>
    <row r="225">
      <c r="A225" s="184">
        <v>43795.975543831024</v>
      </c>
      <c r="B225" s="281">
        <v>0.2412149223236665</v>
      </c>
      <c r="C225" s="281">
        <v>0.04092961344507023</v>
      </c>
      <c r="D225" s="281">
        <v>0.26252804617417946</v>
      </c>
      <c r="E225" s="282">
        <v>0.002785857672582564</v>
      </c>
      <c r="F225" s="233">
        <v>1912.1759999999776</v>
      </c>
      <c r="G225" s="233">
        <v>560.309328125004</v>
      </c>
      <c r="H225" s="233">
        <v>140752.79399999965</v>
      </c>
      <c r="I225" s="233">
        <v>86651.3353876954</v>
      </c>
      <c r="J225" s="233">
        <v>351377.0639999997</v>
      </c>
    </row>
    <row r="226">
      <c r="A226" s="184">
        <v>43794.97557513889</v>
      </c>
      <c r="B226" s="281">
        <v>0.2381899867704554</v>
      </c>
      <c r="C226" s="281">
        <v>0.04102289189998186</v>
      </c>
      <c r="D226" s="281">
        <v>0.25955168316037885</v>
      </c>
      <c r="E226" s="282">
        <v>0.004462081081831123</v>
      </c>
      <c r="F226" s="233">
        <v>3059.5000000001164</v>
      </c>
      <c r="G226" s="233">
        <v>428.0516210937931</v>
      </c>
      <c r="H226" s="233">
        <v>138840.61799999967</v>
      </c>
      <c r="I226" s="233">
        <v>86091.0260595704</v>
      </c>
      <c r="J226" s="233">
        <v>349464.88799999974</v>
      </c>
    </row>
    <row r="227">
      <c r="A227" s="184">
        <v>43791.975754733794</v>
      </c>
      <c r="B227" s="281">
        <v>0.23331141375705167</v>
      </c>
      <c r="C227" s="281">
        <v>0.04117128534643645</v>
      </c>
      <c r="D227" s="281">
        <v>0.2547503825088834</v>
      </c>
      <c r="E227" s="282">
        <v>0.0049754199160783824</v>
      </c>
      <c r="F227" s="233">
        <v>3396.256999999867</v>
      </c>
      <c r="G227" s="233">
        <v>433.8119843749446</v>
      </c>
      <c r="H227" s="233">
        <v>135781.11799999955</v>
      </c>
      <c r="I227" s="233">
        <v>85662.97443847661</v>
      </c>
      <c r="J227" s="233">
        <v>346405.3879999996</v>
      </c>
    </row>
    <row r="228">
      <c r="A228" s="184">
        <v>43790.975520567124</v>
      </c>
      <c r="B228" s="281">
        <v>0.22745129277476905</v>
      </c>
      <c r="C228" s="281">
        <v>0.041264150946264636</v>
      </c>
      <c r="D228" s="281">
        <v>0.24893861908153456</v>
      </c>
      <c r="E228" s="282">
        <v>-0.00252461661570241</v>
      </c>
      <c r="F228" s="233">
        <v>-1714.746999999974</v>
      </c>
      <c r="G228" s="233">
        <v>388.62203515629517</v>
      </c>
      <c r="H228" s="233">
        <v>132384.86099999968</v>
      </c>
      <c r="I228" s="233">
        <v>85229.16245410166</v>
      </c>
      <c r="J228" s="233">
        <v>343009.13099999976</v>
      </c>
    </row>
    <row r="229">
      <c r="A229" s="184">
        <v>43789.97557613426</v>
      </c>
      <c r="B229" s="281">
        <v>0.23119165063194774</v>
      </c>
      <c r="C229" s="281">
        <v>0.041356440685499325</v>
      </c>
      <c r="D229" s="281">
        <v>0.2527270346279235</v>
      </c>
      <c r="E229" s="282">
        <v>0.0045482017552231375</v>
      </c>
      <c r="F229" s="233">
        <v>3096.9869999999646</v>
      </c>
      <c r="G229" s="233">
        <v>416.1104609374597</v>
      </c>
      <c r="H229" s="233">
        <v>134099.60799999966</v>
      </c>
      <c r="I229" s="233">
        <v>84840.54041894537</v>
      </c>
      <c r="J229" s="233">
        <v>344723.87799999974</v>
      </c>
    </row>
    <row r="230">
      <c r="A230" s="184">
        <v>43788.975492638885</v>
      </c>
      <c r="B230" s="281">
        <v>0.22586321044222302</v>
      </c>
      <c r="C230" s="281">
        <v>0.04144970556404027</v>
      </c>
      <c r="D230" s="281">
        <v>0.24744715990803678</v>
      </c>
      <c r="E230" s="282">
        <v>0.00198193905981351</v>
      </c>
      <c r="F230" s="233">
        <v>1343.4150000000373</v>
      </c>
      <c r="G230" s="233">
        <v>189.25269036072132</v>
      </c>
      <c r="H230" s="233">
        <v>131002.6209999997</v>
      </c>
      <c r="I230" s="233">
        <v>84424.42995800791</v>
      </c>
      <c r="J230" s="233">
        <v>341626.89099999977</v>
      </c>
    </row>
    <row r="231">
      <c r="A231" s="184">
        <v>43787.97557761574</v>
      </c>
      <c r="B231" s="281">
        <v>0.223825520719652</v>
      </c>
      <c r="C231" s="281">
        <v>0.04154247857396417</v>
      </c>
      <c r="D231" s="281">
        <v>0.24545777952640657</v>
      </c>
      <c r="E231" s="282">
        <v>-0.0019154447246766042</v>
      </c>
      <c r="F231" s="233">
        <v>-1295.7700000000186</v>
      </c>
      <c r="G231" s="233">
        <v>380.1507843136933</v>
      </c>
      <c r="H231" s="233">
        <v>129659.20599999966</v>
      </c>
      <c r="I231" s="233">
        <v>84235.17726764719</v>
      </c>
      <c r="J231" s="233">
        <v>340283.47599999973</v>
      </c>
    </row>
    <row r="232">
      <c r="A232" s="184">
        <v>43784.975760625</v>
      </c>
      <c r="B232" s="279">
        <v>0.22709384831314572</v>
      </c>
      <c r="C232" s="279">
        <v>0.04169216061337267</v>
      </c>
      <c r="D232" s="279">
        <v>0.2488040504859766</v>
      </c>
      <c r="E232" s="282">
        <v>-0.0023817797798707584</v>
      </c>
      <c r="F232" s="233">
        <v>-1614.3250000000698</v>
      </c>
      <c r="G232" s="233">
        <v>376.01590980391484</v>
      </c>
      <c r="H232" s="233">
        <v>130954.97599999967</v>
      </c>
      <c r="I232" s="233">
        <v>83855.0264833335</v>
      </c>
      <c r="J232" s="233">
        <v>341579.24599999975</v>
      </c>
    </row>
    <row r="233">
      <c r="A233" s="184">
        <v>43783.97552518519</v>
      </c>
      <c r="B233" s="279">
        <v>0.2306789810902999</v>
      </c>
      <c r="C233" s="279">
        <v>0.04178600083782827</v>
      </c>
      <c r="D233" s="279">
        <v>0.2524380483306855</v>
      </c>
      <c r="E233" s="282">
        <v>0.001954552846613695</v>
      </c>
      <c r="F233" s="233">
        <v>1327.9139999999898</v>
      </c>
      <c r="G233" s="233">
        <v>385.3144156863127</v>
      </c>
      <c r="H233" s="233">
        <v>132569.30099999974</v>
      </c>
      <c r="I233" s="233">
        <v>83479.01057352958</v>
      </c>
      <c r="J233" s="233">
        <v>343193.5709999998</v>
      </c>
    </row>
    <row r="234">
      <c r="A234" s="184">
        <v>43782.0</v>
      </c>
      <c r="B234" s="279">
        <v>0.22881879492221538</v>
      </c>
      <c r="C234" s="279">
        <v>0.04190842336770422</v>
      </c>
      <c r="D234" s="279">
        <v>0.2506416107866832</v>
      </c>
      <c r="E234" s="282">
        <v>0.005596194609433431</v>
      </c>
      <c r="F234" s="233">
        <v>3794.597000000067</v>
      </c>
      <c r="G234" s="233">
        <v>419.27903137261455</v>
      </c>
      <c r="H234" s="233">
        <v>131241.38699999976</v>
      </c>
      <c r="I234" s="233">
        <v>83093.69615784327</v>
      </c>
      <c r="J234" s="233">
        <v>341865.65699999983</v>
      </c>
    </row>
    <row r="235">
      <c r="A235" s="184">
        <v>43781.0</v>
      </c>
      <c r="B235" s="279">
        <v>0.22207388437045883</v>
      </c>
      <c r="C235" s="279">
        <v>0.042003356626558026</v>
      </c>
      <c r="D235" s="279">
        <v>0.24394613447417737</v>
      </c>
      <c r="E235" s="282">
        <v>0.003969230468042444</v>
      </c>
      <c r="F235" s="233">
        <v>2679.3040000000037</v>
      </c>
      <c r="G235" s="233">
        <v>568.6763725489291</v>
      </c>
      <c r="H235" s="235">
        <v>127446.7908333338</v>
      </c>
      <c r="I235" s="235">
        <v>82674.41712647065</v>
      </c>
      <c r="J235" s="233">
        <v>338071.05999999976</v>
      </c>
    </row>
    <row r="236">
      <c r="A236" s="184">
        <v>43780.0</v>
      </c>
      <c r="B236" s="279">
        <v>0.21743199711140537</v>
      </c>
      <c r="C236" s="279">
        <v>0.042097563344616</v>
      </c>
      <c r="D236" s="279">
        <v>0.23935330312551542</v>
      </c>
      <c r="E236" s="282">
        <v>-0.005627712669354343</v>
      </c>
      <c r="F236" s="233">
        <v>-3795.7570000000997</v>
      </c>
      <c r="G236" s="233">
        <v>308.9961529411812</v>
      </c>
      <c r="H236" s="235">
        <v>124767.4868333338</v>
      </c>
      <c r="I236" s="235">
        <v>82105.74075392172</v>
      </c>
      <c r="J236" s="233">
        <v>335391.75599999976</v>
      </c>
    </row>
    <row r="237">
      <c r="A237" s="184">
        <v>43777.0</v>
      </c>
      <c r="B237" s="279">
        <v>0.22552014394685016</v>
      </c>
      <c r="C237" s="279">
        <v>0.042248630613177816</v>
      </c>
      <c r="D237" s="279">
        <v>0.24752011465220966</v>
      </c>
      <c r="E237" s="282">
        <v>9.118513556575518E-4</v>
      </c>
      <c r="F237" s="233">
        <v>618.4830000001239</v>
      </c>
      <c r="G237" s="233">
        <v>357.8567725489702</v>
      </c>
      <c r="H237" s="235">
        <v>128563.2438333339</v>
      </c>
      <c r="I237" s="235">
        <v>81796.74460098054</v>
      </c>
      <c r="J237" s="233">
        <v>339187.51299999986</v>
      </c>
    </row>
    <row r="238">
      <c r="A238" s="184">
        <v>43776.0</v>
      </c>
      <c r="B238" s="279">
        <v>0.22483728646340298</v>
      </c>
      <c r="C238" s="279">
        <v>0.04234428398214514</v>
      </c>
      <c r="D238" s="279">
        <v>0.24688706638824745</v>
      </c>
      <c r="E238" s="282">
        <v>-0.0036974927766062816</v>
      </c>
      <c r="F238" s="233">
        <v>-2505.6180000000168</v>
      </c>
      <c r="G238" s="233">
        <v>354.24736862753343</v>
      </c>
      <c r="H238" s="235">
        <v>127944.76083333377</v>
      </c>
      <c r="I238" s="235">
        <v>81438.88782843157</v>
      </c>
      <c r="J238" s="233">
        <v>338569.02999999974</v>
      </c>
    </row>
    <row r="239">
      <c r="A239" s="184">
        <v>43775.0</v>
      </c>
      <c r="B239" s="279">
        <v>0.23019253000669246</v>
      </c>
      <c r="C239" s="279">
        <v>0.04244021229076165</v>
      </c>
      <c r="D239" s="279">
        <v>0.2522922623193125</v>
      </c>
      <c r="E239" s="282">
        <v>0.0015549029035143774</v>
      </c>
      <c r="F239" s="233">
        <v>1057.5810000000056</v>
      </c>
      <c r="G239" s="233">
        <v>386.6849490196619</v>
      </c>
      <c r="H239" s="235">
        <v>130450.37883333379</v>
      </c>
      <c r="I239" s="235">
        <v>81084.64045980404</v>
      </c>
      <c r="J239" s="233">
        <v>341074.64799999975</v>
      </c>
    </row>
    <row r="240">
      <c r="A240" s="184">
        <v>43774.0</v>
      </c>
      <c r="B240" s="279">
        <v>0.22866972912693187</v>
      </c>
      <c r="C240" s="279">
        <v>0.042537421536922526</v>
      </c>
      <c r="D240" s="279">
        <v>0.250820080845123</v>
      </c>
      <c r="E240" s="282">
        <v>-7.118378490197473E-5</v>
      </c>
      <c r="F240" s="233">
        <v>-48.34099999978207</v>
      </c>
      <c r="G240" s="233">
        <v>1039.04764652648</v>
      </c>
      <c r="H240" s="235">
        <v>129392.79783333378</v>
      </c>
      <c r="I240" s="235">
        <v>80697.95551078438</v>
      </c>
      <c r="J240" s="233">
        <v>340017.06699999975</v>
      </c>
    </row>
    <row r="241">
      <c r="A241" s="184">
        <v>43773.0</v>
      </c>
      <c r="B241" s="279">
        <v>0.2292869955108192</v>
      </c>
      <c r="C241" s="279">
        <v>0.042634774965709735</v>
      </c>
      <c r="D241" s="279">
        <v>0.2514880417142587</v>
      </c>
      <c r="E241" s="282">
        <v>0.001312365820243272</v>
      </c>
      <c r="F241" s="233">
        <v>899.6034999996773</v>
      </c>
      <c r="G241" s="233">
        <v>902.1403730468301</v>
      </c>
      <c r="H241" s="235">
        <v>129441.13883333356</v>
      </c>
      <c r="I241" s="235">
        <v>79658.9078642579</v>
      </c>
      <c r="J241" s="233">
        <v>340065.40799999953</v>
      </c>
    </row>
    <row r="242">
      <c r="A242" s="184">
        <v>43770.0</v>
      </c>
      <c r="B242" s="279">
        <v>0.2283723497723648</v>
      </c>
      <c r="C242" s="279">
        <v>0.04279088918918703</v>
      </c>
      <c r="D242" s="279">
        <v>0.2506546887489272</v>
      </c>
      <c r="E242" s="282">
        <v>-2.6204116700928775E-5</v>
      </c>
      <c r="F242" s="233">
        <v>-18.178499999805354</v>
      </c>
      <c r="G242" s="233">
        <v>375.16026953121764</v>
      </c>
      <c r="H242" s="235">
        <v>128541.53533333389</v>
      </c>
      <c r="I242" s="235">
        <v>78756.76749121107</v>
      </c>
      <c r="J242" s="233">
        <v>352865.80449999985</v>
      </c>
    </row>
    <row r="243">
      <c r="A243" s="184">
        <v>43769.0</v>
      </c>
      <c r="B243" s="279">
        <v>0.22895601748647848</v>
      </c>
      <c r="C243" s="279">
        <v>0.04289359502483225</v>
      </c>
      <c r="D243" s="279">
        <v>0.2512918380870053</v>
      </c>
      <c r="E243" s="282">
        <v>0.004275463995902609</v>
      </c>
      <c r="F243" s="233">
        <v>2966.0819999999367</v>
      </c>
      <c r="G243" s="233">
        <v>374.2793632812536</v>
      </c>
      <c r="H243" s="235">
        <v>128559.71383333369</v>
      </c>
      <c r="I243" s="235">
        <v>78381.60722167985</v>
      </c>
      <c r="J243" s="233">
        <v>352883.98299999966</v>
      </c>
    </row>
    <row r="244">
      <c r="A244" s="184">
        <v>43768.0</v>
      </c>
      <c r="B244" s="279">
        <v>0.2229711071647154</v>
      </c>
      <c r="C244" s="279">
        <v>0.042996843961601264</v>
      </c>
      <c r="D244" s="279">
        <v>0.2460850536319753</v>
      </c>
      <c r="E244" s="282">
        <v>0.0010121474585980143</v>
      </c>
      <c r="F244" s="233">
        <v>698.7960000000894</v>
      </c>
      <c r="G244" s="233">
        <v>373.1829023437749</v>
      </c>
      <c r="H244" s="235">
        <v>125593.63183333375</v>
      </c>
      <c r="I244" s="235">
        <v>78007.3278583986</v>
      </c>
      <c r="J244" s="233">
        <v>349917.9009999997</v>
      </c>
    </row>
    <row r="245">
      <c r="A245" s="184">
        <v>43767.0</v>
      </c>
      <c r="B245" s="279">
        <v>0.22213177974551385</v>
      </c>
      <c r="C245" s="279">
        <v>0.04309965446328476</v>
      </c>
      <c r="D245" s="279">
        <v>0.245300994372323</v>
      </c>
      <c r="E245" s="282">
        <v>0.0011889118939657128</v>
      </c>
      <c r="F245" s="233">
        <v>820.0050000001211</v>
      </c>
      <c r="G245" s="233">
        <v>364.02444140626176</v>
      </c>
      <c r="H245" s="235">
        <v>124894.83583333367</v>
      </c>
      <c r="I245" s="235">
        <v>77634.14495605482</v>
      </c>
      <c r="J245" s="233">
        <v>349219.10499999963</v>
      </c>
    </row>
    <row r="246">
      <c r="A246" s="184">
        <v>43766.0</v>
      </c>
      <c r="B246" s="279">
        <v>0.22104882928067843</v>
      </c>
      <c r="C246" s="279">
        <v>0.04320276877822077</v>
      </c>
      <c r="D246" s="279">
        <v>0.24427347538886718</v>
      </c>
      <c r="E246" s="282">
        <v>-0.006709821268554398</v>
      </c>
      <c r="F246" s="233">
        <v>-4622.3320000001695</v>
      </c>
      <c r="G246" s="233">
        <v>524.7042539062095</v>
      </c>
      <c r="H246" s="235">
        <v>124074.83083333354</v>
      </c>
      <c r="I246" s="235">
        <v>77270.12051464856</v>
      </c>
      <c r="J246" s="233">
        <v>348399.0999999995</v>
      </c>
    </row>
    <row r="247">
      <c r="A247" s="184">
        <v>43763.0</v>
      </c>
      <c r="B247" s="279">
        <v>0.23101583133699635</v>
      </c>
      <c r="C247" s="279">
        <v>0.043365470694652845</v>
      </c>
      <c r="D247" s="279">
        <v>0.25432794161790184</v>
      </c>
      <c r="E247" s="282">
        <v>5.957944411274104E-4</v>
      </c>
      <c r="F247" s="233">
        <v>414.64300000004005</v>
      </c>
      <c r="G247" s="233">
        <v>370.0838750000403</v>
      </c>
      <c r="H247" s="235">
        <v>128697.16283333371</v>
      </c>
      <c r="I247" s="235">
        <v>76745.41626074235</v>
      </c>
      <c r="J247" s="233">
        <v>353021.4319999997</v>
      </c>
    </row>
    <row r="248">
      <c r="A248" s="184">
        <v>43762.0</v>
      </c>
      <c r="B248" s="279">
        <v>0.23075726438326244</v>
      </c>
      <c r="C248" s="279">
        <v>0.043471124263967216</v>
      </c>
      <c r="D248" s="279">
        <v>0.2541261711803817</v>
      </c>
      <c r="E248" s="282">
        <v>0.003928628364093013</v>
      </c>
      <c r="F248" s="233">
        <v>2732.499000000069</v>
      </c>
      <c r="G248" s="233">
        <v>378.59573437506333</v>
      </c>
      <c r="H248" s="235">
        <v>128282.51983333367</v>
      </c>
      <c r="I248" s="235">
        <v>76375.33238574231</v>
      </c>
      <c r="J248" s="233">
        <v>352606.78899999964</v>
      </c>
    </row>
    <row r="249">
      <c r="A249" s="184">
        <v>43761.0</v>
      </c>
      <c r="B249" s="279">
        <v>0.22589407978488849</v>
      </c>
      <c r="C249" s="279">
        <v>0.04357719845052599</v>
      </c>
      <c r="D249" s="279">
        <v>0.2493200092107353</v>
      </c>
      <c r="E249" s="282">
        <v>0.004808294454765472</v>
      </c>
      <c r="F249" s="233">
        <v>3331.198999999906</v>
      </c>
      <c r="G249" s="233">
        <v>385.18052734370576</v>
      </c>
      <c r="H249" s="235">
        <v>125550.0208333336</v>
      </c>
      <c r="I249" s="235">
        <v>75996.73665136725</v>
      </c>
      <c r="J249" s="233">
        <v>349874.2899999996</v>
      </c>
    </row>
    <row r="250">
      <c r="A250" s="184">
        <v>43760.0</v>
      </c>
      <c r="B250" s="279">
        <v>0.21981084250785918</v>
      </c>
      <c r="C250" s="279">
        <v>0.04368290893637917</v>
      </c>
      <c r="D250" s="279">
        <v>0.24329359904671968</v>
      </c>
      <c r="E250" s="282">
        <v>0.0029821801671381493</v>
      </c>
      <c r="F250" s="233">
        <v>2056.1279999999097</v>
      </c>
      <c r="G250" s="233">
        <v>359.2440195312374</v>
      </c>
      <c r="H250" s="235">
        <v>122218.8218333337</v>
      </c>
      <c r="I250" s="235">
        <v>75611.55612402354</v>
      </c>
      <c r="J250" s="233">
        <v>346543.09099999967</v>
      </c>
    </row>
    <row r="251">
      <c r="A251" s="184">
        <v>43759.0</v>
      </c>
      <c r="B251" s="279">
        <v>0.216237006806599</v>
      </c>
      <c r="C251" s="279">
        <v>0.04378804171628322</v>
      </c>
      <c r="D251" s="279">
        <v>0.23977627989929837</v>
      </c>
      <c r="E251" s="282">
        <v>-0.004243894522235175</v>
      </c>
      <c r="F251" s="233">
        <v>-2917.31799999997</v>
      </c>
      <c r="G251" s="233">
        <v>327.61699999999837</v>
      </c>
      <c r="H251" s="235">
        <v>120162.69383333379</v>
      </c>
      <c r="I251" s="235">
        <v>75252.3121044923</v>
      </c>
      <c r="J251" s="233">
        <v>344486.96299999976</v>
      </c>
    </row>
    <row r="252">
      <c r="A252" s="184">
        <v>43756.0</v>
      </c>
      <c r="B252" s="279">
        <v>0.2228970713971108</v>
      </c>
      <c r="C252" s="279">
        <v>0.04395343814638607</v>
      </c>
      <c r="D252" s="279">
        <v>0.24652525716057938</v>
      </c>
      <c r="E252" s="282">
        <v>-0.0013528087533339688</v>
      </c>
      <c r="F252" s="233">
        <v>-933.8880000000354</v>
      </c>
      <c r="G252" s="233">
        <v>347.5272460937849</v>
      </c>
      <c r="H252" s="235">
        <v>123080.01183333376</v>
      </c>
      <c r="I252" s="235">
        <v>74924.6951044923</v>
      </c>
      <c r="J252" s="233">
        <v>347404.2809999997</v>
      </c>
    </row>
    <row r="253">
      <c r="A253" s="184">
        <v>43755.0</v>
      </c>
      <c r="B253" s="279">
        <v>0.22531336960762982</v>
      </c>
      <c r="C253" s="279">
        <v>0.04406016006044262</v>
      </c>
      <c r="D253" s="279">
        <v>0.24899892620070135</v>
      </c>
      <c r="E253" s="282">
        <v>-0.004572339323201704</v>
      </c>
      <c r="F253" s="233">
        <v>-3160.704999999958</v>
      </c>
      <c r="G253" s="233">
        <v>340.22657812500256</v>
      </c>
      <c r="H253" s="235">
        <v>124013.8998333338</v>
      </c>
      <c r="I253" s="235">
        <v>74577.16785839852</v>
      </c>
      <c r="J253" s="233">
        <v>348338.16899999976</v>
      </c>
    </row>
    <row r="254">
      <c r="A254" s="184">
        <v>43754.0</v>
      </c>
      <c r="B254" s="279">
        <v>0.23222532492807418</v>
      </c>
      <c r="C254" s="279">
        <v>0.04416777055520436</v>
      </c>
      <c r="D254" s="279">
        <v>0.2559687300278282</v>
      </c>
      <c r="E254" s="282">
        <v>-0.004259932472993851</v>
      </c>
      <c r="F254" s="233">
        <v>-2958.2129999998724</v>
      </c>
      <c r="G254" s="233">
        <v>364.1171562500822</v>
      </c>
      <c r="H254" s="235">
        <v>127174.60483333375</v>
      </c>
      <c r="I254" s="235">
        <v>74236.94128027352</v>
      </c>
      <c r="J254" s="233">
        <v>351498.8739999997</v>
      </c>
    </row>
    <row r="255">
      <c r="A255" s="184">
        <v>43753.0</v>
      </c>
      <c r="B255" s="279">
        <v>0.23876875520865715</v>
      </c>
      <c r="C255" s="279">
        <v>0.04427705583685754</v>
      </c>
      <c r="D255" s="279">
        <v>0.2625709091354657</v>
      </c>
      <c r="E255" s="282">
        <v>-0.001801736841449548</v>
      </c>
      <c r="F255" s="233">
        <v>-1256.5050000000047</v>
      </c>
      <c r="G255" s="233">
        <v>388.9077617186704</v>
      </c>
      <c r="H255" s="235">
        <v>130132.81783333363</v>
      </c>
      <c r="I255" s="235">
        <v>73872.82412402343</v>
      </c>
      <c r="J255" s="233">
        <v>354657.0869999996</v>
      </c>
    </row>
    <row r="256">
      <c r="A256" s="184">
        <v>43752.0</v>
      </c>
      <c r="B256" s="279">
        <v>0.24190885708280777</v>
      </c>
      <c r="C256" s="279">
        <v>0.04438803712797718</v>
      </c>
      <c r="D256" s="279">
        <v>0.26577067156572826</v>
      </c>
      <c r="E256" s="282">
        <v>0.0032015141475177766</v>
      </c>
      <c r="F256" s="233">
        <v>2236.7119999999413</v>
      </c>
      <c r="G256" s="233">
        <v>406.0349453125964</v>
      </c>
      <c r="H256" s="235">
        <v>131389.32283333363</v>
      </c>
      <c r="I256" s="235">
        <v>73483.91636230476</v>
      </c>
      <c r="J256" s="233">
        <v>355913.5919999996</v>
      </c>
    </row>
    <row r="257">
      <c r="A257" s="184">
        <v>43749.0</v>
      </c>
      <c r="B257" s="279">
        <v>0.23831278688178276</v>
      </c>
      <c r="C257" s="279">
        <v>0.04456161591237542</v>
      </c>
      <c r="D257" s="279">
        <v>0.2622679126489923</v>
      </c>
      <c r="E257" s="282">
        <v>-0.004070193553848115</v>
      </c>
      <c r="F257" s="233">
        <v>-2834.5040000000736</v>
      </c>
      <c r="G257" s="233">
        <v>381.10113671876024</v>
      </c>
      <c r="H257" s="235">
        <v>129152.61083333369</v>
      </c>
      <c r="I257" s="235">
        <v>73077.88141699217</v>
      </c>
      <c r="J257" s="233">
        <v>353676.87999999966</v>
      </c>
    </row>
    <row r="258">
      <c r="A258" s="184">
        <v>43748.0</v>
      </c>
      <c r="B258" s="279">
        <v>0.2446824719362506</v>
      </c>
      <c r="C258" s="279">
        <v>0.044673665588948766</v>
      </c>
      <c r="D258" s="279">
        <v>0.26869783259484664</v>
      </c>
      <c r="E258" s="282">
        <v>-0.007194688592879807</v>
      </c>
      <c r="F258" s="233">
        <v>-5030.811999999918</v>
      </c>
      <c r="G258" s="233">
        <v>366.2256718749413</v>
      </c>
      <c r="H258" s="235">
        <v>131987.11483333376</v>
      </c>
      <c r="I258" s="235">
        <v>72696.78028027341</v>
      </c>
      <c r="J258" s="233">
        <v>356511.3839999997</v>
      </c>
    </row>
    <row r="259">
      <c r="A259" s="184">
        <v>43747.0</v>
      </c>
      <c r="B259" s="279">
        <v>0.2555728050911905</v>
      </c>
      <c r="C259" s="279">
        <v>0.04478733950935568</v>
      </c>
      <c r="D259" s="279">
        <v>0.2796492737909571</v>
      </c>
      <c r="E259" s="282">
        <v>-0.003277039024162242</v>
      </c>
      <c r="F259" s="233">
        <v>-2307.922000000137</v>
      </c>
      <c r="G259" s="233">
        <v>367.0771171875822</v>
      </c>
      <c r="H259" s="235">
        <v>137017.92683333368</v>
      </c>
      <c r="I259" s="235">
        <v>72330.55460839847</v>
      </c>
      <c r="J259" s="233">
        <v>361542.19599999965</v>
      </c>
    </row>
    <row r="260">
      <c r="A260" s="184">
        <v>43746.0</v>
      </c>
      <c r="B260" s="279">
        <v>0.2626392529429806</v>
      </c>
      <c r="C260" s="279">
        <v>0.04322215834481098</v>
      </c>
      <c r="D260" s="279">
        <v>0.28509684923008954</v>
      </c>
      <c r="E260" s="282">
        <v>-6.472843405420186E-4</v>
      </c>
      <c r="F260" s="233">
        <v>-457.88899999985006</v>
      </c>
      <c r="G260" s="233">
        <v>398.30607031252293</v>
      </c>
      <c r="H260" s="235">
        <v>139325.84883333382</v>
      </c>
      <c r="I260" s="235">
        <v>71963.47749121088</v>
      </c>
      <c r="J260" s="233">
        <v>363850.1179999998</v>
      </c>
    </row>
    <row r="261">
      <c r="A261" s="184">
        <v>43745.0</v>
      </c>
      <c r="B261" s="279">
        <v>0.26426647197728687</v>
      </c>
      <c r="C261" s="279">
        <v>0.04333534950186961</v>
      </c>
      <c r="D261" s="279">
        <v>0.286782880720919</v>
      </c>
      <c r="E261" s="282">
        <v>-8.568823393875638E-4</v>
      </c>
      <c r="F261" s="233">
        <v>-606.5509999999776</v>
      </c>
      <c r="G261" s="233">
        <v>400.0424492187449</v>
      </c>
      <c r="H261" s="235">
        <v>139783.73783333367</v>
      </c>
      <c r="I261" s="235">
        <v>71565.17142089836</v>
      </c>
      <c r="J261" s="233">
        <v>364308.00699999963</v>
      </c>
    </row>
    <row r="262">
      <c r="A262" s="184">
        <v>43742.0</v>
      </c>
      <c r="B262" s="279">
        <v>0.26657931017263187</v>
      </c>
      <c r="C262" s="279">
        <v>0.04350973278336989</v>
      </c>
      <c r="D262" s="279">
        <v>0.2891863258985417</v>
      </c>
      <c r="E262" s="282">
        <v>0.008389780656750948</v>
      </c>
      <c r="F262" s="233">
        <v>5943.862000000081</v>
      </c>
      <c r="G262" s="233">
        <v>416.0781132812408</v>
      </c>
      <c r="H262" s="235">
        <v>140390.28883333365</v>
      </c>
      <c r="I262" s="235">
        <v>71165.12897167962</v>
      </c>
      <c r="J262" s="233">
        <v>364914.5579999996</v>
      </c>
    </row>
    <row r="263">
      <c r="A263" s="184">
        <v>43741.0</v>
      </c>
      <c r="B263" s="279">
        <v>0.255008291309748</v>
      </c>
      <c r="C263" s="279">
        <v>0.043624793932178926</v>
      </c>
      <c r="D263" s="279">
        <v>0.27767509111232686</v>
      </c>
      <c r="E263" s="282">
        <v>-4.1155515225381944E-4</v>
      </c>
      <c r="F263" s="233">
        <v>-289.1260000000475</v>
      </c>
      <c r="G263" s="233">
        <v>341.9794960937579</v>
      </c>
      <c r="H263" s="235">
        <v>134446.42683333356</v>
      </c>
      <c r="I263" s="235">
        <v>70749.05085839838</v>
      </c>
      <c r="J263" s="233">
        <v>358970.69599999953</v>
      </c>
    </row>
    <row r="264">
      <c r="A264" s="184">
        <v>43740.0</v>
      </c>
      <c r="B264" s="279">
        <v>0.25627115299074843</v>
      </c>
      <c r="C264" s="279">
        <v>0.04373841457252651</v>
      </c>
      <c r="D264" s="279">
        <v>0.2789969884030359</v>
      </c>
      <c r="E264" s="282">
        <v>-0.007364453444984002</v>
      </c>
      <c r="F264" s="233">
        <v>-5175.8099999999395</v>
      </c>
      <c r="G264" s="233">
        <v>328.68926953124173</v>
      </c>
      <c r="H264" s="235">
        <v>134735.5528333336</v>
      </c>
      <c r="I264" s="235">
        <v>70407.07136230462</v>
      </c>
      <c r="J264" s="233">
        <v>359259.8219999996</v>
      </c>
    </row>
    <row r="265">
      <c r="A265" s="184">
        <v>43739.0</v>
      </c>
      <c r="B265" s="279">
        <v>0.26768682371984365</v>
      </c>
      <c r="C265" s="279">
        <v>0.04385278109968562</v>
      </c>
      <c r="D265" s="279">
        <v>0.29047208229363103</v>
      </c>
      <c r="E265" s="282">
        <v>8.361243472055087E-4</v>
      </c>
      <c r="F265" s="233">
        <v>591.9639999999199</v>
      </c>
      <c r="G265" s="233">
        <v>380.17816015623976</v>
      </c>
      <c r="H265" s="235">
        <v>139911.36283333355</v>
      </c>
      <c r="I265" s="235">
        <v>70078.38209277338</v>
      </c>
      <c r="J265" s="233">
        <v>364835.6319999995</v>
      </c>
    </row>
    <row r="266">
      <c r="A266" s="184">
        <v>43738.0</v>
      </c>
      <c r="B266" s="279">
        <v>0.2671688098045196</v>
      </c>
      <c r="C266" s="279">
        <v>0.04396979051116148</v>
      </c>
      <c r="D266" s="279">
        <v>0.290014864743536</v>
      </c>
      <c r="E266" s="282">
        <v>0.001553707779748546</v>
      </c>
      <c r="F266" s="233">
        <v>1099.0829999999842</v>
      </c>
      <c r="G266" s="233">
        <v>392.2856640624814</v>
      </c>
      <c r="H266" s="235">
        <v>139319.39883333363</v>
      </c>
      <c r="I266" s="235">
        <v>69698.20393261714</v>
      </c>
      <c r="J266" s="233">
        <v>364243.6679999996</v>
      </c>
    </row>
    <row r="267">
      <c r="A267" s="184">
        <v>43735.0</v>
      </c>
      <c r="B267" s="279">
        <v>0.2651876317661717</v>
      </c>
      <c r="C267" s="279">
        <v>0.04414883941224757</v>
      </c>
      <c r="D267" s="279">
        <v>0.2888986033501678</v>
      </c>
      <c r="E267" s="282">
        <v>-2.8699497337137254E-4</v>
      </c>
      <c r="F267" s="233">
        <v>-202.59700000006706</v>
      </c>
      <c r="G267" s="233">
        <v>400.1107500000071</v>
      </c>
      <c r="H267" s="235">
        <v>138220.31583333365</v>
      </c>
      <c r="I267" s="235">
        <v>69305.91826855465</v>
      </c>
      <c r="J267" s="233">
        <v>363144.5849999996</v>
      </c>
    </row>
    <row r="268">
      <c r="A268" s="184">
        <v>43734.0</v>
      </c>
      <c r="B268" s="279">
        <v>0.2663208025264301</v>
      </c>
      <c r="C268" s="279">
        <v>0.0442668057119735</v>
      </c>
      <c r="D268" s="279">
        <v>0.2900951301491785</v>
      </c>
      <c r="E268" s="282">
        <v>-6.604427202930816E-4</v>
      </c>
      <c r="F268" s="233">
        <v>-466.35699999995995</v>
      </c>
      <c r="G268" s="233">
        <v>414.4111093749816</v>
      </c>
      <c r="H268" s="235">
        <v>138422.9128333337</v>
      </c>
      <c r="I268" s="235">
        <v>68905.80751855465</v>
      </c>
      <c r="J268" s="233">
        <v>363347.1819999997</v>
      </c>
    </row>
    <row r="269">
      <c r="A269" s="184">
        <v>43733.0</v>
      </c>
      <c r="B269" s="279">
        <v>0.2680150529146242</v>
      </c>
      <c r="C269" s="279">
        <v>0.04438553008880928</v>
      </c>
      <c r="D269" s="279">
        <v>0.2918531437158153</v>
      </c>
      <c r="E269" s="282">
        <v>-9.308680864441088E-4</v>
      </c>
      <c r="F269" s="233">
        <v>-657.7460000000428</v>
      </c>
      <c r="G269" s="233">
        <v>419.6250546875526</v>
      </c>
      <c r="H269" s="235">
        <v>138889.26983333367</v>
      </c>
      <c r="I269" s="235">
        <v>68491.39640917967</v>
      </c>
      <c r="J269" s="233">
        <v>363813.53899999964</v>
      </c>
    </row>
    <row r="270">
      <c r="A270" s="184">
        <v>43732.0</v>
      </c>
      <c r="B270" s="279">
        <v>0.27012302627961166</v>
      </c>
      <c r="C270" s="279">
        <v>0.044505116468931155</v>
      </c>
      <c r="D270" s="279">
        <v>0.29402534321446</v>
      </c>
      <c r="E270" s="282">
        <v>7.809635525845739E-4</v>
      </c>
      <c r="F270" s="233">
        <v>552.3379999999888</v>
      </c>
      <c r="G270" s="233">
        <v>586.6423789062537</v>
      </c>
      <c r="H270" s="235">
        <v>139547.01583333372</v>
      </c>
      <c r="I270" s="235">
        <v>68071.77135449211</v>
      </c>
      <c r="J270" s="233">
        <v>364471.2849999997</v>
      </c>
    </row>
    <row r="271">
      <c r="A271" s="184">
        <v>43731.0</v>
      </c>
      <c r="B271" s="279">
        <v>0.2696876416397494</v>
      </c>
      <c r="C271" s="279">
        <v>0.04462564443360919</v>
      </c>
      <c r="D271" s="279">
        <v>0.2936546904041</v>
      </c>
      <c r="E271" s="282">
        <v>0.005983587848744338</v>
      </c>
      <c r="F271" s="233">
        <v>4234.915999999968</v>
      </c>
      <c r="G271" s="233">
        <v>432.78105859368225</v>
      </c>
      <c r="H271" s="235">
        <v>138994.67783333373</v>
      </c>
      <c r="I271" s="235">
        <v>67485.12897558586</v>
      </c>
      <c r="J271" s="233">
        <v>363918.9469999997</v>
      </c>
    </row>
    <row r="272">
      <c r="A272" s="184">
        <v>43728.0</v>
      </c>
      <c r="B272" s="279">
        <v>0.2618146291280469</v>
      </c>
      <c r="C272" s="279">
        <v>0.04480947862954198</v>
      </c>
      <c r="D272" s="279">
        <v>0.28588040953413396</v>
      </c>
      <c r="E272" s="282">
        <v>0.004758123696824419</v>
      </c>
      <c r="F272" s="233">
        <v>3347.437000000151</v>
      </c>
      <c r="G272" s="233">
        <v>584.4435742187488</v>
      </c>
      <c r="H272" s="235">
        <v>134759.76183333376</v>
      </c>
      <c r="I272" s="235">
        <v>67052.34791699218</v>
      </c>
      <c r="J272" s="233">
        <v>359684.0309999997</v>
      </c>
    </row>
    <row r="273">
      <c r="A273" s="184">
        <v>43727.0</v>
      </c>
      <c r="B273" s="279">
        <v>0.2553976328993045</v>
      </c>
      <c r="C273" s="279">
        <v>0.044929858468677183</v>
      </c>
      <c r="D273" s="279">
        <v>0.2795280655812616</v>
      </c>
      <c r="E273" s="282">
        <v>0.0024524354496136555</v>
      </c>
      <c r="F273" s="233">
        <v>1721.7229999999981</v>
      </c>
      <c r="G273" s="233">
        <v>393.47895312508626</v>
      </c>
      <c r="H273" s="235">
        <v>131412.3248333336</v>
      </c>
      <c r="I273" s="235">
        <v>66467.90434277343</v>
      </c>
      <c r="J273" s="233">
        <v>356336.5939999996</v>
      </c>
    </row>
    <row r="274">
      <c r="A274" s="184">
        <v>43726.0</v>
      </c>
      <c r="B274" s="279">
        <v>0.252406713365383</v>
      </c>
      <c r="C274" s="279">
        <v>0.045049684832725895</v>
      </c>
      <c r="D274" s="279">
        <v>0.276601501068917</v>
      </c>
      <c r="E274" s="282">
        <v>0.0011413894854958215</v>
      </c>
      <c r="F274" s="233">
        <v>799.3429999998771</v>
      </c>
      <c r="G274" s="233">
        <v>381.59346875002666</v>
      </c>
      <c r="H274" s="235">
        <v>129690.60183333361</v>
      </c>
      <c r="I274" s="235">
        <v>66074.42538964834</v>
      </c>
      <c r="J274" s="233">
        <v>354614.8709999996</v>
      </c>
    </row>
    <row r="275">
      <c r="A275" s="184">
        <v>43725.0</v>
      </c>
      <c r="B275" s="279">
        <v>0.2513689741983401</v>
      </c>
      <c r="C275" s="279">
        <v>0.045169555887314534</v>
      </c>
      <c r="D275" s="279">
        <v>0.27562814092535315</v>
      </c>
      <c r="E275" s="282">
        <v>-0.0015659094136728476</v>
      </c>
      <c r="F275" s="233">
        <v>-1095.3929999999236</v>
      </c>
      <c r="G275" s="233">
        <v>364.6477539061598</v>
      </c>
      <c r="H275" s="235">
        <v>128891.25883333373</v>
      </c>
      <c r="I275" s="235">
        <v>65692.83192089832</v>
      </c>
      <c r="J275" s="233">
        <v>353815.5279999997</v>
      </c>
    </row>
    <row r="276">
      <c r="A276" s="184">
        <v>43724.0</v>
      </c>
      <c r="B276" s="279">
        <v>0.25438691164068394</v>
      </c>
      <c r="C276" s="279">
        <v>0.04528981667462253</v>
      </c>
      <c r="D276" s="279">
        <v>0.27871066670452516</v>
      </c>
      <c r="E276" s="282">
        <v>0.010668845202752589</v>
      </c>
      <c r="F276" s="233">
        <v>7474.8120000000345</v>
      </c>
      <c r="G276" s="233">
        <v>728.3184179687523</v>
      </c>
      <c r="H276" s="235">
        <v>129986.65183333366</v>
      </c>
      <c r="I276" s="235">
        <v>65328.184166992156</v>
      </c>
      <c r="J276" s="233">
        <v>354910.9209999996</v>
      </c>
    </row>
    <row r="277">
      <c r="A277" s="184">
        <v>43721.0</v>
      </c>
      <c r="B277" s="279">
        <v>0.2392985303173215</v>
      </c>
      <c r="C277" s="279">
        <v>0.04549756645743234</v>
      </c>
      <c r="D277" s="279">
        <v>0.26375903033798986</v>
      </c>
      <c r="E277" s="282">
        <v>-0.009778628614318153</v>
      </c>
      <c r="F277" s="233">
        <v>-6919.137000000221</v>
      </c>
      <c r="G277" s="233">
        <v>743.5549335936812</v>
      </c>
      <c r="H277" s="235">
        <v>122511.83983333362</v>
      </c>
      <c r="I277" s="235">
        <v>64599.8657490234</v>
      </c>
      <c r="J277" s="233">
        <v>347436.1089999996</v>
      </c>
    </row>
    <row r="278">
      <c r="A278" s="184">
        <v>43720.0</v>
      </c>
      <c r="B278" s="279">
        <v>0.2548624920732134</v>
      </c>
      <c r="C278" s="279">
        <v>0.0456170520166057</v>
      </c>
      <c r="D278" s="279">
        <v>0.2793872301784695</v>
      </c>
      <c r="E278" s="282">
        <v>-0.005320247360021537</v>
      </c>
      <c r="F278" s="233">
        <v>-3828.0149999998976</v>
      </c>
      <c r="G278" s="233">
        <v>342.23477734369953</v>
      </c>
      <c r="H278" s="235">
        <v>129430.97683333384</v>
      </c>
      <c r="I278" s="235">
        <v>63856.31081542972</v>
      </c>
      <c r="J278" s="233">
        <v>354355.2459999998</v>
      </c>
    </row>
    <row r="279">
      <c r="A279" s="184">
        <v>43719.0</v>
      </c>
      <c r="B279" s="279">
        <v>0.26383414099526803</v>
      </c>
      <c r="C279" s="279">
        <v>0.045739893852120656</v>
      </c>
      <c r="D279" s="279">
        <v>0.2884249215936532</v>
      </c>
      <c r="E279" s="282">
        <v>0.003026748938631964</v>
      </c>
      <c r="F279" s="233">
        <v>2189.3874999999534</v>
      </c>
      <c r="G279" s="233">
        <v>377.35740039073426</v>
      </c>
      <c r="H279" s="235">
        <v>133258.99183333374</v>
      </c>
      <c r="I279" s="235">
        <v>63514.07603808602</v>
      </c>
      <c r="J279" s="233">
        <v>358183.2609999997</v>
      </c>
    </row>
    <row r="280">
      <c r="A280" s="184">
        <v>43718.0</v>
      </c>
      <c r="B280" s="279">
        <v>0.2598037853059237</v>
      </c>
      <c r="C280" s="279">
        <v>0.04586494210796947</v>
      </c>
      <c r="D280" s="279">
        <v>0.2844617946179069</v>
      </c>
      <c r="E280" s="282">
        <v>-0.004637014033127551</v>
      </c>
      <c r="F280" s="233">
        <v>-3344.014499999932</v>
      </c>
      <c r="G280" s="233">
        <v>347.9440859374299</v>
      </c>
      <c r="H280" s="235">
        <v>131069.60433333379</v>
      </c>
      <c r="I280" s="235">
        <v>63136.71863769529</v>
      </c>
      <c r="J280" s="233">
        <v>356393.87349999975</v>
      </c>
    </row>
    <row r="281">
      <c r="A281" s="184">
        <v>43717.0</v>
      </c>
      <c r="B281" s="279">
        <v>0.26778971124144596</v>
      </c>
      <c r="C281" s="279">
        <v>0.04599003271420753</v>
      </c>
      <c r="D281" s="279">
        <v>0.292514972035535</v>
      </c>
      <c r="E281" s="282">
        <v>-0.005139503772577939</v>
      </c>
      <c r="F281" s="233">
        <v>-3723.5749999999534</v>
      </c>
      <c r="G281" s="233">
        <v>356.91529687504226</v>
      </c>
      <c r="H281" s="235">
        <v>134413.61883333372</v>
      </c>
      <c r="I281" s="235">
        <v>62788.77455175786</v>
      </c>
      <c r="J281" s="233">
        <v>359737.8879999997</v>
      </c>
    </row>
    <row r="282">
      <c r="A282" s="184">
        <v>43714.0</v>
      </c>
      <c r="B282" s="279">
        <v>0.27704795625700696</v>
      </c>
      <c r="C282" s="279">
        <v>0.0461825470569042</v>
      </c>
      <c r="D282" s="279">
        <v>0.3018767170281314</v>
      </c>
      <c r="E282" s="282">
        <v>0.002476807789831265</v>
      </c>
      <c r="F282" s="233">
        <v>1803.6720000000205</v>
      </c>
      <c r="G282" s="233">
        <v>666.5376562499878</v>
      </c>
      <c r="H282" s="235">
        <v>138137.19383333367</v>
      </c>
      <c r="I282" s="235">
        <v>62431.85925488282</v>
      </c>
      <c r="J282" s="233">
        <v>363461.5629999996</v>
      </c>
    </row>
    <row r="283">
      <c r="A283" s="184">
        <v>43713.0</v>
      </c>
      <c r="B283" s="279">
        <v>0.2738727958996158</v>
      </c>
      <c r="C283" s="279">
        <v>0.046312158897287424</v>
      </c>
      <c r="D283" s="279">
        <v>0.2987712388685197</v>
      </c>
      <c r="E283" s="282">
        <v>-0.005738150217313283</v>
      </c>
      <c r="F283" s="233">
        <v>-4187.198000000091</v>
      </c>
      <c r="G283" s="233">
        <v>365.36322656248376</v>
      </c>
      <c r="H283" s="235">
        <v>136333.52183333365</v>
      </c>
      <c r="I283" s="235">
        <v>61765.32159863283</v>
      </c>
      <c r="J283" s="233">
        <v>361657.7909999996</v>
      </c>
    </row>
    <row r="284">
      <c r="A284" s="184">
        <v>43712.0</v>
      </c>
      <c r="B284" s="279">
        <v>0.28384151059026747</v>
      </c>
      <c r="C284" s="279">
        <v>0.046441840488790895</v>
      </c>
      <c r="D284" s="279">
        <v>0.30880967325669895</v>
      </c>
      <c r="E284" s="282">
        <v>-0.0042666653922561635</v>
      </c>
      <c r="F284" s="233">
        <v>-3131.30299999984</v>
      </c>
      <c r="G284" s="233">
        <v>369.4322382811806</v>
      </c>
      <c r="H284" s="235">
        <v>140520.71983333374</v>
      </c>
      <c r="I284" s="235">
        <v>61399.958372070345</v>
      </c>
      <c r="J284" s="233">
        <v>365944.9889999997</v>
      </c>
    </row>
    <row r="285">
      <c r="A285" s="184">
        <v>43711.0</v>
      </c>
      <c r="B285" s="279">
        <v>0.2915503775704636</v>
      </c>
      <c r="C285" s="279">
        <v>0.046574028074238404</v>
      </c>
      <c r="D285" s="279">
        <v>0.3165896072123034</v>
      </c>
      <c r="E285" s="282">
        <v>0.004203595801685816</v>
      </c>
      <c r="F285" s="233">
        <v>3098.1789999999164</v>
      </c>
      <c r="G285" s="233">
        <v>430.3804648438818</v>
      </c>
      <c r="H285" s="235">
        <v>143652.02283333358</v>
      </c>
      <c r="I285" s="235">
        <v>61030.526133789164</v>
      </c>
      <c r="J285" s="233">
        <v>369076.29199999955</v>
      </c>
    </row>
    <row r="286">
      <c r="A286" s="184">
        <v>43710.0</v>
      </c>
      <c r="B286" s="279">
        <v>0.28554322152473083</v>
      </c>
      <c r="C286" s="279">
        <v>0.04670829384127754</v>
      </c>
      <c r="D286" s="279">
        <v>0.3106546354184583</v>
      </c>
      <c r="E286" s="282">
        <v>0.0010123226666248482</v>
      </c>
      <c r="F286" s="233">
        <v>741.3590000000258</v>
      </c>
      <c r="G286" s="233">
        <v>395.3216757811606</v>
      </c>
      <c r="H286" s="235">
        <v>140553.84383333367</v>
      </c>
      <c r="I286" s="235">
        <v>60600.14566894528</v>
      </c>
      <c r="J286" s="233">
        <v>365978.11299999966</v>
      </c>
    </row>
    <row r="287">
      <c r="A287" s="184">
        <v>43707.0</v>
      </c>
      <c r="B287" s="279">
        <v>0.2840998190424395</v>
      </c>
      <c r="C287" s="279">
        <v>0.04690886746724364</v>
      </c>
      <c r="D287" s="279">
        <v>0.31034303975049593</v>
      </c>
      <c r="E287" s="282">
        <v>0.005839853696739906</v>
      </c>
      <c r="F287" s="233">
        <v>4260.748000000021</v>
      </c>
      <c r="G287" s="233">
        <v>399.2649570312642</v>
      </c>
      <c r="H287" s="235">
        <v>139812.48483333364</v>
      </c>
      <c r="I287" s="235">
        <v>60204.82399316412</v>
      </c>
      <c r="J287" s="233">
        <v>365236.7539999996</v>
      </c>
    </row>
    <row r="288">
      <c r="A288" s="184">
        <v>43706.0</v>
      </c>
      <c r="B288" s="279">
        <v>0.2754303391583667</v>
      </c>
      <c r="C288" s="279">
        <v>0.04704348190437181</v>
      </c>
      <c r="D288" s="279">
        <v>0.3017488700705441</v>
      </c>
      <c r="E288" s="282">
        <v>0.0023340563676931703</v>
      </c>
      <c r="F288" s="233">
        <v>1692.9790000000503</v>
      </c>
      <c r="G288" s="233">
        <v>385.00080859372974</v>
      </c>
      <c r="H288" s="235">
        <v>135551.73683333362</v>
      </c>
      <c r="I288" s="235">
        <v>59805.55903613286</v>
      </c>
      <c r="J288" s="233">
        <v>360976.0059999996</v>
      </c>
    </row>
    <row r="289">
      <c r="A289" s="184">
        <v>43705.0</v>
      </c>
      <c r="B289" s="279">
        <v>0.27243370435872616</v>
      </c>
      <c r="C289" s="279">
        <v>0.04717718082658843</v>
      </c>
      <c r="D289" s="279">
        <v>0.2988270332891378</v>
      </c>
      <c r="E289" s="282">
        <v>0.0046004400446406</v>
      </c>
      <c r="F289" s="233">
        <v>3329.0839999999152</v>
      </c>
      <c r="G289" s="233">
        <v>388.8933476562961</v>
      </c>
      <c r="H289" s="235">
        <v>133858.75783333357</v>
      </c>
      <c r="I289" s="235">
        <v>59420.55822753913</v>
      </c>
      <c r="J289" s="233">
        <v>359283.02699999954</v>
      </c>
    </row>
    <row r="290">
      <c r="A290" s="184">
        <v>43704.0</v>
      </c>
      <c r="B290" s="279">
        <v>0.2657535388405501</v>
      </c>
      <c r="C290" s="279">
        <v>0.0473110028786815</v>
      </c>
      <c r="D290" s="279">
        <v>0.29222173467434914</v>
      </c>
      <c r="E290" s="282">
        <v>0.006609219590225033</v>
      </c>
      <c r="F290" s="233">
        <v>4760.724000000046</v>
      </c>
      <c r="G290" s="233">
        <v>367.90328515624424</v>
      </c>
      <c r="H290" s="235">
        <v>130529.67383333365</v>
      </c>
      <c r="I290" s="235">
        <v>59031.66487988283</v>
      </c>
      <c r="J290" s="233">
        <v>355953.9429999996</v>
      </c>
    </row>
    <row r="291">
      <c r="A291" s="184">
        <v>43703.0</v>
      </c>
      <c r="B291" s="279">
        <v>0.2558140449303893</v>
      </c>
      <c r="C291" s="279">
        <v>0.047444262300758606</v>
      </c>
      <c r="D291" s="279">
        <v>0.282356792903556</v>
      </c>
      <c r="E291" s="282">
        <v>0.005405845322305642</v>
      </c>
      <c r="F291" s="233">
        <v>3868.1790000000037</v>
      </c>
      <c r="G291" s="233">
        <v>512.7585976562914</v>
      </c>
      <c r="H291" s="235">
        <v>125768.94983333361</v>
      </c>
      <c r="I291" s="235">
        <v>58663.76159472659</v>
      </c>
      <c r="J291" s="233">
        <v>351193.2189999996</v>
      </c>
    </row>
    <row r="292">
      <c r="A292" s="184">
        <v>43700.0</v>
      </c>
      <c r="B292" s="279">
        <v>0.24817258605142029</v>
      </c>
      <c r="C292" s="279">
        <v>0.04764445488253073</v>
      </c>
      <c r="D292" s="279">
        <v>0.27482733199834386</v>
      </c>
      <c r="E292" s="282">
        <v>-0.005495285993900272</v>
      </c>
      <c r="F292" s="233">
        <v>-3916.703000000096</v>
      </c>
      <c r="G292" s="233">
        <v>292.1078867186661</v>
      </c>
      <c r="H292" s="235">
        <v>121900.7708333336</v>
      </c>
      <c r="I292" s="235">
        <v>58151.002997070296</v>
      </c>
      <c r="J292" s="233">
        <v>347325.0399999996</v>
      </c>
    </row>
    <row r="293">
      <c r="A293" s="184">
        <v>43699.0</v>
      </c>
      <c r="B293" s="279">
        <v>0.2577121202774639</v>
      </c>
      <c r="C293" s="279">
        <v>0.047775941295045775</v>
      </c>
      <c r="D293" s="279">
        <v>0.28444042645148426</v>
      </c>
      <c r="E293" s="282">
        <v>-0.003041818966744238</v>
      </c>
      <c r="F293" s="233">
        <v>-2179.935999999987</v>
      </c>
      <c r="G293" s="233">
        <v>316.89430078132864</v>
      </c>
      <c r="H293" s="235">
        <v>125817.4738333337</v>
      </c>
      <c r="I293" s="235">
        <v>57858.89511035163</v>
      </c>
      <c r="J293" s="233">
        <v>351241.74299999967</v>
      </c>
    </row>
    <row r="294">
      <c r="A294" s="184">
        <v>43698.0</v>
      </c>
      <c r="B294" s="279">
        <v>0.26337667347601124</v>
      </c>
      <c r="C294" s="279">
        <v>0.047909876653056634</v>
      </c>
      <c r="D294" s="279">
        <v>0.2901799099425471</v>
      </c>
      <c r="E294" s="282">
        <v>9.595493735184957E-4</v>
      </c>
      <c r="F294" s="233">
        <v>689.7580000000307</v>
      </c>
      <c r="G294" s="233">
        <v>324.8943554687503</v>
      </c>
      <c r="H294" s="235">
        <v>127997.40983333369</v>
      </c>
      <c r="I294" s="235">
        <v>57542.0008095703</v>
      </c>
      <c r="J294" s="233">
        <v>353421.67899999965</v>
      </c>
    </row>
    <row r="295">
      <c r="A295" s="184">
        <v>43697.0</v>
      </c>
      <c r="B295" s="279">
        <v>0.2625543897320122</v>
      </c>
      <c r="C295" s="279">
        <v>0.04804555671199594</v>
      </c>
      <c r="D295" s="279">
        <v>0.2894335325660364</v>
      </c>
      <c r="E295" s="282">
        <v>9.43090115893988E-4</v>
      </c>
      <c r="F295" s="233">
        <v>677.2759999999544</v>
      </c>
      <c r="G295" s="233">
        <v>403.5480937499451</v>
      </c>
      <c r="H295" s="235">
        <v>127307.65183333366</v>
      </c>
      <c r="I295" s="235">
        <v>57217.10645410155</v>
      </c>
      <c r="J295" s="233">
        <v>352731.9209999996</v>
      </c>
    </row>
    <row r="296">
      <c r="A296" s="184">
        <v>43696.0</v>
      </c>
      <c r="B296" s="279">
        <v>0.26175462524158444</v>
      </c>
      <c r="C296" s="279">
        <v>0.048181773943971995</v>
      </c>
      <c r="D296" s="279">
        <v>0.2887099749651798</v>
      </c>
      <c r="E296" s="282">
        <v>3.4246278831201975E-4</v>
      </c>
      <c r="F296" s="233">
        <v>246.25600000005215</v>
      </c>
      <c r="G296" s="233">
        <v>305.4306640624927</v>
      </c>
      <c r="H296" s="235">
        <v>126630.3758333337</v>
      </c>
      <c r="I296" s="235">
        <v>56813.558360351606</v>
      </c>
      <c r="J296" s="233">
        <v>352054.64499999967</v>
      </c>
    </row>
    <row r="297">
      <c r="A297" s="184">
        <v>43693.0</v>
      </c>
      <c r="B297" s="279">
        <v>0.26231144784468585</v>
      </c>
      <c r="C297" s="279">
        <v>0.04838805932812517</v>
      </c>
      <c r="D297" s="279">
        <v>0.28938220416744836</v>
      </c>
      <c r="E297" s="282">
        <v>0.002930666995621458</v>
      </c>
      <c r="F297" s="233">
        <v>2106.643999999971</v>
      </c>
      <c r="G297" s="233">
        <v>533.3460351562098</v>
      </c>
      <c r="H297" s="235">
        <v>126384.11983333365</v>
      </c>
      <c r="I297" s="235">
        <v>56508.12769628911</v>
      </c>
      <c r="J297" s="233">
        <v>351808.3889999996</v>
      </c>
    </row>
    <row r="298">
      <c r="A298" s="184">
        <v>43692.0</v>
      </c>
      <c r="B298" s="279">
        <v>0.25822084236701853</v>
      </c>
      <c r="C298" s="279">
        <v>0.048525804618860434</v>
      </c>
      <c r="D298" s="279">
        <v>0.28536866045361037</v>
      </c>
      <c r="E298" s="282">
        <v>0.00453363333706794</v>
      </c>
      <c r="F298" s="233">
        <v>3259.625</v>
      </c>
      <c r="G298" s="233">
        <v>2497.0486542968356</v>
      </c>
      <c r="H298" s="235">
        <v>124277.47583333368</v>
      </c>
      <c r="I298" s="235">
        <v>55974.7816611329</v>
      </c>
      <c r="J298" s="233">
        <v>349701.74499999965</v>
      </c>
    </row>
    <row r="299">
      <c r="A299" s="184">
        <v>43691.0</v>
      </c>
      <c r="B299" s="279">
        <v>0.251405385956295</v>
      </c>
      <c r="C299" s="279">
        <v>0.04866347807321513</v>
      </c>
      <c r="D299" s="279">
        <v>0.27867222753232296</v>
      </c>
      <c r="E299" s="282">
        <v>0.006538044782980005</v>
      </c>
      <c r="F299" s="233">
        <v>4768.623000000021</v>
      </c>
      <c r="G299" s="233">
        <v>1372.595343749963</v>
      </c>
      <c r="H299" s="235">
        <v>121017.85083333368</v>
      </c>
      <c r="I299" s="235">
        <v>53477.73300683607</v>
      </c>
      <c r="J299" s="233">
        <v>346442.11999999965</v>
      </c>
    </row>
    <row r="300">
      <c r="A300" s="184">
        <v>43690.0</v>
      </c>
      <c r="B300" s="279">
        <v>0.24107573330208473</v>
      </c>
      <c r="C300" s="279">
        <v>0.048800563496449297</v>
      </c>
      <c r="D300" s="279">
        <v>0.26844543383767194</v>
      </c>
      <c r="E300" s="282">
        <v>0.006939630517009055</v>
      </c>
      <c r="F300" s="233">
        <v>5073.175999999861</v>
      </c>
      <c r="G300" s="233">
        <v>303.90673828135186</v>
      </c>
      <c r="H300" s="235">
        <v>116249.22783333366</v>
      </c>
      <c r="I300" s="235">
        <v>52105.137663086105</v>
      </c>
      <c r="J300" s="233">
        <v>341673.4969999996</v>
      </c>
    </row>
    <row r="301">
      <c r="A301" s="184">
        <v>43689.0</v>
      </c>
      <c r="B301" s="279">
        <v>0.2299989447492889</v>
      </c>
      <c r="C301" s="279">
        <v>0.04893637490772435</v>
      </c>
      <c r="D301" s="279">
        <v>0.2574448148491104</v>
      </c>
      <c r="E301" s="282">
        <v>-2.273947795443127E-5</v>
      </c>
      <c r="F301" s="233">
        <v>-16.508199999982025</v>
      </c>
      <c r="G301" s="233">
        <v>252.73865156244574</v>
      </c>
      <c r="H301" s="235">
        <v>111176.0518333338</v>
      </c>
      <c r="I301" s="235">
        <v>51801.23092480475</v>
      </c>
      <c r="J301" s="233">
        <v>336600.32099999976</v>
      </c>
    </row>
    <row r="302">
      <c r="A302" s="184">
        <v>43686.0</v>
      </c>
      <c r="B302" s="279">
        <v>0.23100239822853894</v>
      </c>
      <c r="C302" s="279">
        <v>0.049141709872011864</v>
      </c>
      <c r="D302" s="279">
        <v>0.2585634300412461</v>
      </c>
      <c r="E302" s="282">
        <v>0.005627239225808386</v>
      </c>
      <c r="F302" s="233">
        <v>4085.3049999997893</v>
      </c>
      <c r="G302" s="235">
        <v>309.5959187500048</v>
      </c>
      <c r="H302" s="235">
        <v>111192.56003333378</v>
      </c>
      <c r="I302" s="235">
        <v>51548.49227324231</v>
      </c>
      <c r="J302" s="233">
        <v>336616.82919999975</v>
      </c>
    </row>
    <row r="303">
      <c r="A303" s="184">
        <v>43685.0</v>
      </c>
      <c r="B303" s="279">
        <v>0.2221130004384178</v>
      </c>
      <c r="C303" s="279">
        <v>0.04927713813184793</v>
      </c>
      <c r="D303" s="279">
        <v>0.24974998692562458</v>
      </c>
      <c r="E303" s="282">
        <v>-5.339031169126599E-4</v>
      </c>
      <c r="F303" s="233">
        <v>-385.425800000201</v>
      </c>
      <c r="G303" s="233">
        <v>572.1963544923055</v>
      </c>
      <c r="H303" s="235">
        <v>107107.25503333399</v>
      </c>
      <c r="I303" s="235">
        <v>51238.8963544923</v>
      </c>
      <c r="J303" s="233">
        <v>332531.5242</v>
      </c>
    </row>
    <row r="304">
      <c r="A304" s="184">
        <v>43684.0</v>
      </c>
      <c r="B304" s="283">
        <v>0.22361995441938803</v>
      </c>
      <c r="C304" s="283">
        <v>0.04941153343216494</v>
      </c>
      <c r="D304" s="283">
        <v>0.2513323162477696</v>
      </c>
      <c r="E304" s="282">
        <v>0.00723904201529853</v>
      </c>
      <c r="F304" s="284">
        <v>5228.67</v>
      </c>
      <c r="G304" s="284">
        <v>1984.53</v>
      </c>
      <c r="H304" s="235">
        <v>107492.68083333419</v>
      </c>
      <c r="I304" s="285">
        <v>50666.7</v>
      </c>
      <c r="J304" s="233">
        <v>332916.9500000002</v>
      </c>
    </row>
    <row r="305">
      <c r="A305" s="184">
        <v>43683.0</v>
      </c>
      <c r="B305" s="279">
        <v>0.2119214947634111</v>
      </c>
      <c r="C305" s="279">
        <v>0.04954690026839012</v>
      </c>
      <c r="D305" s="279">
        <v>0.23976203660761855</v>
      </c>
      <c r="E305" s="282">
        <v>0.0022129536946411976</v>
      </c>
      <c r="F305" s="233">
        <v>1616.7930000000633</v>
      </c>
      <c r="G305" s="233">
        <v>273.6976757812663</v>
      </c>
      <c r="H305" s="235">
        <v>102264.01083333419</v>
      </c>
      <c r="I305" s="235">
        <v>48682.170926367304</v>
      </c>
      <c r="J305" s="233">
        <v>327688.2800000002</v>
      </c>
    </row>
    <row r="306">
      <c r="A306" s="184">
        <v>43682.0</v>
      </c>
      <c r="B306" s="279">
        <v>0.2086928514826409</v>
      </c>
      <c r="C306" s="279">
        <v>0.04968068614208998</v>
      </c>
      <c r="D306" s="279">
        <v>0.23660856798348137</v>
      </c>
      <c r="E306" s="282">
        <v>-0.005194330632642836</v>
      </c>
      <c r="F306" s="233">
        <v>-3786.600999999908</v>
      </c>
      <c r="G306" s="233">
        <v>1738.5018923828102</v>
      </c>
      <c r="H306" s="235">
        <v>100647.21783333413</v>
      </c>
      <c r="I306" s="235">
        <v>48408.47325058604</v>
      </c>
      <c r="J306" s="233">
        <v>326071.48700000014</v>
      </c>
    </row>
    <row r="307">
      <c r="A307" s="184">
        <v>43679.0</v>
      </c>
      <c r="B307" s="279">
        <v>0.21847536949212223</v>
      </c>
      <c r="C307" s="279">
        <v>0.04988692023282802</v>
      </c>
      <c r="D307" s="279">
        <v>0.2465295371219056</v>
      </c>
      <c r="E307" s="282">
        <v>-0.0064348804850279774</v>
      </c>
      <c r="F307" s="233">
        <v>-4786.959000000032</v>
      </c>
      <c r="G307" s="233">
        <v>2485.055761914089</v>
      </c>
      <c r="H307" s="235">
        <v>104433.81883333404</v>
      </c>
      <c r="I307" s="235">
        <v>46669.97135820323</v>
      </c>
      <c r="J307" s="233">
        <v>330258.08800000005</v>
      </c>
    </row>
    <row r="308">
      <c r="A308" s="184">
        <v>43678.0</v>
      </c>
      <c r="B308" s="279">
        <v>0.23039164937876724</v>
      </c>
      <c r="C308" s="279">
        <v>0.050023718031139856</v>
      </c>
      <c r="D308" s="279">
        <v>0.25853678287619314</v>
      </c>
      <c r="E308" s="282">
        <v>0.009279007234070453</v>
      </c>
      <c r="F308" s="233">
        <v>6984.116000000067</v>
      </c>
      <c r="G308" s="235">
        <v>404.13890624997293</v>
      </c>
      <c r="H308" s="235">
        <v>109220.77783333407</v>
      </c>
      <c r="I308" s="235">
        <v>44184.91559628914</v>
      </c>
      <c r="J308" s="233">
        <v>335045.0470000001</v>
      </c>
    </row>
    <row r="309">
      <c r="A309" s="184">
        <v>43677.0</v>
      </c>
      <c r="B309" s="279">
        <v>0.21423734704732167</v>
      </c>
      <c r="C309" s="279">
        <v>0.05016355753329435</v>
      </c>
      <c r="D309" s="279">
        <v>0.24268117933176242</v>
      </c>
      <c r="E309" s="282">
        <v>0.004628360058306877</v>
      </c>
      <c r="F309" s="233">
        <v>3439.055000000051</v>
      </c>
      <c r="G309" s="235">
        <v>337.1064453125364</v>
      </c>
      <c r="H309" s="235">
        <v>102236.661833334</v>
      </c>
      <c r="I309" s="235">
        <v>43780.776690039165</v>
      </c>
      <c r="J309" s="233">
        <v>328060.931</v>
      </c>
    </row>
    <row r="310">
      <c r="A310" s="184">
        <v>43676.0</v>
      </c>
      <c r="B310" s="279">
        <v>0.20556704335344403</v>
      </c>
      <c r="C310" s="279">
        <v>0.05030097820242132</v>
      </c>
      <c r="D310" s="279">
        <v>0.23516027707402642</v>
      </c>
      <c r="E310" s="282">
        <v>-9.974383741597145E-4</v>
      </c>
      <c r="F310" s="233">
        <v>-737.2570000000997</v>
      </c>
      <c r="G310" s="235">
        <v>316.99673828123923</v>
      </c>
      <c r="H310" s="235">
        <v>98797.60683333395</v>
      </c>
      <c r="I310" s="235">
        <v>43443.67024472663</v>
      </c>
      <c r="J310" s="233">
        <v>324621.87599999993</v>
      </c>
    </row>
    <row r="311">
      <c r="A311" s="184">
        <v>43675.0</v>
      </c>
      <c r="B311" s="279">
        <v>0.20788497870673264</v>
      </c>
      <c r="C311" s="279">
        <v>0.05043759893519599</v>
      </c>
      <c r="D311" s="279">
        <v>0.23755858957743342</v>
      </c>
      <c r="E311" s="282">
        <v>-0.0017365514091854974</v>
      </c>
      <c r="F311" s="233">
        <v>-1284.85299999977</v>
      </c>
      <c r="G311" s="235">
        <v>295.61139062503935</v>
      </c>
      <c r="H311" s="235">
        <v>99534.86383333405</v>
      </c>
      <c r="I311" s="235">
        <v>43126.67350644539</v>
      </c>
      <c r="J311" s="233">
        <v>325359.13300000003</v>
      </c>
    </row>
    <row r="312">
      <c r="A312" s="184">
        <v>43672.0</v>
      </c>
      <c r="B312" s="279">
        <v>0.21183678682478002</v>
      </c>
      <c r="C312" s="279">
        <v>0.05064926218365119</v>
      </c>
      <c r="D312" s="279">
        <v>0.24163492410044227</v>
      </c>
      <c r="E312" s="282">
        <v>0.004761212571470798</v>
      </c>
      <c r="F312" s="233">
        <v>3528.879999999772</v>
      </c>
      <c r="G312" s="235">
        <v>320.1767265625531</v>
      </c>
      <c r="H312" s="235">
        <v>100819.71683333382</v>
      </c>
      <c r="I312" s="235">
        <v>42831.06211582035</v>
      </c>
      <c r="J312" s="233">
        <v>326643.9859999998</v>
      </c>
    </row>
    <row r="313">
      <c r="A313" s="184">
        <v>43671.0</v>
      </c>
      <c r="B313" s="279">
        <v>0.20393911938895273</v>
      </c>
      <c r="C313" s="279">
        <v>0.050788726344115596</v>
      </c>
      <c r="D313" s="279">
        <v>0.23381930666928208</v>
      </c>
      <c r="E313" s="282">
        <v>-0.0032377462720316976</v>
      </c>
      <c r="F313" s="233">
        <v>-2388.3029999999562</v>
      </c>
      <c r="G313" s="235">
        <v>284.7817812499925</v>
      </c>
      <c r="H313" s="235">
        <v>97290.83683333405</v>
      </c>
      <c r="I313" s="235">
        <v>42510.8853892578</v>
      </c>
      <c r="J313" s="233">
        <v>323115.106</v>
      </c>
    </row>
    <row r="314">
      <c r="A314" s="184">
        <v>43670.0</v>
      </c>
      <c r="B314" s="279">
        <v>0.2102511653281029</v>
      </c>
      <c r="C314" s="279">
        <v>0.05092733305930183</v>
      </c>
      <c r="D314" s="279">
        <v>0.24021289815812794</v>
      </c>
      <c r="E314" s="282">
        <v>0.003599732369126286</v>
      </c>
      <c r="F314" s="233">
        <v>2663.917000000016</v>
      </c>
      <c r="G314" s="235">
        <v>328.4107343749565</v>
      </c>
      <c r="H314" s="235">
        <v>99679.139833334</v>
      </c>
      <c r="I314" s="235">
        <v>42226.103608007805</v>
      </c>
      <c r="J314" s="233">
        <v>325503.409</v>
      </c>
    </row>
    <row r="315">
      <c r="A315" s="184">
        <v>43669.0</v>
      </c>
      <c r="B315" s="279">
        <v>0.20439415617425769</v>
      </c>
      <c r="C315" s="279">
        <v>0.05106791406448696</v>
      </c>
      <c r="D315" s="279">
        <v>0.23443859607463782</v>
      </c>
      <c r="E315" s="282">
        <v>0.0038078175848404454</v>
      </c>
      <c r="F315" s="233">
        <v>2807.763000000152</v>
      </c>
      <c r="G315" s="235">
        <v>335.8918515625046</v>
      </c>
      <c r="H315" s="235">
        <v>97015.22283333399</v>
      </c>
      <c r="I315" s="235">
        <v>41897.69287363285</v>
      </c>
      <c r="J315" s="233">
        <v>322839.49199999997</v>
      </c>
    </row>
    <row r="316">
      <c r="A316" s="184">
        <v>43668.0</v>
      </c>
      <c r="B316" s="279">
        <v>0.19814607496531272</v>
      </c>
      <c r="C316" s="279">
        <v>0.051208046328510025</v>
      </c>
      <c r="D316" s="279">
        <v>0.22827828884911652</v>
      </c>
      <c r="E316" s="282">
        <v>1.5952658392858436E-4</v>
      </c>
      <c r="F316" s="233">
        <v>117.02099999994971</v>
      </c>
      <c r="G316" s="235">
        <v>293.70890859374776</v>
      </c>
      <c r="H316" s="235">
        <v>94207.45983333384</v>
      </c>
      <c r="I316" s="235">
        <v>41561.80102207034</v>
      </c>
      <c r="J316" s="233">
        <v>320031.7289999998</v>
      </c>
    </row>
    <row r="317">
      <c r="A317" s="184">
        <v>43665.0</v>
      </c>
      <c r="B317" s="279">
        <v>0.1986932492880574</v>
      </c>
      <c r="C317" s="279">
        <v>0.05142304521117401</v>
      </c>
      <c r="D317" s="279">
        <v>0.2289519743899547</v>
      </c>
      <c r="E317" s="282">
        <v>0.00452325749692081</v>
      </c>
      <c r="F317" s="233">
        <v>3317.5139999997336</v>
      </c>
      <c r="G317" s="235">
        <v>425.8114257812704</v>
      </c>
      <c r="H317" s="235">
        <v>94090.43883333389</v>
      </c>
      <c r="I317" s="235">
        <v>41268.092113476596</v>
      </c>
      <c r="J317" s="233">
        <v>319914.70799999987</v>
      </c>
    </row>
    <row r="318">
      <c r="A318" s="184">
        <v>43664.0</v>
      </c>
      <c r="B318" s="279">
        <v>0.1911419874363531</v>
      </c>
      <c r="C318" s="279">
        <v>0.05156367582231245</v>
      </c>
      <c r="D318" s="279">
        <v>0.22148346343302677</v>
      </c>
      <c r="E318" s="282">
        <v>-0.0023903800611564715</v>
      </c>
      <c r="F318" s="233">
        <v>-1748.169999999809</v>
      </c>
      <c r="G318" s="235">
        <v>261.5560781249296</v>
      </c>
      <c r="H318" s="235">
        <v>90772.92483333415</v>
      </c>
      <c r="I318" s="235">
        <v>40842.280687695325</v>
      </c>
      <c r="J318" s="233">
        <v>316597.19400000013</v>
      </c>
    </row>
    <row r="319">
      <c r="A319" s="184">
        <v>43663.0</v>
      </c>
      <c r="B319" s="279">
        <v>0.19593188835587694</v>
      </c>
      <c r="C319" s="279">
        <v>0.051703503063504734</v>
      </c>
      <c r="D319" s="279">
        <v>0.22636112288258223</v>
      </c>
      <c r="E319" s="282">
        <v>0.0017196657798106058</v>
      </c>
      <c r="F319" s="233">
        <v>1258.6138999999966</v>
      </c>
      <c r="G319" s="235">
        <v>301.8291753905796</v>
      </c>
      <c r="H319" s="235">
        <v>92521.09483333396</v>
      </c>
      <c r="I319" s="235">
        <v>40580.724609570396</v>
      </c>
      <c r="J319" s="233">
        <v>318345.36399999994</v>
      </c>
    </row>
    <row r="320">
      <c r="A320" s="184">
        <v>43662.0</v>
      </c>
      <c r="B320" s="279">
        <v>0.19337394585757242</v>
      </c>
      <c r="C320" s="279">
        <v>0.05184502427463293</v>
      </c>
      <c r="D320" s="279">
        <v>0.22389297154113438</v>
      </c>
      <c r="E320" s="282">
        <v>8.00159497954028E-4</v>
      </c>
      <c r="F320" s="233">
        <v>581.998099999968</v>
      </c>
      <c r="G320" s="235">
        <v>278.6370750000133</v>
      </c>
      <c r="H320" s="235">
        <v>91262.48093333397</v>
      </c>
      <c r="I320" s="235">
        <v>40278.895434179816</v>
      </c>
      <c r="J320" s="233">
        <v>317086.75009999995</v>
      </c>
    </row>
    <row r="321">
      <c r="A321" s="184">
        <v>43661.0</v>
      </c>
      <c r="B321" s="279">
        <v>0.192470882288447</v>
      </c>
      <c r="C321" s="279">
        <v>0.051986758715109764</v>
      </c>
      <c r="D321" s="279">
        <v>0.22307334118647223</v>
      </c>
      <c r="E321" s="282">
        <v>0.0028328223013497837</v>
      </c>
      <c r="F321" s="233">
        <v>2058.811999999918</v>
      </c>
      <c r="G321" s="235">
        <v>275.5113906250699</v>
      </c>
      <c r="H321" s="235">
        <v>90680.482833334</v>
      </c>
      <c r="I321" s="235">
        <v>40000.2583591798</v>
      </c>
      <c r="J321" s="233">
        <v>316504.752</v>
      </c>
    </row>
    <row r="322">
      <c r="A322" s="184">
        <v>43658.0</v>
      </c>
      <c r="B322" s="279">
        <v>0.18819651054795575</v>
      </c>
      <c r="C322" s="279">
        <v>0.05220598661919539</v>
      </c>
      <c r="D322" s="279">
        <v>0.21892801986362379</v>
      </c>
      <c r="E322" s="282">
        <v>-0.002680728478070335</v>
      </c>
      <c r="F322" s="233">
        <v>-1949.4349999999395</v>
      </c>
      <c r="G322" s="235">
        <v>883.3359765624555</v>
      </c>
      <c r="H322" s="235">
        <v>88621.67083333408</v>
      </c>
      <c r="I322" s="235">
        <v>39724.74696855473</v>
      </c>
      <c r="J322" s="233">
        <v>314445.94000000006</v>
      </c>
    </row>
    <row r="323">
      <c r="A323" s="184">
        <v>43657.0</v>
      </c>
      <c r="B323" s="279">
        <v>0.19353864298564805</v>
      </c>
      <c r="C323" s="279">
        <v>0.0523483438541148</v>
      </c>
      <c r="D323" s="279">
        <v>0.22435395212915937</v>
      </c>
      <c r="E323" s="282">
        <v>-9.83811914625709E-4</v>
      </c>
      <c r="F323" s="233">
        <v>-721.1900000000605</v>
      </c>
      <c r="G323" s="235">
        <v>623.0845507812264</v>
      </c>
      <c r="H323" s="235">
        <v>90571.10583333402</v>
      </c>
      <c r="I323" s="235">
        <v>38841.41099199228</v>
      </c>
      <c r="J323" s="233">
        <v>316395.375</v>
      </c>
    </row>
    <row r="324">
      <c r="A324" s="184">
        <v>43656.0</v>
      </c>
      <c r="B324" s="279">
        <v>0.19559553972822613</v>
      </c>
      <c r="C324" s="279">
        <v>0.05276013213995488</v>
      </c>
      <c r="D324" s="279">
        <v>0.22676332383548872</v>
      </c>
      <c r="E324" s="282">
        <v>-7.317033817969184E-4</v>
      </c>
      <c r="F324" s="233">
        <v>-536.829000000027</v>
      </c>
      <c r="G324" s="235">
        <v>276.48509374995047</v>
      </c>
      <c r="H324" s="235">
        <v>91292.29583333408</v>
      </c>
      <c r="I324" s="235">
        <v>38218.32644121105</v>
      </c>
      <c r="J324" s="233">
        <v>317116.56500000006</v>
      </c>
    </row>
    <row r="325">
      <c r="A325" s="184">
        <v>43655.0</v>
      </c>
      <c r="B325" s="279">
        <v>0.19990566960145578</v>
      </c>
      <c r="C325" s="279">
        <v>0.05047519865075884</v>
      </c>
      <c r="D325" s="279">
        <v>0.22872869956351793</v>
      </c>
      <c r="E325" s="282">
        <v>-0.0014793906345909149</v>
      </c>
      <c r="F325" s="233">
        <v>-1087.622999999905</v>
      </c>
      <c r="G325" s="235">
        <v>289.0807617188111</v>
      </c>
      <c r="H325" s="235">
        <v>91829.1248333341</v>
      </c>
      <c r="I325" s="235">
        <v>37941.8413474611</v>
      </c>
      <c r="J325" s="233">
        <v>317653.3940000001</v>
      </c>
    </row>
    <row r="326">
      <c r="A326" s="184">
        <v>43654.0</v>
      </c>
      <c r="B326" s="279">
        <v>0.20317895122064572</v>
      </c>
      <c r="C326" s="279">
        <v>0.05061575707101108</v>
      </c>
      <c r="D326" s="279">
        <v>0.23208224475108694</v>
      </c>
      <c r="E326" s="282">
        <v>0.002168486318474699</v>
      </c>
      <c r="F326" s="233">
        <v>1596.5929999999935</v>
      </c>
      <c r="G326" s="235">
        <v>307.22545312500733</v>
      </c>
      <c r="H326" s="235">
        <v>92916.74783333401</v>
      </c>
      <c r="I326" s="235">
        <v>37652.76058574229</v>
      </c>
      <c r="J326" s="233">
        <v>318741.017</v>
      </c>
    </row>
    <row r="327">
      <c r="A327" s="184">
        <v>43651.0</v>
      </c>
      <c r="B327" s="279">
        <v>0.2000460600542281</v>
      </c>
      <c r="C327" s="279">
        <v>0.050833015468041025</v>
      </c>
      <c r="D327" s="279">
        <v>0.2290734154101696</v>
      </c>
      <c r="E327" s="282">
        <v>-0.004444069615627133</v>
      </c>
      <c r="F327" s="233">
        <v>-3264.94299999997</v>
      </c>
      <c r="G327" s="235">
        <v>421.6874765625471</v>
      </c>
      <c r="H327" s="235">
        <v>91320.15483333402</v>
      </c>
      <c r="I327" s="235">
        <v>37345.53513261728</v>
      </c>
      <c r="J327" s="233">
        <v>317144.424</v>
      </c>
    </row>
    <row r="328">
      <c r="A328" s="184">
        <v>43650.0</v>
      </c>
      <c r="B328" s="279">
        <v>0.2088189167076476</v>
      </c>
      <c r="C328" s="279">
        <v>0.05097529917204966</v>
      </c>
      <c r="D328" s="279">
        <v>0.23792752082681098</v>
      </c>
      <c r="E328" s="282">
        <v>0.0018705550185983378</v>
      </c>
      <c r="F328" s="233">
        <v>1383.9359999998705</v>
      </c>
      <c r="G328" s="235">
        <v>109.07911328123737</v>
      </c>
      <c r="H328" s="235">
        <v>94585.09783333399</v>
      </c>
      <c r="I328" s="235">
        <v>36923.847656054735</v>
      </c>
      <c r="J328" s="233">
        <v>320409.36699999997</v>
      </c>
    </row>
    <row r="329">
      <c r="A329" s="184">
        <v>43649.0</v>
      </c>
      <c r="B329" s="279">
        <v>0.20592090331795732</v>
      </c>
      <c r="C329" s="279">
        <v>0.0511200937952237</v>
      </c>
      <c r="D329" s="279">
        <v>0.23511219001933237</v>
      </c>
      <c r="E329" s="282">
        <v>0.009487237900520185</v>
      </c>
      <c r="F329" s="233">
        <v>7006.033000000098</v>
      </c>
      <c r="G329" s="235">
        <v>126.8485427734995</v>
      </c>
      <c r="H329" s="235">
        <v>93201.16183333412</v>
      </c>
      <c r="I329" s="235">
        <v>36814.7685427735</v>
      </c>
      <c r="J329" s="233">
        <v>319025.4310000001</v>
      </c>
    </row>
    <row r="330">
      <c r="A330" s="184">
        <v>43648.0</v>
      </c>
      <c r="B330" s="279">
        <v>0.1887811689461466</v>
      </c>
      <c r="C330" s="279">
        <v>0.05126508020508347</v>
      </c>
      <c r="D330" s="279">
        <v>0.21805524774635804</v>
      </c>
      <c r="E330" s="282">
        <v>0.0016862987127122292</v>
      </c>
      <c r="F330" s="235">
        <v>1233.4654000000592</v>
      </c>
      <c r="G330" s="235">
        <v>46.05999999999767</v>
      </c>
      <c r="H330" s="235">
        <v>86195.12883333402</v>
      </c>
      <c r="I330" s="235">
        <v>36687.92</v>
      </c>
      <c r="J330" s="233">
        <v>312519.398</v>
      </c>
    </row>
    <row r="331">
      <c r="A331" s="184">
        <v>43647.0</v>
      </c>
      <c r="B331" s="279">
        <v>0.18617706460852151</v>
      </c>
      <c r="C331" s="279">
        <v>0.05140764199427437</v>
      </c>
      <c r="D331" s="279">
        <v>0.21553255096791316</v>
      </c>
      <c r="E331" s="282">
        <v>0.0054990458223214515</v>
      </c>
      <c r="F331" s="233">
        <v>4015.5666000001074</v>
      </c>
      <c r="G331" s="235">
        <v>139.66560410161037</v>
      </c>
      <c r="H331" s="235">
        <v>84961.66343333396</v>
      </c>
      <c r="I331" s="235">
        <v>36641.86</v>
      </c>
      <c r="J331" s="233">
        <v>311285.93259999994</v>
      </c>
    </row>
    <row r="332">
      <c r="A332" s="184">
        <v>43644.0</v>
      </c>
      <c r="B332" s="279">
        <v>0.1754791237689862</v>
      </c>
      <c r="C332" s="279">
        <v>0.05162731685433145</v>
      </c>
      <c r="D332" s="279">
        <v>0.2062232588636593</v>
      </c>
      <c r="E332" s="282">
        <v>0.002469025492574756</v>
      </c>
      <c r="F332" s="233">
        <v>1791.8169999996899</v>
      </c>
      <c r="G332" s="235">
        <v>228.98830468747474</v>
      </c>
      <c r="H332" s="235">
        <v>80946.09683333385</v>
      </c>
      <c r="I332" s="235">
        <v>36502.19439589839</v>
      </c>
      <c r="J332" s="233">
        <v>307270.3659999998</v>
      </c>
    </row>
    <row r="333">
      <c r="A333" s="184">
        <v>43643.0</v>
      </c>
      <c r="B333" s="279">
        <v>0.17138378303065901</v>
      </c>
      <c r="C333" s="279">
        <v>0.051769167690244</v>
      </c>
      <c r="D333" s="279">
        <v>0.20221239048470135</v>
      </c>
      <c r="E333" s="282">
        <v>0.005020455876448123</v>
      </c>
      <c r="F333" s="233">
        <v>3634.4410000002244</v>
      </c>
      <c r="G333" s="235">
        <v>211.74766015623754</v>
      </c>
      <c r="H333" s="235">
        <v>79154.27983333416</v>
      </c>
      <c r="I333" s="235">
        <v>36273.206091210915</v>
      </c>
      <c r="J333" s="233">
        <v>305478.5490000001</v>
      </c>
    </row>
    <row r="334">
      <c r="A334" s="184">
        <v>43642.0</v>
      </c>
      <c r="B334" s="279">
        <v>0.1625429177824489</v>
      </c>
      <c r="C334" s="279">
        <v>0.05191093533842792</v>
      </c>
      <c r="D334" s="279">
        <v>0.1934559480574586</v>
      </c>
      <c r="E334" s="282">
        <v>-0.004133523346290391</v>
      </c>
      <c r="F334" s="233">
        <v>-2977.3439999999246</v>
      </c>
      <c r="G334" s="235">
        <v>230.16992187495634</v>
      </c>
      <c r="H334" s="235">
        <v>75519.83883333394</v>
      </c>
      <c r="I334" s="235">
        <v>36061.45843105468</v>
      </c>
      <c r="J334" s="233">
        <v>299844.1079999999</v>
      </c>
    </row>
    <row r="335">
      <c r="A335" s="184">
        <v>43641.0</v>
      </c>
      <c r="B335" s="279">
        <v>0.17980890146398676</v>
      </c>
      <c r="C335" s="279">
        <v>0.04286939958966371</v>
      </c>
      <c r="D335" s="279">
        <v>0.20162390069964023</v>
      </c>
      <c r="E335" s="282">
        <v>0.002863795247421918</v>
      </c>
      <c r="F335" s="233">
        <v>2081.53199999989</v>
      </c>
      <c r="G335" s="235">
        <v>395.2349140625083</v>
      </c>
      <c r="H335" s="235">
        <v>78497.18283333386</v>
      </c>
      <c r="I335" s="235">
        <v>35831.28850917972</v>
      </c>
      <c r="J335" s="233">
        <v>302821.4519999998</v>
      </c>
    </row>
    <row r="336">
      <c r="A336" s="184">
        <v>43640.0</v>
      </c>
      <c r="B336" s="279">
        <v>0.17493850859851848</v>
      </c>
      <c r="C336" s="279">
        <v>0.04298639443065921</v>
      </c>
      <c r="D336" s="279">
        <v>0.19681304312954165</v>
      </c>
      <c r="E336" s="282">
        <v>-0.003138166151337567</v>
      </c>
      <c r="F336" s="233">
        <v>-2277.8087499999674</v>
      </c>
      <c r="G336" s="235">
        <v>747.3893017578084</v>
      </c>
      <c r="H336" s="235">
        <v>76415.65083333397</v>
      </c>
      <c r="I336" s="235">
        <v>35436.05359511721</v>
      </c>
      <c r="J336" s="233">
        <v>300739.9199999999</v>
      </c>
    </row>
    <row r="337">
      <c r="A337" s="184">
        <v>43637.0</v>
      </c>
      <c r="B337" s="279">
        <v>0.18156815244237023</v>
      </c>
      <c r="C337" s="279">
        <v>0.043167800475439444</v>
      </c>
      <c r="D337" s="279">
        <v>0.20353499926995233</v>
      </c>
      <c r="E337" s="282">
        <v>-0.006874718632306387</v>
      </c>
      <c r="F337" s="233">
        <v>-4976.366000000038</v>
      </c>
      <c r="G337" s="235">
        <v>218.57705371092743</v>
      </c>
      <c r="H337" s="235">
        <v>78693.45958333394</v>
      </c>
      <c r="I337" s="235">
        <v>34688.664293359405</v>
      </c>
      <c r="J337" s="233">
        <v>303017.7287499999</v>
      </c>
    </row>
    <row r="338">
      <c r="A338" s="184">
        <v>43636.0</v>
      </c>
      <c r="B338" s="279">
        <v>0.19497381649576712</v>
      </c>
      <c r="C338" s="279">
        <v>0.04328649904144971</v>
      </c>
      <c r="D338" s="279">
        <v>0.2170010655951695</v>
      </c>
      <c r="E338" s="282">
        <v>0.005912131357189428</v>
      </c>
      <c r="F338" s="233">
        <v>4309.003999999957</v>
      </c>
      <c r="G338" s="235">
        <v>262.82312011717295</v>
      </c>
      <c r="H338" s="235">
        <v>83669.82558333398</v>
      </c>
      <c r="I338" s="235">
        <v>34470.08723964848</v>
      </c>
      <c r="J338" s="233">
        <v>307994.09474999993</v>
      </c>
    </row>
    <row r="339">
      <c r="A339" s="184">
        <v>43635.0</v>
      </c>
      <c r="B339" s="279">
        <v>0.18431458546821705</v>
      </c>
      <c r="C339" s="279">
        <v>0.0434081038397644</v>
      </c>
      <c r="D339" s="279">
        <v>0.20640371573711744</v>
      </c>
      <c r="E339" s="282">
        <v>-0.0053010992331086184</v>
      </c>
      <c r="F339" s="233">
        <v>-3840.8162500000326</v>
      </c>
      <c r="G339" s="235">
        <v>210.17479492190614</v>
      </c>
      <c r="H339" s="235">
        <v>79360.82158333402</v>
      </c>
      <c r="I339" s="235">
        <v>34207.264119531304</v>
      </c>
      <c r="J339" s="233">
        <v>303685.09075</v>
      </c>
    </row>
    <row r="340">
      <c r="A340" s="184">
        <v>43634.0</v>
      </c>
      <c r="B340" s="279">
        <v>0.1948429739532524</v>
      </c>
      <c r="C340" s="279">
        <v>0.043528538789798815</v>
      </c>
      <c r="D340" s="279">
        <v>0.21699339008965024</v>
      </c>
      <c r="E340" s="282">
        <v>0.009717672993822028</v>
      </c>
      <c r="F340" s="233">
        <v>7078.089249999961</v>
      </c>
      <c r="G340" s="235">
        <v>272.2773876952924</v>
      </c>
      <c r="H340" s="235">
        <v>83201.63783333405</v>
      </c>
      <c r="I340" s="235">
        <v>33997.0893246094</v>
      </c>
      <c r="J340" s="233">
        <v>307525.907</v>
      </c>
    </row>
    <row r="341">
      <c r="A341" s="184">
        <v>43633.0</v>
      </c>
      <c r="B341" s="279">
        <v>0.17688093084454753</v>
      </c>
      <c r="C341" s="279">
        <v>0.04365141583968449</v>
      </c>
      <c r="D341" s="279">
        <v>0.19909387556252087</v>
      </c>
      <c r="E341" s="282">
        <v>-4.84295762585271E-4</v>
      </c>
      <c r="F341" s="233">
        <v>-349.31999999983236</v>
      </c>
      <c r="G341" s="235">
        <v>214.3337691405759</v>
      </c>
      <c r="H341" s="235">
        <v>76123.5485833341</v>
      </c>
      <c r="I341" s="235">
        <v>33724.811936914106</v>
      </c>
      <c r="J341" s="233">
        <v>300447.81775000005</v>
      </c>
    </row>
    <row r="342">
      <c r="A342" s="184">
        <v>43630.0</v>
      </c>
      <c r="B342" s="279">
        <v>0.17855385576550684</v>
      </c>
      <c r="C342" s="279">
        <v>0.04383783908138204</v>
      </c>
      <c r="D342" s="279">
        <v>0.20086166588663643</v>
      </c>
      <c r="E342" s="282">
        <v>0.007794590489949465</v>
      </c>
      <c r="F342" s="233">
        <v>5624.9201499999035</v>
      </c>
      <c r="G342" s="235">
        <v>238.1198902343749</v>
      </c>
      <c r="H342" s="235">
        <v>76472.86858333393</v>
      </c>
      <c r="I342" s="235">
        <v>33510.47816777353</v>
      </c>
      <c r="J342" s="233">
        <v>300797.1377499999</v>
      </c>
    </row>
    <row r="343">
      <c r="A343" s="184">
        <v>43629.0</v>
      </c>
      <c r="B343" s="279">
        <v>0.1642337610687385</v>
      </c>
      <c r="C343" s="279">
        <v>0.043959405376588774</v>
      </c>
      <c r="D343" s="279">
        <v>0.18660343276624658</v>
      </c>
      <c r="E343" s="282">
        <v>0.001573343144520725</v>
      </c>
      <c r="F343" s="233">
        <v>1126.5438500000164</v>
      </c>
      <c r="G343" s="235">
        <v>214.66358769523504</v>
      </c>
      <c r="H343" s="235">
        <v>70847.94843333402</v>
      </c>
      <c r="I343" s="235">
        <v>33272.358277539155</v>
      </c>
      <c r="J343" s="233">
        <v>295172.2176</v>
      </c>
    </row>
    <row r="344">
      <c r="A344" s="184">
        <v>43628.0</v>
      </c>
      <c r="B344" s="279">
        <v>0.16170587501559044</v>
      </c>
      <c r="C344" s="279">
        <v>0.044079145399572896</v>
      </c>
      <c r="D344" s="279">
        <v>0.18413647895229196</v>
      </c>
      <c r="E344" s="282">
        <v>4.6770065671731175E-4</v>
      </c>
      <c r="F344" s="233">
        <v>334.3557499999879</v>
      </c>
      <c r="G344" s="235">
        <v>371.0246898439218</v>
      </c>
      <c r="H344" s="235">
        <v>69721.404583334</v>
      </c>
      <c r="I344" s="235">
        <v>33057.69468984392</v>
      </c>
      <c r="J344" s="233">
        <v>294045.67374999996</v>
      </c>
    </row>
    <row r="345">
      <c r="A345" s="184">
        <v>43627.0</v>
      </c>
      <c r="B345" s="174">
        <v>0.16126041322763854</v>
      </c>
      <c r="C345" s="174">
        <v>0.04419908026275259</v>
      </c>
      <c r="D345" s="174">
        <v>0.18375204855208135</v>
      </c>
      <c r="E345" s="282">
        <v>-0.004494804888681698</v>
      </c>
      <c r="F345" s="286">
        <v>-3211.8</v>
      </c>
      <c r="G345" s="235">
        <v>1156.8482505880966</v>
      </c>
      <c r="H345" s="235">
        <v>69387.04883333402</v>
      </c>
      <c r="I345" s="287">
        <v>32686.67</v>
      </c>
      <c r="J345" s="233">
        <v>293711.31799999997</v>
      </c>
    </row>
    <row r="346">
      <c r="A346" s="184">
        <v>43626.0</v>
      </c>
      <c r="B346" s="174">
        <v>0.1702287626358815</v>
      </c>
      <c r="C346" s="174">
        <v>0.04431957217475749</v>
      </c>
      <c r="D346" s="174">
        <v>0.19278171281412326</v>
      </c>
      <c r="E346" s="282">
        <v>0.0022393895745728043</v>
      </c>
      <c r="F346" s="286">
        <v>1574.6530000001658</v>
      </c>
      <c r="G346" s="235">
        <v>295.6568460784256</v>
      </c>
      <c r="H346" s="235">
        <v>72598.84883333402</v>
      </c>
      <c r="I346" s="287">
        <v>31529.8217494119</v>
      </c>
      <c r="J346" s="233">
        <v>296923.11799999996</v>
      </c>
    </row>
    <row r="347">
      <c r="A347" s="184">
        <v>43623.0</v>
      </c>
      <c r="B347" s="174">
        <v>0.16675934056153568</v>
      </c>
      <c r="C347" s="174">
        <v>0.044509603713058496</v>
      </c>
      <c r="D347" s="174">
        <v>0.18940899230085523</v>
      </c>
      <c r="E347" s="282">
        <v>0.002032565347897862</v>
      </c>
      <c r="F347" s="286">
        <v>1428.8839999999618</v>
      </c>
      <c r="G347" s="235">
        <v>289.0780225490489</v>
      </c>
      <c r="H347" s="235">
        <v>71024.19583333386</v>
      </c>
      <c r="I347" s="287">
        <v>31234.164903333476</v>
      </c>
      <c r="J347" s="233">
        <v>295348.4649999998</v>
      </c>
    </row>
    <row r="348">
      <c r="A348" s="184">
        <v>43622.0</v>
      </c>
      <c r="B348" s="174">
        <v>0.16339883294876015</v>
      </c>
      <c r="C348" s="174">
        <v>0.04463254177875474</v>
      </c>
      <c r="D348" s="174">
        <v>0.18611104431883885</v>
      </c>
      <c r="E348" s="282">
        <v>0.002462369958865518</v>
      </c>
      <c r="F348" s="286">
        <v>1730.255000000121</v>
      </c>
      <c r="G348" s="235">
        <v>336.1546774509734</v>
      </c>
      <c r="H348" s="235">
        <v>69595.3118333339</v>
      </c>
      <c r="I348" s="287">
        <v>30945.086880784427</v>
      </c>
      <c r="J348" s="233">
        <v>293919.58099999983</v>
      </c>
    </row>
    <row r="349">
      <c r="A349" s="184">
        <v>43621.0</v>
      </c>
      <c r="B349" s="174">
        <v>0.1592093772665653</v>
      </c>
      <c r="C349" s="174">
        <v>0.044755548722681664</v>
      </c>
      <c r="D349" s="174">
        <v>0.18198418331754532</v>
      </c>
      <c r="E349" s="282">
        <v>7.907185629264851E-4</v>
      </c>
      <c r="F349" s="286">
        <v>556.4552499998827</v>
      </c>
      <c r="G349" s="235">
        <v>196.4040696078082</v>
      </c>
      <c r="H349" s="235">
        <v>67865.05683333377</v>
      </c>
      <c r="I349" s="287">
        <v>30608.932203333454</v>
      </c>
      <c r="J349" s="233">
        <v>292189.3259999997</v>
      </c>
    </row>
    <row r="350">
      <c r="A350" s="184">
        <v>43620.0</v>
      </c>
      <c r="B350" s="174">
        <v>0.1581504062698564</v>
      </c>
      <c r="C350" s="174">
        <v>0.04487847736063775</v>
      </c>
      <c r="D350" s="174">
        <v>0.1809877671540909</v>
      </c>
      <c r="E350" s="282">
        <v>-0.001921591080298638</v>
      </c>
      <c r="F350" s="286">
        <v>-1351.21900000007</v>
      </c>
      <c r="G350" s="235">
        <v>263.8274215686906</v>
      </c>
      <c r="H350" s="235">
        <v>67308.60158333389</v>
      </c>
      <c r="I350" s="287">
        <v>30412.528133725646</v>
      </c>
      <c r="J350" s="233">
        <v>291732.8707499998</v>
      </c>
    </row>
    <row r="351">
      <c r="A351" s="184">
        <v>43619.0</v>
      </c>
      <c r="B351" s="174">
        <v>0.1622287519422483</v>
      </c>
      <c r="C351" s="174">
        <v>0.045001924837413505</v>
      </c>
      <c r="D351" s="174">
        <v>0.18512893168182679</v>
      </c>
      <c r="E351" s="282">
        <v>-0.0016348372863995218</v>
      </c>
      <c r="F351" s="286">
        <v>-1153.443099999975</v>
      </c>
      <c r="G351" s="235">
        <v>1080.5468917646322</v>
      </c>
      <c r="H351" s="235">
        <v>68659.82058333396</v>
      </c>
      <c r="I351" s="287">
        <v>30148.700712156955</v>
      </c>
      <c r="J351" s="233">
        <v>293084.0897499999</v>
      </c>
    </row>
    <row r="352">
      <c r="A352" s="184">
        <v>43616.0</v>
      </c>
      <c r="B352" s="174">
        <v>0.16556681758523475</v>
      </c>
      <c r="C352" s="174">
        <v>0.045664480147116195</v>
      </c>
      <c r="D352" s="174">
        <v>0.18904867392421715</v>
      </c>
      <c r="E352" s="282">
        <v>0.0027314450875562273</v>
      </c>
      <c r="F352" s="286">
        <v>1953.190100000007</v>
      </c>
      <c r="G352" s="235">
        <v>1104.3614909804455</v>
      </c>
      <c r="H352" s="235">
        <v>69813.26368333393</v>
      </c>
      <c r="I352" s="287">
        <v>29068.153820392323</v>
      </c>
      <c r="J352" s="233">
        <v>294237.5328499999</v>
      </c>
    </row>
    <row r="353">
      <c r="A353" s="184">
        <v>43615.0</v>
      </c>
      <c r="B353" s="174">
        <v>0.1634466447036476</v>
      </c>
      <c r="C353" s="174">
        <v>0.04151076985833739</v>
      </c>
      <c r="D353" s="174">
        <v>0.1842734606396833</v>
      </c>
      <c r="E353" s="282">
        <v>-3.491327773060588E-4</v>
      </c>
      <c r="F353" s="286">
        <v>-252.67249999998603</v>
      </c>
      <c r="G353" s="235">
        <v>202.25386078432348</v>
      </c>
      <c r="H353" s="235">
        <v>67860.07358333393</v>
      </c>
      <c r="I353" s="287">
        <v>27963.792329411877</v>
      </c>
      <c r="J353" s="233">
        <v>292284.3427499999</v>
      </c>
    </row>
    <row r="354">
      <c r="A354" s="184">
        <v>43614.0</v>
      </c>
      <c r="B354" s="174">
        <v>0.16458984092386464</v>
      </c>
      <c r="C354" s="174">
        <v>0.041626366322509045</v>
      </c>
      <c r="D354" s="174">
        <v>0.18547465400836027</v>
      </c>
      <c r="E354" s="282">
        <v>0.0031044370113327865</v>
      </c>
      <c r="F354" s="286">
        <v>2247.510899999994</v>
      </c>
      <c r="G354" s="235">
        <v>619.7087898039063</v>
      </c>
      <c r="H354" s="235">
        <v>68112.74608333391</v>
      </c>
      <c r="I354" s="287">
        <v>27761.538468627554</v>
      </c>
      <c r="J354" s="233">
        <v>292537.0152499999</v>
      </c>
    </row>
    <row r="355">
      <c r="A355" s="184">
        <v>43613.0</v>
      </c>
      <c r="B355" s="174">
        <v>0.15890502460182096</v>
      </c>
      <c r="C355" s="174">
        <v>0.04174277633680709</v>
      </c>
      <c r="D355" s="174">
        <v>0.1798561346422601</v>
      </c>
      <c r="E355" s="282">
        <v>0.002942634831804369</v>
      </c>
      <c r="F355" s="286">
        <v>2136.8331999998773</v>
      </c>
      <c r="G355" s="235">
        <v>293.40825529411813</v>
      </c>
      <c r="H355" s="235">
        <v>65865.23518333392</v>
      </c>
      <c r="I355" s="287">
        <v>27141.829678823648</v>
      </c>
      <c r="J355" s="233">
        <v>290289.5043499999</v>
      </c>
    </row>
    <row r="356">
      <c r="A356" s="184">
        <v>43612.0</v>
      </c>
      <c r="B356" s="174">
        <v>0.1534897387126441</v>
      </c>
      <c r="C356" s="174">
        <v>0.0418588872032885</v>
      </c>
      <c r="D356" s="174">
        <v>0.17450520488571447</v>
      </c>
      <c r="E356" s="282">
        <v>0.003780241439283526</v>
      </c>
      <c r="F356" s="286">
        <v>2741.2140000000363</v>
      </c>
      <c r="G356" s="235">
        <v>198.6974741176673</v>
      </c>
      <c r="H356" s="235">
        <v>63728.40198333405</v>
      </c>
      <c r="I356" s="287">
        <v>26848.42142352953</v>
      </c>
      <c r="J356" s="233">
        <v>288152.67115</v>
      </c>
    </row>
    <row r="357">
      <c r="A357" s="184">
        <v>43609.0</v>
      </c>
      <c r="B357" s="174">
        <v>0.14661177759439237</v>
      </c>
      <c r="C357" s="174">
        <v>0.042039017429174146</v>
      </c>
      <c r="D357" s="174">
        <v>0.1677176790590285</v>
      </c>
      <c r="E357" s="282">
        <v>-0.002767288402641749</v>
      </c>
      <c r="F357" s="286">
        <v>-1999.0928999999305</v>
      </c>
      <c r="G357" s="235">
        <v>295.1081400000039</v>
      </c>
      <c r="H357" s="235">
        <v>60987.18798333401</v>
      </c>
      <c r="I357" s="287">
        <v>26649.723949411862</v>
      </c>
      <c r="J357" s="233">
        <v>285411.45715</v>
      </c>
    </row>
    <row r="358">
      <c r="A358" s="184">
        <v>43608.0</v>
      </c>
      <c r="B358" s="174">
        <v>0.15252130954444992</v>
      </c>
      <c r="C358" s="174">
        <v>0.04215454859625171</v>
      </c>
      <c r="D358" s="174">
        <v>0.17369130832416912</v>
      </c>
      <c r="E358" s="282">
        <v>7.347314676032575E-4</v>
      </c>
      <c r="F358" s="286">
        <v>533.0239999999758</v>
      </c>
      <c r="G358" s="235">
        <v>513.3576345098991</v>
      </c>
      <c r="H358" s="235">
        <v>62986.280883333944</v>
      </c>
      <c r="I358" s="287">
        <v>26354.61580941186</v>
      </c>
      <c r="J358" s="233">
        <v>287410.5500499999</v>
      </c>
    </row>
    <row r="359">
      <c r="A359" s="184">
        <v>43607.0</v>
      </c>
      <c r="B359" s="174">
        <v>0.1514526459018498</v>
      </c>
      <c r="C359" s="174">
        <v>0.0422716853602251</v>
      </c>
      <c r="D359" s="174">
        <v>0.17269999801746005</v>
      </c>
      <c r="E359" s="282">
        <v>0.0014773191054943985</v>
      </c>
      <c r="F359" s="286">
        <v>1076.1509999999544</v>
      </c>
      <c r="G359" s="235">
        <v>246.47132078418144</v>
      </c>
      <c r="H359" s="235">
        <v>62453.25688333397</v>
      </c>
      <c r="I359" s="287">
        <v>25841.25817490196</v>
      </c>
      <c r="J359" s="233">
        <v>286877.5260499999</v>
      </c>
    </row>
    <row r="360">
      <c r="A360" s="184">
        <v>43606.0</v>
      </c>
      <c r="B360" s="174">
        <v>0.14888986531920376</v>
      </c>
      <c r="C360" s="174">
        <v>0.0423892860356613</v>
      </c>
      <c r="D360" s="174">
        <v>0.17019632799401538</v>
      </c>
      <c r="E360" s="282">
        <v>9.536091489275275E-4</v>
      </c>
      <c r="F360" s="286">
        <v>693.6289999999572</v>
      </c>
      <c r="G360" s="235">
        <v>243.3094384314063</v>
      </c>
      <c r="H360" s="235">
        <v>61377.105883334014</v>
      </c>
      <c r="I360" s="287">
        <v>25594.786854117778</v>
      </c>
      <c r="J360" s="233">
        <v>285801.37505</v>
      </c>
    </row>
    <row r="361">
      <c r="A361" s="184">
        <v>43605.0</v>
      </c>
      <c r="B361" s="174">
        <v>0.14737493368191093</v>
      </c>
      <c r="C361" s="174">
        <v>0.042507101672760464</v>
      </c>
      <c r="D361" s="174">
        <v>0.16874061496380763</v>
      </c>
      <c r="E361" s="282">
        <v>-0.004109302504500265</v>
      </c>
      <c r="F361" s="286">
        <v>-2986.1429999999236</v>
      </c>
      <c r="G361" s="235">
        <v>245.20157960781216</v>
      </c>
      <c r="H361" s="235">
        <v>60683.47688333406</v>
      </c>
      <c r="I361" s="287">
        <v>25351.47741568637</v>
      </c>
      <c r="J361" s="233">
        <v>285107.74605</v>
      </c>
    </row>
    <row r="362">
      <c r="A362" s="184">
        <v>43602.0</v>
      </c>
      <c r="B362" s="174">
        <v>0.15635168286289552</v>
      </c>
      <c r="C362" s="174">
        <v>0.04269093592227953</v>
      </c>
      <c r="D362" s="174">
        <v>0.17780976621007907</v>
      </c>
      <c r="E362" s="282">
        <v>1.4928769911545604E-5</v>
      </c>
      <c r="F362" s="286">
        <v>10.893000000040047</v>
      </c>
      <c r="G362" s="235">
        <v>563.4177996442777</v>
      </c>
      <c r="H362" s="235">
        <v>63669.61988333398</v>
      </c>
      <c r="I362" s="287">
        <v>25106.27583607856</v>
      </c>
      <c r="J362" s="233">
        <v>288093.88904999994</v>
      </c>
    </row>
    <row r="363">
      <c r="A363" s="184">
        <v>43601.0</v>
      </c>
      <c r="B363" s="174">
        <v>0.15676270190369831</v>
      </c>
      <c r="C363" s="174">
        <v>0.04281149201546999</v>
      </c>
      <c r="D363" s="174">
        <v>0.1782813813151237</v>
      </c>
      <c r="E363" s="282">
        <v>0.0034863782512626874</v>
      </c>
      <c r="F363" s="286">
        <v>2543.8499999998603</v>
      </c>
      <c r="G363" s="235">
        <v>167.11116250422856</v>
      </c>
      <c r="H363" s="235">
        <v>63658.72688333394</v>
      </c>
      <c r="I363" s="287">
        <v>24542.85803643428</v>
      </c>
      <c r="J363" s="233">
        <v>288082.9960499999</v>
      </c>
    </row>
    <row r="364">
      <c r="A364" s="184">
        <v>43600.0</v>
      </c>
      <c r="B364" s="174">
        <v>0.15006239614526395</v>
      </c>
      <c r="C364" s="174">
        <v>0.04293278410100505</v>
      </c>
      <c r="D364" s="174">
        <v>0.17164204155859436</v>
      </c>
      <c r="E364" s="282">
        <v>0.0038401235630699023</v>
      </c>
      <c r="F364" s="286">
        <v>2792.1930000000866</v>
      </c>
      <c r="G364" s="235">
        <v>229.6512887736826</v>
      </c>
      <c r="H364" s="235">
        <v>61114.87688333408</v>
      </c>
      <c r="I364" s="287">
        <v>24375.746873930053</v>
      </c>
      <c r="J364" s="233">
        <v>285539.14605000004</v>
      </c>
    </row>
    <row r="365">
      <c r="A365" s="184">
        <v>43599.0</v>
      </c>
      <c r="B365" s="174">
        <v>0.1426207570531769</v>
      </c>
      <c r="C365" s="174">
        <v>0.043053617508379806</v>
      </c>
      <c r="D365" s="174">
        <v>0.1642611379193747</v>
      </c>
      <c r="E365" s="282">
        <v>0.004328624770721614</v>
      </c>
      <c r="F365" s="286">
        <v>3139.9097999999067</v>
      </c>
      <c r="G365" s="235">
        <v>171.9684355499303</v>
      </c>
      <c r="H365" s="235">
        <v>58322.68388333399</v>
      </c>
      <c r="I365" s="287">
        <v>24146.09558515637</v>
      </c>
      <c r="J365" s="233">
        <v>282746.95304999995</v>
      </c>
    </row>
    <row r="366">
      <c r="A366" s="184">
        <v>43598.0</v>
      </c>
      <c r="B366" s="174">
        <v>0.1341510725248637</v>
      </c>
      <c r="C366" s="174">
        <v>0.04317385914768351</v>
      </c>
      <c r="D366" s="174">
        <v>0.15585189139885494</v>
      </c>
      <c r="E366" s="282">
        <v>0.001482485871938543</v>
      </c>
      <c r="F366" s="286">
        <v>1065.8420000000624</v>
      </c>
      <c r="G366" s="235">
        <v>395.4789606299564</v>
      </c>
      <c r="H366" s="235">
        <v>55182.77408333409</v>
      </c>
      <c r="I366" s="287">
        <v>23974.12714960644</v>
      </c>
      <c r="J366" s="233">
        <v>279607.04325000005</v>
      </c>
    </row>
    <row r="367">
      <c r="A367" s="184">
        <v>43595.0</v>
      </c>
      <c r="B367" s="174">
        <v>0.131700298313205</v>
      </c>
      <c r="C367" s="174">
        <v>0.04336034286871259</v>
      </c>
      <c r="D367" s="174">
        <v>0.15350182872874016</v>
      </c>
      <c r="E367" s="282">
        <v>-1.9824399392563835E-4</v>
      </c>
      <c r="F367" s="286">
        <v>-142.77700000000186</v>
      </c>
      <c r="G367" s="235">
        <v>228.378314960617</v>
      </c>
      <c r="H367" s="235">
        <v>54116.932083334024</v>
      </c>
      <c r="I367" s="287">
        <v>23578.648188976484</v>
      </c>
      <c r="J367" s="233">
        <v>278541.20125</v>
      </c>
    </row>
    <row r="368">
      <c r="A368" s="184">
        <v>43594.0</v>
      </c>
      <c r="B368" s="174">
        <v>0.13247060969498184</v>
      </c>
      <c r="C368" s="174">
        <v>0.043480252450973554</v>
      </c>
      <c r="D368" s="174">
        <v>0.15433243051026527</v>
      </c>
      <c r="E368" s="282">
        <v>-0.007446085719636509</v>
      </c>
      <c r="F368" s="286">
        <v>-5363.7970000000205</v>
      </c>
      <c r="G368" s="235">
        <v>229.0527047244541</v>
      </c>
      <c r="H368" s="235">
        <v>54259.709083334026</v>
      </c>
      <c r="I368" s="287">
        <v>23350.269874015867</v>
      </c>
      <c r="J368" s="233">
        <v>278683.97825</v>
      </c>
    </row>
    <row r="369">
      <c r="A369" s="184">
        <v>43593.0</v>
      </c>
      <c r="B369" s="174">
        <v>0.14813710206612407</v>
      </c>
      <c r="C369" s="174">
        <v>0.04360095426550981</v>
      </c>
      <c r="D369" s="174">
        <v>0.17005961161463062</v>
      </c>
      <c r="E369" s="282">
        <v>-0.0017332988222509389</v>
      </c>
      <c r="F369" s="286">
        <v>-1257.8810000000522</v>
      </c>
      <c r="G369" s="235">
        <v>569.9672874015596</v>
      </c>
      <c r="H369" s="235">
        <v>59623.50608333405</v>
      </c>
      <c r="I369" s="287">
        <v>23121.217169291413</v>
      </c>
      <c r="J369" s="233">
        <v>284047.77525</v>
      </c>
    </row>
    <row r="370">
      <c r="A370" s="184">
        <v>43592.0</v>
      </c>
      <c r="B370" s="174">
        <v>0.15214317315973805</v>
      </c>
      <c r="C370" s="174">
        <v>0.04372501091383737</v>
      </c>
      <c r="D370" s="174">
        <v>0.1741414446375328</v>
      </c>
      <c r="E370" s="282">
        <v>4.979606538928283E-4</v>
      </c>
      <c r="F370" s="286">
        <v>364.29530000011437</v>
      </c>
      <c r="G370" s="235">
        <v>345.4710783464616</v>
      </c>
      <c r="H370" s="235">
        <v>60881.3870833341</v>
      </c>
      <c r="I370" s="287">
        <v>22551.249881889853</v>
      </c>
      <c r="J370" s="233">
        <v>285305.65625000006</v>
      </c>
    </row>
    <row r="371">
      <c r="A371" s="184">
        <v>43591.0</v>
      </c>
      <c r="B371" s="174">
        <v>0.15152826832660404</v>
      </c>
      <c r="C371" s="174">
        <v>0.04385045538548761</v>
      </c>
      <c r="D371" s="174">
        <v>0.17359604840200735</v>
      </c>
      <c r="E371" s="282">
        <v>-5.618312990491552E-4</v>
      </c>
      <c r="F371" s="286">
        <v>-411.4688333332888</v>
      </c>
      <c r="G371" s="235">
        <v>586.3769633858028</v>
      </c>
      <c r="H371" s="235">
        <v>60517.091783333984</v>
      </c>
      <c r="I371" s="287">
        <v>22205.77880354339</v>
      </c>
      <c r="J371" s="233">
        <v>284941.36094999994</v>
      </c>
    </row>
    <row r="372">
      <c r="A372" s="184">
        <v>43588.0</v>
      </c>
      <c r="B372" s="174">
        <v>0.15337792482410473</v>
      </c>
      <c r="C372" s="174">
        <v>0.04404494876654592</v>
      </c>
      <c r="D372" s="174">
        <v>0.17555156497862492</v>
      </c>
      <c r="E372" s="282">
        <v>0.004149428635222605</v>
      </c>
      <c r="F372" s="286">
        <v>3061.0572000000393</v>
      </c>
      <c r="G372" s="235">
        <v>360.62513267714894</v>
      </c>
      <c r="H372" s="235">
        <v>60928.56061666727</v>
      </c>
      <c r="I372" s="287">
        <v>21619.40184015759</v>
      </c>
      <c r="J372" s="233">
        <v>285852.82978333323</v>
      </c>
    </row>
    <row r="373">
      <c r="A373" s="184">
        <v>43587.0</v>
      </c>
      <c r="B373" s="174">
        <v>0.14497029499151662</v>
      </c>
      <c r="C373" s="174">
        <v>0.04417249077445454</v>
      </c>
      <c r="D373" s="174">
        <v>0.16721464551183218</v>
      </c>
      <c r="E373" s="282">
        <v>-0.002542720747627571</v>
      </c>
      <c r="F373" s="286">
        <v>-1871.117366666731</v>
      </c>
      <c r="G373" s="235">
        <v>414.11252434310154</v>
      </c>
      <c r="H373" s="235">
        <v>57867.503416667234</v>
      </c>
      <c r="I373" s="287">
        <v>21258.77670748044</v>
      </c>
      <c r="J373" s="233">
        <v>282791.7725833332</v>
      </c>
    </row>
    <row r="374">
      <c r="A374" s="184">
        <v>43585.0</v>
      </c>
      <c r="B374" s="174">
        <v>0.1509264299057882</v>
      </c>
      <c r="C374" s="174">
        <v>0.04433385398454635</v>
      </c>
      <c r="D374" s="174">
        <v>0.17325203959314264</v>
      </c>
      <c r="E374" s="282">
        <v>-0.003925063303086309</v>
      </c>
      <c r="F374" s="286">
        <v>-2895.6889999998966</v>
      </c>
      <c r="G374" s="235">
        <v>166.04423825540653</v>
      </c>
      <c r="H374" s="235">
        <v>59738.620783333965</v>
      </c>
      <c r="I374" s="287">
        <v>20844.664183137338</v>
      </c>
      <c r="J374" s="233">
        <v>284662.8899499999</v>
      </c>
    </row>
    <row r="375">
      <c r="A375" s="184">
        <v>43584.0</v>
      </c>
      <c r="B375" s="174">
        <v>0.15818589040909753</v>
      </c>
      <c r="C375" s="174">
        <v>0.044462527500365535</v>
      </c>
      <c r="D375" s="174">
        <v>0.1821772410049223</v>
      </c>
      <c r="E375" s="282">
        <v>-0.002215687629262564</v>
      </c>
      <c r="F375" s="286">
        <v>-1639.8050000000512</v>
      </c>
      <c r="G375" s="235">
        <v>422.2977704724617</v>
      </c>
      <c r="H375" s="235">
        <v>62634.30978333386</v>
      </c>
      <c r="I375" s="287">
        <v>20678.61994488193</v>
      </c>
      <c r="J375" s="233">
        <v>287558.5789499998</v>
      </c>
    </row>
    <row r="376">
      <c r="A376" s="184">
        <v>43581.0</v>
      </c>
      <c r="B376" s="174">
        <v>0.1636911373287839</v>
      </c>
      <c r="C376" s="174">
        <v>0.04466327317590613</v>
      </c>
      <c r="D376" s="174">
        <v>0.18779080745013388</v>
      </c>
      <c r="E376" s="282">
        <v>6.980047335302141E-4</v>
      </c>
      <c r="F376" s="286">
        <v>518.6040000000503</v>
      </c>
      <c r="G376" s="235">
        <v>330.4693570866257</v>
      </c>
      <c r="H376" s="235">
        <v>64274.11478333391</v>
      </c>
      <c r="I376" s="287">
        <v>20256.32217440947</v>
      </c>
      <c r="J376" s="233">
        <v>289198.3839499999</v>
      </c>
    </row>
    <row r="377">
      <c r="A377" s="184">
        <v>43580.0</v>
      </c>
      <c r="B377" s="174">
        <v>0.16265849352551567</v>
      </c>
      <c r="C377" s="174">
        <v>0.044796173188116906</v>
      </c>
      <c r="D377" s="174">
        <v>0.18682987461262465</v>
      </c>
      <c r="E377" s="282">
        <v>0.003921016131866889</v>
      </c>
      <c r="F377" s="286">
        <v>2911.205600000103</v>
      </c>
      <c r="G377" s="235">
        <v>670.227791048248</v>
      </c>
      <c r="H377" s="235">
        <v>63755.51078333386</v>
      </c>
      <c r="I377" s="287">
        <v>19925.852817322844</v>
      </c>
      <c r="J377" s="233">
        <v>288679.7799499998</v>
      </c>
    </row>
    <row r="378">
      <c r="A378" s="184">
        <v>43579.0</v>
      </c>
      <c r="B378" s="174">
        <v>0.15457955947920593</v>
      </c>
      <c r="C378" s="174">
        <v>0.04492966492609346</v>
      </c>
      <c r="D378" s="174">
        <v>0.1788301717216105</v>
      </c>
      <c r="E378" s="282">
        <v>0.005806172495841643</v>
      </c>
      <c r="F378" s="286">
        <v>4307.0945000000065</v>
      </c>
      <c r="G378" s="235">
        <v>797.1551892666284</v>
      </c>
      <c r="H378" s="235">
        <v>60844.30518333376</v>
      </c>
      <c r="I378" s="287">
        <v>19255.625026274596</v>
      </c>
      <c r="J378" s="233">
        <v>285768.5743499997</v>
      </c>
    </row>
    <row r="379">
      <c r="A379" s="184">
        <v>43578.0</v>
      </c>
      <c r="B379" s="174">
        <v>0.14232008039840777</v>
      </c>
      <c r="C379" s="174">
        <v>0.04506250942385918</v>
      </c>
      <c r="D379" s="174">
        <v>0.1666623223019065</v>
      </c>
      <c r="E379" s="282">
        <v>0.004397714207570236</v>
      </c>
      <c r="F379" s="286">
        <v>3284.6078000001144</v>
      </c>
      <c r="G379" s="235">
        <v>770.2663057578502</v>
      </c>
      <c r="H379" s="235">
        <v>56537.21068333375</v>
      </c>
      <c r="I379" s="287">
        <v>18458.469837007968</v>
      </c>
      <c r="J379" s="233">
        <v>281461.4798499997</v>
      </c>
    </row>
    <row r="380">
      <c r="A380" s="184">
        <v>43573.0</v>
      </c>
      <c r="B380" s="174">
        <v>0.1334434820426842</v>
      </c>
      <c r="C380" s="174">
        <v>0.04533630064649768</v>
      </c>
      <c r="D380" s="174">
        <v>0.15793362277067655</v>
      </c>
      <c r="E380" s="282">
        <v>0.006390071215886104</v>
      </c>
      <c r="F380" s="286">
        <v>4766.672299999991</v>
      </c>
      <c r="G380" s="235">
        <v>598.5336855469031</v>
      </c>
      <c r="H380" s="235">
        <v>53252.60288333364</v>
      </c>
      <c r="I380" s="287">
        <v>17688.203531250118</v>
      </c>
      <c r="J380" s="233">
        <v>278176.8720499996</v>
      </c>
    </row>
    <row r="381">
      <c r="A381" s="184">
        <v>43572.0</v>
      </c>
      <c r="B381" s="174">
        <v>0.11964360662631415</v>
      </c>
      <c r="C381" s="174">
        <v>0.04546737999568167</v>
      </c>
      <c r="D381" s="174">
        <v>0.14421264503842726</v>
      </c>
      <c r="E381" s="282">
        <v>-7.937621687141975E-4</v>
      </c>
      <c r="F381" s="286">
        <v>-592.1540000000969</v>
      </c>
      <c r="G381" s="235">
        <v>291.0516269531072</v>
      </c>
      <c r="H381" s="235">
        <v>48485.93058333365</v>
      </c>
      <c r="I381" s="287">
        <v>17089.669845703214</v>
      </c>
      <c r="J381" s="233">
        <v>273410.1997499996</v>
      </c>
    </row>
    <row r="382">
      <c r="A382" s="184">
        <v>43571.0</v>
      </c>
      <c r="B382" s="174">
        <v>0.121750312648567</v>
      </c>
      <c r="C382" s="174">
        <v>0.04559675493307121</v>
      </c>
      <c r="D382" s="174">
        <v>0.1463892609126793</v>
      </c>
      <c r="E382" s="282">
        <v>-0.0015810348529351188</v>
      </c>
      <c r="F382" s="286">
        <v>-1180.4030000000494</v>
      </c>
      <c r="G382" s="235">
        <v>382.6089628906193</v>
      </c>
      <c r="H382" s="235">
        <v>49078.084583333744</v>
      </c>
      <c r="I382" s="287">
        <v>16798.618218750107</v>
      </c>
      <c r="J382" s="233">
        <v>274002.3537499997</v>
      </c>
    </row>
    <row r="383">
      <c r="A383" s="184">
        <v>43570.0</v>
      </c>
      <c r="B383" s="174">
        <v>0.12562970972027257</v>
      </c>
      <c r="C383" s="174">
        <v>0.04572724748507429</v>
      </c>
      <c r="D383" s="174">
        <v>0.15033917175762102</v>
      </c>
      <c r="E383" s="282">
        <v>3.9987495033265273E-4</v>
      </c>
      <c r="F383" s="286">
        <v>299.5089999999618</v>
      </c>
      <c r="G383" s="235">
        <v>402.1216933594442</v>
      </c>
      <c r="H383" s="235">
        <v>50258.487583333794</v>
      </c>
      <c r="I383" s="287">
        <v>16416.009255859488</v>
      </c>
      <c r="J383" s="233">
        <v>275182.75674999977</v>
      </c>
    </row>
    <row r="384">
      <c r="A384" s="184">
        <v>43567.0</v>
      </c>
      <c r="B384" s="174">
        <v>0.12529161736707575</v>
      </c>
      <c r="C384" s="174">
        <v>0.045931748955884685</v>
      </c>
      <c r="D384" s="174">
        <v>0.1501115851008631</v>
      </c>
      <c r="E384" s="282">
        <v>-0.002543546808285602</v>
      </c>
      <c r="F384" s="286">
        <v>-1907.474500000244</v>
      </c>
      <c r="G384" s="235">
        <v>79.345421347898</v>
      </c>
      <c r="H384" s="235">
        <v>49958.97858333383</v>
      </c>
      <c r="I384" s="287">
        <v>16013.887562500044</v>
      </c>
      <c r="J384" s="233">
        <v>274883.2477499998</v>
      </c>
    </row>
    <row r="385">
      <c r="A385" s="184">
        <v>43566.0</v>
      </c>
      <c r="B385" s="174">
        <v>0.13120881144024432</v>
      </c>
      <c r="C385" s="174">
        <v>0.046064622645899354</v>
      </c>
      <c r="D385" s="174">
        <v>0.1562937981353028</v>
      </c>
      <c r="E385" s="282">
        <v>-0.0015337293844974477</v>
      </c>
      <c r="F385" s="286">
        <v>-693.9020000000601</v>
      </c>
      <c r="G385" s="288">
        <v>36.5345786521024</v>
      </c>
      <c r="H385" s="235">
        <v>51866.453083334076</v>
      </c>
      <c r="I385" s="287">
        <v>15934.542141152146</v>
      </c>
      <c r="J385" s="233">
        <v>276790.72225000005</v>
      </c>
    </row>
    <row r="386">
      <c r="A386" s="184">
        <v>43565.0</v>
      </c>
      <c r="B386" s="174">
        <v>0.13368973787038269</v>
      </c>
      <c r="C386" s="174">
        <v>0.04619937129190819</v>
      </c>
      <c r="D386" s="174">
        <v>0.15884810339279617</v>
      </c>
      <c r="E386" s="282">
        <v>0.0027297581611137782</v>
      </c>
      <c r="F386" s="286">
        <v>1236.9130000000005</v>
      </c>
      <c r="G386" s="235">
        <v>69.20622845833633</v>
      </c>
      <c r="H386" s="235">
        <v>52560.355083334136</v>
      </c>
      <c r="I386" s="287">
        <v>15898.007562500043</v>
      </c>
      <c r="J386" s="233">
        <v>277484.6242500001</v>
      </c>
    </row>
    <row r="387">
      <c r="A387" s="184">
        <v>43564.0</v>
      </c>
      <c r="B387" s="174">
        <v>0.13328369618917715</v>
      </c>
      <c r="C387" s="174">
        <v>0.04338570357383289</v>
      </c>
      <c r="D387" s="174">
        <v>0.15556646056429968</v>
      </c>
      <c r="E387" s="282">
        <v>-0.0017539425740258582</v>
      </c>
      <c r="F387" s="286">
        <v>-794.286999999953</v>
      </c>
      <c r="G387" s="235">
        <v>20.539011219094824</v>
      </c>
      <c r="H387" s="235">
        <v>51323.442083334136</v>
      </c>
      <c r="I387" s="287">
        <v>15828.801334041706</v>
      </c>
      <c r="J387" s="233">
        <v>276247.7112500001</v>
      </c>
    </row>
    <row r="388">
      <c r="A388" s="184">
        <v>43563.0</v>
      </c>
      <c r="B388" s="174">
        <v>0.13609004134689534</v>
      </c>
      <c r="C388" s="174">
        <v>0.04351320955375387</v>
      </c>
      <c r="D388" s="174">
        <v>0.15843829240249</v>
      </c>
      <c r="E388" s="282">
        <v>-0.0026382891109993168</v>
      </c>
      <c r="F388" s="286">
        <v>-1196.8660000000382</v>
      </c>
      <c r="G388" s="235">
        <v>44.21496721596076</v>
      </c>
      <c r="H388" s="235">
        <v>52117.72908333409</v>
      </c>
      <c r="I388" s="287">
        <v>15808.262322822611</v>
      </c>
      <c r="J388" s="233">
        <v>277041.99825000006</v>
      </c>
    </row>
    <row r="389">
      <c r="A389" s="184">
        <v>43560.0</v>
      </c>
      <c r="B389" s="174">
        <v>0.14036488767853508</v>
      </c>
      <c r="C389" s="174">
        <v>0.04371138144800828</v>
      </c>
      <c r="D389" s="174">
        <v>0.16281491921160723</v>
      </c>
      <c r="E389" s="282">
        <v>0.003815825154273541</v>
      </c>
      <c r="F389" s="286">
        <v>1735.6250000000582</v>
      </c>
      <c r="G389" s="235">
        <v>13.64316850874626</v>
      </c>
      <c r="H389" s="235">
        <v>53314.59508333413</v>
      </c>
      <c r="I389" s="287">
        <v>15764.04735560665</v>
      </c>
      <c r="J389" s="233">
        <v>278238.8642500001</v>
      </c>
    </row>
    <row r="390">
      <c r="A390" s="184">
        <v>43559.0</v>
      </c>
      <c r="B390" s="174">
        <v>0.13546762466217294</v>
      </c>
      <c r="C390" s="174">
        <v>0.04384183156488942</v>
      </c>
      <c r="D390" s="174">
        <v>0.15798465497543596</v>
      </c>
      <c r="E390" s="282">
        <v>-3.687496306069151E-4</v>
      </c>
      <c r="F390" s="286">
        <v>-168.04999999998836</v>
      </c>
      <c r="G390" s="235">
        <v>7.00290058127797</v>
      </c>
      <c r="H390" s="235">
        <v>51578.97008333407</v>
      </c>
      <c r="I390" s="287">
        <v>15750.404187097904</v>
      </c>
      <c r="J390" s="233">
        <v>276503.23925000004</v>
      </c>
    </row>
    <row r="391">
      <c r="A391" s="184">
        <v>43558.0</v>
      </c>
      <c r="B391" s="174">
        <v>0.13638675594661187</v>
      </c>
      <c r="C391" s="174">
        <v>0.04397221338204753</v>
      </c>
      <c r="D391" s="174">
        <v>0.15897074996153737</v>
      </c>
      <c r="E391" s="282">
        <v>-9.524732453363142E-4</v>
      </c>
      <c r="F391" s="286">
        <v>-434.22999999990134</v>
      </c>
      <c r="G391" s="235">
        <v>13.735688830905238</v>
      </c>
      <c r="H391" s="235">
        <v>51747.02008333406</v>
      </c>
      <c r="I391" s="287">
        <v>15743.401286516626</v>
      </c>
      <c r="J391" s="233">
        <v>276671.28925000003</v>
      </c>
    </row>
    <row r="392">
      <c r="A392" s="184">
        <v>43526.0</v>
      </c>
      <c r="B392" s="174">
        <v>0.1394596859811116</v>
      </c>
      <c r="C392" s="174">
        <v>0.04522144169958996</v>
      </c>
      <c r="D392" s="174">
        <v>0.16485891370223468</v>
      </c>
      <c r="E392" s="282">
        <v>0.0020033166158740633</v>
      </c>
      <c r="F392" s="286">
        <v>1542.98</v>
      </c>
      <c r="G392" s="235">
        <v>7.288645570181151</v>
      </c>
      <c r="H392" s="235">
        <v>52181.25008333396</v>
      </c>
      <c r="I392" s="287">
        <v>15729.66559768572</v>
      </c>
      <c r="J392" s="233">
        <v>277105.51924999995</v>
      </c>
    </row>
    <row r="393">
      <c r="A393" s="184">
        <v>43556.0</v>
      </c>
      <c r="B393" s="174">
        <v>0.13377810890177882</v>
      </c>
      <c r="C393" s="174">
        <v>0.044235925326153815</v>
      </c>
      <c r="D393" s="174">
        <v>0.15649754456290066</v>
      </c>
      <c r="E393" s="282">
        <v>0.0038380684321501356</v>
      </c>
      <c r="F393" s="286">
        <v>1761.6066666667175</v>
      </c>
      <c r="G393" s="235">
        <v>45.19783281512932</v>
      </c>
      <c r="H393" s="235">
        <v>50638.270083333955</v>
      </c>
      <c r="I393" s="287">
        <v>15722.37695211554</v>
      </c>
      <c r="J393" s="233">
        <v>276062.53925</v>
      </c>
    </row>
    <row r="394">
      <c r="A394" s="184">
        <v>43553.0</v>
      </c>
      <c r="B394" s="174">
        <v>0.12700321983707796</v>
      </c>
      <c r="C394" s="174">
        <v>0.044439617100300005</v>
      </c>
      <c r="D394" s="174">
        <v>0.15174885055366766</v>
      </c>
      <c r="E394" s="282">
        <v>0.004351962183638856</v>
      </c>
      <c r="F394" s="287">
        <v>1987.115000000049</v>
      </c>
      <c r="G394" s="235">
        <v>14.914566642500853</v>
      </c>
      <c r="H394" s="235">
        <v>48876.66341666724</v>
      </c>
      <c r="I394" s="287">
        <v>15677.17911930041</v>
      </c>
      <c r="J394" s="233">
        <v>274300.9325833332</v>
      </c>
    </row>
    <row r="395">
      <c r="A395" s="184">
        <v>43552.0</v>
      </c>
      <c r="B395" s="174">
        <v>0.12119508487844301</v>
      </c>
      <c r="C395" s="174">
        <v>0.04457250183090363</v>
      </c>
      <c r="D395" s="174">
        <v>0.14601471075264105</v>
      </c>
      <c r="E395" s="282">
        <v>-0.0010738075820519194</v>
      </c>
      <c r="F395" s="287">
        <v>-488.1690000001108</v>
      </c>
      <c r="G395" s="235">
        <v>51.58469308246169</v>
      </c>
      <c r="H395" s="235">
        <v>46889.54841666719</v>
      </c>
      <c r="I395" s="287">
        <v>15662.264552657909</v>
      </c>
      <c r="J395" s="233">
        <v>272313.8175833332</v>
      </c>
    </row>
    <row r="396">
      <c r="A396" s="184">
        <v>43551.0</v>
      </c>
      <c r="B396" s="174">
        <v>0.12308050159184371</v>
      </c>
      <c r="C396" s="174">
        <v>0.044705168129078474</v>
      </c>
      <c r="D396" s="174">
        <v>0.14797400099235414</v>
      </c>
      <c r="E396" s="282">
        <v>2.7070786789373646E-6</v>
      </c>
      <c r="F396" s="287">
        <v>1.2320000000181608</v>
      </c>
      <c r="G396" s="235">
        <v>7.661998495716356</v>
      </c>
      <c r="H396" s="235">
        <v>47377.7174166673</v>
      </c>
      <c r="I396" s="287">
        <v>15610.679859575448</v>
      </c>
      <c r="J396" s="233">
        <v>272801.9865833333</v>
      </c>
    </row>
    <row r="397">
      <c r="A397" s="184">
        <v>43550.0</v>
      </c>
      <c r="B397" s="174">
        <v>0.12344499451620569</v>
      </c>
      <c r="C397" s="174">
        <v>0.044838960666318574</v>
      </c>
      <c r="D397" s="174">
        <v>0.14841299457480475</v>
      </c>
      <c r="E397" s="282">
        <v>0.004453547603024075</v>
      </c>
      <c r="F397" s="287">
        <v>2026.8180000000866</v>
      </c>
      <c r="G397" s="235">
        <v>8.219956572880749</v>
      </c>
      <c r="H397" s="235">
        <v>47376.48541666728</v>
      </c>
      <c r="I397" s="287">
        <v>15603.017861079732</v>
      </c>
      <c r="J397" s="233">
        <v>272800.75458333327</v>
      </c>
    </row>
    <row r="398">
      <c r="A398" s="184">
        <v>43549.0</v>
      </c>
      <c r="B398" s="174">
        <v>0.1174473912865456</v>
      </c>
      <c r="C398" s="174">
        <v>0.04497362315923549</v>
      </c>
      <c r="D398" s="174">
        <v>0.14249037642689225</v>
      </c>
      <c r="E398" s="282">
        <v>-0.008761944831599063</v>
      </c>
      <c r="F398" s="287">
        <v>-3969.818920516758</v>
      </c>
      <c r="G398" s="235">
        <v>53.33924557750277</v>
      </c>
      <c r="H398" s="235">
        <v>45349.667416667195</v>
      </c>
      <c r="I398" s="287">
        <v>15594.797904506851</v>
      </c>
      <c r="J398" s="233">
        <v>270773.9365833332</v>
      </c>
    </row>
    <row r="399">
      <c r="A399" s="184">
        <v>43546.0</v>
      </c>
      <c r="B399" s="174">
        <v>0.13031559847460228</v>
      </c>
      <c r="C399" s="174">
        <v>0.045180619296581834</v>
      </c>
      <c r="D399" s="174">
        <v>0.15567693593911752</v>
      </c>
      <c r="E399" s="282">
        <v>0.008912294014853363</v>
      </c>
      <c r="F399" s="287">
        <v>6755.775326436502</v>
      </c>
      <c r="G399" s="235">
        <v>47.0609872398583</v>
      </c>
      <c r="H399" s="235">
        <v>49319.48633718395</v>
      </c>
      <c r="I399" s="287">
        <v>15541.458658929349</v>
      </c>
      <c r="J399" s="233">
        <v>274743.75550384994</v>
      </c>
    </row>
    <row r="400">
      <c r="A400" s="184">
        <v>43545.0</v>
      </c>
      <c r="B400" s="174">
        <v>0.10932338828828655</v>
      </c>
      <c r="C400" s="174">
        <v>0.04531840732827993</v>
      </c>
      <c r="D400" s="174">
        <v>0.13476207061493234</v>
      </c>
      <c r="E400" s="282">
        <v>0.006980931360423108</v>
      </c>
      <c r="F400" s="287">
        <v>5244.585252995108</v>
      </c>
      <c r="G400" s="235">
        <v>50.11006839277017</v>
      </c>
      <c r="H400" s="235">
        <v>42563.71101074745</v>
      </c>
      <c r="I400" s="287">
        <v>15494.39767168949</v>
      </c>
      <c r="J400" s="233">
        <v>267987.98017741344</v>
      </c>
    </row>
    <row r="401">
      <c r="A401" s="184">
        <v>43544.0</v>
      </c>
      <c r="B401" s="174">
        <v>0.09299436043075253</v>
      </c>
      <c r="C401" s="174">
        <v>0.045453304146220674</v>
      </c>
      <c r="D401" s="174">
        <v>0.11850876468808338</v>
      </c>
      <c r="E401" s="282">
        <v>-0.0021556180629995324</v>
      </c>
      <c r="F401" s="287">
        <v>-1608.1523285183357</v>
      </c>
      <c r="G401" s="235">
        <v>52.73570549965325</v>
      </c>
      <c r="H401" s="235">
        <v>37319.12575775234</v>
      </c>
      <c r="I401" s="287">
        <v>15444.28760329672</v>
      </c>
      <c r="J401" s="233">
        <v>262743.3949244183</v>
      </c>
    </row>
    <row r="402">
      <c r="A402" s="184">
        <v>43543.0</v>
      </c>
      <c r="B402" s="174">
        <v>0.09838774672291095</v>
      </c>
      <c r="C402" s="174">
        <v>0.045586102958917796</v>
      </c>
      <c r="D402" s="174">
        <v>0.1239766952329797</v>
      </c>
      <c r="E402" s="282">
        <v>-9.727523100964795E-5</v>
      </c>
      <c r="F402" s="287">
        <v>-72.72651987185236</v>
      </c>
      <c r="G402" s="235">
        <v>42.42856724014565</v>
      </c>
      <c r="H402" s="235">
        <v>38927.27808627068</v>
      </c>
      <c r="I402" s="287">
        <v>15391.551897797066</v>
      </c>
      <c r="J402" s="233">
        <v>264351.54725293664</v>
      </c>
    </row>
    <row r="403">
      <c r="A403" s="184">
        <v>43542.0</v>
      </c>
      <c r="B403" s="174">
        <v>0.09891047140143527</v>
      </c>
      <c r="C403" s="174">
        <v>0.045720663348269804</v>
      </c>
      <c r="D403" s="174">
        <v>0.1245749529939815</v>
      </c>
      <c r="E403" s="282">
        <v>0.0012449917008225812</v>
      </c>
      <c r="F403" s="287">
        <v>932.1978129070485</v>
      </c>
      <c r="G403" s="235">
        <v>54.98031076234746</v>
      </c>
      <c r="H403" s="235">
        <v>39000.00460614253</v>
      </c>
      <c r="I403" s="287">
        <v>15349.12333055692</v>
      </c>
      <c r="J403" s="233">
        <v>264424.2737728085</v>
      </c>
    </row>
    <row r="404">
      <c r="A404" s="184">
        <v>43539.0</v>
      </c>
      <c r="B404" s="174">
        <v>0.09637275023277717</v>
      </c>
      <c r="C404" s="174">
        <v>0.04593033087082102</v>
      </c>
      <c r="D404" s="174">
        <v>0.12215492496183984</v>
      </c>
      <c r="E404" s="282">
        <v>0.002408453825353748</v>
      </c>
      <c r="F404" s="287">
        <v>1801.104527182877</v>
      </c>
      <c r="G404" s="235">
        <v>53.07794610171752</v>
      </c>
      <c r="H404" s="235">
        <v>38067.80679323548</v>
      </c>
      <c r="I404" s="287">
        <v>15294.143019794574</v>
      </c>
      <c r="J404" s="233">
        <v>263492.07595990144</v>
      </c>
    </row>
    <row r="405">
      <c r="A405" s="184">
        <v>43538.0</v>
      </c>
      <c r="B405" s="174">
        <v>0.09086163578585743</v>
      </c>
      <c r="C405" s="174">
        <v>0.04606641303059963</v>
      </c>
      <c r="D405" s="174">
        <v>0.116720197816174</v>
      </c>
      <c r="E405" s="282">
        <v>-0.0032128115560392267</v>
      </c>
      <c r="F405" s="287">
        <v>-2396.837587733986</v>
      </c>
      <c r="G405" s="235">
        <v>68.21610522642189</v>
      </c>
      <c r="H405" s="235">
        <v>36266.702266052605</v>
      </c>
      <c r="I405" s="287">
        <v>15241.065073692856</v>
      </c>
      <c r="J405" s="233">
        <v>261690.97143271856</v>
      </c>
    </row>
    <row r="406">
      <c r="A406" s="184">
        <v>43537.0</v>
      </c>
      <c r="B406" s="174">
        <v>0.09886641257719332</v>
      </c>
      <c r="C406" s="174">
        <v>0.046202324618491275</v>
      </c>
      <c r="D406" s="174">
        <v>0.1248012661612673</v>
      </c>
      <c r="E406" s="282">
        <v>0.002106064647094487</v>
      </c>
      <c r="F406" s="287">
        <v>1576.224672726239</v>
      </c>
      <c r="G406" s="235">
        <v>3.689090953131048</v>
      </c>
      <c r="H406" s="235">
        <v>38663.53985378659</v>
      </c>
      <c r="I406" s="287">
        <v>15172.848968466435</v>
      </c>
      <c r="J406" s="233">
        <v>264087.80902045255</v>
      </c>
    </row>
    <row r="407">
      <c r="A407" s="184">
        <v>43536.0</v>
      </c>
      <c r="B407" s="174">
        <v>0.09405903330107715</v>
      </c>
      <c r="C407" s="174">
        <v>0.04634051239499303</v>
      </c>
      <c r="D407" s="174">
        <v>0.12007145613692094</v>
      </c>
      <c r="E407" s="282">
        <v>9.609708643499001E-4</v>
      </c>
      <c r="F407" s="287">
        <v>717.6968283079332</v>
      </c>
      <c r="G407" s="235">
        <v>55.12983132064082</v>
      </c>
      <c r="H407" s="235">
        <v>37087.31518106035</v>
      </c>
      <c r="I407" s="287">
        <v>15169.159877513304</v>
      </c>
      <c r="J407" s="233">
        <v>262511.5843477263</v>
      </c>
    </row>
    <row r="408">
      <c r="A408" s="184">
        <v>43535.0</v>
      </c>
      <c r="B408" s="174">
        <v>0.09200896269161267</v>
      </c>
      <c r="C408" s="174">
        <v>0.0464786706829343</v>
      </c>
      <c r="D408" s="174">
        <v>0.11809893822634704</v>
      </c>
      <c r="E408" s="282">
        <v>0.00342613040679135</v>
      </c>
      <c r="F408" s="287">
        <v>2556.331377117778</v>
      </c>
      <c r="G408" s="235">
        <v>52.4727254782338</v>
      </c>
      <c r="H408" s="235">
        <v>36369.61835275242</v>
      </c>
      <c r="I408" s="287">
        <v>15114.030046192664</v>
      </c>
      <c r="J408" s="233">
        <v>261793.88751941838</v>
      </c>
    </row>
    <row r="409">
      <c r="A409" s="184">
        <v>43532.0</v>
      </c>
      <c r="B409" s="174">
        <v>0.08409437649971997</v>
      </c>
      <c r="C409" s="174">
        <v>0.0466931620210311</v>
      </c>
      <c r="D409" s="174">
        <v>0.11030475293407414</v>
      </c>
      <c r="E409" s="282">
        <v>-0.0018492598751190389</v>
      </c>
      <c r="F409" s="287">
        <v>-1375.0570076096337</v>
      </c>
      <c r="G409" s="235">
        <v>4.7695677285625395</v>
      </c>
      <c r="H409" s="235">
        <v>33813.28697563464</v>
      </c>
      <c r="I409" s="287">
        <v>15061.55732071443</v>
      </c>
      <c r="J409" s="233">
        <v>259237.5561423006</v>
      </c>
    </row>
    <row r="410">
      <c r="A410" s="184">
        <v>43531.0</v>
      </c>
      <c r="B410" s="174">
        <v>0.08883346276878015</v>
      </c>
      <c r="C410" s="174">
        <v>0.04683145241105844</v>
      </c>
      <c r="D410" s="174">
        <v>0.11513039816028893</v>
      </c>
      <c r="E410" s="282">
        <v>0.007584153572548607</v>
      </c>
      <c r="F410" s="287">
        <v>5677.675925594522</v>
      </c>
      <c r="G410" s="235">
        <v>38.68730981855362</v>
      </c>
      <c r="H410" s="235">
        <v>35188.343983244275</v>
      </c>
      <c r="I410" s="287">
        <v>15056.787752985867</v>
      </c>
      <c r="J410" s="233">
        <v>260612.61314991023</v>
      </c>
    </row>
    <row r="411">
      <c r="A411" s="184">
        <v>43530.0</v>
      </c>
      <c r="B411" s="174">
        <v>0.07046050003993934</v>
      </c>
      <c r="C411" s="174">
        <v>0.0469714613219188</v>
      </c>
      <c r="D411" s="174">
        <v>0.09684264969440641</v>
      </c>
      <c r="E411" s="282">
        <v>3.515215917057173E-4</v>
      </c>
      <c r="F411" s="287">
        <v>261.17501251993235</v>
      </c>
      <c r="G411" s="235">
        <v>36.71015620348029</v>
      </c>
      <c r="H411" s="235">
        <v>29510.668057649753</v>
      </c>
      <c r="I411" s="287">
        <v>15018.100443167314</v>
      </c>
      <c r="J411" s="233">
        <v>254934.9372243157</v>
      </c>
    </row>
    <row r="412">
      <c r="A412" s="184">
        <v>43529.0</v>
      </c>
      <c r="B412" s="174">
        <v>0.06980715082943817</v>
      </c>
      <c r="C412" s="174">
        <v>0.04710894503080495</v>
      </c>
      <c r="D412" s="174">
        <v>0.09626652004831322</v>
      </c>
      <c r="E412" s="282">
        <v>-3.41404995463574E-5</v>
      </c>
      <c r="F412" s="287">
        <v>-25.391740246413974</v>
      </c>
      <c r="G412" s="235">
        <v>10.253695580609389</v>
      </c>
      <c r="H412" s="235">
        <v>29249.49304512982</v>
      </c>
      <c r="I412" s="287">
        <v>14981.390286963833</v>
      </c>
      <c r="J412" s="233">
        <v>255373.76221179578</v>
      </c>
    </row>
    <row r="413">
      <c r="A413" s="184">
        <v>43528.0</v>
      </c>
      <c r="B413" s="174">
        <v>0.07009638819505516</v>
      </c>
      <c r="C413" s="174">
        <v>0.04724757261473829</v>
      </c>
      <c r="D413" s="174">
        <v>0.09663361945106169</v>
      </c>
      <c r="E413" s="282">
        <v>0.005659810819303734</v>
      </c>
      <c r="F413" s="287">
        <v>4209.585521358924</v>
      </c>
      <c r="G413" s="235">
        <v>61.62036724453847</v>
      </c>
      <c r="H413" s="235">
        <v>29274.884785376235</v>
      </c>
      <c r="I413" s="287">
        <v>14971.136591383223</v>
      </c>
      <c r="J413" s="233">
        <v>255399.1539520422</v>
      </c>
    </row>
    <row r="414">
      <c r="A414" s="184">
        <v>43525.0</v>
      </c>
      <c r="B414" s="174">
        <v>0.056459171900251154</v>
      </c>
      <c r="C414" s="174">
        <v>0.047464661005740164</v>
      </c>
      <c r="D414" s="174">
        <v>0.08311833375535928</v>
      </c>
      <c r="E414" s="282">
        <v>-0.0019339800188333206</v>
      </c>
      <c r="F414" s="287">
        <v>-1437.134361835604</v>
      </c>
      <c r="G414" s="235">
        <v>54.805519832593376</v>
      </c>
      <c r="H414" s="235">
        <v>25065.29926401731</v>
      </c>
      <c r="I414" s="287">
        <v>14909.516224138684</v>
      </c>
      <c r="J414" s="233">
        <v>251189.56843068328</v>
      </c>
    </row>
    <row r="415">
      <c r="A415" s="184">
        <v>43524.0</v>
      </c>
      <c r="B415" s="174">
        <v>0.061402978213428175</v>
      </c>
      <c r="C415" s="174">
        <v>0.04760278416170539</v>
      </c>
      <c r="D415" s="174">
        <v>0.08813971878695104</v>
      </c>
      <c r="E415" s="282">
        <v>-0.00430635627878185</v>
      </c>
      <c r="F415" s="287">
        <v>-3206.2283798358403</v>
      </c>
      <c r="G415" s="235">
        <v>3.3889426662514257</v>
      </c>
      <c r="H415" s="235">
        <v>26502.433625852915</v>
      </c>
      <c r="I415" s="287">
        <v>14854.710704306091</v>
      </c>
      <c r="J415" s="233">
        <v>252626.7027925189</v>
      </c>
    </row>
    <row r="416">
      <c r="A416" s="184">
        <v>43523.0</v>
      </c>
      <c r="B416" s="174">
        <v>0.07049422860739933</v>
      </c>
      <c r="C416" s="174">
        <v>0.04774267622792401</v>
      </c>
      <c r="D416" s="174">
        <v>0.09909309738641688</v>
      </c>
      <c r="E416" s="282">
        <v>-0.005179264926206712</v>
      </c>
      <c r="F416" s="287">
        <v>-3869.974938450847</v>
      </c>
      <c r="G416" s="235">
        <v>12.938863092296792</v>
      </c>
      <c r="H416" s="235">
        <v>29708.662005688755</v>
      </c>
      <c r="I416" s="287">
        <v>14851.32176163984</v>
      </c>
      <c r="J416" s="233">
        <v>255832.93117235473</v>
      </c>
    </row>
    <row r="417">
      <c r="A417" s="184">
        <v>43522.0</v>
      </c>
      <c r="B417" s="174">
        <v>0.0836519579171737</v>
      </c>
      <c r="C417" s="174">
        <v>0.04788546875959052</v>
      </c>
      <c r="D417" s="174">
        <v>0.11233636243064103</v>
      </c>
      <c r="E417" s="282">
        <v>-1.769289822927021E-4</v>
      </c>
      <c r="F417" s="287">
        <v>-132.8870091449935</v>
      </c>
      <c r="G417" s="235">
        <v>12.617621815854653</v>
      </c>
      <c r="H417" s="235">
        <v>33578.6369441396</v>
      </c>
      <c r="I417" s="287">
        <v>14838.382898547543</v>
      </c>
      <c r="J417" s="233">
        <v>259702.90611080558</v>
      </c>
    </row>
    <row r="418">
      <c r="A418" s="184">
        <v>43521.0</v>
      </c>
      <c r="B418" s="174">
        <v>0.08435321017316971</v>
      </c>
      <c r="C418" s="174">
        <v>0.04803162659474117</v>
      </c>
      <c r="D418" s="174">
        <v>0.11312516630876529</v>
      </c>
      <c r="E418" s="282">
        <v>-0.002401913281017447</v>
      </c>
      <c r="F418" s="287">
        <v>-1804.3372020759853</v>
      </c>
      <c r="G418" s="235">
        <v>17.321978954328415</v>
      </c>
      <c r="H418" s="235">
        <v>33711.523953284595</v>
      </c>
      <c r="I418" s="287">
        <v>14825.765276731689</v>
      </c>
      <c r="J418" s="233">
        <v>259835.79311995057</v>
      </c>
    </row>
    <row r="419">
      <c r="A419" s="184">
        <v>43518.0</v>
      </c>
      <c r="B419" s="174">
        <v>0.09083436061895642</v>
      </c>
      <c r="C419" s="174">
        <v>0.048258145780048736</v>
      </c>
      <c r="D419" s="174">
        <v>0.11974200651826811</v>
      </c>
      <c r="E419" s="282">
        <v>0.005251019518996299</v>
      </c>
      <c r="F419" s="287">
        <v>3961.4920050543733</v>
      </c>
      <c r="G419" s="235">
        <v>42.514396601394395</v>
      </c>
      <c r="H419" s="235">
        <v>35515.86115536058</v>
      </c>
      <c r="I419" s="287">
        <v>14808.44329777736</v>
      </c>
      <c r="J419" s="233">
        <v>261640.13032202655</v>
      </c>
    </row>
    <row r="420">
      <c r="A420" s="184">
        <v>43517.0</v>
      </c>
      <c r="B420" s="174">
        <v>0.07771843034632518</v>
      </c>
      <c r="C420" s="174">
        <v>0.04840780148634201</v>
      </c>
      <c r="D420" s="174">
        <v>0.1067157231662636</v>
      </c>
      <c r="E420" s="282">
        <v>-0.002647133613629169</v>
      </c>
      <c r="F420" s="287">
        <v>-1986.572945460095</v>
      </c>
      <c r="G420" s="235">
        <v>26.19082944507171</v>
      </c>
      <c r="H420" s="235">
        <v>31554.369150306207</v>
      </c>
      <c r="I420" s="287">
        <v>14765.928901175965</v>
      </c>
      <c r="J420" s="233">
        <v>257678.63831697218</v>
      </c>
    </row>
    <row r="421">
      <c r="A421" s="184">
        <v>43516.0</v>
      </c>
      <c r="B421" s="174">
        <v>0.08469530707086642</v>
      </c>
      <c r="C421" s="174">
        <v>0.04855591936757428</v>
      </c>
      <c r="D421" s="174">
        <v>0.11378132562182514</v>
      </c>
      <c r="E421" s="282">
        <v>-0.0035476135318535055</v>
      </c>
      <c r="F421" s="287">
        <v>-2669.3964171055704</v>
      </c>
      <c r="G421" s="235">
        <v>23.236169802822133</v>
      </c>
      <c r="H421" s="235">
        <v>33540.9420957663</v>
      </c>
      <c r="I421" s="287">
        <v>14739.738071730893</v>
      </c>
      <c r="J421" s="233">
        <v>259665.21126243228</v>
      </c>
    </row>
    <row r="422">
      <c r="A422" s="184">
        <v>43515.0</v>
      </c>
      <c r="B422" s="174">
        <v>0.09404109931014445</v>
      </c>
      <c r="C422" s="174">
        <v>0.04870630839181669</v>
      </c>
      <c r="D422" s="174">
        <v>0.12321720405462906</v>
      </c>
      <c r="E422" s="282">
        <v>3.404539151474156E-4</v>
      </c>
      <c r="F422" s="287">
        <v>257.0828381375177</v>
      </c>
      <c r="G422" s="235">
        <v>7.352356351835697</v>
      </c>
      <c r="H422" s="235">
        <v>36210.33851287187</v>
      </c>
      <c r="I422" s="287">
        <v>14716.501901928072</v>
      </c>
      <c r="J422" s="233">
        <v>262334.60767953785</v>
      </c>
    </row>
    <row r="423">
      <c r="A423" s="184">
        <v>43514.0</v>
      </c>
      <c r="B423" s="174">
        <v>0.093459222726371</v>
      </c>
      <c r="C423" s="174">
        <v>0.048859448756224104</v>
      </c>
      <c r="D423" s="174">
        <v>0.12272706177509843</v>
      </c>
      <c r="E423" s="282">
        <v>-6.767348657313188E-4</v>
      </c>
      <c r="F423" s="287">
        <v>-510.8406192067778</v>
      </c>
      <c r="G423" s="235">
        <v>34.72246773727891</v>
      </c>
      <c r="H423" s="235">
        <v>35953.255674734355</v>
      </c>
      <c r="I423" s="287">
        <v>14709.149545576236</v>
      </c>
      <c r="J423" s="233">
        <v>262077.52484140033</v>
      </c>
    </row>
    <row r="424">
      <c r="A424" s="184">
        <v>43511.0</v>
      </c>
      <c r="B424" s="174">
        <v>0.09566120918012491</v>
      </c>
      <c r="C424" s="174">
        <v>0.049094615015110615</v>
      </c>
      <c r="D424" s="174">
        <v>0.12506991777179627</v>
      </c>
      <c r="E424" s="282">
        <v>0.004816252744961955</v>
      </c>
      <c r="F424" s="287">
        <v>3638.060716767097</v>
      </c>
      <c r="G424" s="235">
        <v>18.62748784931134</v>
      </c>
      <c r="H424" s="235">
        <v>36464.09629394113</v>
      </c>
      <c r="I424" s="287">
        <v>14674.427077838956</v>
      </c>
      <c r="J424" s="233">
        <v>262588.3654606071</v>
      </c>
    </row>
    <row r="425">
      <c r="A425" s="184">
        <v>43510.0</v>
      </c>
      <c r="B425" s="174">
        <v>0.08344672161358535</v>
      </c>
      <c r="C425" s="174">
        <v>0.049250350140080085</v>
      </c>
      <c r="D425" s="174">
        <v>0.11294871882573587</v>
      </c>
      <c r="E425" s="282">
        <v>0.00108248559798394</v>
      </c>
      <c r="F425" s="287">
        <v>813.7407690832624</v>
      </c>
      <c r="G425" s="235">
        <v>61.6849761045545</v>
      </c>
      <c r="H425" s="235">
        <v>32826.035577174036</v>
      </c>
      <c r="I425" s="287">
        <v>14655.799589989645</v>
      </c>
      <c r="J425" s="233">
        <v>258950.30474384</v>
      </c>
    </row>
    <row r="426">
      <c r="A426" s="184">
        <v>43509.0</v>
      </c>
      <c r="B426" s="174">
        <v>0.08089958633869221</v>
      </c>
      <c r="C426" s="174">
        <v>0.04940473686356064</v>
      </c>
      <c r="D426" s="174">
        <v>0.1104940644504254</v>
      </c>
      <c r="E426" s="282">
        <v>0.003790131084080724</v>
      </c>
      <c r="F426" s="287">
        <v>2846.084607558907</v>
      </c>
      <c r="G426" s="235">
        <v>46.39071926294128</v>
      </c>
      <c r="H426" s="235">
        <v>32012.294808090774</v>
      </c>
      <c r="I426" s="287">
        <v>14594.11461388509</v>
      </c>
      <c r="J426" s="233">
        <v>258136.56397475675</v>
      </c>
    </row>
    <row r="427">
      <c r="A427" s="184">
        <v>43508.0</v>
      </c>
      <c r="B427" s="174">
        <v>0.07129883972716093</v>
      </c>
      <c r="C427" s="174">
        <v>0.04955963028913635</v>
      </c>
      <c r="D427" s="174">
        <v>0.10098610226370568</v>
      </c>
      <c r="E427" s="282">
        <v>-0.0014321877000000533</v>
      </c>
      <c r="F427" s="287">
        <v>-1076.8864652925404</v>
      </c>
      <c r="G427" s="235">
        <v>1.2946312773639146</v>
      </c>
      <c r="H427" s="235">
        <v>29166.210200531867</v>
      </c>
      <c r="I427" s="287">
        <v>14547.72389462215</v>
      </c>
      <c r="J427" s="233">
        <v>255290.47936719784</v>
      </c>
    </row>
    <row r="428">
      <c r="A428" s="184">
        <v>43507.0</v>
      </c>
      <c r="B428" s="174">
        <v>0.07526067184204138</v>
      </c>
      <c r="C428" s="174">
        <v>0.04971365994640121</v>
      </c>
      <c r="D428" s="174">
        <v>0.10504020138798385</v>
      </c>
      <c r="E428" s="282">
        <v>0.005366010946773843</v>
      </c>
      <c r="F428" s="287">
        <v>4049.5872102308786</v>
      </c>
      <c r="G428" s="235">
        <v>20.92287788978674</v>
      </c>
      <c r="H428" s="235">
        <v>30243.096665824407</v>
      </c>
      <c r="I428" s="287">
        <v>14546.429263344786</v>
      </c>
      <c r="J428" s="233">
        <v>256367.36583249038</v>
      </c>
    </row>
    <row r="429">
      <c r="A429" s="184">
        <v>43504.0</v>
      </c>
      <c r="B429" s="174">
        <v>0.06148967537515943</v>
      </c>
      <c r="C429" s="174">
        <v>0.04995250836834609</v>
      </c>
      <c r="D429" s="174">
        <v>0.09141228015728403</v>
      </c>
      <c r="E429" s="282">
        <v>0.004741084821015168</v>
      </c>
      <c r="F429" s="287">
        <v>3558.772476806247</v>
      </c>
      <c r="G429" s="235">
        <v>38.33054705004702</v>
      </c>
      <c r="H429" s="235">
        <v>26193.50945559353</v>
      </c>
      <c r="I429" s="287">
        <v>14525.506385454999</v>
      </c>
      <c r="J429" s="233">
        <v>252317.7786222595</v>
      </c>
    </row>
    <row r="430">
      <c r="A430" s="184">
        <v>43503.0</v>
      </c>
      <c r="B430" s="174">
        <v>0.049204587120360216</v>
      </c>
      <c r="C430" s="174">
        <v>0.050106930768789096</v>
      </c>
      <c r="D430" s="174">
        <v>0.07923677744998048</v>
      </c>
      <c r="E430" s="282">
        <v>-0.002107028212021687</v>
      </c>
      <c r="F430" s="287">
        <v>-1585.460573504155</v>
      </c>
      <c r="G430" s="235">
        <v>60.32695201896919</v>
      </c>
      <c r="H430" s="235">
        <v>22634.73697878728</v>
      </c>
      <c r="I430" s="287">
        <v>14487.175838404952</v>
      </c>
      <c r="J430" s="233">
        <v>248759.00614545326</v>
      </c>
    </row>
    <row r="431">
      <c r="A431" s="184">
        <v>43502.0</v>
      </c>
      <c r="B431" s="174">
        <v>0.054905813500658866</v>
      </c>
      <c r="C431" s="174">
        <v>0.050259939979332896</v>
      </c>
      <c r="D431" s="174">
        <v>0.08504586399891521</v>
      </c>
      <c r="E431" s="282">
        <v>0.0021161747285920835</v>
      </c>
      <c r="F431" s="287">
        <v>1604.5989420762053</v>
      </c>
      <c r="G431" s="235">
        <v>36.18365696045676</v>
      </c>
      <c r="H431" s="235">
        <v>24220.197552291436</v>
      </c>
      <c r="I431" s="287">
        <v>14426.848886385982</v>
      </c>
      <c r="J431" s="233">
        <v>250344.4667189574</v>
      </c>
    </row>
    <row r="432">
      <c r="A432" s="184">
        <v>43501.0</v>
      </c>
      <c r="B432" s="174">
        <v>0.049423561624692657</v>
      </c>
      <c r="C432" s="174">
        <v>0.05041506553242946</v>
      </c>
      <c r="D432" s="174">
        <v>0.07965663833837669</v>
      </c>
      <c r="E432" s="282">
        <v>0.006907614230590621</v>
      </c>
      <c r="F432" s="287">
        <v>5226.645399986446</v>
      </c>
      <c r="G432" s="235">
        <v>25.12101787493141</v>
      </c>
      <c r="H432" s="235">
        <v>22615.59861021523</v>
      </c>
      <c r="I432" s="287">
        <v>14390.665229425525</v>
      </c>
      <c r="J432" s="233">
        <v>249139.8677768812</v>
      </c>
    </row>
    <row r="433">
      <c r="A433" s="184">
        <v>43500.0</v>
      </c>
      <c r="B433" s="174">
        <v>0.031109830218681068</v>
      </c>
      <c r="C433" s="174">
        <v>0.050570392236688175</v>
      </c>
      <c r="D433" s="174">
        <v>0.06143605377480086</v>
      </c>
      <c r="E433" s="282">
        <v>9.269711490308137E-4</v>
      </c>
      <c r="F433" s="287">
        <v>697.6833273308584</v>
      </c>
      <c r="G433" s="235">
        <v>62.672095577102716</v>
      </c>
      <c r="H433" s="235">
        <v>17388.953210228785</v>
      </c>
      <c r="I433" s="287">
        <v>14365.544211550594</v>
      </c>
      <c r="J433" s="233">
        <v>243913.22237689476</v>
      </c>
    </row>
    <row r="434">
      <c r="A434" s="184">
        <v>43497.0</v>
      </c>
      <c r="B434" s="174">
        <v>0.028779498925050925</v>
      </c>
      <c r="C434" s="174">
        <v>0.050808052528330906</v>
      </c>
      <c r="D434" s="174">
        <v>0.05924824340726987</v>
      </c>
      <c r="E434" s="282">
        <v>-0.003579206227042256</v>
      </c>
      <c r="F434" s="287">
        <v>-2691.3865916575887</v>
      </c>
      <c r="G434" s="235">
        <v>8.893645794177322</v>
      </c>
      <c r="H434" s="235">
        <v>16691.269882897926</v>
      </c>
      <c r="I434" s="287">
        <v>14302.87211597349</v>
      </c>
      <c r="J434" s="233">
        <v>243215.5390495639</v>
      </c>
    </row>
    <row r="435">
      <c r="A435" s="184">
        <v>43496.0</v>
      </c>
      <c r="B435" s="174">
        <v>0.038431028046609236</v>
      </c>
      <c r="C435" s="174">
        <v>0.050961588966169875</v>
      </c>
      <c r="D435" s="174">
        <v>0.06900964768476024</v>
      </c>
      <c r="E435" s="282">
        <v>5.163101124013423E-4</v>
      </c>
      <c r="F435" s="287">
        <v>391.20466976371245</v>
      </c>
      <c r="G435" s="235">
        <v>37.622848814774756</v>
      </c>
      <c r="H435" s="235">
        <v>19382.656474555515</v>
      </c>
      <c r="I435" s="287">
        <v>14293.978470179312</v>
      </c>
      <c r="J435" s="233">
        <v>245906.9256412215</v>
      </c>
    </row>
    <row r="436">
      <c r="A436" s="184">
        <v>43495.0</v>
      </c>
      <c r="B436" s="174">
        <v>0.03511986576329391</v>
      </c>
      <c r="C436" s="174">
        <v>0.051118053987111674</v>
      </c>
      <c r="D436" s="174">
        <v>0.06782441067263516</v>
      </c>
      <c r="E436" s="282">
        <v>0.00455596834500677</v>
      </c>
      <c r="F436" s="287">
        <v>3490.7917927453527</v>
      </c>
      <c r="G436" s="235">
        <v>13.880407644635008</v>
      </c>
      <c r="H436" s="235">
        <v>18991.451804791803</v>
      </c>
      <c r="I436" s="287">
        <v>14256.355621364537</v>
      </c>
      <c r="J436" s="233">
        <v>245515.72097145778</v>
      </c>
    </row>
    <row r="437">
      <c r="A437" s="184">
        <v>43494.0</v>
      </c>
      <c r="B437" s="174">
        <v>0.022722834270352953</v>
      </c>
      <c r="C437" s="174">
        <v>0.051275284154520484</v>
      </c>
      <c r="D437" s="174">
        <v>0.055527972623107</v>
      </c>
      <c r="E437" s="282">
        <v>0.0024119855778834765</v>
      </c>
      <c r="F437" s="287">
        <v>1839.6482939199777</v>
      </c>
      <c r="G437" s="235">
        <v>45.57202227940583</v>
      </c>
      <c r="H437" s="235">
        <v>15500.66001204645</v>
      </c>
      <c r="I437" s="287">
        <v>14242.475213719901</v>
      </c>
      <c r="J437" s="233">
        <v>242024.92917871242</v>
      </c>
    </row>
    <row r="438">
      <c r="A438" s="184">
        <v>43493.0</v>
      </c>
      <c r="B438" s="174">
        <v>0.01618167455315913</v>
      </c>
      <c r="C438" s="174">
        <v>0.051431046929700616</v>
      </c>
      <c r="D438" s="174">
        <v>0.04908646753434184</v>
      </c>
      <c r="E438" s="282">
        <v>-0.007639175752967274</v>
      </c>
      <c r="F438" s="287">
        <v>-5812.4311270489125</v>
      </c>
      <c r="G438" s="235">
        <v>10.509225137007638</v>
      </c>
      <c r="H438" s="235">
        <v>13661.011718126472</v>
      </c>
      <c r="I438" s="287">
        <v>14196.903191440495</v>
      </c>
      <c r="J438" s="233">
        <v>240185.28088479245</v>
      </c>
    </row>
    <row r="439">
      <c r="A439" s="184">
        <v>43490.0</v>
      </c>
      <c r="B439" s="174">
        <v>0.03724146550208421</v>
      </c>
      <c r="C439" s="174">
        <v>0.05167342301458248</v>
      </c>
      <c r="D439" s="174">
        <v>0.07030132697540803</v>
      </c>
      <c r="E439" s="282">
        <v>-0.0019226986620508538</v>
      </c>
      <c r="F439" s="287">
        <v>-1474.102171897306</v>
      </c>
      <c r="G439" s="235">
        <v>50.669764094295374</v>
      </c>
      <c r="H439" s="235">
        <v>19473.442845175385</v>
      </c>
      <c r="I439" s="287">
        <v>14186.393966303487</v>
      </c>
      <c r="J439" s="233">
        <v>245997.71201184136</v>
      </c>
    </row>
    <row r="440">
      <c r="A440" s="184">
        <v>43489.0</v>
      </c>
      <c r="B440" s="174">
        <v>0.04269581821972722</v>
      </c>
      <c r="C440" s="174">
        <v>0.051834498980657354</v>
      </c>
      <c r="D440" s="174">
        <v>0.07585873361931435</v>
      </c>
      <c r="E440" s="282">
        <v>0.0075636838077681135</v>
      </c>
      <c r="F440" s="287">
        <v>5810.104491265607</v>
      </c>
      <c r="G440" s="235">
        <v>0.09934167160494001</v>
      </c>
      <c r="H440" s="235">
        <v>20947.54501707269</v>
      </c>
      <c r="I440" s="287">
        <v>14135.724202209192</v>
      </c>
      <c r="J440" s="233">
        <v>247471.81418373866</v>
      </c>
    </row>
    <row r="441">
      <c r="A441" s="184">
        <v>43488.0</v>
      </c>
      <c r="B441" s="174">
        <v>0.021723506147401726</v>
      </c>
      <c r="C441" s="174">
        <v>0.05199775452813686</v>
      </c>
      <c r="D441" s="174">
        <v>0.05499086993591987</v>
      </c>
      <c r="E441" s="282">
        <v>-0.003830641334290064</v>
      </c>
      <c r="F441" s="287">
        <v>-2920.281493782648</v>
      </c>
      <c r="G441" s="235">
        <v>16.349541138689794</v>
      </c>
      <c r="H441" s="235">
        <v>15137.440525807084</v>
      </c>
      <c r="I441" s="287">
        <v>14135.624860537588</v>
      </c>
      <c r="J441" s="233">
        <v>241661.70969247306</v>
      </c>
    </row>
    <row r="442">
      <c r="A442" s="184">
        <v>43487.0</v>
      </c>
      <c r="B442" s="174">
        <v>0.03243174880899743</v>
      </c>
      <c r="C442" s="174">
        <v>0.052157815303694045</v>
      </c>
      <c r="D442" s="174">
        <v>0.06580151702049603</v>
      </c>
      <c r="E442" s="282">
        <v>4.763025871851767E-4</v>
      </c>
      <c r="F442" s="287">
        <v>364.49922927550506</v>
      </c>
      <c r="G442" s="235">
        <v>37.43519742794056</v>
      </c>
      <c r="H442" s="235">
        <v>18057.72201958973</v>
      </c>
      <c r="I442" s="287">
        <v>14119.275319398897</v>
      </c>
      <c r="J442" s="233">
        <v>244581.9911862557</v>
      </c>
    </row>
    <row r="443">
      <c r="A443" s="184">
        <v>43486.0</v>
      </c>
      <c r="B443" s="174">
        <v>0.031200921079626538</v>
      </c>
      <c r="C443" s="174">
        <v>0.052321131009268176</v>
      </c>
      <c r="D443" s="174">
        <v>0.06467517616828006</v>
      </c>
      <c r="E443" s="282">
        <v>-0.0014032997066099726</v>
      </c>
      <c r="F443" s="287">
        <v>-1073.3891557435272</v>
      </c>
      <c r="G443" s="235">
        <v>66.90846104125151</v>
      </c>
      <c r="H443" s="235">
        <v>17693.222790314227</v>
      </c>
      <c r="I443" s="287">
        <v>14081.840121970958</v>
      </c>
      <c r="J443" s="233">
        <v>244217.4919569802</v>
      </c>
    </row>
    <row r="444">
      <c r="A444" s="184">
        <v>43483.0</v>
      </c>
      <c r="B444" s="174">
        <v>0.035286132816070015</v>
      </c>
      <c r="C444" s="174">
        <v>0.05257424352544717</v>
      </c>
      <c r="D444" s="174">
        <v>0.06893066321908282</v>
      </c>
      <c r="E444" s="282">
        <v>0.005179806487977421</v>
      </c>
      <c r="F444" s="287">
        <v>3974.5143220823957</v>
      </c>
      <c r="G444" s="235">
        <v>14.042101200007416</v>
      </c>
      <c r="H444" s="235">
        <v>18766.611946057754</v>
      </c>
      <c r="I444" s="287">
        <v>14014.931660929706</v>
      </c>
      <c r="J444" s="233">
        <v>245290.88111272373</v>
      </c>
    </row>
    <row r="445">
      <c r="A445" s="184">
        <v>43482.0</v>
      </c>
      <c r="B445" s="174">
        <v>0.020753046526853315</v>
      </c>
      <c r="C445" s="174">
        <v>0.05274068878855407</v>
      </c>
      <c r="D445" s="174">
        <v>0.05450409244658159</v>
      </c>
      <c r="E445" s="282">
        <v>0.0016815021746315897</v>
      </c>
      <c r="F445" s="287">
        <v>1283.5493071419187</v>
      </c>
      <c r="G445" s="235">
        <v>39.687121041598</v>
      </c>
      <c r="H445" s="235">
        <v>14792.097623975358</v>
      </c>
      <c r="I445" s="287">
        <v>14000.889559729698</v>
      </c>
      <c r="J445" s="233">
        <v>241316.36679064133</v>
      </c>
    </row>
    <row r="446">
      <c r="A446" s="184">
        <v>43481.0</v>
      </c>
      <c r="B446" s="174">
        <v>0.01607357801033007</v>
      </c>
      <c r="C446" s="174">
        <v>0.05290524531890134</v>
      </c>
      <c r="D446" s="174">
        <v>0.04992993076506023</v>
      </c>
      <c r="E446" s="282">
        <v>0.0019625570627334055</v>
      </c>
      <c r="F446" s="287">
        <v>1495.5692754302872</v>
      </c>
      <c r="G446" s="235">
        <v>52.054121234992884</v>
      </c>
      <c r="H446" s="235">
        <v>13508.54831683344</v>
      </c>
      <c r="I446" s="287">
        <v>13961.2024386881</v>
      </c>
      <c r="J446" s="233">
        <v>240032.8174834994</v>
      </c>
    </row>
    <row r="447">
      <c r="A447" s="184">
        <v>43480.0</v>
      </c>
      <c r="B447" s="174">
        <v>0.010578522792898472</v>
      </c>
      <c r="C447" s="174">
        <v>0.05306993292978209</v>
      </c>
      <c r="D447" s="174">
        <v>0.04454026626672847</v>
      </c>
      <c r="E447" s="282">
        <v>0.0069681327882974015</v>
      </c>
      <c r="F447" s="287">
        <v>5299.653730948805</v>
      </c>
      <c r="G447" s="235">
        <v>40.844892644396324</v>
      </c>
      <c r="H447" s="235">
        <v>12012.979041403152</v>
      </c>
      <c r="I447" s="287">
        <v>13909.148317453108</v>
      </c>
      <c r="J447" s="233">
        <v>238537.24820806913</v>
      </c>
    </row>
    <row r="448">
      <c r="A448" s="184">
        <v>43479.0</v>
      </c>
      <c r="B448" s="174">
        <v>-0.009099032324119176</v>
      </c>
      <c r="C448" s="174">
        <v>0.0532345796689712</v>
      </c>
      <c r="D448" s="174">
        <v>0.024968075713248928</v>
      </c>
      <c r="E448" s="282">
        <v>-0.0013309080117461056</v>
      </c>
      <c r="F448" s="287">
        <v>-1005.1764414050849</v>
      </c>
      <c r="G448" s="235">
        <v>7.693479818490188</v>
      </c>
      <c r="H448" s="235">
        <v>6713.325310454347</v>
      </c>
      <c r="I448" s="287">
        <v>13868.303424808711</v>
      </c>
      <c r="J448" s="233">
        <v>233237.59447712032</v>
      </c>
    </row>
    <row r="449">
      <c r="A449" s="184">
        <v>43476.0</v>
      </c>
      <c r="B449" s="174">
        <v>-0.005386042386884008</v>
      </c>
      <c r="C449" s="174">
        <v>0.05348725431033831</v>
      </c>
      <c r="D449" s="174">
        <v>0.02884276307271008</v>
      </c>
      <c r="E449" s="282">
        <v>0.00469199610460346</v>
      </c>
      <c r="F449" s="287">
        <v>3548.3751288020285</v>
      </c>
      <c r="G449" s="235">
        <v>46.07866444415935</v>
      </c>
      <c r="H449" s="235">
        <v>7718.501751859432</v>
      </c>
      <c r="I449" s="287">
        <v>13860.609944990221</v>
      </c>
      <c r="J449" s="233">
        <v>234242.7709185254</v>
      </c>
    </row>
    <row r="450">
      <c r="A450" s="184">
        <v>43475.0</v>
      </c>
      <c r="B450" s="174">
        <v>-0.018702849987226385</v>
      </c>
      <c r="C450" s="174">
        <v>0.05365110120076633</v>
      </c>
      <c r="D450" s="174">
        <v>0.015630808178118502</v>
      </c>
      <c r="E450" s="282">
        <v>0.0031153515750357696</v>
      </c>
      <c r="F450" s="287">
        <v>2344.9654326584423</v>
      </c>
      <c r="G450" s="235">
        <v>31.90102012256662</v>
      </c>
      <c r="H450" s="235">
        <v>4170.126623057404</v>
      </c>
      <c r="I450" s="287">
        <v>13814.531280546062</v>
      </c>
      <c r="J450" s="233">
        <v>230694.39578972338</v>
      </c>
    </row>
    <row r="451">
      <c r="A451" s="184">
        <v>43474.0</v>
      </c>
      <c r="B451" s="174">
        <v>-0.02757552423643742</v>
      </c>
      <c r="C451" s="174">
        <v>0.05381323816825745</v>
      </c>
      <c r="D451" s="174">
        <v>0.006861892381077441</v>
      </c>
      <c r="E451" s="282">
        <v>-0.006148885624137399</v>
      </c>
      <c r="F451" s="287">
        <v>-4613.926830865792</v>
      </c>
      <c r="G451" s="235">
        <v>24.27810843400919</v>
      </c>
      <c r="H451" s="235">
        <v>1825.1611903989615</v>
      </c>
      <c r="I451" s="287">
        <v>13782.630260423495</v>
      </c>
      <c r="J451" s="233">
        <v>228349.43035706494</v>
      </c>
    </row>
    <row r="452">
      <c r="A452" s="184">
        <v>43473.0</v>
      </c>
      <c r="B452" s="174">
        <v>-0.006511413750870578</v>
      </c>
      <c r="C452" s="174">
        <v>0.05021772585191894</v>
      </c>
      <c r="D452" s="174">
        <v>0.02428103398213508</v>
      </c>
      <c r="E452" s="282">
        <v>7.337664794203282E-5</v>
      </c>
      <c r="F452" s="287">
        <v>55.57760459772544</v>
      </c>
      <c r="G452" s="235">
        <v>4.614058174070333</v>
      </c>
      <c r="H452" s="235">
        <v>6439.0880212647535</v>
      </c>
      <c r="I452" s="287">
        <v>13758.352151989486</v>
      </c>
      <c r="J452" s="233">
        <v>232963.35718793073</v>
      </c>
    </row>
    <row r="453">
      <c r="A453" s="184">
        <v>43472.0</v>
      </c>
      <c r="B453" s="174">
        <v>-0.006796858285736722</v>
      </c>
      <c r="C453" s="174">
        <v>0.05037225380265329</v>
      </c>
      <c r="D453" s="174">
        <v>0.02414552916822349</v>
      </c>
      <c r="E453" s="282">
        <v>0.0010201072762126258</v>
      </c>
      <c r="F453" s="287">
        <v>756.3123805186478</v>
      </c>
      <c r="G453" s="235">
        <v>51.76518324385925</v>
      </c>
      <c r="H453" s="235">
        <v>6383.510416667028</v>
      </c>
      <c r="I453" s="287">
        <v>13753.738093815415</v>
      </c>
      <c r="J453" s="233">
        <v>232907.779583333</v>
      </c>
    </row>
    <row r="454">
      <c r="A454" s="184">
        <v>43469.0</v>
      </c>
      <c r="B454" s="174">
        <v>-0.009704032134441393</v>
      </c>
      <c r="C454" s="174">
        <v>0.050614444980812016</v>
      </c>
      <c r="D454" s="174">
        <v>0.021387127167248287</v>
      </c>
      <c r="E454" s="282">
        <v>8.29696767178929E-4</v>
      </c>
      <c r="F454" s="287">
        <v>614.5136146547156</v>
      </c>
      <c r="G454" s="235">
        <v>18.84470443783041</v>
      </c>
      <c r="H454" s="235">
        <v>5627.19803614838</v>
      </c>
      <c r="I454" s="287">
        <v>13701.972910571556</v>
      </c>
      <c r="J454" s="233">
        <v>233651.46720281435</v>
      </c>
    </row>
    <row r="455">
      <c r="A455" s="184">
        <v>43468.0</v>
      </c>
      <c r="B455" s="174">
        <v>-0.01207705428150812</v>
      </c>
      <c r="C455" s="174">
        <v>0.050771919226074665</v>
      </c>
      <c r="D455" s="174">
        <v>0.01911083742230966</v>
      </c>
      <c r="E455" s="282">
        <v>-0.002760054552418007</v>
      </c>
      <c r="F455" s="287">
        <v>-2042.5340020433068</v>
      </c>
      <c r="G455" s="235">
        <v>50.11543396840141</v>
      </c>
      <c r="H455" s="235">
        <v>5012.684421493665</v>
      </c>
      <c r="I455" s="287">
        <v>13683.128206133726</v>
      </c>
      <c r="J455" s="233">
        <v>233036.95358815964</v>
      </c>
    </row>
    <row r="456">
      <c r="A456" s="184">
        <v>43467.0</v>
      </c>
      <c r="B456" s="174">
        <v>-0.004303258571931364</v>
      </c>
      <c r="C456" s="174">
        <v>0.05092999315264212</v>
      </c>
      <c r="D456" s="174">
        <v>0.02698173390290574</v>
      </c>
      <c r="E456" s="282">
        <v>0.011366770783686054</v>
      </c>
      <c r="F456" s="287">
        <v>8435.013006869878</v>
      </c>
      <c r="G456" s="235">
        <v>38.05105115666082</v>
      </c>
      <c r="H456" s="235">
        <v>7055.218423536971</v>
      </c>
      <c r="I456" s="287">
        <v>13633.012772165324</v>
      </c>
      <c r="J456" s="233">
        <v>235079.48759020295</v>
      </c>
    </row>
    <row r="457">
      <c r="A457" s="184">
        <v>43465.0</v>
      </c>
      <c r="B457" s="174">
        <v>-0.03670876632263612</v>
      </c>
      <c r="C457" s="174">
        <v>0.05113467111724737</v>
      </c>
      <c r="D457" s="174">
        <v>-0.005298045407913918</v>
      </c>
      <c r="E457" s="282">
        <v>0.009347080423062672</v>
      </c>
      <c r="F457" s="287">
        <v>6809.818670859677</v>
      </c>
      <c r="G457" s="235">
        <v>69.75797755393755</v>
      </c>
      <c r="H457" s="235">
        <v>-1379.7945833329068</v>
      </c>
      <c r="I457" s="287">
        <v>13594.961721008664</v>
      </c>
      <c r="J457" s="233">
        <v>226644.47458333307</v>
      </c>
    </row>
    <row r="458">
      <c r="A458" s="184">
        <v>43462.0</v>
      </c>
      <c r="B458" s="174">
        <v>-0.06521945252038464</v>
      </c>
      <c r="C458" s="174">
        <v>0.05137866271155333</v>
      </c>
      <c r="D458" s="174">
        <v>-0.03159598964389223</v>
      </c>
      <c r="E458" s="282">
        <v>0.001083388623082496</v>
      </c>
      <c r="F458" s="287">
        <v>781.3461984310998</v>
      </c>
      <c r="G458" s="235">
        <v>46.51655043926158</v>
      </c>
      <c r="H458" s="235">
        <v>-8189.613254192584</v>
      </c>
      <c r="I458" s="287">
        <v>13525.203743454726</v>
      </c>
      <c r="J458" s="233">
        <v>219834.6559124734</v>
      </c>
    </row>
    <row r="459">
      <c r="A459" s="184">
        <v>43461.0</v>
      </c>
      <c r="B459" s="174">
        <v>-0.051995294460589356</v>
      </c>
      <c r="C459" s="174">
        <v>0.03509030422089737</v>
      </c>
      <c r="D459" s="174">
        <v>-0.034712567606604336</v>
      </c>
      <c r="E459" s="282">
        <v>0.0042773073710906445</v>
      </c>
      <c r="F459" s="287">
        <v>3099.6498084677733</v>
      </c>
      <c r="G459" s="235">
        <v>65.72292135585653</v>
      </c>
      <c r="H459" s="235">
        <v>-8970.959452623683</v>
      </c>
      <c r="I459" s="287">
        <v>13478.687193015465</v>
      </c>
      <c r="J459" s="233">
        <v>219053.3097140423</v>
      </c>
    </row>
    <row r="460">
      <c r="A460" s="184">
        <v>43458.0</v>
      </c>
      <c r="B460" s="174">
        <v>-0.06429999301923986</v>
      </c>
      <c r="C460" s="174">
        <v>0.035254705542195904</v>
      </c>
      <c r="D460" s="174">
        <v>-0.0469252931787206</v>
      </c>
      <c r="E460" s="282">
        <v>-0.0071941685624485685</v>
      </c>
      <c r="F460" s="287">
        <v>-5248.528845272958</v>
      </c>
      <c r="G460" s="235">
        <v>10.479460104518804</v>
      </c>
      <c r="H460" s="235">
        <v>-12070.609261091457</v>
      </c>
      <c r="I460" s="287">
        <v>13412.964271659608</v>
      </c>
      <c r="J460" s="233">
        <v>215953.65990557452</v>
      </c>
    </row>
    <row r="461">
      <c r="A461" s="184">
        <v>43455.0</v>
      </c>
      <c r="B461" s="174">
        <v>-0.0441002854921098</v>
      </c>
      <c r="C461" s="174">
        <v>0.03541878426554163</v>
      </c>
      <c r="D461" s="174">
        <v>-0.026644722160476274</v>
      </c>
      <c r="E461" s="282">
        <v>-0.0032602409205492074</v>
      </c>
      <c r="F461" s="287">
        <v>-2395.6307324855006</v>
      </c>
      <c r="G461" s="235">
        <v>2.6411957369377745</v>
      </c>
      <c r="H461" s="235">
        <v>-6822.080415818498</v>
      </c>
      <c r="I461" s="287">
        <v>13402.484811555089</v>
      </c>
      <c r="J461" s="233">
        <v>221202.18875084748</v>
      </c>
    </row>
    <row r="462">
      <c r="A462" s="184">
        <v>43454.0</v>
      </c>
      <c r="B462" s="174">
        <v>-0.034848161799057774</v>
      </c>
      <c r="C462" s="174">
        <v>0.03552520634880252</v>
      </c>
      <c r="D462" s="174">
        <v>-0.01734015009990498</v>
      </c>
      <c r="E462" s="282">
        <v>-0.00631882185268003</v>
      </c>
      <c r="F462" s="287">
        <v>-4675.418749566423</v>
      </c>
      <c r="G462" s="235">
        <v>19.72304615651365</v>
      </c>
      <c r="H462" s="235">
        <v>-4426.449683332998</v>
      </c>
      <c r="I462" s="287">
        <v>13399.84361581815</v>
      </c>
      <c r="J462" s="233">
        <v>223597.81948333298</v>
      </c>
    </row>
    <row r="463">
      <c r="A463" s="184">
        <v>43453.0</v>
      </c>
      <c r="B463" s="174">
        <v>-0.01661722776954977</v>
      </c>
      <c r="C463" s="174">
        <v>0.03563363114989122</v>
      </c>
      <c r="D463" s="174">
        <v>9.782867741029695E-4</v>
      </c>
      <c r="E463" s="282">
        <v>-5.484628086120089E-4</v>
      </c>
      <c r="F463" s="287">
        <v>-411.12577378045535</v>
      </c>
      <c r="G463" s="235">
        <v>2.9628170731525625</v>
      </c>
      <c r="H463" s="235">
        <v>248.9690662334251</v>
      </c>
      <c r="I463" s="287">
        <v>13380.120569661636</v>
      </c>
      <c r="J463" s="233">
        <v>228273.2382328994</v>
      </c>
    </row>
    <row r="464">
      <c r="A464" s="184">
        <v>43452.0</v>
      </c>
      <c r="B464" s="174">
        <v>-0.015060310284896003</v>
      </c>
      <c r="C464" s="174">
        <v>0.03574534172198292</v>
      </c>
      <c r="D464" s="174">
        <v>0.0026018754452421214</v>
      </c>
      <c r="E464" s="282">
        <v>-0.0035066865447422185</v>
      </c>
      <c r="F464" s="287">
        <v>-2646.2075766524067</v>
      </c>
      <c r="G464" s="235">
        <v>34.105706777226885</v>
      </c>
      <c r="H464" s="235">
        <v>660.0948400138805</v>
      </c>
      <c r="I464" s="287">
        <v>13377.157752588484</v>
      </c>
      <c r="J464" s="233">
        <v>228684.36400667985</v>
      </c>
    </row>
    <row r="465">
      <c r="A465" s="184">
        <v>43451.0</v>
      </c>
      <c r="B465" s="174">
        <v>-0.004644432829983166</v>
      </c>
      <c r="C465" s="174">
        <v>0.03585804181054627</v>
      </c>
      <c r="D465" s="174">
        <v>0.013073439314107599</v>
      </c>
      <c r="E465" s="282">
        <v>-0.006223062615017826</v>
      </c>
      <c r="F465" s="287">
        <v>-4734.547498141648</v>
      </c>
      <c r="G465" s="235">
        <v>20.374859595746067</v>
      </c>
      <c r="H465" s="235">
        <v>3306.302416666287</v>
      </c>
      <c r="I465" s="287">
        <v>13343.052045811257</v>
      </c>
      <c r="J465" s="233">
        <v>231330.57158333226</v>
      </c>
    </row>
    <row r="466">
      <c r="A466" s="184">
        <v>43448.0</v>
      </c>
      <c r="B466" s="174">
        <v>0.014115577506598743</v>
      </c>
      <c r="C466" s="174">
        <v>0.03603582150320427</v>
      </c>
      <c r="D466" s="174">
        <v>0.03195192987921747</v>
      </c>
      <c r="E466" s="282">
        <v>0.0023319107199010086</v>
      </c>
      <c r="F466" s="287">
        <v>1765.2667218117858</v>
      </c>
      <c r="G466" s="235">
        <v>60.154512793388335</v>
      </c>
      <c r="H466" s="235">
        <v>8040.849914807935</v>
      </c>
      <c r="I466" s="287">
        <v>13322.677186215511</v>
      </c>
      <c r="J466" s="233">
        <v>236065.1190814739</v>
      </c>
    </row>
    <row r="467">
      <c r="A467" s="184">
        <v>43447.0</v>
      </c>
      <c r="B467" s="174">
        <v>0.007109606854741917</v>
      </c>
      <c r="C467" s="174">
        <v>0.03615448025260011</v>
      </c>
      <c r="D467" s="174">
        <v>0.025019402003922154</v>
      </c>
      <c r="E467" s="282">
        <v>-0.008791698920552727</v>
      </c>
      <c r="F467" s="287">
        <v>-6713.952874382841</v>
      </c>
      <c r="G467" s="235">
        <v>27.567924919292135</v>
      </c>
      <c r="H467" s="235">
        <v>6275.58319299615</v>
      </c>
      <c r="I467" s="287">
        <v>13262.522673422123</v>
      </c>
      <c r="J467" s="233">
        <v>234299.85235966212</v>
      </c>
    </row>
    <row r="468">
      <c r="A468" s="184">
        <v>43446.0</v>
      </c>
      <c r="B468" s="174">
        <v>0.03398773895785785</v>
      </c>
      <c r="C468" s="174">
        <v>0.036272990956647974</v>
      </c>
      <c r="D468" s="174">
        <v>0.051956240591480775</v>
      </c>
      <c r="E468" s="282">
        <v>0.0036666107098259474</v>
      </c>
      <c r="F468" s="287">
        <v>2824.696450686024</v>
      </c>
      <c r="G468" s="235">
        <v>44.16082469770722</v>
      </c>
      <c r="H468" s="235">
        <v>12989.536067378991</v>
      </c>
      <c r="I468" s="287">
        <v>13234.95474850283</v>
      </c>
      <c r="J468" s="233">
        <v>241013.80523404496</v>
      </c>
    </row>
    <row r="469">
      <c r="A469" s="184">
        <v>43445.0</v>
      </c>
      <c r="B469" s="174">
        <v>0.02276641404178667</v>
      </c>
      <c r="C469" s="174">
        <v>0.036396164159323674</v>
      </c>
      <c r="D469" s="174">
        <v>0.04079593181538387</v>
      </c>
      <c r="E469" s="282">
        <v>0.003680104219369965</v>
      </c>
      <c r="F469" s="287">
        <v>2824.696450686024</v>
      </c>
      <c r="G469" s="235">
        <v>32.28631186948433</v>
      </c>
      <c r="H469" s="235">
        <v>10164.839616692967</v>
      </c>
      <c r="I469" s="287">
        <v>13190.793923805124</v>
      </c>
      <c r="J469" s="233">
        <v>238189.10878335894</v>
      </c>
    </row>
    <row r="470">
      <c r="A470" s="184">
        <v>43444.0</v>
      </c>
      <c r="B470" s="174">
        <v>0.011468133642431145</v>
      </c>
      <c r="C470" s="174">
        <v>0.036518626953263605</v>
      </c>
      <c r="D470" s="174">
        <v>0.029558315641804424</v>
      </c>
      <c r="E470" s="282">
        <v>-0.003678000460441846</v>
      </c>
      <c r="F470" s="287">
        <v>-2812.692457120167</v>
      </c>
      <c r="G470" s="235">
        <v>44.21612259368107</v>
      </c>
      <c r="H470" s="235">
        <v>7340.143166006943</v>
      </c>
      <c r="I470" s="287">
        <v>13158.50761193564</v>
      </c>
      <c r="J470" s="233">
        <v>235364.41233267292</v>
      </c>
    </row>
    <row r="471">
      <c r="A471" s="184">
        <v>43441.0</v>
      </c>
      <c r="B471" s="174">
        <v>0.022910853482567575</v>
      </c>
      <c r="C471" s="174">
        <v>0.036704749242911845</v>
      </c>
      <c r="D471" s="174">
        <v>0.04109323462453693</v>
      </c>
      <c r="E471" s="282">
        <v>-0.0019151225228755408</v>
      </c>
      <c r="F471" s="287">
        <v>-1469.946193961252</v>
      </c>
      <c r="G471" s="235">
        <v>14.438239256425515</v>
      </c>
      <c r="H471" s="235">
        <v>10152.83562312711</v>
      </c>
      <c r="I471" s="287">
        <v>13114.291489341958</v>
      </c>
      <c r="J471" s="233">
        <v>238177.10478979308</v>
      </c>
    </row>
    <row r="472">
      <c r="A472" s="184">
        <v>43440.0</v>
      </c>
      <c r="B472" s="174">
        <v>0.0289583147592419</v>
      </c>
      <c r="C472" s="174">
        <v>0.03682926799383097</v>
      </c>
      <c r="D472" s="174">
        <v>0.04720237858356797</v>
      </c>
      <c r="E472" s="282">
        <v>-0.0027408133303412807</v>
      </c>
      <c r="F472" s="287">
        <v>-2091.4319944336894</v>
      </c>
      <c r="G472" s="235">
        <v>25.042731898614306</v>
      </c>
      <c r="H472" s="235">
        <v>11622.781817088362</v>
      </c>
      <c r="I472" s="287">
        <v>13099.853250085533</v>
      </c>
      <c r="J472" s="233">
        <v>239647.05098375434</v>
      </c>
    </row>
    <row r="473">
      <c r="A473" s="184">
        <v>43439.0</v>
      </c>
      <c r="B473" s="174">
        <v>0.03757104636213792</v>
      </c>
      <c r="C473" s="174">
        <v>0.03695556523126303</v>
      </c>
      <c r="D473" s="174">
        <v>0.05588708740587738</v>
      </c>
      <c r="E473" s="282">
        <v>-0.005454736143825844</v>
      </c>
      <c r="F473" s="287">
        <v>-4124.768616428279</v>
      </c>
      <c r="G473" s="235">
        <v>1.8423045928772208</v>
      </c>
      <c r="H473" s="235">
        <v>13714.213811522051</v>
      </c>
      <c r="I473" s="287">
        <v>13074.810518186918</v>
      </c>
      <c r="J473" s="233">
        <v>241738.48297818803</v>
      </c>
    </row>
    <row r="474">
      <c r="A474" s="184">
        <v>43438.0</v>
      </c>
      <c r="B474" s="174">
        <v>0.05456902550243162</v>
      </c>
      <c r="C474" s="174">
        <v>0.03708403711919484</v>
      </c>
      <c r="D474" s="174">
        <v>0.07294874021365798</v>
      </c>
      <c r="E474" s="282">
        <v>0.006444377671344359</v>
      </c>
      <c r="F474" s="287">
        <v>4899.698445441783</v>
      </c>
      <c r="G474" s="235">
        <v>41.25850242084119</v>
      </c>
      <c r="H474" s="235">
        <v>17838.98242795033</v>
      </c>
      <c r="I474" s="287">
        <v>13072.96821359404</v>
      </c>
      <c r="J474" s="233">
        <v>247363.2515946163</v>
      </c>
    </row>
    <row r="475">
      <c r="A475" s="184">
        <v>43437.0</v>
      </c>
      <c r="B475" s="174">
        <v>0.034656397825284214</v>
      </c>
      <c r="C475" s="174">
        <v>0.03721682384342533</v>
      </c>
      <c r="D475" s="174">
        <v>0.053101924737618836</v>
      </c>
      <c r="E475" s="282">
        <v>0.004015209031078492</v>
      </c>
      <c r="F475" s="287">
        <v>3033.11385251538</v>
      </c>
      <c r="G475" s="235">
        <v>37.81827136457988</v>
      </c>
      <c r="H475" s="235">
        <v>12939.283982508547</v>
      </c>
      <c r="I475" s="287">
        <v>13031.709711173198</v>
      </c>
      <c r="J475" s="233">
        <v>242463.55314917452</v>
      </c>
    </row>
    <row r="476">
      <c r="A476" s="184">
        <v>43434.0</v>
      </c>
      <c r="B476" s="174">
        <v>0.02232622037946754</v>
      </c>
      <c r="C476" s="174">
        <v>0.03741374698013705</v>
      </c>
      <c r="D476" s="174">
        <v>0.040869346996525995</v>
      </c>
      <c r="E476" s="282">
        <v>0.006411471272596643</v>
      </c>
      <c r="F476" s="287">
        <v>4823.818517757929</v>
      </c>
      <c r="G476" s="235">
        <v>23.537006985452678</v>
      </c>
      <c r="H476" s="235">
        <v>9906.170129993166</v>
      </c>
      <c r="I476" s="287">
        <v>12993.891439808618</v>
      </c>
      <c r="J476" s="233">
        <v>239430.43929665914</v>
      </c>
    </row>
    <row r="477">
      <c r="A477" s="184">
        <v>43433.0</v>
      </c>
      <c r="B477" s="174">
        <v>3.594202800492191E-5</v>
      </c>
      <c r="C477" s="174">
        <v>0.0375440813864028</v>
      </c>
      <c r="D477" s="174">
        <v>0.021041025448755506</v>
      </c>
      <c r="E477" s="282">
        <v>0.00254102390945811</v>
      </c>
      <c r="F477" s="287">
        <v>1898.0691673596739</v>
      </c>
      <c r="G477" s="235">
        <v>35.6357372670695</v>
      </c>
      <c r="H477" s="235">
        <v>5082.351612235238</v>
      </c>
      <c r="I477" s="287">
        <v>12970.354432823166</v>
      </c>
      <c r="J477" s="233">
        <v>234606.6207789012</v>
      </c>
    </row>
    <row r="478">
      <c r="A478" s="184">
        <v>43432.0</v>
      </c>
      <c r="B478" s="174">
        <v>-0.0087091745469105</v>
      </c>
      <c r="C478" s="174">
        <v>0.03852352688888412</v>
      </c>
      <c r="D478" s="174">
        <v>0.013228064030858574</v>
      </c>
      <c r="E478" s="282">
        <v>0.001626387875592536</v>
      </c>
      <c r="F478" s="287">
        <v>1213.29762213293</v>
      </c>
      <c r="G478" s="235">
        <v>53.87387440766848</v>
      </c>
      <c r="H478" s="235">
        <v>3184.2824448755637</v>
      </c>
      <c r="I478" s="287">
        <v>12934.718695556096</v>
      </c>
      <c r="J478" s="233">
        <v>232708.55161154154</v>
      </c>
    </row>
    <row r="479">
      <c r="A479" s="184">
        <v>43431.0</v>
      </c>
      <c r="B479" s="174">
        <v>-0.006863723282988801</v>
      </c>
      <c r="C479" s="174">
        <v>0.031722111514494354</v>
      </c>
      <c r="D479" s="174">
        <v>0.008215670628452418</v>
      </c>
      <c r="E479" s="282">
        <v>0.004760480106295384</v>
      </c>
      <c r="F479" s="287">
        <v>3553.495530645945</v>
      </c>
      <c r="G479" s="235">
        <v>66.12407934189086</v>
      </c>
      <c r="H479" s="235">
        <v>1970.9848227426337</v>
      </c>
      <c r="I479" s="287">
        <v>12880.844821148426</v>
      </c>
      <c r="J479" s="233">
        <v>231495.2539894086</v>
      </c>
    </row>
    <row r="480">
      <c r="A480" s="184">
        <v>43430.0</v>
      </c>
      <c r="B480" s="174">
        <v>-0.021749392501512393</v>
      </c>
      <c r="C480" s="174">
        <v>0.03182983471901514</v>
      </c>
      <c r="D480" s="174">
        <v>-0.006618791386110954</v>
      </c>
      <c r="E480" s="282">
        <v>-6.717505881487437E-4</v>
      </c>
      <c r="F480" s="287">
        <v>-499.0461245699553</v>
      </c>
      <c r="G480" s="235">
        <v>13.45301180769042</v>
      </c>
      <c r="H480" s="235">
        <v>-1582.5107079033114</v>
      </c>
      <c r="I480" s="287">
        <v>12814.720741806535</v>
      </c>
      <c r="J480" s="233">
        <v>227941.75845876266</v>
      </c>
    </row>
    <row r="481">
      <c r="A481" s="184">
        <v>43427.0</v>
      </c>
      <c r="B481" s="174">
        <v>-0.01977251665228957</v>
      </c>
      <c r="C481" s="174">
        <v>0.03199332270992037</v>
      </c>
      <c r="D481" s="174">
        <v>-0.004554825238308751</v>
      </c>
      <c r="E481" s="282">
        <v>0.008303543250652294</v>
      </c>
      <c r="F481" s="287">
        <v>6169.489999999874</v>
      </c>
      <c r="G481" s="235">
        <v>64.30038358814194</v>
      </c>
      <c r="H481" s="235">
        <v>-1083.4645833333561</v>
      </c>
      <c r="I481" s="287">
        <v>12801.267729998845</v>
      </c>
      <c r="J481" s="233">
        <v>228440.80458333262</v>
      </c>
    </row>
    <row r="482">
      <c r="A482" s="184">
        <v>43426.0</v>
      </c>
      <c r="B482" s="174">
        <v>-0.0458629297298455</v>
      </c>
      <c r="C482" s="174">
        <v>0.03210126596726527</v>
      </c>
      <c r="D482" s="174">
        <v>-0.030593894877879575</v>
      </c>
      <c r="E482" s="282">
        <v>-0.004515561096302035</v>
      </c>
      <c r="F482" s="287">
        <v>-3327.1799999996438</v>
      </c>
      <c r="G482" s="235">
        <v>46.24984195473832</v>
      </c>
      <c r="H482" s="235">
        <v>-7252.95458333323</v>
      </c>
      <c r="I482" s="287">
        <v>12736.967346410702</v>
      </c>
      <c r="J482" s="233">
        <v>222271.31458333274</v>
      </c>
    </row>
    <row r="483">
      <c r="A483" s="184">
        <v>43425.0</v>
      </c>
      <c r="B483" s="174">
        <v>-0.03195676209564424</v>
      </c>
      <c r="C483" s="174">
        <v>0.03220672611782076</v>
      </c>
      <c r="D483" s="174">
        <v>-0.016613823458666827</v>
      </c>
      <c r="E483" s="282">
        <v>-2.8427626844752183E-4</v>
      </c>
      <c r="F483" s="287">
        <v>-212.70000000006985</v>
      </c>
      <c r="G483" s="235">
        <v>60.43699765851661</v>
      </c>
      <c r="H483" s="235">
        <v>-3925.7745833335866</v>
      </c>
      <c r="I483" s="287">
        <v>12690.717504455963</v>
      </c>
      <c r="J483" s="233">
        <v>225598.4945833324</v>
      </c>
    </row>
    <row r="484">
      <c r="A484" s="184">
        <v>43424.0</v>
      </c>
      <c r="B484" s="174">
        <v>-0.031160754048932097</v>
      </c>
      <c r="C484" s="174">
        <v>0.03231471791895918</v>
      </c>
      <c r="D484" s="174">
        <v>-0.015766369277004418</v>
      </c>
      <c r="E484" s="282">
        <v>9.207559383486892E-4</v>
      </c>
      <c r="F484" s="287">
        <v>689.1199999993896</v>
      </c>
      <c r="G484" s="235">
        <v>52.05716559929072</v>
      </c>
      <c r="H484" s="235">
        <v>-3713.074583333517</v>
      </c>
      <c r="I484" s="287">
        <v>12630.280506797446</v>
      </c>
      <c r="J484" s="233">
        <v>225811.19458333246</v>
      </c>
    </row>
    <row r="485">
      <c r="A485" s="184">
        <v>43423.0</v>
      </c>
      <c r="B485" s="174">
        <v>-0.03420174415859606</v>
      </c>
      <c r="C485" s="174">
        <v>0.03242361123657465</v>
      </c>
      <c r="D485" s="174">
        <v>-0.01875548377894473</v>
      </c>
      <c r="E485" s="282">
        <v>-0.0047312606794350206</v>
      </c>
      <c r="F485" s="287">
        <v>-3537.7499999993943</v>
      </c>
      <c r="G485" s="235">
        <v>22.78369577549386</v>
      </c>
      <c r="H485" s="235">
        <v>-4402.194583332906</v>
      </c>
      <c r="I485" s="287">
        <v>12578.223341198156</v>
      </c>
      <c r="J485" s="233">
        <v>225122.07458333307</v>
      </c>
    </row>
    <row r="486">
      <c r="A486" s="184">
        <v>43420.0</v>
      </c>
      <c r="B486" s="174">
        <v>-0.01922807480849478</v>
      </c>
      <c r="C486" s="174">
        <v>0.03259117902576953</v>
      </c>
      <c r="D486" s="174">
        <v>-0.00370198693263208</v>
      </c>
      <c r="E486" s="282">
        <v>-0.00336628102615499</v>
      </c>
      <c r="F486" s="287">
        <v>-2529.0100000000093</v>
      </c>
      <c r="G486" s="235">
        <v>61.8366582839232</v>
      </c>
      <c r="H486" s="235">
        <v>-864.4445833335121</v>
      </c>
      <c r="I486" s="287">
        <v>12555.439645422663</v>
      </c>
      <c r="J486" s="233">
        <v>228659.82458333246</v>
      </c>
    </row>
    <row r="487">
      <c r="A487" s="184">
        <v>43419.0</v>
      </c>
      <c r="B487" s="174">
        <v>-0.008426517142431263</v>
      </c>
      <c r="C487" s="174">
        <v>0.032703481964022396</v>
      </c>
      <c r="D487" s="174">
        <v>0.007153070647830143</v>
      </c>
      <c r="E487" s="282">
        <v>-0.0026363246202494783</v>
      </c>
      <c r="F487" s="287">
        <v>-1987.2777264205638</v>
      </c>
      <c r="G487" s="235">
        <v>23.366668396612507</v>
      </c>
      <c r="H487" s="235">
        <v>1664.5654166664972</v>
      </c>
      <c r="I487" s="287">
        <v>12493.60298713874</v>
      </c>
      <c r="J487" s="233">
        <v>231188.83458333247</v>
      </c>
    </row>
    <row r="488">
      <c r="A488" s="184">
        <v>43418.0</v>
      </c>
      <c r="B488" s="174">
        <v>1.1372917779422023E-4</v>
      </c>
      <c r="C488" s="174">
        <v>0.032818018550232475</v>
      </c>
      <c r="D488" s="174">
        <v>0.015747880968366657</v>
      </c>
      <c r="E488" s="282">
        <v>-0.002145182113007036</v>
      </c>
      <c r="F488" s="287">
        <v>-1613.0170538490815</v>
      </c>
      <c r="G488" s="235">
        <v>50.667529093917935</v>
      </c>
      <c r="H488" s="235">
        <v>3651.843143087061</v>
      </c>
      <c r="I488" s="287">
        <v>12470.236318742127</v>
      </c>
      <c r="J488" s="233">
        <v>233176.11230975302</v>
      </c>
    </row>
    <row r="489">
      <c r="A489" s="184">
        <v>43417.0</v>
      </c>
      <c r="B489" s="174">
        <v>0.007094657580939429</v>
      </c>
      <c r="C489" s="174">
        <v>0.03293452872641661</v>
      </c>
      <c r="D489" s="174">
        <v>0.02278431356890334</v>
      </c>
      <c r="E489" s="282">
        <v>-0.008319567976317903</v>
      </c>
      <c r="F489" s="287">
        <v>-6269.1146087696925</v>
      </c>
      <c r="G489" s="235">
        <v>0.5621226165661497</v>
      </c>
      <c r="H489" s="235">
        <v>5264.8601969361425</v>
      </c>
      <c r="I489" s="287">
        <v>12419.568789648209</v>
      </c>
      <c r="J489" s="233">
        <v>235089.12936360211</v>
      </c>
    </row>
    <row r="490">
      <c r="A490" s="184">
        <v>43416.0</v>
      </c>
      <c r="B490" s="174">
        <v>0.034348122072383</v>
      </c>
      <c r="C490" s="174">
        <v>0.03305300601196853</v>
      </c>
      <c r="D490" s="174">
        <v>0.05009421936752755</v>
      </c>
      <c r="E490" s="282">
        <v>0.008189766060041851</v>
      </c>
      <c r="F490" s="287">
        <v>6222.646452101801</v>
      </c>
      <c r="G490" s="235">
        <v>37.78490602692047</v>
      </c>
      <c r="H490" s="235">
        <v>11533.974805705835</v>
      </c>
      <c r="I490" s="287">
        <v>12419.006667031643</v>
      </c>
      <c r="J490" s="233">
        <v>241358.2439723718</v>
      </c>
    </row>
    <row r="491">
      <c r="A491" s="184">
        <v>43413.0</v>
      </c>
      <c r="B491" s="174">
        <v>0.007362474354927928</v>
      </c>
      <c r="C491" s="174">
        <v>0.03323571763207085</v>
      </c>
      <c r="D491" s="174">
        <v>0.02319561350478436</v>
      </c>
      <c r="E491" s="282">
        <v>0.0037431794883777876</v>
      </c>
      <c r="F491" s="287">
        <v>2820.803721427445</v>
      </c>
      <c r="G491" s="235">
        <v>21.10898229050664</v>
      </c>
      <c r="H491" s="235">
        <v>5311.328353604034</v>
      </c>
      <c r="I491" s="287">
        <v>12381.221761004723</v>
      </c>
      <c r="J491" s="233">
        <v>235135.59752027</v>
      </c>
    </row>
    <row r="492">
      <c r="A492" s="184">
        <v>43412.0</v>
      </c>
      <c r="B492" s="174">
        <v>-0.004974523621128133</v>
      </c>
      <c r="C492" s="174">
        <v>0.03335637814154066</v>
      </c>
      <c r="D492" s="174">
        <v>0.010916096900350152</v>
      </c>
      <c r="E492" s="282">
        <v>0.004612148643205853</v>
      </c>
      <c r="F492" s="287">
        <v>3462.635831032896</v>
      </c>
      <c r="G492" s="235">
        <v>69.69385004785659</v>
      </c>
      <c r="H492" s="235">
        <v>2490.524632176589</v>
      </c>
      <c r="I492" s="287">
        <v>12360.112778714216</v>
      </c>
      <c r="J492" s="233">
        <v>232314.79379884255</v>
      </c>
    </row>
    <row r="493">
      <c r="A493" s="184">
        <v>43411.0</v>
      </c>
      <c r="B493" s="174">
        <v>-0.02022392382094574</v>
      </c>
      <c r="C493" s="174">
        <v>0.033476370081743916</v>
      </c>
      <c r="D493" s="174">
        <v>-0.004276140427068213</v>
      </c>
      <c r="E493" s="282">
        <v>0.004351036086827473</v>
      </c>
      <c r="F493" s="287">
        <v>3251.535832534395</v>
      </c>
      <c r="G493" s="235">
        <v>68.97513657168172</v>
      </c>
      <c r="H493" s="235">
        <v>-972.111198856307</v>
      </c>
      <c r="I493" s="287">
        <v>12290.418928666359</v>
      </c>
      <c r="J493" s="233">
        <v>228852.15796780965</v>
      </c>
    </row>
    <row r="494">
      <c r="A494" s="184">
        <v>43410.0</v>
      </c>
      <c r="B494" s="174">
        <v>-0.034649497672225464</v>
      </c>
      <c r="C494" s="174">
        <v>0.03359529709842957</v>
      </c>
      <c r="D494" s="174">
        <v>-0.018645058724082297</v>
      </c>
      <c r="E494" s="282">
        <v>-4.0274685451264955E-4</v>
      </c>
      <c r="F494" s="287">
        <v>-299.66378621332933</v>
      </c>
      <c r="G494" s="235">
        <v>0.7492484508081942</v>
      </c>
      <c r="H494" s="235">
        <v>-4223.647031390702</v>
      </c>
      <c r="I494" s="287">
        <v>12221.443792094677</v>
      </c>
      <c r="J494" s="233">
        <v>225600.62213527525</v>
      </c>
    </row>
    <row r="495">
      <c r="A495" s="184">
        <v>43409.0</v>
      </c>
      <c r="B495" s="174">
        <v>-0.03344365602055932</v>
      </c>
      <c r="C495" s="174">
        <v>0.033713248043811546</v>
      </c>
      <c r="D495" s="174">
        <v>-0.017383026508043083</v>
      </c>
      <c r="E495" s="282">
        <v>0.0010659391752275284</v>
      </c>
      <c r="F495" s="287">
        <v>793.431437883346</v>
      </c>
      <c r="G495" s="235">
        <v>6.085105598139614</v>
      </c>
      <c r="H495" s="235">
        <v>-3923.9832451773727</v>
      </c>
      <c r="I495" s="287">
        <v>12220.69454364387</v>
      </c>
      <c r="J495" s="233">
        <v>225900.28592148857</v>
      </c>
    </row>
    <row r="496">
      <c r="A496" s="184">
        <v>43406.0</v>
      </c>
      <c r="B496" s="174">
        <v>-0.03715624718681164</v>
      </c>
      <c r="C496" s="174">
        <v>0.033893619565711845</v>
      </c>
      <c r="D496" s="174">
        <v>-0.02100969061724991</v>
      </c>
      <c r="E496" s="282">
        <v>-0.005540363585952912</v>
      </c>
      <c r="F496" s="287">
        <v>-4119.571724047297</v>
      </c>
      <c r="G496" s="235">
        <v>42.26459200200921</v>
      </c>
      <c r="H496" s="235">
        <v>-4717.414683060719</v>
      </c>
      <c r="I496" s="287">
        <v>12214.609438045729</v>
      </c>
      <c r="J496" s="233">
        <v>225106.85448360522</v>
      </c>
    </row>
    <row r="497">
      <c r="A497" s="184">
        <v>43405.0</v>
      </c>
      <c r="B497" s="174">
        <v>-0.018875586993082075</v>
      </c>
      <c r="C497" s="174">
        <v>0.034013361037511014</v>
      </c>
      <c r="D497" s="174">
        <v>-0.0026719868715804505</v>
      </c>
      <c r="E497" s="282">
        <v>-0.0042085426039435905</v>
      </c>
      <c r="F497" s="287">
        <v>-3146.625361613621</v>
      </c>
      <c r="G497" s="235">
        <v>2.8834733067306018</v>
      </c>
      <c r="H497" s="235">
        <v>-597.8429590134219</v>
      </c>
      <c r="I497" s="287">
        <v>12172.34484604372</v>
      </c>
      <c r="J497" s="233">
        <v>229226.42620765252</v>
      </c>
    </row>
    <row r="498">
      <c r="A498" s="184">
        <v>43404.0</v>
      </c>
      <c r="B498" s="174">
        <v>-0.004847889182859048</v>
      </c>
      <c r="C498" s="174">
        <v>0.034136476936573894</v>
      </c>
      <c r="D498" s="174">
        <v>0.01143270795837582</v>
      </c>
      <c r="E498" s="282">
        <v>0.007910853707849642</v>
      </c>
      <c r="F498" s="287">
        <v>5730.798936119121</v>
      </c>
      <c r="G498" s="235">
        <v>36.73008875096963</v>
      </c>
      <c r="H498" s="235">
        <v>2548.782402600199</v>
      </c>
      <c r="I498" s="287">
        <v>12169.461372736989</v>
      </c>
      <c r="J498" s="233">
        <v>232373.05156926613</v>
      </c>
    </row>
    <row r="499">
      <c r="A499" s="184">
        <v>43403.0</v>
      </c>
      <c r="B499" s="174">
        <v>-0.03316513507858478</v>
      </c>
      <c r="C499" s="174">
        <v>0.03426244986276382</v>
      </c>
      <c r="D499" s="174">
        <v>-0.014325787246797778</v>
      </c>
      <c r="E499" s="282">
        <v>-0.002054128894014207</v>
      </c>
      <c r="F499" s="287">
        <v>-1475.1449621581214</v>
      </c>
      <c r="G499" s="235">
        <v>10.545800537278094</v>
      </c>
      <c r="H499" s="235">
        <v>-3182.016533518922</v>
      </c>
      <c r="I499" s="287">
        <v>12132.731283986019</v>
      </c>
      <c r="J499" s="233">
        <v>226642.252633147</v>
      </c>
    </row>
    <row r="500">
      <c r="A500" s="184">
        <v>43402.0</v>
      </c>
      <c r="B500" s="174">
        <v>-0.02661948405491938</v>
      </c>
      <c r="C500" s="174">
        <v>0.03438595920943559</v>
      </c>
      <c r="D500" s="174">
        <v>-0.007712224105004623</v>
      </c>
      <c r="E500" s="282">
        <v>-3.7509586553821357E-4</v>
      </c>
      <c r="F500" s="287">
        <v>-269.92335786967965</v>
      </c>
      <c r="G500" s="235">
        <v>0.3774141686558663</v>
      </c>
      <c r="H500" s="235">
        <v>-1706.871571360801</v>
      </c>
      <c r="I500" s="287">
        <v>12122.18548344874</v>
      </c>
      <c r="J500" s="233">
        <v>228117.3975953051</v>
      </c>
    </row>
    <row r="501">
      <c r="A501" s="184">
        <v>43399.0</v>
      </c>
      <c r="B501" s="174">
        <v>-0.02553900885664023</v>
      </c>
      <c r="C501" s="174">
        <v>0.03457431121871021</v>
      </c>
      <c r="D501" s="174">
        <v>-0.006528182786037845</v>
      </c>
      <c r="E501" s="282">
        <v>-0.0028673333562460684</v>
      </c>
      <c r="F501" s="287">
        <v>-2064.140472003639</v>
      </c>
      <c r="G501" s="235">
        <v>37.32389481720242</v>
      </c>
      <c r="H501" s="235">
        <v>-1436.9482134911214</v>
      </c>
      <c r="I501" s="287">
        <v>12121.808069280085</v>
      </c>
      <c r="J501" s="233">
        <v>228387.32095317479</v>
      </c>
    </row>
    <row r="502">
      <c r="A502" s="184">
        <v>43398.0</v>
      </c>
      <c r="B502" s="174">
        <v>-0.016220717387209288</v>
      </c>
      <c r="C502" s="174">
        <v>0.03470113204755023</v>
      </c>
      <c r="D502" s="174">
        <v>0.002859841633500361</v>
      </c>
      <c r="E502" s="282">
        <v>-0.004079100643472726</v>
      </c>
      <c r="F502" s="287">
        <v>-2944.88926021708</v>
      </c>
      <c r="G502" s="235">
        <v>36.6385693853832</v>
      </c>
      <c r="H502" s="235">
        <v>627.1922585125176</v>
      </c>
      <c r="I502" s="287">
        <v>12084.484174462883</v>
      </c>
      <c r="J502" s="233">
        <v>224391.46142517842</v>
      </c>
    </row>
    <row r="503">
      <c r="A503" s="184">
        <v>43397.0</v>
      </c>
      <c r="B503" s="174">
        <v>-0.0028028384891698108</v>
      </c>
      <c r="C503" s="174">
        <v>0.03482648033326865</v>
      </c>
      <c r="D503" s="174">
        <v>0.016346643797804393</v>
      </c>
      <c r="E503" s="282">
        <v>0.006340090583865679</v>
      </c>
      <c r="F503" s="287">
        <v>4595.8721404225325</v>
      </c>
      <c r="G503" s="235">
        <v>22.960817609831246</v>
      </c>
      <c r="H503" s="235">
        <v>3572.0815187295975</v>
      </c>
      <c r="I503" s="287">
        <v>12047.8456050775</v>
      </c>
      <c r="J503" s="233">
        <v>227336.3506853955</v>
      </c>
    </row>
    <row r="504">
      <c r="A504" s="184">
        <v>43396.0</v>
      </c>
      <c r="B504" s="174">
        <v>-0.023922295870940125</v>
      </c>
      <c r="C504" s="174">
        <v>0.03495465277074576</v>
      </c>
      <c r="D504" s="174">
        <v>-0.004702337446335626</v>
      </c>
      <c r="E504" s="282">
        <v>-0.0019197027618262827</v>
      </c>
      <c r="F504" s="287">
        <v>-1382.7518005134789</v>
      </c>
      <c r="G504" s="235">
        <v>33.241987730835845</v>
      </c>
      <c r="H504" s="235">
        <v>-1023.7906216929348</v>
      </c>
      <c r="I504" s="287">
        <v>12024.884787467669</v>
      </c>
      <c r="J504" s="233">
        <v>222740.47854497298</v>
      </c>
    </row>
    <row r="505">
      <c r="A505" s="184">
        <v>43395.0</v>
      </c>
      <c r="B505" s="174">
        <v>-0.017634714257761426</v>
      </c>
      <c r="C505" s="174">
        <v>0.03508095033906559</v>
      </c>
      <c r="D505" s="174">
        <v>0.0016546894000186523</v>
      </c>
      <c r="E505" s="282">
        <v>-8.577562484765536E-4</v>
      </c>
      <c r="F505" s="287">
        <v>-619.0233774435162</v>
      </c>
      <c r="G505" s="235">
        <v>26.737069840720164</v>
      </c>
      <c r="H505" s="235">
        <v>358.9611788205441</v>
      </c>
      <c r="I505" s="287">
        <v>11991.642799736832</v>
      </c>
      <c r="J505" s="233">
        <v>224123.23034548646</v>
      </c>
    </row>
    <row r="506">
      <c r="A506" s="184">
        <v>43392.0</v>
      </c>
      <c r="B506" s="174">
        <v>-0.014862474044740445</v>
      </c>
      <c r="C506" s="174">
        <v>0.035273779404874354</v>
      </c>
      <c r="D506" s="174">
        <v>0.0045329574615268495</v>
      </c>
      <c r="E506" s="282">
        <v>-0.002515839621044748</v>
      </c>
      <c r="F506" s="287">
        <v>-1817.182189463174</v>
      </c>
      <c r="G506" s="235">
        <v>49.221626755158425</v>
      </c>
      <c r="H506" s="235">
        <v>977.9845562640603</v>
      </c>
      <c r="I506" s="287">
        <v>11964.905729896112</v>
      </c>
      <c r="J506" s="233">
        <v>224742.25372292998</v>
      </c>
    </row>
    <row r="507">
      <c r="A507" s="184">
        <v>43391.0</v>
      </c>
      <c r="B507" s="174">
        <v>-0.006463547329615148</v>
      </c>
      <c r="C507" s="174">
        <v>0.035403654600144316</v>
      </c>
      <c r="D507" s="174">
        <v>0.013003296582601291</v>
      </c>
      <c r="E507" s="282">
        <v>-7.155676404166996E-4</v>
      </c>
      <c r="F507" s="287">
        <v>-518.1523293737537</v>
      </c>
      <c r="G507" s="235">
        <v>8.88615686672103</v>
      </c>
      <c r="H507" s="235">
        <v>2795.1667457272342</v>
      </c>
      <c r="I507" s="287">
        <v>11915.684103140955</v>
      </c>
      <c r="J507" s="233">
        <v>226559.43591239315</v>
      </c>
    </row>
    <row r="508">
      <c r="A508" s="184">
        <v>43390.0</v>
      </c>
      <c r="B508" s="174">
        <v>-0.004068190602449104</v>
      </c>
      <c r="C508" s="174">
        <v>0.03553574073361293</v>
      </c>
      <c r="D508" s="174">
        <v>0.01547128140910461</v>
      </c>
      <c r="E508" s="282">
        <v>0.006732434728090939</v>
      </c>
      <c r="F508" s="287">
        <v>4878.536625793962</v>
      </c>
      <c r="G508" s="235">
        <v>69.15394971236437</v>
      </c>
      <c r="H508" s="235">
        <v>3313.319075100988</v>
      </c>
      <c r="I508" s="287">
        <v>11906.797946274233</v>
      </c>
      <c r="J508" s="233">
        <v>227077.5882417669</v>
      </c>
    </row>
    <row r="509">
      <c r="A509" s="184">
        <v>43389.0</v>
      </c>
      <c r="B509" s="174">
        <v>-0.02694898756298694</v>
      </c>
      <c r="C509" s="174">
        <v>0.035669232023725385</v>
      </c>
      <c r="D509" s="174">
        <v>-0.0073361148209829625</v>
      </c>
      <c r="E509" s="282">
        <v>0.0035393151297347745</v>
      </c>
      <c r="F509" s="287">
        <v>2547.4337884285533</v>
      </c>
      <c r="G509" s="235">
        <v>44.686966336169114</v>
      </c>
      <c r="H509" s="235">
        <v>-1565.2175506929743</v>
      </c>
      <c r="I509" s="287">
        <v>11837.643996561868</v>
      </c>
      <c r="J509" s="233">
        <v>222199.05161597295</v>
      </c>
    </row>
    <row r="510">
      <c r="A510" s="184">
        <v>43388.0</v>
      </c>
      <c r="B510" s="174">
        <v>-0.0390319443179792</v>
      </c>
      <c r="C510" s="174">
        <v>0.035800606254535884</v>
      </c>
      <c r="D510" s="174">
        <v>-0.019346834919218736</v>
      </c>
      <c r="E510" s="282">
        <v>-0.0014138210049140787</v>
      </c>
      <c r="F510" s="287">
        <v>-1014.0007360986083</v>
      </c>
      <c r="G510" s="235">
        <v>43.87238502493376</v>
      </c>
      <c r="H510" s="235">
        <v>-4112.651339121528</v>
      </c>
      <c r="I510" s="287">
        <v>11792.9570302257</v>
      </c>
      <c r="J510" s="233">
        <v>219651.6178275444</v>
      </c>
    </row>
    <row r="511">
      <c r="A511" s="184">
        <v>43385.0</v>
      </c>
      <c r="B511" s="174">
        <v>-0.03445053781692099</v>
      </c>
      <c r="C511" s="174">
        <v>0.035997760705240855</v>
      </c>
      <c r="D511" s="174">
        <v>-0.014657022239142602</v>
      </c>
      <c r="E511" s="282">
        <v>0.002504791950054665</v>
      </c>
      <c r="F511" s="287">
        <v>1798.9913722827805</v>
      </c>
      <c r="G511" s="235">
        <v>36.31254965301015</v>
      </c>
      <c r="H511" s="235">
        <v>-3098.6506030229193</v>
      </c>
      <c r="I511" s="287">
        <v>11749.084645200766</v>
      </c>
      <c r="J511" s="233">
        <v>220665.61856364302</v>
      </c>
    </row>
    <row r="512">
      <c r="A512" s="184">
        <v>43384.0</v>
      </c>
      <c r="B512" s="174">
        <v>-0.043162539357061505</v>
      </c>
      <c r="C512" s="174">
        <v>0.036130516947785525</v>
      </c>
      <c r="D512" s="174">
        <v>-0.023251922246658594</v>
      </c>
      <c r="E512" s="282">
        <v>-0.006181786885590801</v>
      </c>
      <c r="F512" s="287">
        <v>-4544.819662591174</v>
      </c>
      <c r="G512" s="235">
        <v>59.846230776249186</v>
      </c>
      <c r="H512" s="235">
        <v>-4897.6419753057</v>
      </c>
      <c r="I512" s="287">
        <v>11712.772095547756</v>
      </c>
      <c r="J512" s="233">
        <v>218866.62719136022</v>
      </c>
    </row>
    <row r="513">
      <c r="A513" s="184">
        <v>43383.0</v>
      </c>
      <c r="B513" s="174">
        <v>-0.02166489142544973</v>
      </c>
      <c r="C513" s="174">
        <v>0.036263123560267556</v>
      </c>
      <c r="D513" s="174">
        <v>-0.0016811981536607843</v>
      </c>
      <c r="E513" s="282">
        <v>-0.010776171318431624</v>
      </c>
      <c r="F513" s="287">
        <v>-7971.564515127549</v>
      </c>
      <c r="G513" s="235">
        <v>65.76945478952469</v>
      </c>
      <c r="H513" s="235">
        <v>-352.82231271452565</v>
      </c>
      <c r="I513" s="287">
        <v>11652.925864771507</v>
      </c>
      <c r="J513" s="233">
        <v>223411.4468539514</v>
      </c>
    </row>
    <row r="514">
      <c r="A514" s="184">
        <v>43382.0</v>
      </c>
      <c r="B514" s="174">
        <v>0.020631534298018835</v>
      </c>
      <c r="C514" s="174">
        <v>0.0321494846513948</v>
      </c>
      <c r="D514" s="174">
        <v>0.036440200114169916</v>
      </c>
      <c r="E514" s="282">
        <v>0.00531702982637258</v>
      </c>
      <c r="F514" s="287">
        <v>3980.3294436278793</v>
      </c>
      <c r="G514" s="235">
        <v>67.67742915271504</v>
      </c>
      <c r="H514" s="235">
        <v>7618.742202413024</v>
      </c>
      <c r="I514" s="287">
        <v>11587.156409981983</v>
      </c>
      <c r="J514" s="233">
        <v>231383.01136907894</v>
      </c>
    </row>
    <row r="515">
      <c r="A515" s="184">
        <v>43381.0</v>
      </c>
      <c r="B515" s="174">
        <v>0.0016000209446443599</v>
      </c>
      <c r="C515" s="174">
        <v>0.0322760653643303</v>
      </c>
      <c r="D515" s="174">
        <v>0.01747092950624737</v>
      </c>
      <c r="E515" s="282">
        <v>-0.0014794116733835572</v>
      </c>
      <c r="F515" s="287">
        <v>-1101.5992876103755</v>
      </c>
      <c r="G515" s="235">
        <v>62.24659218756076</v>
      </c>
      <c r="H515" s="235">
        <v>3638.4127587851444</v>
      </c>
      <c r="I515" s="287">
        <v>11519.478980829268</v>
      </c>
      <c r="J515" s="233">
        <v>227402.68192545106</v>
      </c>
    </row>
    <row r="516">
      <c r="A516" s="184">
        <v>43378.0</v>
      </c>
      <c r="B516" s="174">
        <v>0.006929280349802693</v>
      </c>
      <c r="C516" s="174">
        <v>0.03246158036731141</v>
      </c>
      <c r="D516" s="174">
        <v>0.02289141104817745</v>
      </c>
      <c r="E516" s="282">
        <v>-0.005291623244090104</v>
      </c>
      <c r="F516" s="287">
        <v>-3946.0769163490977</v>
      </c>
      <c r="G516" s="235">
        <v>69.80890298612917</v>
      </c>
      <c r="H516" s="235">
        <v>4740.01204639552</v>
      </c>
      <c r="I516" s="287">
        <v>11457.232388641707</v>
      </c>
      <c r="J516" s="233">
        <v>228504.28121306145</v>
      </c>
    </row>
    <row r="517">
      <c r="A517" s="184">
        <v>43377.0</v>
      </c>
      <c r="B517" s="174">
        <v>0.02608833247633182</v>
      </c>
      <c r="C517" s="174">
        <v>0.0325888346864189</v>
      </c>
      <c r="D517" s="174">
        <v>0.0421130371483253</v>
      </c>
      <c r="E517" s="282">
        <v>-0.011363258314965197</v>
      </c>
      <c r="F517" s="287">
        <v>-8528.881351170474</v>
      </c>
      <c r="G517" s="235">
        <v>68.62460608485578</v>
      </c>
      <c r="H517" s="235">
        <v>8686.088962744618</v>
      </c>
      <c r="I517" s="287">
        <v>11387.423485655578</v>
      </c>
      <c r="J517" s="233">
        <v>232450.35812941054</v>
      </c>
    </row>
    <row r="518">
      <c r="A518" s="184">
        <v>43376.0</v>
      </c>
      <c r="B518" s="174">
        <v>0.06769151136757656</v>
      </c>
      <c r="C518" s="174">
        <v>0.03271961648436921</v>
      </c>
      <c r="D518" s="174">
        <v>0.0837988274415997</v>
      </c>
      <c r="E518" s="282">
        <v>-6.267159344653131E-4</v>
      </c>
      <c r="F518" s="287">
        <v>-471.8801288761424</v>
      </c>
      <c r="G518" s="235">
        <v>53.81608974353079</v>
      </c>
      <c r="H518" s="235">
        <v>17214.97031391509</v>
      </c>
      <c r="I518" s="287">
        <v>11318.798879570722</v>
      </c>
      <c r="J518" s="233">
        <v>240979.23948058102</v>
      </c>
    </row>
    <row r="519">
      <c r="A519" s="184">
        <v>43375.0</v>
      </c>
      <c r="B519" s="174">
        <v>0.07028211593305206</v>
      </c>
      <c r="C519" s="174">
        <v>0.032856870711476034</v>
      </c>
      <c r="D519" s="174">
        <v>0.08645699995120319</v>
      </c>
      <c r="E519" s="282">
        <v>0.004017369960942634</v>
      </c>
      <c r="F519" s="287">
        <v>3026.738314251834</v>
      </c>
      <c r="G519" s="235">
        <v>32.46144647595567</v>
      </c>
      <c r="H519" s="235">
        <v>17686.850442791234</v>
      </c>
      <c r="I519" s="287">
        <v>11264.982789827192</v>
      </c>
      <c r="J519" s="233">
        <v>241451.11960945715</v>
      </c>
    </row>
    <row r="520">
      <c r="A520" s="184">
        <v>43374.0</v>
      </c>
      <c r="B520" s="174">
        <v>0.055721177608100296</v>
      </c>
      <c r="C520" s="174">
        <v>0.032995664795962595</v>
      </c>
      <c r="D520" s="174">
        <v>0.07196438761623049</v>
      </c>
      <c r="E520" s="282">
        <v>0.003589952463695833</v>
      </c>
      <c r="F520" s="287">
        <v>2693.8506155570867</v>
      </c>
      <c r="G520" s="235">
        <v>2.5511090117573723</v>
      </c>
      <c r="H520" s="235">
        <v>14660.1121285394</v>
      </c>
      <c r="I520" s="287">
        <v>11232.521343351236</v>
      </c>
      <c r="J520" s="233">
        <v>238424.38129520533</v>
      </c>
    </row>
    <row r="521">
      <c r="A521" s="184">
        <v>43371.0</v>
      </c>
      <c r="B521" s="174">
        <v>0.04027795562907376</v>
      </c>
      <c r="C521" s="174">
        <v>0.033195843020937116</v>
      </c>
      <c r="D521" s="174">
        <v>0.059097029414228404</v>
      </c>
      <c r="E521" s="282">
        <v>0.00677918722612495</v>
      </c>
      <c r="F521" s="287">
        <v>5065.345523592406</v>
      </c>
      <c r="G521" s="235">
        <v>59.62146911847931</v>
      </c>
      <c r="H521" s="235">
        <v>11966.261512982313</v>
      </c>
      <c r="I521" s="287">
        <v>11229.970234339478</v>
      </c>
      <c r="J521" s="233">
        <v>235730.53067964825</v>
      </c>
    </row>
    <row r="522">
      <c r="A522" s="184">
        <v>43370.0</v>
      </c>
      <c r="B522" s="174">
        <v>0.015325478898464208</v>
      </c>
      <c r="C522" s="174">
        <v>0.03333380540055374</v>
      </c>
      <c r="D522" s="174">
        <v>0.034222765012793414</v>
      </c>
      <c r="E522" s="282">
        <v>0.005473921041500007</v>
      </c>
      <c r="F522" s="287">
        <v>4062.3354921025843</v>
      </c>
      <c r="G522" s="235">
        <v>42.12813181168015</v>
      </c>
      <c r="H522" s="235">
        <v>6900.915989389908</v>
      </c>
      <c r="I522" s="287">
        <v>11170.348765220999</v>
      </c>
      <c r="J522" s="233">
        <v>230665.18515605584</v>
      </c>
    </row>
    <row r="523">
      <c r="A523" s="184">
        <v>43369.0</v>
      </c>
      <c r="B523" s="279">
        <v>-0.004839957187520758</v>
      </c>
      <c r="C523" s="279">
        <v>0.033469715301580195</v>
      </c>
      <c r="D523" s="279">
        <v>0.014134377684206681</v>
      </c>
      <c r="E523" s="282">
        <v>0.005504049775378918</v>
      </c>
      <c r="F523" s="287">
        <v>4062.335492102585</v>
      </c>
      <c r="G523" s="235">
        <v>39.9771367922366</v>
      </c>
      <c r="H523" s="235">
        <v>2838.5804972873234</v>
      </c>
      <c r="I523" s="287">
        <v>11128.220633409319</v>
      </c>
      <c r="J523" s="233">
        <v>226602.84966395327</v>
      </c>
    </row>
    <row r="524">
      <c r="A524" s="184">
        <v>43368.0</v>
      </c>
      <c r="B524" s="174">
        <v>-0.025168575408574763</v>
      </c>
      <c r="C524" s="174">
        <v>0.03360416157348079</v>
      </c>
      <c r="D524" s="174">
        <v>-0.006118021526248904</v>
      </c>
      <c r="E524" s="282">
        <v>-0.0017679294970196866</v>
      </c>
      <c r="F524" s="287">
        <v>-1305.1714495637116</v>
      </c>
      <c r="G524" s="235">
        <v>21.198591983339536</v>
      </c>
      <c r="H524" s="235">
        <v>-1223.7549948152614</v>
      </c>
      <c r="I524" s="287">
        <v>11088.243496617082</v>
      </c>
      <c r="J524" s="233">
        <v>222540.5141718507</v>
      </c>
    </row>
    <row r="525">
      <c r="A525" s="184">
        <v>43367.0</v>
      </c>
      <c r="B525" s="174">
        <v>-0.018717271603325272</v>
      </c>
      <c r="C525" s="174">
        <v>0.033737092599600865</v>
      </c>
      <c r="D525" s="174">
        <v>4.0864228077285643E-4</v>
      </c>
      <c r="E525" s="282">
        <v>-0.001507570976524701</v>
      </c>
      <c r="F525" s="287">
        <v>-1114.9297788109961</v>
      </c>
      <c r="G525" s="235">
        <v>50.87592601946111</v>
      </c>
      <c r="H525" s="235">
        <v>81.41645474845018</v>
      </c>
      <c r="I525" s="287">
        <v>11067.044904633743</v>
      </c>
      <c r="J525" s="233">
        <v>223845.6856214144</v>
      </c>
    </row>
    <row r="526">
      <c r="A526" s="184">
        <v>43364.0</v>
      </c>
      <c r="B526" s="174">
        <v>-0.01319857335483105</v>
      </c>
      <c r="C526" s="174">
        <v>0.03393587968876503</v>
      </c>
      <c r="D526" s="174">
        <v>0.006040035028278814</v>
      </c>
      <c r="E526" s="282">
        <v>7.653645880530359E-4</v>
      </c>
      <c r="F526" s="287">
        <v>567.9695879530783</v>
      </c>
      <c r="G526" s="235">
        <v>7.304815457038232</v>
      </c>
      <c r="H526" s="235">
        <v>1196.3462335594463</v>
      </c>
      <c r="I526" s="287">
        <v>11016.168978614282</v>
      </c>
      <c r="J526" s="233">
        <v>224960.6154002254</v>
      </c>
    </row>
    <row r="527">
      <c r="A527" s="184">
        <v>43363.0</v>
      </c>
      <c r="B527" s="174">
        <v>-0.01613104208515715</v>
      </c>
      <c r="C527" s="174">
        <v>0.03407305199160606</v>
      </c>
      <c r="D527" s="174">
        <v>0.003185330724264067</v>
      </c>
      <c r="E527" s="282">
        <v>-0.0038209547868608583</v>
      </c>
      <c r="F527" s="287">
        <v>-2833.323054303443</v>
      </c>
      <c r="G527" s="235">
        <v>39.89095991161175</v>
      </c>
      <c r="H527" s="235">
        <v>628.3766456063681</v>
      </c>
      <c r="I527" s="287">
        <v>11008.864163157243</v>
      </c>
      <c r="J527" s="233">
        <v>224392.6458122723</v>
      </c>
    </row>
    <row r="528">
      <c r="A528" s="184">
        <v>43362.0</v>
      </c>
      <c r="B528" s="174">
        <v>-0.0017886136732618348</v>
      </c>
      <c r="C528" s="174">
        <v>0.03421103726771539</v>
      </c>
      <c r="D528" s="174">
        <v>0.017618912209670493</v>
      </c>
      <c r="E528" s="282">
        <v>-0.0029566146814609647</v>
      </c>
      <c r="F528" s="287">
        <v>-2204.471981023731</v>
      </c>
      <c r="G528" s="235">
        <v>32.1777075139869</v>
      </c>
      <c r="H528" s="235">
        <v>3461.699699909811</v>
      </c>
      <c r="I528" s="287">
        <v>10968.97320324563</v>
      </c>
      <c r="J528" s="233">
        <v>227225.96886657574</v>
      </c>
    </row>
    <row r="529">
      <c r="A529" s="184">
        <v>43361.0</v>
      </c>
      <c r="B529" s="174">
        <v>0.009470331055099682</v>
      </c>
      <c r="C529" s="174">
        <v>0.03435216950222998</v>
      </c>
      <c r="D529" s="174">
        <v>0.028957919622855738</v>
      </c>
      <c r="E529" s="282">
        <v>-0.0035156884661656875</v>
      </c>
      <c r="F529" s="287">
        <v>-2629.0714275604687</v>
      </c>
      <c r="G529" s="235">
        <v>63.79148314263934</v>
      </c>
      <c r="H529" s="235">
        <v>5666.171680933542</v>
      </c>
      <c r="I529" s="287">
        <v>10936.795495731643</v>
      </c>
      <c r="J529" s="233">
        <v>229430.44084759947</v>
      </c>
    </row>
    <row r="530">
      <c r="A530" s="184">
        <v>43360.0</v>
      </c>
      <c r="B530" s="174">
        <v>0.02299028704820578</v>
      </c>
      <c r="C530" s="174">
        <v>0.034496081364366625</v>
      </c>
      <c r="D530" s="174">
        <v>0.04257183213786639</v>
      </c>
      <c r="E530" s="282">
        <v>-0.003154317618840458</v>
      </c>
      <c r="F530" s="287">
        <v>-2360.808687903973</v>
      </c>
      <c r="G530" s="235">
        <v>15.734558082638815</v>
      </c>
      <c r="H530" s="235">
        <v>8295.24310849401</v>
      </c>
      <c r="I530" s="287">
        <v>10873.004012589005</v>
      </c>
      <c r="J530" s="233">
        <v>232059.51227515994</v>
      </c>
    </row>
    <row r="531">
      <c r="A531" s="184">
        <v>43357.0</v>
      </c>
      <c r="B531" s="174">
        <v>0.03532268497503909</v>
      </c>
      <c r="C531" s="174">
        <v>0.03470886266683871</v>
      </c>
      <c r="D531" s="174">
        <v>0.05502501441190088</v>
      </c>
      <c r="E531" s="282">
        <v>-0.0010651605730597404</v>
      </c>
      <c r="F531" s="287">
        <v>-799.7204511487707</v>
      </c>
      <c r="G531" s="235">
        <v>8.676620781296766</v>
      </c>
      <c r="H531" s="235">
        <v>10656.051796397984</v>
      </c>
      <c r="I531" s="287">
        <v>10857.269454506366</v>
      </c>
      <c r="J531" s="233">
        <v>233980.32096306392</v>
      </c>
    </row>
    <row r="532">
      <c r="A532" s="184">
        <v>43356.0</v>
      </c>
      <c r="B532" s="174">
        <v>0.03962283472293542</v>
      </c>
      <c r="C532" s="174">
        <v>0.034858956826887944</v>
      </c>
      <c r="D532" s="174">
        <v>0.059410364433174774</v>
      </c>
      <c r="E532" s="282">
        <v>-0.002772933089762832</v>
      </c>
      <c r="F532" s="287">
        <v>-2084.130249669259</v>
      </c>
      <c r="G532" s="235">
        <v>48.03178640479901</v>
      </c>
      <c r="H532" s="235">
        <v>11455.772247546754</v>
      </c>
      <c r="I532" s="287">
        <v>10848.59283372507</v>
      </c>
      <c r="J532" s="233">
        <v>234780.0414142127</v>
      </c>
    </row>
    <row r="533">
      <c r="A533" s="184">
        <v>43355.0</v>
      </c>
      <c r="B533" s="174">
        <v>0.05065125811149395</v>
      </c>
      <c r="C533" s="174">
        <v>0.03501101850890527</v>
      </c>
      <c r="D533" s="174">
        <v>0.07052510495008713</v>
      </c>
      <c r="E533" s="282">
        <v>-0.0016114925638760424</v>
      </c>
      <c r="F533" s="287">
        <v>-1214.552733057435</v>
      </c>
      <c r="G533" s="235">
        <v>50.2796890908438</v>
      </c>
      <c r="H533" s="235">
        <v>13539.902497216013</v>
      </c>
      <c r="I533" s="287">
        <v>10800.56104732027</v>
      </c>
      <c r="J533" s="233">
        <v>236864.17166388195</v>
      </c>
    </row>
    <row r="534">
      <c r="A534" s="184">
        <v>43354.0</v>
      </c>
      <c r="B534" s="174">
        <v>0.05722970925604248</v>
      </c>
      <c r="C534" s="174">
        <v>0.035166004681458765</v>
      </c>
      <c r="D534" s="174">
        <v>0.07719153329685971</v>
      </c>
      <c r="E534" s="282">
        <v>-6.447710734435443E-4</v>
      </c>
      <c r="F534" s="287">
        <v>-486.7353784344177</v>
      </c>
      <c r="G534" s="235">
        <v>28.548032972911816</v>
      </c>
      <c r="H534" s="235">
        <v>14754.455230273448</v>
      </c>
      <c r="I534" s="287">
        <v>10750.281358229427</v>
      </c>
      <c r="J534" s="233">
        <v>238578.7243969394</v>
      </c>
    </row>
    <row r="535">
      <c r="A535" s="184">
        <v>43353.0</v>
      </c>
      <c r="B535" s="174">
        <v>0.06004425641083179</v>
      </c>
      <c r="C535" s="174">
        <v>0.035323710123311036</v>
      </c>
      <c r="D535" s="174">
        <v>0.08009560123483296</v>
      </c>
      <c r="E535" s="282">
        <v>-0.001596860190158478</v>
      </c>
      <c r="F535" s="287">
        <v>-1206.2412974921335</v>
      </c>
      <c r="G535" s="235">
        <v>55.00622192701647</v>
      </c>
      <c r="H535" s="235">
        <v>15241.190608707866</v>
      </c>
      <c r="I535" s="287">
        <v>10721.733325256515</v>
      </c>
      <c r="J535" s="233">
        <v>239065.4597753738</v>
      </c>
    </row>
    <row r="536">
      <c r="A536" s="184">
        <v>43350.0</v>
      </c>
      <c r="B536" s="174">
        <v>0.06681058654863653</v>
      </c>
      <c r="C536" s="174">
        <v>0.03555107496910989</v>
      </c>
      <c r="D536" s="174">
        <v>0.08699099400247058</v>
      </c>
      <c r="E536" s="282">
        <v>6.293863858566187E-4</v>
      </c>
      <c r="F536" s="287">
        <v>476.18706924316393</v>
      </c>
      <c r="G536" s="235">
        <v>18.64809352987053</v>
      </c>
      <c r="H536" s="235">
        <v>16447.4319062</v>
      </c>
      <c r="I536" s="287">
        <v>10666.727103329498</v>
      </c>
      <c r="J536" s="233">
        <v>240271.70107286595</v>
      </c>
    </row>
    <row r="537">
      <c r="A537" s="184">
        <v>43349.0</v>
      </c>
      <c r="B537" s="174">
        <v>0.06458570986415443</v>
      </c>
      <c r="C537" s="174">
        <v>0.035713475616495946</v>
      </c>
      <c r="D537" s="174">
        <v>0.08485830331342925</v>
      </c>
      <c r="E537" s="282">
        <v>0.0022043474761648868</v>
      </c>
      <c r="F537" s="287">
        <v>1666.7362568207645</v>
      </c>
      <c r="G537" s="235">
        <v>68.22116216205556</v>
      </c>
      <c r="H537" s="235">
        <v>15971.244836956836</v>
      </c>
      <c r="I537" s="287">
        <v>10648.079009799627</v>
      </c>
      <c r="J537" s="233">
        <v>239795.51400362278</v>
      </c>
    </row>
    <row r="538">
      <c r="A538" s="184">
        <v>43348.0</v>
      </c>
      <c r="B538" s="174">
        <v>0.055904726562560014</v>
      </c>
      <c r="C538" s="174">
        <v>0.035945704086817354</v>
      </c>
      <c r="D538" s="174">
        <v>0.07635086034899513</v>
      </c>
      <c r="E538" s="282">
        <v>-0.007573052765069244</v>
      </c>
      <c r="F538" s="287">
        <v>-5703.491552132289</v>
      </c>
      <c r="G538" s="235">
        <v>5.858752757161225</v>
      </c>
      <c r="H538" s="235">
        <v>14304.508580136071</v>
      </c>
      <c r="I538" s="287">
        <v>10579.857847637571</v>
      </c>
      <c r="J538" s="233">
        <v>238128.77774680202</v>
      </c>
    </row>
    <row r="539">
      <c r="A539" s="184">
        <v>43347.0</v>
      </c>
      <c r="B539" s="174">
        <v>0.0867420330477196</v>
      </c>
      <c r="C539" s="174">
        <v>0.036110015670284185</v>
      </c>
      <c r="D539" s="174">
        <v>0.10728162825614021</v>
      </c>
      <c r="E539" s="282">
        <v>-0.0022857751546906456</v>
      </c>
      <c r="F539" s="287">
        <v>-1734.5222354209945</v>
      </c>
      <c r="G539" s="235">
        <v>36.52229873508229</v>
      </c>
      <c r="H539" s="235">
        <v>20008.00013226836</v>
      </c>
      <c r="I539" s="287">
        <v>10573.99909488041</v>
      </c>
      <c r="J539" s="233">
        <v>243832.26929893432</v>
      </c>
    </row>
    <row r="540">
      <c r="A540" s="184">
        <v>43346.0</v>
      </c>
      <c r="B540" s="174">
        <v>0.09649531705914001</v>
      </c>
      <c r="C540" s="174">
        <v>0.036280291570989366</v>
      </c>
      <c r="D540" s="174">
        <v>0.11713176622924726</v>
      </c>
      <c r="E540" s="282">
        <v>-0.004907387064697622</v>
      </c>
      <c r="F540" s="287">
        <v>-3732.4005460908265</v>
      </c>
      <c r="G540" s="235">
        <v>69.34355600333265</v>
      </c>
      <c r="H540" s="235">
        <v>21742.522367689355</v>
      </c>
      <c r="I540" s="287">
        <v>10537.476796145327</v>
      </c>
      <c r="J540" s="233">
        <v>245566.79153435532</v>
      </c>
    </row>
    <row r="541">
      <c r="A541" s="184">
        <v>43343.0</v>
      </c>
      <c r="B541" s="174">
        <v>0.11738498439419516</v>
      </c>
      <c r="C541" s="174">
        <v>0.03652373188635086</v>
      </c>
      <c r="D541" s="174">
        <v>0.13815990388734495</v>
      </c>
      <c r="E541" s="282">
        <v>0.005811363409282216</v>
      </c>
      <c r="F541" s="287">
        <v>4441.626174806483</v>
      </c>
      <c r="G541" s="235">
        <v>15.569970278792368</v>
      </c>
      <c r="H541" s="235">
        <v>25474.92291378018</v>
      </c>
      <c r="I541" s="287">
        <v>10468.133240141995</v>
      </c>
      <c r="J541" s="233">
        <v>249299.19208044614</v>
      </c>
    </row>
    <row r="542">
      <c r="A542" s="184">
        <v>43342.0</v>
      </c>
      <c r="B542" s="174">
        <v>0.09062402182263408</v>
      </c>
      <c r="C542" s="174">
        <v>0.036702161620252576</v>
      </c>
      <c r="D542" s="174">
        <v>0.11462860049514283</v>
      </c>
      <c r="E542" s="282">
        <v>0.006878399226805803</v>
      </c>
      <c r="F542" s="287">
        <v>5222.66244556693</v>
      </c>
      <c r="G542" s="235">
        <v>5.5838290911460655</v>
      </c>
      <c r="H542" s="235">
        <v>21033.2967389737</v>
      </c>
      <c r="I542" s="287">
        <v>10452.563269863203</v>
      </c>
      <c r="J542" s="233">
        <v>244857.56590563967</v>
      </c>
    </row>
    <row r="543">
      <c r="A543" s="184">
        <v>43341.0</v>
      </c>
      <c r="B543" s="174">
        <v>0.06246066868977305</v>
      </c>
      <c r="C543" s="174">
        <v>0.03687896464772229</v>
      </c>
      <c r="D543" s="174">
        <v>0.08658088311764539</v>
      </c>
      <c r="E543" s="282">
        <v>3.5507828607015887E-4</v>
      </c>
      <c r="F543" s="287">
        <v>267.33199133426024</v>
      </c>
      <c r="G543" s="235">
        <v>62.7976120332193</v>
      </c>
      <c r="H543" s="235">
        <v>15810.634293406769</v>
      </c>
      <c r="I543" s="287">
        <v>10446.979440772058</v>
      </c>
      <c r="J543" s="233">
        <v>239634.90346007273</v>
      </c>
    </row>
    <row r="544">
      <c r="A544" s="184">
        <v>43340.0</v>
      </c>
      <c r="B544" s="174">
        <v>0.06125482944978645</v>
      </c>
      <c r="C544" s="174">
        <v>0.03705344369855827</v>
      </c>
      <c r="D544" s="174">
        <v>0.08551964088545641</v>
      </c>
      <c r="E544" s="282">
        <v>-0.011138082123713165</v>
      </c>
      <c r="F544" s="287">
        <v>-8243.413114594583</v>
      </c>
      <c r="G544" s="235">
        <v>69.36487544954981</v>
      </c>
      <c r="H544" s="235">
        <v>15543.302302072509</v>
      </c>
      <c r="I544" s="287">
        <v>10384.18182873884</v>
      </c>
      <c r="J544" s="233">
        <v>239367.57146873846</v>
      </c>
    </row>
    <row r="545">
      <c r="A545" s="184">
        <v>43339.0</v>
      </c>
      <c r="B545" s="174">
        <v>0.1071043565815161</v>
      </c>
      <c r="C545" s="174">
        <v>0.037229482292628596</v>
      </c>
      <c r="D545" s="174">
        <v>0.13149688699023437</v>
      </c>
      <c r="E545" s="282">
        <v>-2.5030787727888635E-9</v>
      </c>
      <c r="F545" s="287">
        <v>-0.0018619169859448448</v>
      </c>
      <c r="G545" s="235">
        <v>58.78346389693025</v>
      </c>
      <c r="H545" s="235">
        <v>23786.71541666709</v>
      </c>
      <c r="I545" s="287">
        <v>10314.81695328929</v>
      </c>
      <c r="J545" s="233">
        <v>247610.98458333305</v>
      </c>
    </row>
    <row r="546">
      <c r="A546" s="184">
        <v>43336.0</v>
      </c>
      <c r="B546" s="174">
        <v>0.10784360800070406</v>
      </c>
      <c r="C546" s="174">
        <v>0.037486442538238664</v>
      </c>
      <c r="D546" s="174">
        <v>0.13240449719979197</v>
      </c>
      <c r="E546" s="282">
        <v>-4.264292085550291E-4</v>
      </c>
      <c r="F546" s="287">
        <v>-311.4749841918165</v>
      </c>
      <c r="G546" s="235">
        <v>69.5558042722958</v>
      </c>
      <c r="H546" s="235">
        <v>23786.717278584078</v>
      </c>
      <c r="I546" s="287">
        <v>10256.03348939236</v>
      </c>
      <c r="J546" s="233">
        <v>247610.98644525005</v>
      </c>
    </row>
    <row r="547">
      <c r="A547" s="184">
        <v>43335.0</v>
      </c>
      <c r="B547" s="174">
        <v>0.1101237572500532</v>
      </c>
      <c r="C547" s="174">
        <v>0.03767335910447474</v>
      </c>
      <c r="D547" s="174">
        <v>0.13480711304671478</v>
      </c>
      <c r="E547" s="282">
        <v>-0.0028544864644444133</v>
      </c>
      <c r="F547" s="287">
        <v>-2085.880252181283</v>
      </c>
      <c r="G547" s="235">
        <v>8.968510330282884</v>
      </c>
      <c r="H547" s="235">
        <v>24098.192262775894</v>
      </c>
      <c r="I547" s="287">
        <v>10186.477685120064</v>
      </c>
      <c r="J547" s="233">
        <v>247922.46142944187</v>
      </c>
    </row>
    <row r="548">
      <c r="A548" s="184">
        <v>43334.0</v>
      </c>
      <c r="B548" s="174">
        <v>0.1224039003865735</v>
      </c>
      <c r="C548" s="174">
        <v>0.03786253303467599</v>
      </c>
      <c r="D548" s="174">
        <v>0.14721120179195188</v>
      </c>
      <c r="E548" s="282">
        <v>0.004262913352089203</v>
      </c>
      <c r="F548" s="287">
        <v>3123.962496787917</v>
      </c>
      <c r="G548" s="235">
        <v>35.403556436788996</v>
      </c>
      <c r="H548" s="235">
        <v>26184.072514957177</v>
      </c>
      <c r="I548" s="287">
        <v>10177.50917478978</v>
      </c>
      <c r="J548" s="233">
        <v>250008.34168162316</v>
      </c>
    </row>
    <row r="549">
      <c r="A549" s="184">
        <v>43333.0</v>
      </c>
      <c r="B549" s="174">
        <v>0.1053747673714088</v>
      </c>
      <c r="C549" s="174">
        <v>0.03805549338089877</v>
      </c>
      <c r="D549" s="174">
        <v>0.13030849522225638</v>
      </c>
      <c r="E549" s="282">
        <v>-0.0042505561492403665</v>
      </c>
      <c r="F549" s="287">
        <v>-3101.6282718442344</v>
      </c>
      <c r="G549" s="235">
        <v>25.976396519332454</v>
      </c>
      <c r="H549" s="235">
        <v>23060.11001816926</v>
      </c>
      <c r="I549" s="287">
        <v>10142.10561835299</v>
      </c>
      <c r="J549" s="233">
        <v>246884.37918483524</v>
      </c>
    </row>
    <row r="550">
      <c r="A550" s="184">
        <v>43332.0</v>
      </c>
      <c r="B550" s="174">
        <v>0.12352293235928927</v>
      </c>
      <c r="C550" s="174">
        <v>0.038247913319921695</v>
      </c>
      <c r="D550" s="174">
        <v>0.14858273258409488</v>
      </c>
      <c r="E550" s="282">
        <v>-0.008378547028842229</v>
      </c>
      <c r="F550" s="287">
        <v>-6139.807878311822</v>
      </c>
      <c r="G550" s="235">
        <v>9.90007042977294</v>
      </c>
      <c r="H550" s="235">
        <v>26161.738290013494</v>
      </c>
      <c r="I550" s="287">
        <v>10116.129221833658</v>
      </c>
      <c r="J550" s="233">
        <v>249986.00745667948</v>
      </c>
    </row>
    <row r="551">
      <c r="A551" s="184">
        <v>43329.0</v>
      </c>
      <c r="B551" s="174">
        <v>0.15952014826333952</v>
      </c>
      <c r="C551" s="174">
        <v>0.03852001823208321</v>
      </c>
      <c r="D551" s="174">
        <v>0.18475822997194583</v>
      </c>
      <c r="E551" s="282">
        <v>-7.10165339287388E-4</v>
      </c>
      <c r="F551" s="287">
        <v>-524.770169630785</v>
      </c>
      <c r="G551" s="235">
        <v>7.21316265255825</v>
      </c>
      <c r="H551" s="235">
        <v>32301.546168325316</v>
      </c>
      <c r="I551" s="287">
        <v>10106.229151403886</v>
      </c>
      <c r="J551" s="233">
        <v>256125.8153349913</v>
      </c>
    </row>
    <row r="552">
      <c r="A552" s="184">
        <v>43328.0</v>
      </c>
      <c r="B552" s="174">
        <v>0.16338720599439105</v>
      </c>
      <c r="C552" s="174">
        <v>0.03872514956422696</v>
      </c>
      <c r="D552" s="174">
        <v>0.18875968850443123</v>
      </c>
      <c r="E552" s="282">
        <v>-0.0030740508625876424</v>
      </c>
      <c r="F552" s="287">
        <v>-2273.1548850170875</v>
      </c>
      <c r="G552" s="235">
        <v>41.70877380789855</v>
      </c>
      <c r="H552" s="235">
        <v>32826.3163379561</v>
      </c>
      <c r="I552" s="287">
        <v>10099.015988751327</v>
      </c>
      <c r="J552" s="233">
        <v>256650.58550462208</v>
      </c>
    </row>
    <row r="553">
      <c r="A553" s="184">
        <v>43327.0</v>
      </c>
      <c r="B553" s="174">
        <v>0.1774058943819297</v>
      </c>
      <c r="C553" s="174">
        <v>0.03893307870352968</v>
      </c>
      <c r="D553" s="174">
        <v>0.20291461079964107</v>
      </c>
      <c r="E553" s="282">
        <v>-3.1757412445172295E-4</v>
      </c>
      <c r="F553" s="287">
        <v>-235.5570376672913</v>
      </c>
      <c r="G553" s="235">
        <v>23.35252755247794</v>
      </c>
      <c r="H553" s="235">
        <v>35099.47122297319</v>
      </c>
      <c r="I553" s="287">
        <v>10057.307214943428</v>
      </c>
      <c r="J553" s="233">
        <v>258923.74038963916</v>
      </c>
    </row>
    <row r="554">
      <c r="A554" s="184">
        <v>43326.0</v>
      </c>
      <c r="B554" s="174">
        <v>0.1797426512363184</v>
      </c>
      <c r="C554" s="174">
        <v>0.039145413624894855</v>
      </c>
      <c r="D554" s="174">
        <v>0.2053904882033171</v>
      </c>
      <c r="E554" s="282">
        <v>0.0057706470697203764</v>
      </c>
      <c r="F554" s="287">
        <v>4281.6719254785385</v>
      </c>
      <c r="G554" s="235">
        <v>29.853634972464693</v>
      </c>
      <c r="H554" s="235">
        <v>35335.02826064048</v>
      </c>
      <c r="I554" s="287">
        <v>10033.954687390951</v>
      </c>
      <c r="J554" s="233">
        <v>259159.29742730645</v>
      </c>
    </row>
    <row r="555">
      <c r="A555" s="184">
        <v>43325.0</v>
      </c>
      <c r="B555" s="174">
        <v>0.1557053538894787</v>
      </c>
      <c r="C555" s="174">
        <v>0.039360435985648284</v>
      </c>
      <c r="D555" s="174">
        <v>0.18149407219970978</v>
      </c>
      <c r="E555" s="282">
        <v>-0.0039128899191253645</v>
      </c>
      <c r="F555" s="287">
        <v>-2886.5101192577677</v>
      </c>
      <c r="G555" s="235">
        <v>54.36903418867845</v>
      </c>
      <c r="H555" s="235">
        <v>31053.35633516194</v>
      </c>
      <c r="I555" s="287">
        <v>10004.101052418486</v>
      </c>
      <c r="J555" s="233">
        <v>254877.62550182792</v>
      </c>
    </row>
    <row r="556">
      <c r="A556" s="184">
        <v>43322.0</v>
      </c>
      <c r="B556" s="174">
        <v>0.17385316085938965</v>
      </c>
      <c r="C556" s="174">
        <v>0.03965176791121535</v>
      </c>
      <c r="D556" s="174">
        <v>0.19983275807568687</v>
      </c>
      <c r="E556" s="282">
        <v>0.019864525770125454</v>
      </c>
      <c r="F556" s="287">
        <v>14711.25373820659</v>
      </c>
      <c r="G556" s="235">
        <v>1.3009658845804772</v>
      </c>
      <c r="H556" s="235">
        <v>33939.86645441971</v>
      </c>
      <c r="I556" s="287">
        <v>9949.732018229808</v>
      </c>
      <c r="J556" s="233">
        <v>257764.13562108568</v>
      </c>
    </row>
    <row r="557">
      <c r="A557" s="184">
        <v>43321.0</v>
      </c>
      <c r="B557" s="174">
        <v>0.08771800510293389</v>
      </c>
      <c r="C557" s="174">
        <v>0.03987106506711903</v>
      </c>
      <c r="D557" s="174">
        <v>0.11384128448225127</v>
      </c>
      <c r="E557" s="282">
        <v>0.00935690901167907</v>
      </c>
      <c r="F557" s="287">
        <v>6791.87992021392</v>
      </c>
      <c r="G557" s="235">
        <v>45.05862757144372</v>
      </c>
      <c r="H557" s="235">
        <v>19228.612716213123</v>
      </c>
      <c r="I557" s="287">
        <v>9948.431052345228</v>
      </c>
      <c r="J557" s="233">
        <v>243052.8818828791</v>
      </c>
    </row>
    <row r="558">
      <c r="A558" s="184">
        <v>43320.0</v>
      </c>
      <c r="B558" s="174">
        <v>0.04775536196618727</v>
      </c>
      <c r="C558" s="174">
        <v>0.04007926536495475</v>
      </c>
      <c r="D558" s="174">
        <v>0.07401505291459777</v>
      </c>
      <c r="E558" s="282">
        <v>-0.002848028114157463</v>
      </c>
      <c r="F558" s="287">
        <v>-2047.948729139538</v>
      </c>
      <c r="G558" s="235">
        <v>25.3396005380463</v>
      </c>
      <c r="H558" s="235">
        <v>12436.732795999204</v>
      </c>
      <c r="I558" s="287">
        <v>9903.372424773785</v>
      </c>
      <c r="J558" s="233">
        <v>236261.00196266518</v>
      </c>
    </row>
    <row r="559">
      <c r="A559" s="184">
        <v>43319.0</v>
      </c>
      <c r="B559" s="174">
        <v>0.06024869405682979</v>
      </c>
      <c r="C559" s="174">
        <v>0.04028340892121369</v>
      </c>
      <c r="D559" s="174">
        <v>0.08664213862192101</v>
      </c>
      <c r="E559" s="282">
        <v>-0.004483821219600567</v>
      </c>
      <c r="F559" s="287">
        <v>-3233.3909654870513</v>
      </c>
      <c r="G559" s="235">
        <v>3.544542264416781</v>
      </c>
      <c r="H559" s="235">
        <v>14484.681525138742</v>
      </c>
      <c r="I559" s="287">
        <v>9878.03282423574</v>
      </c>
      <c r="J559" s="233">
        <v>238308.95069180473</v>
      </c>
    </row>
    <row r="560">
      <c r="A560" s="184">
        <v>43318.0</v>
      </c>
      <c r="B560" s="174">
        <v>0.08000125833873312</v>
      </c>
      <c r="C560" s="174">
        <v>0.0404917285910686</v>
      </c>
      <c r="D560" s="174">
        <v>0.10653119268473854</v>
      </c>
      <c r="E560" s="282">
        <v>0.00864843443510182</v>
      </c>
      <c r="F560" s="287">
        <v>6264.557157083458</v>
      </c>
      <c r="G560" s="235">
        <v>21.646447949552964</v>
      </c>
      <c r="H560" s="235">
        <v>17718.072490625793</v>
      </c>
      <c r="I560" s="287">
        <v>9874.488281971322</v>
      </c>
      <c r="J560" s="233">
        <v>241542.34165729178</v>
      </c>
    </row>
    <row r="561">
      <c r="A561" s="184">
        <v>43315.0</v>
      </c>
      <c r="B561" s="174">
        <v>0.04264272881439461</v>
      </c>
      <c r="C561" s="174">
        <v>0.04078590931735871</v>
      </c>
      <c r="D561" s="174">
        <v>0.06936540858337657</v>
      </c>
      <c r="E561" s="282">
        <v>0.006794406567531305</v>
      </c>
      <c r="F561" s="287">
        <v>4879.014472655198</v>
      </c>
      <c r="G561" s="235">
        <v>41.63517510280008</v>
      </c>
      <c r="H561" s="235">
        <v>11453.515333542335</v>
      </c>
      <c r="I561" s="287">
        <v>9852.841834021769</v>
      </c>
      <c r="J561" s="233">
        <v>235277.78450020833</v>
      </c>
    </row>
    <row r="562">
      <c r="A562" s="184">
        <v>43314.0</v>
      </c>
      <c r="B562" s="174">
        <v>0.013161773984598609</v>
      </c>
      <c r="C562" s="174">
        <v>0.040996472498223156</v>
      </c>
      <c r="D562" s="174">
        <v>0.04002241346926562</v>
      </c>
      <c r="E562" s="282">
        <v>0.006718116715879645</v>
      </c>
      <c r="F562" s="287">
        <v>4791.453490378414</v>
      </c>
      <c r="G562" s="235">
        <v>36.68792385466284</v>
      </c>
      <c r="H562" s="235">
        <v>6574.500860887137</v>
      </c>
      <c r="I562" s="287">
        <v>9811.206658918969</v>
      </c>
      <c r="J562" s="233">
        <v>230398.77002755314</v>
      </c>
    </row>
    <row r="563">
      <c r="A563" s="184">
        <v>43313.0</v>
      </c>
      <c r="B563" s="174">
        <v>-0.01608754784750841</v>
      </c>
      <c r="C563" s="174">
        <v>0.041204568224766154</v>
      </c>
      <c r="D563" s="174">
        <v>0.010909434691776618</v>
      </c>
      <c r="E563" s="282">
        <v>-0.0013555763856706148</v>
      </c>
      <c r="F563" s="287">
        <v>-960.3205916210429</v>
      </c>
      <c r="G563" s="235">
        <v>25.577839444807616</v>
      </c>
      <c r="H563" s="235">
        <v>1783.0473705087222</v>
      </c>
      <c r="I563" s="287">
        <v>9774.518735064306</v>
      </c>
      <c r="J563" s="233">
        <v>225607.31653717472</v>
      </c>
    </row>
    <row r="564">
      <c r="A564" s="184">
        <v>43312.0</v>
      </c>
      <c r="B564" s="174">
        <v>-0.010262857061701726</v>
      </c>
      <c r="C564" s="174">
        <v>0.041410169392015354</v>
      </c>
      <c r="D564" s="174">
        <v>0.01686883411212123</v>
      </c>
      <c r="E564" s="282">
        <v>0.003918809895003481</v>
      </c>
      <c r="F564" s="287">
        <v>2779.9357793658637</v>
      </c>
      <c r="G564" s="235">
        <v>42.94823170344943</v>
      </c>
      <c r="H564" s="235">
        <v>2743.367962129765</v>
      </c>
      <c r="I564" s="287">
        <v>9748.940895619498</v>
      </c>
      <c r="J564" s="233">
        <v>226567.63712879576</v>
      </c>
    </row>
    <row r="565">
      <c r="A565" s="184">
        <v>43311.0</v>
      </c>
      <c r="B565" s="174">
        <v>-0.03041146063727613</v>
      </c>
      <c r="C565" s="174">
        <v>0.0416189377789139</v>
      </c>
      <c r="D565" s="174">
        <v>-2.2598729681296516E-4</v>
      </c>
      <c r="E565" s="282">
        <v>-0.01195193717647411</v>
      </c>
      <c r="F565" s="287">
        <v>-8008.810143885387</v>
      </c>
      <c r="G565" s="235">
        <v>0.7047839397425559</v>
      </c>
      <c r="H565" s="235">
        <v>-36.56781723609856</v>
      </c>
      <c r="I565" s="287">
        <v>9705.99266391605</v>
      </c>
      <c r="J565" s="233">
        <v>223787.7013494299</v>
      </c>
    </row>
    <row r="566">
      <c r="A566" s="184">
        <v>43308.0</v>
      </c>
      <c r="B566" s="174">
        <v>0.019216218794107127</v>
      </c>
      <c r="C566" s="174">
        <v>0.041910383416241405</v>
      </c>
      <c r="D566" s="174">
        <v>0.049613072457693315</v>
      </c>
      <c r="E566" s="282">
        <v>-0.0012934830447381106</v>
      </c>
      <c r="F566" s="287">
        <v>-877.1024480066035</v>
      </c>
      <c r="G566" s="235">
        <v>63.906704740044525</v>
      </c>
      <c r="H566" s="235">
        <v>7972.242326649289</v>
      </c>
      <c r="I566" s="287">
        <v>9705.287879976308</v>
      </c>
      <c r="J566" s="233">
        <v>231796.51149331528</v>
      </c>
    </row>
    <row r="567">
      <c r="A567" s="184">
        <v>43307.0</v>
      </c>
      <c r="B567" s="174">
        <v>0.024803665019575004</v>
      </c>
      <c r="C567" s="174">
        <v>0.0421295584669636</v>
      </c>
      <c r="D567" s="174">
        <v>0.05535948243869032</v>
      </c>
      <c r="E567" s="282">
        <v>0.0051290261191175085</v>
      </c>
      <c r="F567" s="287">
        <v>3482.457966002221</v>
      </c>
      <c r="G567" s="235">
        <v>52.631250017060275</v>
      </c>
      <c r="H567" s="235">
        <v>8849.344774655892</v>
      </c>
      <c r="I567" s="287">
        <v>9641.381175236264</v>
      </c>
      <c r="J567" s="233">
        <v>232673.61394132188</v>
      </c>
    </row>
    <row r="568">
      <c r="A568" s="184">
        <v>43306.0</v>
      </c>
      <c r="B568" s="174">
        <v>0.0030341455079633626</v>
      </c>
      <c r="C568" s="174">
        <v>0.04235210152974889</v>
      </c>
      <c r="D568" s="174">
        <v>0.03375136944169217</v>
      </c>
      <c r="E568" s="282">
        <v>0.0066117204735128155</v>
      </c>
      <c r="F568" s="287">
        <v>4466.138809870006</v>
      </c>
      <c r="G568" s="235">
        <v>67.9407273327086</v>
      </c>
      <c r="H568" s="235">
        <v>5366.886808653671</v>
      </c>
      <c r="I568" s="287">
        <v>9588.749925219203</v>
      </c>
      <c r="J568" s="233">
        <v>229191.15597531965</v>
      </c>
    </row>
    <row r="569">
      <c r="A569" s="184">
        <v>43305.0</v>
      </c>
      <c r="B569" s="174">
        <v>-0.025183552040985158</v>
      </c>
      <c r="C569" s="174">
        <v>0.04257350580162005</v>
      </c>
      <c r="D569" s="174">
        <v>0.005694252462616292</v>
      </c>
      <c r="E569" s="282">
        <v>-0.001681382734395904</v>
      </c>
      <c r="F569" s="287">
        <v>-1128.2448186488252</v>
      </c>
      <c r="G569" s="235">
        <v>55.4436914036261</v>
      </c>
      <c r="H569" s="235">
        <v>900.7479987836655</v>
      </c>
      <c r="I569" s="287">
        <v>9520.809197886494</v>
      </c>
      <c r="J569" s="233">
        <v>224725.01716544965</v>
      </c>
    </row>
    <row r="570">
      <c r="A570" s="184">
        <v>43304.0</v>
      </c>
      <c r="B570" s="279">
        <v>-0.018144051514604864</v>
      </c>
      <c r="C570" s="279">
        <v>0.04279265011960528</v>
      </c>
      <c r="D570" s="279">
        <v>0.012892694454619677</v>
      </c>
      <c r="E570" s="282">
        <v>-0.0016785604318671227</v>
      </c>
      <c r="F570" s="287">
        <v>-1128.2448186488252</v>
      </c>
      <c r="G570" s="235">
        <v>3.8593901115902653</v>
      </c>
      <c r="H570" s="235">
        <v>2028.9928174324907</v>
      </c>
      <c r="I570" s="287">
        <v>9465.365506482867</v>
      </c>
      <c r="J570" s="233">
        <v>225853.26198409847</v>
      </c>
    </row>
    <row r="571">
      <c r="A571" s="184">
        <v>43301.0</v>
      </c>
      <c r="B571" s="174">
        <v>-0.01122050222785483</v>
      </c>
      <c r="C571" s="174">
        <v>0.04310162880368992</v>
      </c>
      <c r="D571" s="174">
        <v>0.020206679422172715</v>
      </c>
      <c r="E571" s="282">
        <v>-0.016749273808161422</v>
      </c>
      <c r="F571" s="287">
        <v>-7069.479014214974</v>
      </c>
      <c r="G571" s="235">
        <v>1.082918918450052</v>
      </c>
      <c r="H571" s="235">
        <v>3157.237636081316</v>
      </c>
      <c r="I571" s="287">
        <v>9461.506116371276</v>
      </c>
      <c r="J571" s="233">
        <v>226981.5068027473</v>
      </c>
    </row>
    <row r="572">
      <c r="A572" s="184">
        <v>43300.0</v>
      </c>
      <c r="B572" s="174">
        <v>0.03420418495302056</v>
      </c>
      <c r="C572" s="174">
        <v>0.04332865667091053</v>
      </c>
      <c r="D572" s="174">
        <v>0.06579690201831644</v>
      </c>
      <c r="E572" s="282">
        <v>0.0027177789544509624</v>
      </c>
      <c r="F572" s="287">
        <v>1166.324583172218</v>
      </c>
      <c r="G572" s="235">
        <v>38.74583464065666</v>
      </c>
      <c r="H572" s="235">
        <v>10226.71665029629</v>
      </c>
      <c r="I572" s="287">
        <v>9460.423197452827</v>
      </c>
      <c r="J572" s="233">
        <v>234050.98581696226</v>
      </c>
    </row>
    <row r="573">
      <c r="A573" s="184">
        <v>43299.0</v>
      </c>
      <c r="B573" s="174">
        <v>0.026846526025083185</v>
      </c>
      <c r="C573" s="174">
        <v>0.043566019095228434</v>
      </c>
      <c r="D573" s="174">
        <v>0.05861231385900141</v>
      </c>
      <c r="E573" s="282">
        <v>0.004648567910527185</v>
      </c>
      <c r="F573" s="287">
        <v>1989.4936390998</v>
      </c>
      <c r="G573" s="235">
        <v>41.723501110343655</v>
      </c>
      <c r="H573" s="235">
        <v>9060.392067124072</v>
      </c>
      <c r="I573" s="287">
        <v>9421.67736281217</v>
      </c>
      <c r="J573" s="233">
        <v>232884.66123379004</v>
      </c>
    </row>
    <row r="574">
      <c r="A574" s="184">
        <v>43298.0</v>
      </c>
      <c r="B574" s="174">
        <v>0.014052976339136602</v>
      </c>
      <c r="C574" s="174">
        <v>0.04380486766699569</v>
      </c>
      <c r="D574" s="174">
        <v>0.04599291855329803</v>
      </c>
      <c r="E574" s="282">
        <v>0.0040121183031470815</v>
      </c>
      <c r="F574" s="287">
        <v>1709.1239146191765</v>
      </c>
      <c r="G574" s="235">
        <v>13.591996051853652</v>
      </c>
      <c r="H574" s="235">
        <v>7070.898428024272</v>
      </c>
      <c r="I574" s="287">
        <v>9379.953861701826</v>
      </c>
      <c r="J574" s="233">
        <v>230895.16759469025</v>
      </c>
    </row>
    <row r="575">
      <c r="A575" s="184">
        <v>43297.0</v>
      </c>
      <c r="B575" s="174">
        <v>0.0029519632068763443</v>
      </c>
      <c r="C575" s="174">
        <v>0.04404428160815244</v>
      </c>
      <c r="D575" s="174">
        <v>0.035066472035504975</v>
      </c>
      <c r="E575" s="282">
        <v>-0.011014776235529057</v>
      </c>
      <c r="F575" s="287">
        <v>-4673.363409837996</v>
      </c>
      <c r="G575" s="235">
        <v>4.187760062050091</v>
      </c>
      <c r="H575" s="235">
        <v>5361.774513405096</v>
      </c>
      <c r="I575" s="287">
        <v>9366.361865649973</v>
      </c>
      <c r="J575" s="233">
        <v>229186.04368007107</v>
      </c>
    </row>
    <row r="576">
      <c r="A576" s="184">
        <v>43294.0</v>
      </c>
      <c r="B576" s="174">
        <v>0.033767015034111</v>
      </c>
      <c r="C576" s="174">
        <v>0.044373926542711384</v>
      </c>
      <c r="D576" s="174">
        <v>0.06612188162939342</v>
      </c>
      <c r="E576" s="282">
        <v>0.0041526054824371095</v>
      </c>
      <c r="F576" s="287">
        <v>1580.8162964674411</v>
      </c>
      <c r="G576" s="235">
        <v>58.95544990485899</v>
      </c>
      <c r="H576" s="235">
        <v>10035.137923243092</v>
      </c>
      <c r="I576" s="287">
        <v>9362.174105587923</v>
      </c>
      <c r="J576" s="233">
        <v>233859.40708990907</v>
      </c>
    </row>
    <row r="577">
      <c r="A577" s="184">
        <v>43293.0</v>
      </c>
      <c r="B577" s="174">
        <v>0.02348201708169015</v>
      </c>
      <c r="C577" s="174">
        <v>0.044622974698918516</v>
      </c>
      <c r="D577" s="174">
        <v>0.056018474996418384</v>
      </c>
      <c r="E577" s="282">
        <v>0.004640322068529213</v>
      </c>
      <c r="F577" s="287">
        <v>1759.1450364541115</v>
      </c>
      <c r="G577" s="235">
        <v>53.58956878000685</v>
      </c>
      <c r="H577" s="235">
        <v>8454.32162677565</v>
      </c>
      <c r="I577" s="287">
        <v>9303.218655683064</v>
      </c>
      <c r="J577" s="233">
        <v>232278.59079344163</v>
      </c>
    </row>
    <row r="578">
      <c r="A578" s="184">
        <v>43292.0</v>
      </c>
      <c r="B578" s="174">
        <v>0.011892198736383003</v>
      </c>
      <c r="C578" s="174">
        <v>0.04487316814784734</v>
      </c>
      <c r="D578" s="174">
        <v>0.0446110830508871</v>
      </c>
      <c r="E578" s="282">
        <v>0.0010490485127781762</v>
      </c>
      <c r="F578" s="287">
        <v>395.8486231353618</v>
      </c>
      <c r="G578" s="235">
        <v>40.88058573085892</v>
      </c>
      <c r="H578" s="235">
        <v>6695.176590321539</v>
      </c>
      <c r="I578" s="287">
        <v>9249.629086903056</v>
      </c>
      <c r="J578" s="233">
        <v>230519.44575698752</v>
      </c>
    </row>
    <row r="579">
      <c r="A579" s="184">
        <v>43291.0</v>
      </c>
      <c r="B579" s="174">
        <v>0.009306383358330252</v>
      </c>
      <c r="C579" s="174">
        <v>0.045124286150232666</v>
      </c>
      <c r="D579" s="174">
        <v>0.04220836820280505</v>
      </c>
      <c r="E579" s="282">
        <v>0.002009958599972282</v>
      </c>
      <c r="F579" s="287">
        <v>757.6433981897881</v>
      </c>
      <c r="G579" s="235">
        <v>6.727894297066528</v>
      </c>
      <c r="H579" s="235">
        <v>6299.327967186177</v>
      </c>
      <c r="I579" s="287">
        <v>9208.748501172196</v>
      </c>
      <c r="J579" s="233">
        <v>122123.59713385216</v>
      </c>
    </row>
    <row r="580">
      <c r="A580" s="184">
        <v>43290.0</v>
      </c>
      <c r="B580" s="174">
        <v>0.004241550605146482</v>
      </c>
      <c r="C580" s="174">
        <v>0.04524935165894248</v>
      </c>
      <c r="D580" s="174">
        <v>0.03723472588881043</v>
      </c>
      <c r="E580" s="282">
        <v>0.002610332857383871</v>
      </c>
      <c r="F580" s="287">
        <v>981.9736378905391</v>
      </c>
      <c r="G580" s="235">
        <v>57.65024813420201</v>
      </c>
      <c r="H580" s="235">
        <v>5541.684568996389</v>
      </c>
      <c r="I580" s="287">
        <v>9202.02060687513</v>
      </c>
      <c r="J580" s="233">
        <v>121365.95373566238</v>
      </c>
    </row>
    <row r="581">
      <c r="A581" s="184">
        <v>43287.0</v>
      </c>
      <c r="B581" s="174">
        <v>-0.002367664385063325</v>
      </c>
      <c r="C581" s="174">
        <v>0.04546650074701372</v>
      </c>
      <c r="D581" s="174">
        <v>0.030783843287082623</v>
      </c>
      <c r="E581" s="282">
        <v>-0.0019208632409521691</v>
      </c>
      <c r="F581" s="287">
        <v>-720.7178014481042</v>
      </c>
      <c r="G581" s="235">
        <v>68.95930526410321</v>
      </c>
      <c r="H581" s="235">
        <v>4559.71093110585</v>
      </c>
      <c r="I581" s="287">
        <v>9144.370358740929</v>
      </c>
      <c r="J581" s="233">
        <v>120383.98009777184</v>
      </c>
    </row>
    <row r="582">
      <c r="A582" s="184">
        <v>43286.0</v>
      </c>
      <c r="B582" s="174">
        <v>0.002504956551300839</v>
      </c>
      <c r="C582" s="174">
        <v>0.04559135378866549</v>
      </c>
      <c r="D582" s="174">
        <v>0.03574749974410935</v>
      </c>
      <c r="E582" s="282">
        <v>4.921582591060023E-4</v>
      </c>
      <c r="F582" s="287">
        <v>185.01502602990786</v>
      </c>
      <c r="G582" s="235">
        <v>50.83292375800308</v>
      </c>
      <c r="H582" s="235">
        <v>5280.428732553954</v>
      </c>
      <c r="I582" s="287">
        <v>9075.411053476826</v>
      </c>
      <c r="J582" s="233">
        <v>121104.69789921994</v>
      </c>
    </row>
    <row r="583">
      <c r="A583" s="184">
        <v>43285.0</v>
      </c>
      <c r="B583" s="174">
        <v>0.0041634002972783055</v>
      </c>
      <c r="C583" s="174">
        <v>0.042810349989581775</v>
      </c>
      <c r="D583" s="174">
        <v>0.03459068096546055</v>
      </c>
      <c r="E583" s="282">
        <v>-0.0014241894054903231</v>
      </c>
      <c r="F583" s="287">
        <v>-535.7361233810925</v>
      </c>
      <c r="G583" s="235">
        <v>44.0582498203756</v>
      </c>
      <c r="H583" s="235">
        <v>5095.413706524047</v>
      </c>
      <c r="I583" s="287">
        <v>9024.578129718822</v>
      </c>
      <c r="J583" s="233">
        <v>120919.68287319003</v>
      </c>
    </row>
    <row r="584">
      <c r="A584" s="184">
        <v>43284.0</v>
      </c>
      <c r="B584" s="174">
        <v>0.007821967529027396</v>
      </c>
      <c r="C584" s="174">
        <v>0.042929301561279186</v>
      </c>
      <c r="D584" s="174">
        <v>0.038333792538912975</v>
      </c>
      <c r="E584" s="282">
        <v>0.002409182761802351</v>
      </c>
      <c r="F584" s="287">
        <v>907.5509268648611</v>
      </c>
      <c r="G584" s="235">
        <v>6.547091468958986</v>
      </c>
      <c r="H584" s="235">
        <v>5631.149829905139</v>
      </c>
      <c r="I584" s="287">
        <v>8980.519879898447</v>
      </c>
      <c r="J584" s="233">
        <v>121455.41899657113</v>
      </c>
    </row>
    <row r="585">
      <c r="A585" s="184">
        <v>43283.0</v>
      </c>
      <c r="B585" s="174">
        <v>0.0016484628548871366</v>
      </c>
      <c r="C585" s="174">
        <v>0.043049596854481044</v>
      </c>
      <c r="D585" s="174">
        <v>0.032245787251024054</v>
      </c>
      <c r="E585" s="282">
        <v>7.153675417791672E-5</v>
      </c>
      <c r="F585" s="287">
        <v>26.883321853822054</v>
      </c>
      <c r="G585" s="235">
        <v>23.07792494360512</v>
      </c>
      <c r="H585" s="235">
        <v>4723.598903040278</v>
      </c>
      <c r="I585" s="287">
        <v>8973.972788429488</v>
      </c>
      <c r="J585" s="233">
        <v>120547.86806970627</v>
      </c>
    </row>
    <row r="586">
      <c r="A586" s="184">
        <v>43280.0</v>
      </c>
      <c r="B586" s="174">
        <v>-4.2251124352854844E-4</v>
      </c>
      <c r="C586" s="174">
        <v>0.04325795917046336</v>
      </c>
      <c r="D586" s="174">
        <v>0.0322174505244414</v>
      </c>
      <c r="E586" s="282">
        <v>-9.51655646751817E-4</v>
      </c>
      <c r="F586" s="287">
        <v>-357.34123816326246</v>
      </c>
      <c r="G586" s="235">
        <v>26.079416598712932</v>
      </c>
      <c r="H586" s="235">
        <v>4696.715581186456</v>
      </c>
      <c r="I586" s="287">
        <v>8950.894863485883</v>
      </c>
      <c r="J586" s="233">
        <v>120520.98474785245</v>
      </c>
    </row>
    <row r="587">
      <c r="A587" s="184">
        <v>43279.0</v>
      </c>
      <c r="B587" s="174">
        <v>0.002034097187740889</v>
      </c>
      <c r="C587" s="174">
        <v>0.043378994084356276</v>
      </c>
      <c r="D587" s="174">
        <v>0.03476566007347857</v>
      </c>
      <c r="E587" s="282">
        <v>-0.0022127718830899337</v>
      </c>
      <c r="F587" s="287">
        <v>-831.6737792731547</v>
      </c>
      <c r="G587" s="235">
        <v>46.576070434055</v>
      </c>
      <c r="H587" s="235">
        <v>5054.056819349718</v>
      </c>
      <c r="I587" s="287">
        <v>8924.815446887169</v>
      </c>
      <c r="J587" s="233">
        <v>120878.32598601571</v>
      </c>
    </row>
    <row r="588">
      <c r="A588" s="184">
        <v>43278.0</v>
      </c>
      <c r="B588" s="174">
        <v>0.0055027201002079</v>
      </c>
      <c r="C588" s="174">
        <v>0.04577530416269627</v>
      </c>
      <c r="D588" s="174">
        <v>0.04060059892066482</v>
      </c>
      <c r="E588" s="282">
        <v>0.019120285760596864</v>
      </c>
      <c r="F588" s="287">
        <v>7195.9878168666355</v>
      </c>
      <c r="G588" s="235">
        <v>11.88728613667646</v>
      </c>
      <c r="H588" s="235">
        <v>5885.730598622873</v>
      </c>
      <c r="I588" s="287">
        <v>8878.239376453113</v>
      </c>
      <c r="J588" s="233">
        <v>121709.99976528887</v>
      </c>
    </row>
    <row r="589">
      <c r="A589" s="184">
        <v>43277.0</v>
      </c>
      <c r="B589" s="174">
        <v>-0.027550442468144747</v>
      </c>
      <c r="C589" s="174">
        <v>0.02919419881671552</v>
      </c>
      <c r="D589" s="174">
        <v>-0.009064089923236327</v>
      </c>
      <c r="E589" s="282">
        <v>0.004908826084914013</v>
      </c>
      <c r="F589" s="287">
        <v>1823.9887702409983</v>
      </c>
      <c r="G589" s="235">
        <v>36.360972513615664</v>
      </c>
      <c r="H589" s="235">
        <v>-1310.257218243763</v>
      </c>
      <c r="I589" s="287">
        <v>8866.352090316437</v>
      </c>
      <c r="J589" s="233">
        <v>114514.01194842224</v>
      </c>
    </row>
    <row r="590">
      <c r="A590" s="184">
        <v>43276.0</v>
      </c>
      <c r="B590" s="174">
        <v>-0.040275402681793665</v>
      </c>
      <c r="C590" s="174">
        <v>0.029271952110289486</v>
      </c>
      <c r="D590" s="174">
        <v>-0.021739815191081105</v>
      </c>
      <c r="E590" s="282">
        <v>-0.012735985763684081</v>
      </c>
      <c r="F590" s="287">
        <v>-4709.12212674247</v>
      </c>
      <c r="G590" s="235">
        <v>17.727088761214134</v>
      </c>
      <c r="H590" s="235">
        <v>-3134.2459884847613</v>
      </c>
      <c r="I590" s="287">
        <v>8829.991117802821</v>
      </c>
      <c r="J590" s="233">
        <v>112690.02317818123</v>
      </c>
    </row>
    <row r="591">
      <c r="A591" s="184">
        <v>43273.0</v>
      </c>
      <c r="B591" s="174">
        <v>-0.0076475978677319496</v>
      </c>
      <c r="C591" s="174">
        <v>0.029409220844220256</v>
      </c>
      <c r="D591" s="174">
        <v>0.01097491093994391</v>
      </c>
      <c r="E591" s="282">
        <v>-0.0033414941069238586</v>
      </c>
      <c r="F591" s="287">
        <v>-1251.2506910588531</v>
      </c>
      <c r="G591" s="235">
        <v>37.7036561737493</v>
      </c>
      <c r="H591" s="235">
        <v>1574.8761382577086</v>
      </c>
      <c r="I591" s="287">
        <v>8812.264029041608</v>
      </c>
      <c r="J591" s="233">
        <v>117399.1453049237</v>
      </c>
    </row>
    <row r="592">
      <c r="A592" s="184">
        <v>43272.0</v>
      </c>
      <c r="B592" s="174">
        <v>0.001075009980551992</v>
      </c>
      <c r="C592" s="174">
        <v>0.02949042917538824</v>
      </c>
      <c r="D592" s="174">
        <v>0.019748941533170437</v>
      </c>
      <c r="E592" s="282">
        <v>-0.009009695865341578</v>
      </c>
      <c r="F592" s="287">
        <v>-3385.030102091831</v>
      </c>
      <c r="G592" s="235">
        <v>29.035374391590697</v>
      </c>
      <c r="H592" s="235">
        <v>2826.1268293165617</v>
      </c>
      <c r="I592" s="287">
        <v>8774.560372867858</v>
      </c>
      <c r="J592" s="233">
        <v>118650.39599598256</v>
      </c>
    </row>
    <row r="593">
      <c r="A593" s="184">
        <v>43271.0</v>
      </c>
      <c r="B593" s="174">
        <v>0.024798922895812477</v>
      </c>
      <c r="C593" s="174">
        <v>0.029573144307616414</v>
      </c>
      <c r="D593" s="174">
        <v>0.043525231330042526</v>
      </c>
      <c r="E593" s="282">
        <v>-5.698903891074047E-4</v>
      </c>
      <c r="F593" s="287">
        <v>-216.04244143950564</v>
      </c>
      <c r="G593" s="235">
        <v>15.782254330177562</v>
      </c>
      <c r="H593" s="235">
        <v>6211.156931408393</v>
      </c>
      <c r="I593" s="287">
        <v>8745.524998476267</v>
      </c>
      <c r="J593" s="233">
        <v>122035.42609807439</v>
      </c>
    </row>
    <row r="594">
      <c r="A594" s="184">
        <v>43270.0</v>
      </c>
      <c r="B594" s="174">
        <v>0.026389362126911453</v>
      </c>
      <c r="C594" s="174">
        <v>0.029659126070742028</v>
      </c>
      <c r="D594" s="174">
        <v>0.04517011593899043</v>
      </c>
      <c r="E594" s="282">
        <v>0.00455911916252161</v>
      </c>
      <c r="F594" s="287">
        <v>1729.3229971985656</v>
      </c>
      <c r="G594" s="235">
        <v>54.826549232594346</v>
      </c>
      <c r="H594" s="235">
        <v>6427.199372847898</v>
      </c>
      <c r="I594" s="287">
        <v>8729.74274414609</v>
      </c>
      <c r="J594" s="233">
        <v>122251.4685395139</v>
      </c>
    </row>
    <row r="595">
      <c r="A595" s="184">
        <v>43269.0</v>
      </c>
      <c r="B595" s="174">
        <v>0.014277363686194469</v>
      </c>
      <c r="C595" s="174">
        <v>0.029745835506331145</v>
      </c>
      <c r="D595" s="174">
        <v>0.03311302365292883</v>
      </c>
      <c r="E595" s="282">
        <v>-0.0019534849360426597</v>
      </c>
      <c r="F595" s="287">
        <v>-737.5996676240302</v>
      </c>
      <c r="G595" s="235">
        <v>8.971636991076497</v>
      </c>
      <c r="H595" s="235">
        <v>4697.876375649333</v>
      </c>
      <c r="I595" s="287">
        <v>8674.916194913496</v>
      </c>
      <c r="J595" s="233">
        <v>120522.14554231532</v>
      </c>
    </row>
    <row r="596">
      <c r="A596" s="184">
        <v>43266.0</v>
      </c>
      <c r="B596" s="174">
        <v>0.019573113728177625</v>
      </c>
      <c r="C596" s="174">
        <v>0.02989363377547082</v>
      </c>
      <c r="D596" s="174">
        <v>0.03850236252487086</v>
      </c>
      <c r="E596" s="282">
        <v>-0.002153670207365904</v>
      </c>
      <c r="F596" s="287">
        <v>-814.7744583424874</v>
      </c>
      <c r="G596" s="235">
        <v>50.05302481546515</v>
      </c>
      <c r="H596" s="235">
        <v>5435.476043273363</v>
      </c>
      <c r="I596" s="287">
        <v>8665.94455792242</v>
      </c>
      <c r="J596" s="233">
        <v>121259.74520993936</v>
      </c>
    </row>
    <row r="597">
      <c r="A597" s="184">
        <v>43265.0</v>
      </c>
      <c r="B597" s="174">
        <v>0.02541856288196898</v>
      </c>
      <c r="C597" s="174">
        <v>0.029980879409799443</v>
      </c>
      <c r="D597" s="174">
        <v>0.04440305736511961</v>
      </c>
      <c r="E597" s="282">
        <v>0.014421317400089355</v>
      </c>
      <c r="F597" s="287">
        <v>5467.609162562307</v>
      </c>
      <c r="G597" s="235">
        <v>14.932605943714947</v>
      </c>
      <c r="H597" s="235">
        <v>6250.25050161585</v>
      </c>
      <c r="I597" s="287">
        <v>8615.891533106955</v>
      </c>
      <c r="J597" s="233">
        <v>122074.51966828185</v>
      </c>
    </row>
    <row r="598">
      <c r="A598" s="184">
        <v>43264.0</v>
      </c>
      <c r="B598" s="174">
        <v>-0.013464072385838867</v>
      </c>
      <c r="C598" s="174">
        <v>0.030069367334858103</v>
      </c>
      <c r="D598" s="174">
        <v>0.005576454427189071</v>
      </c>
      <c r="E598" s="282">
        <v>0.0019970408348315943</v>
      </c>
      <c r="F598" s="287">
        <v>746.2266826409025</v>
      </c>
      <c r="G598" s="235">
        <v>31.615552166454542</v>
      </c>
      <c r="H598" s="235">
        <v>782.641339053544</v>
      </c>
      <c r="I598" s="287">
        <v>8600.95892716324</v>
      </c>
      <c r="J598" s="233">
        <v>116606.91050571954</v>
      </c>
    </row>
    <row r="599">
      <c r="A599" s="184">
        <v>43263.0</v>
      </c>
      <c r="B599" s="174">
        <v>-0.018833820156954006</v>
      </c>
      <c r="C599" s="174">
        <v>0.030153829037073664</v>
      </c>
      <c r="D599" s="174">
        <v>2.6018950085081343E-4</v>
      </c>
      <c r="E599" s="282">
        <v>0.001194963467866182</v>
      </c>
      <c r="F599" s="287">
        <v>445.6257581016302</v>
      </c>
      <c r="G599" s="235">
        <v>69.72569952715254</v>
      </c>
      <c r="H599" s="235">
        <v>36.41465641264148</v>
      </c>
      <c r="I599" s="287">
        <v>8569.343374996784</v>
      </c>
      <c r="J599" s="233">
        <v>115860.68382307864</v>
      </c>
    </row>
    <row r="600">
      <c r="A600" s="184">
        <v>43262.0</v>
      </c>
      <c r="B600" s="174">
        <v>-0.02207949286923959</v>
      </c>
      <c r="C600" s="174">
        <v>0.030238182480602782</v>
      </c>
      <c r="D600" s="174">
        <v>-0.0029320689182306212</v>
      </c>
      <c r="E600" s="282">
        <v>-0.002306939771467691</v>
      </c>
      <c r="F600" s="287">
        <v>-859.2759123944443</v>
      </c>
      <c r="G600" s="235">
        <v>32.745049480886884</v>
      </c>
      <c r="H600" s="235">
        <v>-409.2111016889887</v>
      </c>
      <c r="I600" s="287">
        <v>8499.617675469632</v>
      </c>
      <c r="J600" s="233">
        <v>115415.05806497701</v>
      </c>
    </row>
    <row r="601">
      <c r="A601" s="184">
        <v>43259.0</v>
      </c>
      <c r="B601" s="174">
        <v>-0.016000527812768294</v>
      </c>
      <c r="C601" s="174">
        <v>0.030386113783440766</v>
      </c>
      <c r="D601" s="174">
        <v>0.0032405692078069782</v>
      </c>
      <c r="E601" s="282">
        <v>0.005289768611997935</v>
      </c>
      <c r="F601" s="287">
        <v>1974.8485432247692</v>
      </c>
      <c r="G601" s="235">
        <v>67.27922327651468</v>
      </c>
      <c r="H601" s="235">
        <v>450.06481070545556</v>
      </c>
      <c r="I601" s="287">
        <v>8466.872625988744</v>
      </c>
      <c r="J601" s="233">
        <v>116274.33397737145</v>
      </c>
    </row>
    <row r="602">
      <c r="A602" s="184">
        <v>43258.0</v>
      </c>
      <c r="B602" s="174">
        <v>-0.030378271079526044</v>
      </c>
      <c r="C602" s="174">
        <v>0.03047211200458885</v>
      </c>
      <c r="D602" s="174">
        <v>-0.011009862346475857</v>
      </c>
      <c r="E602" s="282">
        <v>-4.531372240069039E-4</v>
      </c>
      <c r="F602" s="287">
        <v>-124.04957143718707</v>
      </c>
      <c r="G602" s="235">
        <v>14.25392311253389</v>
      </c>
      <c r="H602" s="235">
        <v>-1524.7837325193136</v>
      </c>
      <c r="I602" s="287">
        <v>8399.59340271223</v>
      </c>
      <c r="J602" s="233">
        <v>89299.48543414669</v>
      </c>
    </row>
    <row r="603">
      <c r="A603" s="184">
        <v>43257.0</v>
      </c>
      <c r="B603" s="174">
        <v>-0.029543752915545226</v>
      </c>
      <c r="C603" s="174">
        <v>0.030535360850901173</v>
      </c>
      <c r="D603" s="174">
        <v>-0.01013514252180653</v>
      </c>
      <c r="E603" s="282">
        <v>-0.006574600701830635</v>
      </c>
      <c r="F603" s="287">
        <v>-1800.6597653647905</v>
      </c>
      <c r="G603" s="235">
        <v>11.352696094930883</v>
      </c>
      <c r="H603" s="235">
        <v>-1400.7341610821265</v>
      </c>
      <c r="I603" s="287">
        <v>8385.339479599696</v>
      </c>
      <c r="J603" s="233">
        <v>89423.53500558388</v>
      </c>
    </row>
    <row r="604">
      <c r="A604" s="184">
        <v>43256.0</v>
      </c>
      <c r="B604" s="174">
        <v>-0.016549334941926203</v>
      </c>
      <c r="C604" s="174">
        <v>0.030599008453165388</v>
      </c>
      <c r="D604" s="174">
        <v>0.0028997305661592225</v>
      </c>
      <c r="E604" s="282">
        <v>-0.006190413100825623</v>
      </c>
      <c r="F604" s="287">
        <v>-1706.5848182091925</v>
      </c>
      <c r="G604" s="235">
        <v>33.844477484303184</v>
      </c>
      <c r="H604" s="235">
        <v>399.9256042826639</v>
      </c>
      <c r="I604" s="287">
        <v>8373.986783504764</v>
      </c>
      <c r="J604" s="233">
        <v>91224.19477094867</v>
      </c>
    </row>
    <row r="605">
      <c r="A605" s="184">
        <v>43255.0</v>
      </c>
      <c r="B605" s="174">
        <v>-0.004184382375024465</v>
      </c>
      <c r="C605" s="174">
        <v>0.030664518171275496</v>
      </c>
      <c r="D605" s="174">
        <v>0.01530632182867065</v>
      </c>
      <c r="E605" s="282">
        <v>-0.0057790880540842336</v>
      </c>
      <c r="F605" s="287">
        <v>-1595.7049209982379</v>
      </c>
      <c r="G605" s="235">
        <v>9.997069032523113</v>
      </c>
      <c r="H605" s="235">
        <v>2106.5104224918564</v>
      </c>
      <c r="I605" s="287">
        <v>8340.142306020462</v>
      </c>
      <c r="J605" s="233">
        <v>92930.77958915786</v>
      </c>
    </row>
    <row r="606">
      <c r="A606" s="184">
        <v>43252.0</v>
      </c>
      <c r="B606" s="174">
        <v>0.007392766894381394</v>
      </c>
      <c r="C606" s="174">
        <v>0.030796598959252915</v>
      </c>
      <c r="D606" s="174">
        <v>0.027016900116170278</v>
      </c>
      <c r="E606" s="282">
        <v>-0.004368926858634049</v>
      </c>
      <c r="F606" s="287">
        <v>-1070.9103263912489</v>
      </c>
      <c r="G606" s="235">
        <v>62.15333425187566</v>
      </c>
      <c r="H606" s="235">
        <v>3702.2153434900943</v>
      </c>
      <c r="I606" s="287">
        <v>8330.145236987939</v>
      </c>
      <c r="J606" s="233">
        <v>94526.4845101561</v>
      </c>
    </row>
    <row r="607">
      <c r="A607" s="184">
        <v>43251.0</v>
      </c>
      <c r="B607" s="174">
        <v>0.015241931155679036</v>
      </c>
      <c r="C607" s="174">
        <v>0.030865857876446183</v>
      </c>
      <c r="D607" s="174">
        <v>0.034910197374738036</v>
      </c>
      <c r="E607" s="282">
        <v>0.0036930042543780353</v>
      </c>
      <c r="F607" s="287">
        <v>909.1832126370746</v>
      </c>
      <c r="G607" s="235">
        <v>56.732592094422806</v>
      </c>
      <c r="H607" s="235">
        <v>4773.125669881343</v>
      </c>
      <c r="I607" s="287">
        <v>8267.991902736063</v>
      </c>
      <c r="J607" s="233">
        <v>95597.39483654735</v>
      </c>
    </row>
    <row r="608">
      <c r="A608" s="184">
        <v>43250.0</v>
      </c>
      <c r="B608" s="174">
        <v>0.010361343359535376</v>
      </c>
      <c r="C608" s="174">
        <v>0.027985027610950387</v>
      </c>
      <c r="D608" s="174">
        <v>0.02832511331956472</v>
      </c>
      <c r="E608" s="282">
        <v>-0.011262779969869349</v>
      </c>
      <c r="F608" s="287">
        <v>-2765.2393426669187</v>
      </c>
      <c r="G608" s="235">
        <v>9.111020088786168</v>
      </c>
      <c r="H608" s="235">
        <v>3863.9424572442686</v>
      </c>
      <c r="I608" s="287">
        <v>8211.25931064164</v>
      </c>
      <c r="J608" s="233">
        <v>94688.21162391028</v>
      </c>
    </row>
    <row r="609">
      <c r="A609" s="184">
        <v>43249.0</v>
      </c>
      <c r="B609" s="174">
        <v>0.03070168818531005</v>
      </c>
      <c r="C609" s="174">
        <v>0.02804844107027536</v>
      </c>
      <c r="D609" s="174">
        <v>0.04870616365442518</v>
      </c>
      <c r="E609" s="282">
        <v>0.014396805632821074</v>
      </c>
      <c r="F609" s="287">
        <v>3574.5163832440903</v>
      </c>
      <c r="G609" s="235">
        <v>2.023182165949472</v>
      </c>
      <c r="H609" s="235">
        <v>6629.181799911187</v>
      </c>
      <c r="I609" s="287">
        <v>8202.148290552854</v>
      </c>
      <c r="J609" s="233">
        <v>97453.45096657719</v>
      </c>
    </row>
    <row r="610">
      <c r="A610" s="184">
        <v>43248.0</v>
      </c>
      <c r="B610" s="174">
        <v>0.004449312663671438</v>
      </c>
      <c r="C610" s="174">
        <v>0.02811441078009612</v>
      </c>
      <c r="D610" s="174">
        <v>0.02249613451557471</v>
      </c>
      <c r="E610" s="282">
        <v>0.00416356541681534</v>
      </c>
      <c r="F610" s="287">
        <v>1018.8696963677876</v>
      </c>
      <c r="G610" s="235">
        <v>53.33152208491444</v>
      </c>
      <c r="H610" s="235">
        <v>3054.665416667097</v>
      </c>
      <c r="I610" s="287">
        <v>8200.125108386905</v>
      </c>
      <c r="J610" s="233">
        <v>93878.9345833331</v>
      </c>
    </row>
    <row r="611">
      <c r="A611" s="184">
        <v>43245.0</v>
      </c>
      <c r="B611" s="174">
        <v>-0.003067557401446078</v>
      </c>
      <c r="C611" s="174">
        <v>0.02823764295346247</v>
      </c>
      <c r="D611" s="174">
        <v>0.01505836797841517</v>
      </c>
      <c r="E611" s="282">
        <v>0.01328896518832849</v>
      </c>
      <c r="F611" s="287">
        <v>3238.4144478013513</v>
      </c>
      <c r="G611" s="235">
        <v>14.870823103427263</v>
      </c>
      <c r="H611" s="235">
        <v>2035.7957202993093</v>
      </c>
      <c r="I611" s="287">
        <v>8146.79358630199</v>
      </c>
      <c r="J611" s="233">
        <v>92860.06488696531</v>
      </c>
    </row>
    <row r="612">
      <c r="A612" s="184">
        <v>43244.0</v>
      </c>
      <c r="B612" s="174">
        <v>-0.02708182353808508</v>
      </c>
      <c r="C612" s="174">
        <v>0.02830073155361014</v>
      </c>
      <c r="D612" s="174">
        <v>-0.008915401178342003</v>
      </c>
      <c r="E612" s="282">
        <v>0.004559050175969573</v>
      </c>
      <c r="F612" s="287">
        <v>1096.2399420128954</v>
      </c>
      <c r="G612" s="235">
        <v>29.162229502070076</v>
      </c>
      <c r="H612" s="235">
        <v>-1202.618727502042</v>
      </c>
      <c r="I612" s="287">
        <v>8131.922763198563</v>
      </c>
      <c r="J612" s="233">
        <v>89621.65043916396</v>
      </c>
    </row>
    <row r="613">
      <c r="A613" s="184">
        <v>43243.0</v>
      </c>
      <c r="B613" s="174">
        <v>-0.03528416569656882</v>
      </c>
      <c r="C613" s="174">
        <v>0.02836146783456451</v>
      </c>
      <c r="D613" s="174">
        <v>-0.017078756325826155</v>
      </c>
      <c r="E613" s="282">
        <v>0.014210679052855278</v>
      </c>
      <c r="F613" s="287">
        <v>3401.4303565922532</v>
      </c>
      <c r="G613" s="235">
        <v>29.70149356503751</v>
      </c>
      <c r="H613" s="235">
        <v>-2298.8586695149374</v>
      </c>
      <c r="I613" s="287">
        <v>8102.760533696493</v>
      </c>
      <c r="J613" s="233">
        <v>88525.41049715107</v>
      </c>
    </row>
    <row r="614">
      <c r="A614" s="184">
        <v>43242.0</v>
      </c>
      <c r="B614" s="174">
        <v>-0.06068254348718529</v>
      </c>
      <c r="C614" s="174">
        <v>0.02842158703060847</v>
      </c>
      <c r="D614" s="174">
        <v>-0.04243854321623237</v>
      </c>
      <c r="E614" s="282">
        <v>-0.0013501086649987187</v>
      </c>
      <c r="F614" s="287">
        <v>-318.56611996351876</v>
      </c>
      <c r="G614" s="235">
        <v>8.484273076784145</v>
      </c>
      <c r="H614" s="235">
        <v>-5700.289026107191</v>
      </c>
      <c r="I614" s="287">
        <v>8073.059040131456</v>
      </c>
      <c r="J614" s="233">
        <v>85123.98014055881</v>
      </c>
    </row>
    <row r="615">
      <c r="A615" s="184">
        <v>43241.0</v>
      </c>
      <c r="B615" s="174">
        <v>-0.05842895196433301</v>
      </c>
      <c r="C615" s="174">
        <v>0.028479164019301936</v>
      </c>
      <c r="D615" s="174">
        <v>-0.04014799265248652</v>
      </c>
      <c r="E615" s="282">
        <v>0.008704646261448042</v>
      </c>
      <c r="F615" s="287">
        <v>2056.6857437106264</v>
      </c>
      <c r="G615" s="235">
        <v>38.35110112386801</v>
      </c>
      <c r="H615" s="235">
        <v>-5381.722906143672</v>
      </c>
      <c r="I615" s="287">
        <v>8064.574767054672</v>
      </c>
      <c r="J615" s="233">
        <v>85442.54626052233</v>
      </c>
    </row>
    <row r="616">
      <c r="A616" s="184">
        <v>43238.0</v>
      </c>
      <c r="B616" s="174">
        <v>-0.07408058563769403</v>
      </c>
      <c r="C616" s="174">
        <v>0.028598307834734358</v>
      </c>
      <c r="D616" s="174">
        <v>-0.05572314714125132</v>
      </c>
      <c r="E616" s="282">
        <v>0.005414082904999243</v>
      </c>
      <c r="F616" s="287">
        <v>1268.0745401955028</v>
      </c>
      <c r="G616" s="235">
        <v>51.83901947621597</v>
      </c>
      <c r="H616" s="235">
        <v>-7438.408649854298</v>
      </c>
      <c r="I616" s="287">
        <v>8026.223665930804</v>
      </c>
      <c r="J616" s="233">
        <v>83385.8605168117</v>
      </c>
    </row>
    <row r="617">
      <c r="A617" s="184">
        <v>43237.0</v>
      </c>
      <c r="B617" s="174">
        <v>-0.0837461599407462</v>
      </c>
      <c r="C617" s="174">
        <v>0.028655135611888694</v>
      </c>
      <c r="D617" s="174">
        <v>-0.06535224332713555</v>
      </c>
      <c r="E617" s="282">
        <v>-0.0040791889715979515</v>
      </c>
      <c r="F617" s="287">
        <v>-950.2459157480143</v>
      </c>
      <c r="G617" s="235">
        <v>16.54008357853479</v>
      </c>
      <c r="H617" s="235">
        <v>-8706.483190049801</v>
      </c>
      <c r="I617" s="287">
        <v>7974.384646454588</v>
      </c>
      <c r="J617" s="233">
        <v>82117.7859766162</v>
      </c>
    </row>
    <row r="618">
      <c r="A618" s="184">
        <v>43236.0</v>
      </c>
      <c r="B618" s="174">
        <v>-0.07676321017165096</v>
      </c>
      <c r="C618" s="174">
        <v>0.028711144218159616</v>
      </c>
      <c r="D618" s="174">
        <v>-0.0583333412719529</v>
      </c>
      <c r="E618" s="282">
        <v>0.0068863556402231655</v>
      </c>
      <c r="F618" s="287">
        <v>1610.7183275640991</v>
      </c>
      <c r="G618" s="235">
        <v>24.6696284593711</v>
      </c>
      <c r="H618" s="235">
        <v>-7756.237274301787</v>
      </c>
      <c r="I618" s="287">
        <v>7957.844562876053</v>
      </c>
      <c r="J618" s="233">
        <v>83068.03189236422</v>
      </c>
    </row>
    <row r="619">
      <c r="A619" s="184">
        <v>43235.0</v>
      </c>
      <c r="B619" s="174">
        <v>-0.08905376987044142</v>
      </c>
      <c r="C619" s="174">
        <v>0.028768200443521963</v>
      </c>
      <c r="D619" s="174">
        <v>-0.0705872762111953</v>
      </c>
      <c r="E619" s="282">
        <v>-0.0010193894779425157</v>
      </c>
      <c r="F619" s="287">
        <v>-236.79321157867525</v>
      </c>
      <c r="G619" s="235">
        <v>7.371815681400181</v>
      </c>
      <c r="H619" s="235">
        <v>-9366.955601865886</v>
      </c>
      <c r="I619" s="287">
        <v>7933.174934416682</v>
      </c>
      <c r="J619" s="233">
        <v>81457.31356480012</v>
      </c>
    </row>
    <row r="620">
      <c r="A620" s="184">
        <v>43234.0</v>
      </c>
      <c r="B620" s="174">
        <v>-0.08743903671163009</v>
      </c>
      <c r="C620" s="174">
        <v>0.028824137610390075</v>
      </c>
      <c r="D620" s="174">
        <v>-0.06893663662371062</v>
      </c>
      <c r="E620" s="282">
        <v>-0.003958272246722039</v>
      </c>
      <c r="F620" s="287">
        <v>-920.4013613107709</v>
      </c>
      <c r="G620" s="235">
        <v>49.82719632606491</v>
      </c>
      <c r="H620" s="235">
        <v>-9130.16239028721</v>
      </c>
      <c r="I620" s="287">
        <v>7925.803118735282</v>
      </c>
      <c r="J620" s="233">
        <v>81694.10677637879</v>
      </c>
    </row>
    <row r="621">
      <c r="A621" s="184">
        <v>43231.0</v>
      </c>
      <c r="B621" s="174">
        <v>-0.08082085992014479</v>
      </c>
      <c r="C621" s="174">
        <v>0.02894276073746067</v>
      </c>
      <c r="D621" s="174">
        <v>-0.06224231488085133</v>
      </c>
      <c r="E621" s="282">
        <v>-0.015169826418569734</v>
      </c>
      <c r="F621" s="287">
        <v>-3541.341957223658</v>
      </c>
      <c r="G621" s="235">
        <v>10.194541818010123</v>
      </c>
      <c r="H621" s="235">
        <v>-8209.76102897644</v>
      </c>
      <c r="I621" s="287">
        <v>7875.975922409217</v>
      </c>
      <c r="J621" s="233">
        <v>82614.50813768955</v>
      </c>
    </row>
    <row r="622">
      <c r="A622" s="184">
        <v>43230.0</v>
      </c>
      <c r="B622" s="174">
        <v>-0.05407959430102669</v>
      </c>
      <c r="C622" s="174">
        <v>0.029000366929214698</v>
      </c>
      <c r="D622" s="174">
        <v>-0.03546407147520649</v>
      </c>
      <c r="E622" s="282">
        <v>0.0017471113894791139</v>
      </c>
      <c r="F622" s="287">
        <v>414.0440512271216</v>
      </c>
      <c r="G622" s="235">
        <v>6.637452917740586</v>
      </c>
      <c r="H622" s="235">
        <v>-4668.419071752782</v>
      </c>
      <c r="I622" s="287">
        <v>7865.7813805912065</v>
      </c>
      <c r="J622" s="233">
        <v>86155.85009491321</v>
      </c>
    </row>
    <row r="623">
      <c r="A623" s="184">
        <v>43229.0</v>
      </c>
      <c r="B623" s="174">
        <v>-0.05734512903555342</v>
      </c>
      <c r="C623" s="174">
        <v>0.029061287459243877</v>
      </c>
      <c r="D623" s="174">
        <v>-0.038690500928062574</v>
      </c>
      <c r="E623" s="282">
        <v>8.040425097323864E-4</v>
      </c>
      <c r="F623" s="287">
        <v>190.21534113536836</v>
      </c>
      <c r="G623" s="235">
        <v>38.689676635670565</v>
      </c>
      <c r="H623" s="235">
        <v>-5082.463122979903</v>
      </c>
      <c r="I623" s="287">
        <v>7859.143927673465</v>
      </c>
      <c r="J623" s="233">
        <v>85741.8060436861</v>
      </c>
    </row>
    <row r="624">
      <c r="A624" s="184">
        <v>43228.0</v>
      </c>
      <c r="B624" s="174">
        <v>-0.058916246665023986</v>
      </c>
      <c r="C624" s="174">
        <v>0.02912213245877686</v>
      </c>
      <c r="D624" s="174">
        <v>-0.040222561759375795</v>
      </c>
      <c r="E624" s="282">
        <v>0.002871184475010123</v>
      </c>
      <c r="F624" s="287">
        <v>678.7006971820529</v>
      </c>
      <c r="G624" s="235">
        <v>56.114011017318276</v>
      </c>
      <c r="H624" s="235">
        <v>-5272.678464115272</v>
      </c>
      <c r="I624" s="287">
        <v>7820.454251037795</v>
      </c>
      <c r="J624" s="233">
        <v>85551.59070255073</v>
      </c>
    </row>
    <row r="625">
      <c r="A625" s="184">
        <v>43227.0</v>
      </c>
      <c r="B625" s="174">
        <v>-0.06422787471896799</v>
      </c>
      <c r="C625" s="174">
        <v>0.02918309423348026</v>
      </c>
      <c r="D625" s="174">
        <v>-0.045495058056426375</v>
      </c>
      <c r="E625" s="282">
        <v>0.00577932898976568</v>
      </c>
      <c r="F625" s="287">
        <v>1362.2157041006394</v>
      </c>
      <c r="G625" s="235">
        <v>9.82050408741025</v>
      </c>
      <c r="H625" s="235">
        <v>-5951.379161297325</v>
      </c>
      <c r="I625" s="287">
        <v>7764.340240020477</v>
      </c>
      <c r="J625" s="233">
        <v>84872.89000536868</v>
      </c>
    </row>
    <row r="626">
      <c r="A626" s="184">
        <v>43224.0</v>
      </c>
      <c r="B626" s="174">
        <v>-0.07495882191905101</v>
      </c>
      <c r="C626" s="174">
        <v>0.0293072488017989</v>
      </c>
      <c r="D626" s="174">
        <v>-0.056146309637274426</v>
      </c>
      <c r="E626" s="282">
        <v>-0.0010728358164876792</v>
      </c>
      <c r="F626" s="287">
        <v>-251.41114011743048</v>
      </c>
      <c r="G626" s="235">
        <v>51.913708578509834</v>
      </c>
      <c r="H626" s="235">
        <v>-7313.594865397964</v>
      </c>
      <c r="I626" s="287">
        <v>7754.519735933067</v>
      </c>
      <c r="J626" s="233">
        <v>83510.67430126804</v>
      </c>
    </row>
    <row r="627">
      <c r="A627" s="184">
        <v>43223.0</v>
      </c>
      <c r="B627" s="174">
        <v>-0.07302022498403771</v>
      </c>
      <c r="C627" s="174">
        <v>0.029036547222470212</v>
      </c>
      <c r="D627" s="174">
        <v>-0.054327097187989316</v>
      </c>
      <c r="E627" s="282">
        <v>-0.0010467508904131082</v>
      </c>
      <c r="F627" s="287">
        <v>-204.00525478655345</v>
      </c>
      <c r="G627" s="235">
        <v>40.792346104426</v>
      </c>
      <c r="H627" s="235">
        <v>-7062.1837252805335</v>
      </c>
      <c r="I627" s="287">
        <v>7702.606027354557</v>
      </c>
      <c r="J627" s="233">
        <v>83762.08544138547</v>
      </c>
    </row>
    <row r="628">
      <c r="A628" s="184">
        <v>43222.0</v>
      </c>
      <c r="B628" s="174">
        <v>-0.07165293057949212</v>
      </c>
      <c r="C628" s="174">
        <v>0.02909629121356751</v>
      </c>
      <c r="D628" s="174">
        <v>-0.052866302114442654</v>
      </c>
      <c r="E628" s="282">
        <v>0.004812597526156432</v>
      </c>
      <c r="F628" s="287">
        <v>922.0666947003474</v>
      </c>
      <c r="G628" s="235">
        <v>39.65371823567616</v>
      </c>
      <c r="H628" s="235">
        <v>-6858.17847049398</v>
      </c>
      <c r="I628" s="287">
        <v>7661.813681250132</v>
      </c>
      <c r="J628" s="233">
        <v>83966.09069617202</v>
      </c>
    </row>
    <row r="629">
      <c r="A629" s="184">
        <v>43220.0</v>
      </c>
      <c r="B629" s="174">
        <v>-0.07900969855038532</v>
      </c>
      <c r="C629" s="174">
        <v>0.02918828300180713</v>
      </c>
      <c r="D629" s="174">
        <v>-0.06016367366485022</v>
      </c>
      <c r="E629" s="282">
        <v>0.003356073972964289</v>
      </c>
      <c r="F629" s="287">
        <v>639.9104267426837</v>
      </c>
      <c r="G629" s="235">
        <v>60.405100969480735</v>
      </c>
      <c r="H629" s="235">
        <v>-7780.2451651943275</v>
      </c>
      <c r="I629" s="287">
        <v>7622.159963014456</v>
      </c>
      <c r="J629" s="233">
        <v>83044.02400147167</v>
      </c>
    </row>
    <row r="630">
      <c r="A630" s="184">
        <v>43217.0</v>
      </c>
      <c r="B630" s="174">
        <v>-0.08540875085318211</v>
      </c>
      <c r="C630" s="174">
        <v>0.029312040078813797</v>
      </c>
      <c r="D630" s="174">
        <v>-0.06538809405593372</v>
      </c>
      <c r="E630" s="282">
        <v>0.013637480276005092</v>
      </c>
      <c r="F630" s="287">
        <v>3038.9982575378926</v>
      </c>
      <c r="G630" s="235">
        <v>14.762362916746513</v>
      </c>
      <c r="H630" s="235">
        <v>-8420.155591937011</v>
      </c>
      <c r="I630" s="287">
        <v>7561.754862044975</v>
      </c>
      <c r="J630" s="233">
        <v>82404.11357472898</v>
      </c>
    </row>
    <row r="631">
      <c r="A631" s="184">
        <v>43216.0</v>
      </c>
      <c r="B631" s="174">
        <v>-0.10923045648351795</v>
      </c>
      <c r="C631" s="174">
        <v>0.02937169966078624</v>
      </c>
      <c r="D631" s="174">
        <v>-0.08916905110609137</v>
      </c>
      <c r="E631" s="282">
        <v>0.002784754980520447</v>
      </c>
      <c r="F631" s="287">
        <v>612.0964579041483</v>
      </c>
      <c r="G631" s="235">
        <v>18.05729091873741</v>
      </c>
      <c r="H631" s="235">
        <v>-11459.153849474904</v>
      </c>
      <c r="I631" s="287">
        <v>7546.992499128229</v>
      </c>
      <c r="J631" s="233">
        <v>79365.11531719108</v>
      </c>
    </row>
    <row r="632">
      <c r="A632" s="184">
        <v>43215.0</v>
      </c>
      <c r="B632" s="174">
        <v>-0.11421549424091884</v>
      </c>
      <c r="C632" s="174">
        <v>0.02942890770246566</v>
      </c>
      <c r="D632" s="174">
        <v>-0.0941150147299476</v>
      </c>
      <c r="E632" s="282">
        <v>-0.009766962338176373</v>
      </c>
      <c r="F632" s="287">
        <v>-2140.825648392758</v>
      </c>
      <c r="G632" s="235">
        <v>59.348512372041945</v>
      </c>
      <c r="H632" s="235">
        <v>-12071.250307379052</v>
      </c>
      <c r="I632" s="287">
        <v>7528.935208209491</v>
      </c>
      <c r="J632" s="233">
        <v>78753.01885928694</v>
      </c>
    </row>
    <row r="633">
      <c r="A633" s="184">
        <v>43214.0</v>
      </c>
      <c r="B633" s="174">
        <v>-0.09771285431709774</v>
      </c>
      <c r="C633" s="174">
        <v>0.029485812162085758</v>
      </c>
      <c r="D633" s="174">
        <v>-0.07757350802465296</v>
      </c>
      <c r="E633" s="282">
        <v>0.0026378977643346764</v>
      </c>
      <c r="F633" s="287">
        <v>583.8494874312237</v>
      </c>
      <c r="G633" s="235">
        <v>57.59145195743054</v>
      </c>
      <c r="H633" s="235">
        <v>-9930.424658986294</v>
      </c>
      <c r="I633" s="287">
        <v>7469.586695837449</v>
      </c>
      <c r="J633" s="233">
        <v>80893.84450767969</v>
      </c>
    </row>
    <row r="634">
      <c r="A634" s="184">
        <v>43213.0</v>
      </c>
      <c r="B634" s="174">
        <v>-0.10247863977529201</v>
      </c>
      <c r="C634" s="174">
        <v>0.02954489346322783</v>
      </c>
      <c r="D634" s="174">
        <v>-0.0822989398789998</v>
      </c>
      <c r="E634" s="282">
        <v>-9.77797811998431E-4</v>
      </c>
      <c r="F634" s="287">
        <v>-215.84642822774367</v>
      </c>
      <c r="G634" s="235">
        <v>54.09915608891186</v>
      </c>
      <c r="H634" s="235">
        <v>-10514.274146417518</v>
      </c>
      <c r="I634" s="287">
        <v>7411.995243880018</v>
      </c>
      <c r="J634" s="233">
        <v>80309.99502024846</v>
      </c>
    </row>
    <row r="635">
      <c r="A635" s="184">
        <v>43210.0</v>
      </c>
      <c r="B635" s="174">
        <v>-0.10121246089370053</v>
      </c>
      <c r="C635" s="174">
        <v>0.029668985838151318</v>
      </c>
      <c r="D635" s="174">
        <v>-0.08094800364709022</v>
      </c>
      <c r="E635" s="282">
        <v>-0.0022194792938218513</v>
      </c>
      <c r="F635" s="287">
        <v>-490.4235850829409</v>
      </c>
      <c r="G635" s="235">
        <v>56.527190245313136</v>
      </c>
      <c r="H635" s="235">
        <v>-10298.427718189774</v>
      </c>
      <c r="I635" s="287">
        <v>7357.896087791107</v>
      </c>
      <c r="J635" s="233">
        <v>80525.8414484762</v>
      </c>
    </row>
    <row r="636">
      <c r="A636" s="184">
        <v>43209.0</v>
      </c>
      <c r="B636" s="174">
        <v>-0.09755277785085736</v>
      </c>
      <c r="C636" s="174">
        <v>0.029728458983991225</v>
      </c>
      <c r="D636" s="174">
        <v>-0.07724769936334017</v>
      </c>
      <c r="E636" s="282">
        <v>-0.00224583204248213</v>
      </c>
      <c r="F636" s="287">
        <v>-497.34798577052425</v>
      </c>
      <c r="G636" s="235">
        <v>46.12115334906652</v>
      </c>
      <c r="H636" s="235">
        <v>-9808.004133106833</v>
      </c>
      <c r="I636" s="287">
        <v>7301.3688975457935</v>
      </c>
      <c r="J636" s="233">
        <v>81016.26503355915</v>
      </c>
    </row>
    <row r="637">
      <c r="A637" s="184">
        <v>43208.0</v>
      </c>
      <c r="B637" s="174">
        <v>-0.09382524358133082</v>
      </c>
      <c r="C637" s="174">
        <v>0.029788646118722156</v>
      </c>
      <c r="D637" s="174">
        <v>-0.07347905618550093</v>
      </c>
      <c r="E637" s="282">
        <v>0.005527103249974472</v>
      </c>
      <c r="F637" s="287">
        <v>1226.7467779815433</v>
      </c>
      <c r="G637" s="235">
        <v>36.85211402412775</v>
      </c>
      <c r="H637" s="235">
        <v>-9310.656147336309</v>
      </c>
      <c r="I637" s="287">
        <v>7255.247744196727</v>
      </c>
      <c r="J637" s="233">
        <v>81513.61301932967</v>
      </c>
    </row>
    <row r="638">
      <c r="A638" s="184">
        <v>43207.0</v>
      </c>
      <c r="B638" s="174">
        <v>-0.10371830768461952</v>
      </c>
      <c r="C638" s="174">
        <v>0.02984956161165635</v>
      </c>
      <c r="D638" s="174">
        <v>-0.0833305138985694</v>
      </c>
      <c r="E638" s="282">
        <v>0.0017802072993406064</v>
      </c>
      <c r="F638" s="287">
        <v>392.93514721075735</v>
      </c>
      <c r="G638" s="235">
        <v>51.31999874031511</v>
      </c>
      <c r="H638" s="235">
        <v>-10537.402925317852</v>
      </c>
      <c r="I638" s="287">
        <v>7218.395630172599</v>
      </c>
      <c r="J638" s="233">
        <v>80286.86624134812</v>
      </c>
    </row>
    <row r="639">
      <c r="A639" s="184">
        <v>43206.0</v>
      </c>
      <c r="B639" s="174">
        <v>-0.10704059490181328</v>
      </c>
      <c r="C639" s="174">
        <v>0.029909617687051186</v>
      </c>
      <c r="D639" s="174">
        <v>-0.08661178172336204</v>
      </c>
      <c r="E639" s="282">
        <v>-4.252444763698678E-4</v>
      </c>
      <c r="F639" s="287">
        <v>-93.69472865026546</v>
      </c>
      <c r="G639" s="235">
        <v>32.24273430198221</v>
      </c>
      <c r="H639" s="235">
        <v>-10930.33807252861</v>
      </c>
      <c r="I639" s="287">
        <v>7167.075631432284</v>
      </c>
      <c r="J639" s="233">
        <v>79893.93109413737</v>
      </c>
    </row>
    <row r="640">
      <c r="A640" s="184">
        <v>43203.0</v>
      </c>
      <c r="B640" s="174">
        <v>-0.10674794280418298</v>
      </c>
      <c r="C640" s="174">
        <v>0.03003617528428199</v>
      </c>
      <c r="D640" s="174">
        <v>-0.08623268848371539</v>
      </c>
      <c r="E640" s="282">
        <v>7.089842192627226E-4</v>
      </c>
      <c r="F640" s="287">
        <v>156.27794341801928</v>
      </c>
      <c r="G640" s="235">
        <v>30.46301372475719</v>
      </c>
      <c r="H640" s="235">
        <v>-10836.643343878344</v>
      </c>
      <c r="I640" s="287">
        <v>7134.832897130302</v>
      </c>
      <c r="J640" s="233">
        <v>79987.62582278764</v>
      </c>
    </row>
    <row r="641">
      <c r="A641" s="184">
        <v>43202.0</v>
      </c>
      <c r="B641" s="174">
        <v>-0.10820912113001815</v>
      </c>
      <c r="C641" s="174">
        <v>0.03009669601845442</v>
      </c>
      <c r="D641" s="174">
        <v>-0.08765253004674844</v>
      </c>
      <c r="E641" s="282">
        <v>0.005482936615331969</v>
      </c>
      <c r="F641" s="287">
        <v>1207.7201906532664</v>
      </c>
      <c r="G641" s="235">
        <v>34.6466328320844</v>
      </c>
      <c r="H641" s="235">
        <v>-10992.921287296364</v>
      </c>
      <c r="I641" s="287">
        <v>7104.369883405545</v>
      </c>
      <c r="J641" s="233">
        <v>79831.34787936963</v>
      </c>
    </row>
    <row r="642">
      <c r="A642" s="184">
        <v>43201.0</v>
      </c>
      <c r="B642" s="174">
        <v>-0.1180763718996706</v>
      </c>
      <c r="C642" s="174">
        <v>0.030157339970140234</v>
      </c>
      <c r="D642" s="174">
        <v>-0.09747835989379483</v>
      </c>
      <c r="E642" s="282">
        <v>-0.007375750159965724</v>
      </c>
      <c r="F642" s="287">
        <v>-1615.740227496286</v>
      </c>
      <c r="G642" s="235">
        <v>65.8330453438901</v>
      </c>
      <c r="H642" s="235">
        <v>-12200.64147794963</v>
      </c>
      <c r="I642" s="287">
        <v>7069.72325057346</v>
      </c>
      <c r="J642" s="233">
        <v>78623.62768871635</v>
      </c>
    </row>
    <row r="643">
      <c r="A643" s="184">
        <v>43200.0</v>
      </c>
      <c r="B643" s="174">
        <v>-0.10537568756869257</v>
      </c>
      <c r="C643" s="174">
        <v>0.030217113974099277</v>
      </c>
      <c r="D643" s="174">
        <v>-0.08473684883033951</v>
      </c>
      <c r="E643" s="282">
        <v>0.003732583026895078</v>
      </c>
      <c r="F643" s="287">
        <v>823.6947720487406</v>
      </c>
      <c r="G643" s="235">
        <v>9.821736165485673</v>
      </c>
      <c r="H643" s="235">
        <v>-10584.901250453344</v>
      </c>
      <c r="I643" s="287">
        <v>7003.89020522957</v>
      </c>
      <c r="J643" s="233">
        <v>80239.36791621264</v>
      </c>
    </row>
    <row r="644">
      <c r="A644" s="184">
        <v>43199.0</v>
      </c>
      <c r="B644" s="174">
        <v>-0.11219787668559994</v>
      </c>
      <c r="C644" s="174">
        <v>0.030278683308755088</v>
      </c>
      <c r="D644" s="174">
        <v>-0.09151698497123208</v>
      </c>
      <c r="E644" s="282">
        <v>7.421356492138757E-4</v>
      </c>
      <c r="F644" s="287">
        <v>163.16088542287798</v>
      </c>
      <c r="G644" s="235">
        <v>66.38617879800216</v>
      </c>
      <c r="H644" s="235">
        <v>-11408.596022502084</v>
      </c>
      <c r="I644" s="287">
        <v>6994.068469064084</v>
      </c>
      <c r="J644" s="233">
        <v>79415.6731441639</v>
      </c>
    </row>
    <row r="645">
      <c r="A645" s="184">
        <v>43196.0</v>
      </c>
      <c r="B645" s="174">
        <v>-0.11399034734186864</v>
      </c>
      <c r="C645" s="174">
        <v>0.030407695863356565</v>
      </c>
      <c r="D645" s="174">
        <v>-0.09322133770492468</v>
      </c>
      <c r="E645" s="282">
        <v>-0.0029790523571017564</v>
      </c>
      <c r="F645" s="287">
        <v>-654.4680811241851</v>
      </c>
      <c r="G645" s="235">
        <v>66.41522885858275</v>
      </c>
      <c r="H645" s="235">
        <v>-11571.756907924962</v>
      </c>
      <c r="I645" s="287">
        <v>6927.6822902660815</v>
      </c>
      <c r="J645" s="233">
        <v>79252.51225874102</v>
      </c>
    </row>
    <row r="646">
      <c r="A646" s="184">
        <v>43195.0</v>
      </c>
      <c r="B646" s="174">
        <v>-0.10963630392820589</v>
      </c>
      <c r="C646" s="174">
        <v>0.031167898824286604</v>
      </c>
      <c r="D646" s="174">
        <v>-0.08812655163740273</v>
      </c>
      <c r="E646" s="282">
        <v>0.012794199664717903</v>
      </c>
      <c r="F646" s="287">
        <v>2818.0238212256063</v>
      </c>
      <c r="G646" s="235">
        <v>28.8470848442282</v>
      </c>
      <c r="H646" s="235">
        <v>-10917.288826800777</v>
      </c>
      <c r="I646" s="287">
        <v>6861.267061407499</v>
      </c>
      <c r="J646" s="233">
        <v>79906.9803398652</v>
      </c>
    </row>
    <row r="647">
      <c r="A647" s="184">
        <v>43194.0</v>
      </c>
      <c r="B647" s="174">
        <v>-0.13223952255091867</v>
      </c>
      <c r="C647" s="174">
        <v>0.030816513170009108</v>
      </c>
      <c r="D647" s="174">
        <v>-0.11110090322170016</v>
      </c>
      <c r="E647" s="282">
        <v>-0.004300897400127467</v>
      </c>
      <c r="F647" s="287">
        <v>-935.4074112596609</v>
      </c>
      <c r="G647" s="235">
        <v>34.1589961937732</v>
      </c>
      <c r="H647" s="235">
        <v>-13735.312648026384</v>
      </c>
      <c r="I647" s="287">
        <v>6832.41997656327</v>
      </c>
      <c r="J647" s="233">
        <v>77088.95651863959</v>
      </c>
    </row>
    <row r="648">
      <c r="A648" s="184">
        <v>43193.0</v>
      </c>
      <c r="B648" s="174">
        <v>-0.12151166507668329</v>
      </c>
      <c r="C648" s="174">
        <v>0.02747081939642453</v>
      </c>
      <c r="D648" s="174">
        <v>-0.10373763037883117</v>
      </c>
      <c r="E648" s="282">
        <v>-3.560785697502815E-4</v>
      </c>
      <c r="F648" s="287">
        <v>-77.92668572079674</v>
      </c>
      <c r="G648" s="235">
        <v>32.19069799824438</v>
      </c>
      <c r="H648" s="235">
        <v>-12799.905236766723</v>
      </c>
      <c r="I648" s="287">
        <v>6798.260980369497</v>
      </c>
      <c r="J648" s="233">
        <v>78024.36392989925</v>
      </c>
    </row>
    <row r="649">
      <c r="A649" s="184">
        <v>43188.0</v>
      </c>
      <c r="B649" s="174">
        <v>-0.12293739198283093</v>
      </c>
      <c r="C649" s="174">
        <v>0.02765002568305323</v>
      </c>
      <c r="D649" s="174">
        <v>-0.10377868262031012</v>
      </c>
      <c r="E649" s="282">
        <v>0.008220594375227663</v>
      </c>
      <c r="F649" s="287">
        <v>1798.4135245518682</v>
      </c>
      <c r="G649" s="235">
        <v>46.91488643567398</v>
      </c>
      <c r="H649" s="235">
        <v>-12721.978551045926</v>
      </c>
      <c r="I649" s="287">
        <v>6766.070282371253</v>
      </c>
      <c r="J649" s="233">
        <v>78102.29061562005</v>
      </c>
    </row>
    <row r="650">
      <c r="A650" s="184">
        <v>43187.0</v>
      </c>
      <c r="B650" s="174">
        <v>-0.13788402650550455</v>
      </c>
      <c r="C650" s="174">
        <v>0.02770552299964317</v>
      </c>
      <c r="D650" s="174">
        <v>-0.11868686303913825</v>
      </c>
      <c r="E650" s="282">
        <v>-3.913634629211056E-4</v>
      </c>
      <c r="F650" s="287">
        <v>-84.91447022389184</v>
      </c>
      <c r="G650" s="235">
        <v>59.67011334335534</v>
      </c>
      <c r="H650" s="235">
        <v>-14520.392075597794</v>
      </c>
      <c r="I650" s="287">
        <v>6719.155395935579</v>
      </c>
      <c r="J650" s="233">
        <v>76303.87709106818</v>
      </c>
    </row>
    <row r="651">
      <c r="A651" s="184">
        <v>43186.0</v>
      </c>
      <c r="B651" s="174">
        <v>-0.13745809762906755</v>
      </c>
      <c r="C651" s="174">
        <v>0.027759675007456353</v>
      </c>
      <c r="D651" s="174">
        <v>-0.11822341222362667</v>
      </c>
      <c r="E651" s="282">
        <v>-0.0038917413450254867</v>
      </c>
      <c r="F651" s="287">
        <v>-844.7249625220211</v>
      </c>
      <c r="G651" s="235">
        <v>51.744426469330385</v>
      </c>
      <c r="H651" s="235">
        <v>-14435.477605373902</v>
      </c>
      <c r="I651" s="287">
        <v>6659.4852825922235</v>
      </c>
      <c r="J651" s="233">
        <v>76388.79156129208</v>
      </c>
    </row>
    <row r="652">
      <c r="A652" s="184">
        <v>43185.0</v>
      </c>
      <c r="B652" s="174">
        <v>-0.13079608988360572</v>
      </c>
      <c r="C652" s="174">
        <v>0.02781413650328293</v>
      </c>
      <c r="D652" s="174">
        <v>-0.1115236680947723</v>
      </c>
      <c r="E652" s="282">
        <v>-0.0019124724218381622</v>
      </c>
      <c r="F652" s="287">
        <v>-416.72871102508907</v>
      </c>
      <c r="G652" s="235">
        <v>43.87796429114992</v>
      </c>
      <c r="H652" s="235">
        <v>-13590.752642851881</v>
      </c>
      <c r="I652" s="287">
        <v>6607.740856122893</v>
      </c>
      <c r="J652" s="233">
        <v>77233.51652381409</v>
      </c>
    </row>
    <row r="653">
      <c r="A653" s="184">
        <v>43182.0</v>
      </c>
      <c r="B653" s="174">
        <v>-0.12792082187816556</v>
      </c>
      <c r="C653" s="174">
        <v>0.027933000570097358</v>
      </c>
      <c r="D653" s="174">
        <v>-0.10856603914920683</v>
      </c>
      <c r="E653" s="282">
        <v>-0.002116273414948618</v>
      </c>
      <c r="F653" s="287">
        <v>-462.01896271613623</v>
      </c>
      <c r="G653" s="235">
        <v>12.495930562324629</v>
      </c>
      <c r="H653" s="235">
        <v>-13174.023931826792</v>
      </c>
      <c r="I653" s="287">
        <v>6563.862891831744</v>
      </c>
      <c r="J653" s="233">
        <v>77650.24523483918</v>
      </c>
    </row>
    <row r="654">
      <c r="A654" s="184">
        <v>43181.0</v>
      </c>
      <c r="B654" s="174">
        <v>-0.12436338548857008</v>
      </c>
      <c r="C654" s="174">
        <v>0.02798927097297442</v>
      </c>
      <c r="D654" s="174">
        <v>-0.10496961298409391</v>
      </c>
      <c r="E654" s="282">
        <v>-0.0056654621798542006</v>
      </c>
      <c r="F654" s="287">
        <v>-1239.48559511418</v>
      </c>
      <c r="G654" s="235">
        <v>33.41059937187721</v>
      </c>
      <c r="H654" s="235">
        <v>-12712.004969110656</v>
      </c>
      <c r="I654" s="287">
        <v>6551.366961269419</v>
      </c>
      <c r="J654" s="233">
        <v>78112.26419755531</v>
      </c>
    </row>
    <row r="655">
      <c r="A655" s="184">
        <v>43180.0</v>
      </c>
      <c r="B655" s="174">
        <v>-0.11510483859319173</v>
      </c>
      <c r="C655" s="174">
        <v>0.028790566882302113</v>
      </c>
      <c r="D655" s="174">
        <v>-0.09492725594855377</v>
      </c>
      <c r="E655" s="282">
        <v>5.775408021649954E-4</v>
      </c>
      <c r="F655" s="287">
        <v>127.01784438191135</v>
      </c>
      <c r="G655" s="235">
        <v>30.15746182293546</v>
      </c>
      <c r="H655" s="235">
        <v>-11472.519373996476</v>
      </c>
      <c r="I655" s="287">
        <v>6517.956361897542</v>
      </c>
      <c r="J655" s="233">
        <v>79351.74979266949</v>
      </c>
    </row>
    <row r="656">
      <c r="A656" s="184">
        <v>43179.0</v>
      </c>
      <c r="B656" s="174">
        <v>-0.11175236515897602</v>
      </c>
      <c r="C656" s="174">
        <v>0.024205440379033157</v>
      </c>
      <c r="D656" s="174">
        <v>-0.09617781884829725</v>
      </c>
      <c r="E656" s="282">
        <v>-0.0059200893283369495</v>
      </c>
      <c r="F656" s="287">
        <v>-1304.5625634357548</v>
      </c>
      <c r="G656" s="235">
        <v>18.398634705334754</v>
      </c>
      <c r="H656" s="235">
        <v>-11599.537218378387</v>
      </c>
      <c r="I656" s="287">
        <v>6487.7989000746065</v>
      </c>
      <c r="J656" s="233">
        <v>79224.73194828758</v>
      </c>
    </row>
    <row r="657">
      <c r="A657" s="184">
        <v>43178.0</v>
      </c>
      <c r="B657" s="174">
        <v>-0.10114555434754285</v>
      </c>
      <c r="C657" s="174">
        <v>0.024255800289601948</v>
      </c>
      <c r="D657" s="174">
        <v>-0.0855386048767863</v>
      </c>
      <c r="E657" s="282">
        <v>-0.00382392070223404</v>
      </c>
      <c r="F657" s="287">
        <v>-847.635253498458</v>
      </c>
      <c r="G657" s="235">
        <v>62.446470027568346</v>
      </c>
      <c r="H657" s="235">
        <v>-10294.974654942633</v>
      </c>
      <c r="I657" s="287">
        <v>6469.400265369271</v>
      </c>
      <c r="J657" s="233">
        <v>80529.29451172333</v>
      </c>
    </row>
    <row r="658">
      <c r="A658" s="184">
        <v>43175.0</v>
      </c>
      <c r="B658" s="174">
        <v>-0.09451930543381884</v>
      </c>
      <c r="C658" s="174">
        <v>0.024363172192795504</v>
      </c>
      <c r="D658" s="174">
        <v>-0.07884326948280959</v>
      </c>
      <c r="E658" s="282">
        <v>0.0029817267463333238</v>
      </c>
      <c r="F658" s="287">
        <v>663.4764539118896</v>
      </c>
      <c r="G658" s="235">
        <v>24.550128378205407</v>
      </c>
      <c r="H658" s="235">
        <v>-9447.339401444175</v>
      </c>
      <c r="I658" s="287">
        <v>6406.953795341703</v>
      </c>
      <c r="J658" s="233">
        <v>81376.9297652218</v>
      </c>
    </row>
    <row r="659">
      <c r="A659" s="184">
        <v>43174.0</v>
      </c>
      <c r="B659" s="174">
        <v>-0.10027290085597691</v>
      </c>
      <c r="C659" s="174">
        <v>0.02441589303898232</v>
      </c>
      <c r="D659" s="174">
        <v>-0.08456294264420244</v>
      </c>
      <c r="E659" s="282">
        <v>8.790236124314432E-4</v>
      </c>
      <c r="F659" s="287">
        <v>195.01199858744803</v>
      </c>
      <c r="G659" s="235">
        <v>54.793871243768386</v>
      </c>
      <c r="H659" s="235">
        <v>-10110.815855356064</v>
      </c>
      <c r="I659" s="287">
        <v>6382.403666963498</v>
      </c>
      <c r="J659" s="233">
        <v>80713.4533113099</v>
      </c>
    </row>
    <row r="660">
      <c r="A660" s="184">
        <v>43173.0</v>
      </c>
      <c r="B660" s="174">
        <v>-0.10212278960648062</v>
      </c>
      <c r="C660" s="174">
        <v>0.024468337043764242</v>
      </c>
      <c r="D660" s="174">
        <v>-0.08637908726246135</v>
      </c>
      <c r="E660" s="282">
        <v>-0.002943070579045508</v>
      </c>
      <c r="F660" s="287">
        <v>-652.3483168023213</v>
      </c>
      <c r="G660" s="235">
        <v>21.218440969487855</v>
      </c>
      <c r="H660" s="235">
        <v>-10305.827853943512</v>
      </c>
      <c r="I660" s="287">
        <v>6327.60979571973</v>
      </c>
      <c r="J660" s="233">
        <v>80518.44131272245</v>
      </c>
    </row>
    <row r="661">
      <c r="A661" s="184">
        <v>43172.0</v>
      </c>
      <c r="B661" s="174">
        <v>-0.09686261500061995</v>
      </c>
      <c r="C661" s="174">
        <v>0.02452087421541318</v>
      </c>
      <c r="D661" s="174">
        <v>-0.08108510857784544</v>
      </c>
      <c r="E661" s="282">
        <v>4.843721298276743E-4</v>
      </c>
      <c r="F661" s="287">
        <v>107.67981419309035</v>
      </c>
      <c r="G661" s="235">
        <v>27.49889239698536</v>
      </c>
      <c r="H661" s="235">
        <v>-9653.479537141191</v>
      </c>
      <c r="I661" s="287">
        <v>6306.391354750242</v>
      </c>
      <c r="J661" s="233">
        <v>81170.78962952478</v>
      </c>
    </row>
    <row r="662">
      <c r="A662" s="184">
        <v>43171.0</v>
      </c>
      <c r="B662" s="174">
        <v>-0.09797964289797256</v>
      </c>
      <c r="C662" s="174">
        <v>0.02457418705501717</v>
      </c>
      <c r="D662" s="174">
        <v>-0.08216783330713483</v>
      </c>
      <c r="E662" s="282">
        <v>0.0036090362939583433</v>
      </c>
      <c r="F662" s="287">
        <v>801.9291300213044</v>
      </c>
      <c r="G662" s="235">
        <v>27.369794405669083</v>
      </c>
      <c r="H662" s="235">
        <v>-9761.159351334281</v>
      </c>
      <c r="I662" s="287">
        <v>6278.892462353257</v>
      </c>
      <c r="J662" s="233">
        <v>81063.10981533169</v>
      </c>
    </row>
    <row r="663">
      <c r="A663" s="184">
        <v>43168.0</v>
      </c>
      <c r="B663" s="174">
        <v>-0.10520075974676461</v>
      </c>
      <c r="C663" s="174">
        <v>0.024684612209168243</v>
      </c>
      <c r="D663" s="174">
        <v>-0.0893178991173893</v>
      </c>
      <c r="E663" s="282">
        <v>0.011333437665152043</v>
      </c>
      <c r="F663" s="287">
        <v>2509.2052094446117</v>
      </c>
      <c r="G663" s="235">
        <v>60.816588618264454</v>
      </c>
      <c r="H663" s="235">
        <v>-10563.088481355586</v>
      </c>
      <c r="I663" s="287">
        <v>6251.522667947587</v>
      </c>
      <c r="J663" s="233">
        <v>80261.18068531038</v>
      </c>
    </row>
    <row r="664">
      <c r="A664" s="184">
        <v>43167.0</v>
      </c>
      <c r="B664" s="174">
        <v>-0.12675135496894566</v>
      </c>
      <c r="C664" s="174">
        <v>0.024798647012910235</v>
      </c>
      <c r="D664" s="174">
        <v>-0.11077345637824672</v>
      </c>
      <c r="E664" s="282">
        <v>0.006200493840630569</v>
      </c>
      <c r="F664" s="287">
        <v>1357.1767799648078</v>
      </c>
      <c r="G664" s="235">
        <v>15.91764439520161</v>
      </c>
      <c r="H664" s="235">
        <v>-13072.293690800198</v>
      </c>
      <c r="I664" s="287">
        <v>6190.706079329323</v>
      </c>
      <c r="J664" s="233">
        <v>77751.97547586577</v>
      </c>
    </row>
    <row r="665">
      <c r="A665" s="184">
        <v>43166.0</v>
      </c>
      <c r="B665" s="174">
        <v>-0.13853962980685877</v>
      </c>
      <c r="C665" s="174">
        <v>0.02485024886544663</v>
      </c>
      <c r="D665" s="174">
        <v>-0.12252848387139582</v>
      </c>
      <c r="E665" s="282">
        <v>-0.010306867113348401</v>
      </c>
      <c r="F665" s="287">
        <v>-2241.9999240862726</v>
      </c>
      <c r="G665" s="235">
        <v>17.996871907684366</v>
      </c>
      <c r="H665" s="235">
        <v>-14429.470470765005</v>
      </c>
      <c r="I665" s="287">
        <v>6174.788434934121</v>
      </c>
      <c r="J665" s="233">
        <v>76394.79869590096</v>
      </c>
    </row>
    <row r="666">
      <c r="A666" s="184">
        <v>43165.0</v>
      </c>
      <c r="B666" s="174">
        <v>-0.11974549276236643</v>
      </c>
      <c r="C666" s="174">
        <v>0.024900968491563112</v>
      </c>
      <c r="D666" s="174">
        <v>-0.10370166790525807</v>
      </c>
      <c r="E666" s="282">
        <v>0.002024272797490211</v>
      </c>
      <c r="F666" s="287">
        <v>444.86809562394046</v>
      </c>
      <c r="G666" s="235">
        <v>21.66385909072938</v>
      </c>
      <c r="H666" s="235">
        <v>-12187.470546678733</v>
      </c>
      <c r="I666" s="287">
        <v>6156.791563026437</v>
      </c>
      <c r="J666" s="233">
        <v>78636.79861998722</v>
      </c>
    </row>
    <row r="667">
      <c r="A667" s="184">
        <v>43164.0</v>
      </c>
      <c r="B667" s="174">
        <v>-0.12341069955740361</v>
      </c>
      <c r="C667" s="174">
        <v>0.024571684504220457</v>
      </c>
      <c r="D667" s="174">
        <v>-0.10771494196717653</v>
      </c>
      <c r="E667" s="282">
        <v>-0.002330978241457151</v>
      </c>
      <c r="F667" s="287">
        <v>-511.33926417262774</v>
      </c>
      <c r="G667" s="235">
        <v>25.6952664441176</v>
      </c>
      <c r="H667" s="235">
        <v>-12632.338642302673</v>
      </c>
      <c r="I667" s="287">
        <v>6135.127703935707</v>
      </c>
      <c r="J667" s="233">
        <v>78191.93052436328</v>
      </c>
    </row>
    <row r="668">
      <c r="A668" s="184">
        <v>43161.0</v>
      </c>
      <c r="B668" s="174">
        <v>-0.1195799945615617</v>
      </c>
      <c r="C668" s="174">
        <v>0.02468096020168113</v>
      </c>
      <c r="D668" s="174">
        <v>-0.10381443447742947</v>
      </c>
      <c r="E668" s="282">
        <v>-0.011397739325197146</v>
      </c>
      <c r="F668" s="287">
        <v>-2506.113844094507</v>
      </c>
      <c r="G668" s="235">
        <v>52.709808400986496</v>
      </c>
      <c r="H668" s="235">
        <v>-12120.999378130045</v>
      </c>
      <c r="I668" s="287">
        <v>6109.43243749159</v>
      </c>
      <c r="J668" s="233">
        <v>78703.26978853591</v>
      </c>
    </row>
    <row r="669">
      <c r="A669" s="184">
        <v>43160.0</v>
      </c>
      <c r="B669" s="174">
        <v>-0.09832515491873885</v>
      </c>
      <c r="C669" s="174">
        <v>0.024733691968040344</v>
      </c>
      <c r="D669" s="174">
        <v>-0.08252591114385531</v>
      </c>
      <c r="E669" s="282">
        <v>-0.0011148072045943677</v>
      </c>
      <c r="F669" s="287">
        <v>-247.91558021507626</v>
      </c>
      <c r="G669" s="235">
        <v>12.063179778785422</v>
      </c>
      <c r="H669" s="235">
        <v>-9614.885534035539</v>
      </c>
      <c r="I669" s="287">
        <v>6056.722629090603</v>
      </c>
      <c r="J669" s="233">
        <v>81209.38363263042</v>
      </c>
    </row>
    <row r="670">
      <c r="A670" s="184">
        <v>43159.0</v>
      </c>
      <c r="B670" s="174">
        <v>-0.09641141265789192</v>
      </c>
      <c r="C670" s="174">
        <v>0.02478875349487174</v>
      </c>
      <c r="D670" s="174">
        <v>-0.08057699700142473</v>
      </c>
      <c r="E670" s="282">
        <v>0.001972839257257201</v>
      </c>
      <c r="F670" s="287">
        <v>439.2175047238561</v>
      </c>
      <c r="G670" s="235">
        <v>0.5629035086671164</v>
      </c>
      <c r="H670" s="235">
        <v>-9366.969953820462</v>
      </c>
      <c r="I670" s="287">
        <v>6044.659449311817</v>
      </c>
      <c r="J670" s="233">
        <v>81457.2992128455</v>
      </c>
    </row>
    <row r="671">
      <c r="A671" s="184">
        <v>43158.0</v>
      </c>
      <c r="B671" s="174">
        <v>-0.10184842513134378</v>
      </c>
      <c r="C671" s="174">
        <v>0.02484429353275797</v>
      </c>
      <c r="D671" s="174">
        <v>-0.08454425562256648</v>
      </c>
      <c r="E671" s="282">
        <v>0.005490257010890161</v>
      </c>
      <c r="F671" s="287">
        <v>1218.9831112073498</v>
      </c>
      <c r="G671" s="235">
        <v>53.50976397520393</v>
      </c>
      <c r="H671" s="235">
        <v>-9806.187458544318</v>
      </c>
      <c r="I671" s="287">
        <v>6044.096545803151</v>
      </c>
      <c r="J671" s="233">
        <v>81018.08170812164</v>
      </c>
    </row>
    <row r="672">
      <c r="A672" s="184">
        <v>43157.0</v>
      </c>
      <c r="B672" s="174">
        <v>-0.11260867530397119</v>
      </c>
      <c r="C672" s="174">
        <v>0.02489974118761999</v>
      </c>
      <c r="D672" s="174">
        <v>-0.09526588623785644</v>
      </c>
      <c r="E672" s="282">
        <v>0.0092538770229224</v>
      </c>
      <c r="F672" s="287">
        <v>2043.3265559317679</v>
      </c>
      <c r="G672" s="235">
        <v>57.8730110935267</v>
      </c>
      <c r="H672" s="235">
        <v>-11025.170569751668</v>
      </c>
      <c r="I672" s="287">
        <v>5990.586781827947</v>
      </c>
      <c r="J672" s="233">
        <v>79799.0985969143</v>
      </c>
    </row>
    <row r="673">
      <c r="A673" s="184">
        <v>43154.0</v>
      </c>
      <c r="B673" s="174">
        <v>-0.13085753317378396</v>
      </c>
      <c r="C673" s="174">
        <v>0.02501308346413549</v>
      </c>
      <c r="D673" s="174">
        <v>-0.11343580066889727</v>
      </c>
      <c r="E673" s="282">
        <v>0.0010379082477063367</v>
      </c>
      <c r="F673" s="287">
        <v>227.05726387789764</v>
      </c>
      <c r="G673" s="235">
        <v>15.387845834687212</v>
      </c>
      <c r="H673" s="235">
        <v>-13068.497125683436</v>
      </c>
      <c r="I673" s="287">
        <v>5932.71377073442</v>
      </c>
      <c r="J673" s="233">
        <v>77755.77204098253</v>
      </c>
    </row>
    <row r="674">
      <c r="A674" s="184">
        <v>43153.0</v>
      </c>
      <c r="B674" s="174">
        <v>-0.13311212120682925</v>
      </c>
      <c r="C674" s="174">
        <v>0.025066509122993966</v>
      </c>
      <c r="D674" s="174">
        <v>-0.11565317747451179</v>
      </c>
      <c r="E674" s="282">
        <v>-0.001559101294152043</v>
      </c>
      <c r="F674" s="287">
        <v>-340.7216868606447</v>
      </c>
      <c r="G674" s="235">
        <v>26.61481724311859</v>
      </c>
      <c r="H674" s="235">
        <v>-13295.554389561334</v>
      </c>
      <c r="I674" s="287">
        <v>5917.325924899733</v>
      </c>
      <c r="J674" s="233">
        <v>77528.71477710463</v>
      </c>
    </row>
    <row r="675">
      <c r="A675" s="184">
        <v>43152.0</v>
      </c>
      <c r="B675" s="174">
        <v>-0.13042600672486762</v>
      </c>
      <c r="C675" s="174">
        <v>0.025119993867562276</v>
      </c>
      <c r="D675" s="174">
        <v>-0.1129298106116393</v>
      </c>
      <c r="E675" s="282">
        <v>-0.0034334060262477474</v>
      </c>
      <c r="F675" s="287">
        <v>-751.4968975973443</v>
      </c>
      <c r="G675" s="235">
        <v>26.44085715621057</v>
      </c>
      <c r="H675" s="235">
        <v>-12954.832702700689</v>
      </c>
      <c r="I675" s="287">
        <v>5890.711107656614</v>
      </c>
      <c r="J675" s="233">
        <v>77869.43646396528</v>
      </c>
    </row>
    <row r="676">
      <c r="A676" s="184">
        <v>43151.0</v>
      </c>
      <c r="B676" s="174">
        <v>-0.1241414980239581</v>
      </c>
      <c r="C676" s="174">
        <v>0.025174023220841658</v>
      </c>
      <c r="D676" s="174">
        <v>-0.10660767020724167</v>
      </c>
      <c r="E676" s="282">
        <v>0.003153682124853739</v>
      </c>
      <c r="F676" s="287">
        <v>692.6414837858283</v>
      </c>
      <c r="G676" s="235">
        <v>57.13149896742166</v>
      </c>
      <c r="H676" s="235">
        <v>-12203.335805103345</v>
      </c>
      <c r="I676" s="287">
        <v>5864.270250500404</v>
      </c>
      <c r="J676" s="233">
        <v>78620.93336156262</v>
      </c>
    </row>
    <row r="677">
      <c r="A677" s="184">
        <v>43150.0</v>
      </c>
      <c r="B677" s="174">
        <v>-0.13047647626038902</v>
      </c>
      <c r="C677" s="174">
        <v>0.025228956918206175</v>
      </c>
      <c r="D677" s="174">
        <v>-0.11290438686019524</v>
      </c>
      <c r="E677" s="282">
        <v>0.008616423338789614</v>
      </c>
      <c r="F677" s="287">
        <v>1886.4522627642255</v>
      </c>
      <c r="G677" s="235">
        <v>18.97303999922772</v>
      </c>
      <c r="H677" s="235">
        <v>-12895.977288889173</v>
      </c>
      <c r="I677" s="287">
        <v>5807.138751532982</v>
      </c>
      <c r="J677" s="233">
        <v>77928.29187777679</v>
      </c>
    </row>
    <row r="678">
      <c r="A678" s="184">
        <v>43147.0</v>
      </c>
      <c r="B678" s="174">
        <v>-0.14765957739759142</v>
      </c>
      <c r="C678" s="174">
        <v>0.02534347075831842</v>
      </c>
      <c r="D678" s="174">
        <v>-0.130007728558966</v>
      </c>
      <c r="E678" s="282">
        <v>0.005084083238091815</v>
      </c>
      <c r="F678" s="287">
        <v>1103.502099377225</v>
      </c>
      <c r="G678" s="235">
        <v>2.5357151943504164</v>
      </c>
      <c r="H678" s="235">
        <v>-14782.429551653398</v>
      </c>
      <c r="I678" s="287">
        <v>5788.165711533754</v>
      </c>
      <c r="J678" s="233">
        <v>76041.83961501256</v>
      </c>
    </row>
    <row r="679">
      <c r="A679" s="184">
        <v>43146.0</v>
      </c>
      <c r="B679" s="174">
        <v>-0.1576962973529759</v>
      </c>
      <c r="C679" s="174">
        <v>0.02539689053603766</v>
      </c>
      <c r="D679" s="174">
        <v>-0.14000724138316134</v>
      </c>
      <c r="E679" s="282">
        <v>-0.005238095485340439</v>
      </c>
      <c r="F679" s="287">
        <v>-1131.1502637911872</v>
      </c>
      <c r="G679" s="235">
        <v>31.557015126673594</v>
      </c>
      <c r="H679" s="235">
        <v>-15885.931651030623</v>
      </c>
      <c r="I679" s="287">
        <v>5785.629996339403</v>
      </c>
      <c r="J679" s="233">
        <v>74938.33751563534</v>
      </c>
    </row>
    <row r="680">
      <c r="A680" s="184">
        <v>43145.0</v>
      </c>
      <c r="B680" s="174">
        <v>-0.1480337082887553</v>
      </c>
      <c r="C680" s="174">
        <v>0.02544959366244308</v>
      </c>
      <c r="D680" s="174">
        <v>-0.13030794433882617</v>
      </c>
      <c r="E680" s="282">
        <v>0.006109226797285813</v>
      </c>
      <c r="F680" s="287">
        <v>1326.1787873185167</v>
      </c>
      <c r="G680" s="235">
        <v>23.008247516650037</v>
      </c>
      <c r="H680" s="235">
        <v>-14754.781387239436</v>
      </c>
      <c r="I680" s="287">
        <v>5754.072981212729</v>
      </c>
      <c r="J680" s="233">
        <v>76069.48777942653</v>
      </c>
    </row>
    <row r="681">
      <c r="A681" s="184">
        <v>43144.0</v>
      </c>
      <c r="B681" s="174">
        <v>-0.16008453184469254</v>
      </c>
      <c r="C681" s="174">
        <v>0.025503533414808786</v>
      </c>
      <c r="D681" s="174">
        <v>-0.14232119859874104</v>
      </c>
      <c r="E681" s="282">
        <v>-0.005069870387869084</v>
      </c>
      <c r="F681" s="287">
        <v>-1093.8338131605778</v>
      </c>
      <c r="G681" s="235">
        <v>29.325355393010817</v>
      </c>
      <c r="H681" s="235">
        <v>-16080.960174557953</v>
      </c>
      <c r="I681" s="287">
        <v>5731.064733696079</v>
      </c>
      <c r="J681" s="233">
        <v>74743.30899210801</v>
      </c>
    </row>
    <row r="682">
      <c r="A682" s="184">
        <v>43143.0</v>
      </c>
      <c r="B682" s="174">
        <v>-0.15071646823752283</v>
      </c>
      <c r="C682" s="174">
        <v>0.025556554572759835</v>
      </c>
      <c r="D682" s="174">
        <v>-0.1329162055009611</v>
      </c>
      <c r="E682" s="282">
        <v>0.0020382807128759943</v>
      </c>
      <c r="F682" s="287">
        <v>441.9923338653589</v>
      </c>
      <c r="G682" s="235">
        <v>14.243957134678574</v>
      </c>
      <c r="H682" s="235">
        <v>-14987.126361397375</v>
      </c>
      <c r="I682" s="287">
        <v>5701.739378303068</v>
      </c>
      <c r="J682" s="233">
        <v>75837.14280526858</v>
      </c>
    </row>
    <row r="683">
      <c r="A683" s="184">
        <v>43140.0</v>
      </c>
      <c r="B683" s="174">
        <v>-0.1553348164505606</v>
      </c>
      <c r="C683" s="174">
        <v>0.02567198724195917</v>
      </c>
      <c r="D683" s="174">
        <v>-0.13745415430670468</v>
      </c>
      <c r="E683" s="282">
        <v>-0.01090034035755441</v>
      </c>
      <c r="F683" s="287">
        <v>-2425.846998053834</v>
      </c>
      <c r="G683" s="235">
        <v>62.129077988130625</v>
      </c>
      <c r="H683" s="235">
        <v>-15429.118695262734</v>
      </c>
      <c r="I683" s="287">
        <v>5687.49542116839</v>
      </c>
      <c r="J683" s="233">
        <v>75395.15047140322</v>
      </c>
    </row>
    <row r="684">
      <c r="A684" s="184">
        <v>43139.0</v>
      </c>
      <c r="B684" s="174">
        <v>-0.13400639454086302</v>
      </c>
      <c r="C684" s="174">
        <v>0.025726286593375555</v>
      </c>
      <c r="D684" s="174">
        <v>-0.11608791263852264</v>
      </c>
      <c r="E684" s="282">
        <v>0.0011870692933030266</v>
      </c>
      <c r="F684" s="287">
        <v>267.05933344398363</v>
      </c>
      <c r="G684" s="235">
        <v>19.0887857783493</v>
      </c>
      <c r="H684" s="235">
        <v>-13003.2716972089</v>
      </c>
      <c r="I684" s="287">
        <v>5625.366343180259</v>
      </c>
      <c r="J684" s="233">
        <v>77820.99746945706</v>
      </c>
    </row>
    <row r="685">
      <c r="A685" s="184">
        <v>43138.0</v>
      </c>
      <c r="B685" s="174">
        <v>-0.1366913661677954</v>
      </c>
      <c r="C685" s="174">
        <v>0.02578301936176043</v>
      </c>
      <c r="D685" s="174">
        <v>-0.11873336962039018</v>
      </c>
      <c r="E685" s="282">
        <v>0.009400886522718184</v>
      </c>
      <c r="F685" s="287">
        <v>2112.4413318256393</v>
      </c>
      <c r="G685" s="235">
        <v>17.177921998040212</v>
      </c>
      <c r="H685" s="235">
        <v>-13270.331030652884</v>
      </c>
      <c r="I685" s="287">
        <v>5606.27755740191</v>
      </c>
      <c r="J685" s="233">
        <v>77553.93813601308</v>
      </c>
    </row>
    <row r="686">
      <c r="A686" s="184">
        <v>43137.0</v>
      </c>
      <c r="B686" s="174">
        <v>-0.15599749995146917</v>
      </c>
      <c r="C686" s="174">
        <v>0.025902736408203737</v>
      </c>
      <c r="D686" s="174">
        <v>-0.13793701543012127</v>
      </c>
      <c r="E686" s="282">
        <v>-0.012654266896409206</v>
      </c>
      <c r="F686" s="287">
        <v>-2816.6771739156356</v>
      </c>
      <c r="G686" s="235">
        <v>65.92920582628379</v>
      </c>
      <c r="H686" s="235">
        <v>-15382.772362478523</v>
      </c>
      <c r="I686" s="287">
        <v>5589.09963540387</v>
      </c>
      <c r="J686" s="233">
        <v>75441.49680418744</v>
      </c>
    </row>
    <row r="687">
      <c r="A687" s="184">
        <v>43136.0</v>
      </c>
      <c r="B687" s="174">
        <v>-0.1306188359128994</v>
      </c>
      <c r="C687" s="174">
        <v>0.02555748906663124</v>
      </c>
      <c r="D687" s="174">
        <v>-0.11292033022349468</v>
      </c>
      <c r="E687" s="282">
        <v>-0.015178359235971516</v>
      </c>
      <c r="F687" s="287">
        <v>-3421.936725621128</v>
      </c>
      <c r="G687" s="235">
        <v>62.26528486213435</v>
      </c>
      <c r="H687" s="235">
        <v>-12566.095188562887</v>
      </c>
      <c r="I687" s="287">
        <v>5523.170429577586</v>
      </c>
      <c r="J687" s="233">
        <v>78258.17397810308</v>
      </c>
    </row>
    <row r="688">
      <c r="A688" s="184">
        <v>43133.0</v>
      </c>
      <c r="B688" s="174">
        <v>-0.10037210178912365</v>
      </c>
      <c r="C688" s="174">
        <v>0.02567641346844271</v>
      </c>
      <c r="D688" s="174">
        <v>-0.08255278224662627</v>
      </c>
      <c r="E688" s="282">
        <v>-0.015617057626430519</v>
      </c>
      <c r="F688" s="287">
        <v>-3971.894254833789</v>
      </c>
      <c r="G688" s="235">
        <v>42.99408054965552</v>
      </c>
      <c r="H688" s="235">
        <v>-9144.15846294176</v>
      </c>
      <c r="I688" s="287">
        <v>5460.905144715452</v>
      </c>
      <c r="J688" s="233">
        <v>81680.1107037242</v>
      </c>
    </row>
    <row r="689">
      <c r="A689" s="184">
        <v>43132.0</v>
      </c>
      <c r="B689" s="174">
        <v>-0.064666905130271</v>
      </c>
      <c r="C689" s="174">
        <v>0.02573721508706547</v>
      </c>
      <c r="D689" s="174">
        <v>-0.04680538952825496</v>
      </c>
      <c r="E689" s="282">
        <v>0.003401847646384685</v>
      </c>
      <c r="F689" s="287">
        <v>878.7054311986494</v>
      </c>
      <c r="G689" s="235">
        <v>35.85412386405636</v>
      </c>
      <c r="H689" s="235">
        <v>-5172.264208107971</v>
      </c>
      <c r="I689" s="287">
        <v>5417.911064165796</v>
      </c>
      <c r="J689" s="233">
        <v>85652.004958558</v>
      </c>
    </row>
    <row r="690">
      <c r="A690" s="184">
        <v>43131.0</v>
      </c>
      <c r="B690" s="174">
        <v>-0.07280124877483621</v>
      </c>
      <c r="C690" s="174">
        <v>0.025801956811172703</v>
      </c>
      <c r="D690" s="174">
        <v>-0.05489480269719058</v>
      </c>
      <c r="E690" s="282">
        <v>-0.007256695600352472</v>
      </c>
      <c r="F690" s="287">
        <v>-1868.045433833896</v>
      </c>
      <c r="G690" s="235">
        <v>59.984540946138125</v>
      </c>
      <c r="H690" s="235">
        <v>-6050.969639306621</v>
      </c>
      <c r="I690" s="287">
        <v>5382.05694030174</v>
      </c>
      <c r="J690" s="233">
        <v>84773.29952735936</v>
      </c>
    </row>
    <row r="691">
      <c r="A691" s="184">
        <v>43130.0</v>
      </c>
      <c r="B691" s="174">
        <v>-0.05782352270175266</v>
      </c>
      <c r="C691" s="174">
        <v>0.025866254118301586</v>
      </c>
      <c r="D691" s="174">
        <v>-0.03804233326290202</v>
      </c>
      <c r="E691" s="282">
        <v>-0.009755412077634735</v>
      </c>
      <c r="F691" s="287">
        <v>-2527.5347469825438</v>
      </c>
      <c r="G691" s="235">
        <v>61.65711054307148</v>
      </c>
      <c r="H691" s="235">
        <v>-4182.924205472725</v>
      </c>
      <c r="I691" s="287">
        <v>5322.072399355602</v>
      </c>
      <c r="J691" s="233">
        <v>86641.34496119324</v>
      </c>
    </row>
    <row r="692">
      <c r="A692" s="184">
        <v>43129.0</v>
      </c>
      <c r="B692" s="174">
        <v>-0.03492581040744399</v>
      </c>
      <c r="C692" s="174">
        <v>0.025932628975592426</v>
      </c>
      <c r="D692" s="174">
        <v>-0.015093860869352006</v>
      </c>
      <c r="E692" s="282">
        <v>0.0073049083015588575</v>
      </c>
      <c r="F692" s="287">
        <v>1911.0958692383194</v>
      </c>
      <c r="G692" s="235">
        <v>54.655196517173586</v>
      </c>
      <c r="H692" s="235">
        <v>-1655.3894584901811</v>
      </c>
      <c r="I692" s="287">
        <v>5260.415288812531</v>
      </c>
      <c r="J692" s="233">
        <v>89168.8797081758</v>
      </c>
    </row>
    <row r="693">
      <c r="A693" s="184">
        <v>43126.0</v>
      </c>
      <c r="B693" s="174">
        <v>-0.05261825232683989</v>
      </c>
      <c r="C693" s="174">
        <v>0.026064913020879286</v>
      </c>
      <c r="D693" s="174">
        <v>-0.032685138710347186</v>
      </c>
      <c r="E693" s="282">
        <v>1.0329298821339677E-4</v>
      </c>
      <c r="F693" s="287">
        <v>26.825907407900104</v>
      </c>
      <c r="G693" s="235">
        <v>38.85146464044319</v>
      </c>
      <c r="H693" s="235">
        <v>-3566.4853277285006</v>
      </c>
      <c r="I693" s="287">
        <v>5205.760092295357</v>
      </c>
      <c r="J693" s="233">
        <v>87257.78383893748</v>
      </c>
    </row>
    <row r="694">
      <c r="A694" s="184">
        <v>43125.0</v>
      </c>
      <c r="B694" s="174">
        <v>-0.05300194119322108</v>
      </c>
      <c r="C694" s="174">
        <v>0.02613287682234136</v>
      </c>
      <c r="D694" s="174">
        <v>-0.033016852334176554</v>
      </c>
      <c r="E694" s="282">
        <v>-0.007197255299153327</v>
      </c>
      <c r="F694" s="287">
        <v>-1504.171721465732</v>
      </c>
      <c r="G694" s="235">
        <v>48.643415279447545</v>
      </c>
      <c r="H694" s="235">
        <v>-3593.3112351364007</v>
      </c>
      <c r="I694" s="287">
        <v>5166.908627654914</v>
      </c>
      <c r="J694" s="233">
        <v>87230.95793152959</v>
      </c>
    </row>
    <row r="695">
      <c r="A695" s="184">
        <v>43124.0</v>
      </c>
      <c r="B695" s="174">
        <v>-0.03928342914724242</v>
      </c>
      <c r="C695" s="174">
        <v>0.02620120830416699</v>
      </c>
      <c r="D695" s="174">
        <v>-0.019246083862491718</v>
      </c>
      <c r="E695" s="282">
        <v>-0.0031521724780616362</v>
      </c>
      <c r="F695" s="287">
        <v>-663.5215277350931</v>
      </c>
      <c r="G695" s="235">
        <v>43.66192242871016</v>
      </c>
      <c r="H695" s="235">
        <v>-2089.1395136706687</v>
      </c>
      <c r="I695" s="287">
        <v>5118.265212375467</v>
      </c>
      <c r="J695" s="233">
        <v>88735.12965299531</v>
      </c>
    </row>
    <row r="696">
      <c r="A696" s="184">
        <v>43123.0</v>
      </c>
      <c r="B696" s="174">
        <v>-0.03325967603583754</v>
      </c>
      <c r="C696" s="174">
        <v>0.026271358618279617</v>
      </c>
      <c r="D696" s="174">
        <v>-0.013168591004280082</v>
      </c>
      <c r="E696" s="282">
        <v>0.006468876815992592</v>
      </c>
      <c r="F696" s="287">
        <v>1365.9686236926432</v>
      </c>
      <c r="G696" s="235">
        <v>57.214854988472354</v>
      </c>
      <c r="H696" s="235">
        <v>-1425.6179859355757</v>
      </c>
      <c r="I696" s="287">
        <v>5074.603289946756</v>
      </c>
      <c r="J696" s="233">
        <v>89398.6511807304</v>
      </c>
    </row>
    <row r="697">
      <c r="A697" s="184">
        <v>43122.0</v>
      </c>
      <c r="B697" s="174">
        <v>-0.04600161140509312</v>
      </c>
      <c r="C697" s="174">
        <v>0.026342556688217205</v>
      </c>
      <c r="D697" s="174">
        <v>-0.025856077477382885</v>
      </c>
      <c r="E697" s="282">
        <v>-8.104143865150647E-4</v>
      </c>
      <c r="F697" s="287">
        <v>-170.02017580187385</v>
      </c>
      <c r="G697" s="235">
        <v>18.12844786677118</v>
      </c>
      <c r="H697" s="235">
        <v>-2791.586609628219</v>
      </c>
      <c r="I697" s="287">
        <v>5017.388434958284</v>
      </c>
      <c r="J697" s="233">
        <v>88032.68255703776</v>
      </c>
    </row>
    <row r="698">
      <c r="A698" s="184">
        <v>43119.0</v>
      </c>
      <c r="B698" s="174">
        <v>-0.0446546326672882</v>
      </c>
      <c r="C698" s="174">
        <v>0.02647761267627049</v>
      </c>
      <c r="D698" s="174">
        <v>-0.024405814346127847</v>
      </c>
      <c r="E698" s="282">
        <v>-0.009958459291845167</v>
      </c>
      <c r="F698" s="287">
        <v>-2090.9193764508736</v>
      </c>
      <c r="G698" s="235">
        <v>39.114321137670444</v>
      </c>
      <c r="H698" s="235">
        <v>-2621.566433826345</v>
      </c>
      <c r="I698" s="287">
        <v>4999.259987091513</v>
      </c>
      <c r="J698" s="233">
        <v>88202.70273283962</v>
      </c>
    </row>
    <row r="699">
      <c r="A699" s="184">
        <v>43118.0</v>
      </c>
      <c r="B699" s="174">
        <v>-0.025256635298332282</v>
      </c>
      <c r="C699" s="174">
        <v>0.026548764692697985</v>
      </c>
      <c r="D699" s="174">
        <v>-0.004953403300552367</v>
      </c>
      <c r="E699" s="282">
        <v>0.003007305445389342</v>
      </c>
      <c r="F699" s="287">
        <v>637.7143455097341</v>
      </c>
      <c r="G699" s="235">
        <v>24.821513696012136</v>
      </c>
      <c r="H699" s="235">
        <v>-530.6470573754711</v>
      </c>
      <c r="I699" s="287">
        <v>4960.145665953843</v>
      </c>
      <c r="J699" s="233">
        <v>90293.62210929049</v>
      </c>
    </row>
    <row r="700">
      <c r="A700" s="184">
        <v>43117.0</v>
      </c>
      <c r="B700" s="174">
        <v>-0.03129600155676698</v>
      </c>
      <c r="C700" s="174">
        <v>0.026622370532836864</v>
      </c>
      <c r="D700" s="174">
        <v>-0.010936479314750497</v>
      </c>
      <c r="E700" s="282">
        <v>-0.0018829653184831258</v>
      </c>
      <c r="F700" s="287">
        <v>-398.09153513402407</v>
      </c>
      <c r="G700" s="235">
        <v>14.550957426805196</v>
      </c>
      <c r="H700" s="235">
        <v>-1168.3614028852053</v>
      </c>
      <c r="I700" s="287">
        <v>4935.32415225783</v>
      </c>
      <c r="J700" s="233">
        <v>89655.90776378075</v>
      </c>
    </row>
    <row r="701">
      <c r="A701" s="184">
        <v>43116.0</v>
      </c>
      <c r="B701" s="174">
        <v>-0.027645702863991713</v>
      </c>
      <c r="C701" s="174">
        <v>0.026695805705679962</v>
      </c>
      <c r="D701" s="174">
        <v>-0.007230020895965815</v>
      </c>
      <c r="E701" s="282">
        <v>0.006346159885549465</v>
      </c>
      <c r="F701" s="287">
        <v>1344.214649307281</v>
      </c>
      <c r="G701" s="235">
        <v>69.91908581729656</v>
      </c>
      <c r="H701" s="235">
        <v>-770.2698677511812</v>
      </c>
      <c r="I701" s="287">
        <v>4920.773194831025</v>
      </c>
      <c r="J701" s="233">
        <v>90053.99929891477</v>
      </c>
    </row>
    <row r="702">
      <c r="A702" s="184">
        <v>43115.0</v>
      </c>
      <c r="B702" s="174">
        <v>-0.04037499231407607</v>
      </c>
      <c r="C702" s="174">
        <v>0.026770081143896125</v>
      </c>
      <c r="D702" s="174">
        <v>-0.019902508025064804</v>
      </c>
      <c r="E702" s="282">
        <v>-0.008431036053535094</v>
      </c>
      <c r="F702" s="287">
        <v>-1774.4904902783935</v>
      </c>
      <c r="G702" s="235">
        <v>69.89475938655974</v>
      </c>
      <c r="H702" s="235">
        <v>-2114.484517058462</v>
      </c>
      <c r="I702" s="287">
        <v>4850.854109013728</v>
      </c>
      <c r="J702" s="233">
        <v>88709.78464960749</v>
      </c>
    </row>
    <row r="703">
      <c r="A703" s="184">
        <v>43112.0</v>
      </c>
      <c r="B703" s="174">
        <v>-0.023796260664786725</v>
      </c>
      <c r="C703" s="174">
        <v>0.026909847818629488</v>
      </c>
      <c r="D703" s="174">
        <v>-0.0032168894732955786</v>
      </c>
      <c r="E703" s="282">
        <v>-0.009160129132395995</v>
      </c>
      <c r="F703" s="287">
        <v>-1641.246680937466</v>
      </c>
      <c r="G703" s="235">
        <v>7.2261257847020754</v>
      </c>
      <c r="H703" s="235">
        <v>-339.9940267800687</v>
      </c>
      <c r="I703" s="287">
        <v>4780.959349627168</v>
      </c>
      <c r="J703" s="233">
        <v>90484.27513988588</v>
      </c>
    </row>
    <row r="704">
      <c r="A704" s="184">
        <v>43111.0</v>
      </c>
      <c r="B704" s="174">
        <v>-0.008290745484819777</v>
      </c>
      <c r="C704" s="174">
        <v>0.02698573314550868</v>
      </c>
      <c r="D704" s="174">
        <v>0.012346659193904744</v>
      </c>
      <c r="E704" s="282">
        <v>0.0047704597663921775</v>
      </c>
      <c r="F704" s="287">
        <v>862.5664973171581</v>
      </c>
      <c r="G704" s="235">
        <v>52.024547548354924</v>
      </c>
      <c r="H704" s="235">
        <v>1301.2526541573973</v>
      </c>
      <c r="I704" s="287">
        <v>4773.733223842466</v>
      </c>
      <c r="J704" s="233">
        <v>92125.52182082334</v>
      </c>
    </row>
    <row r="705">
      <c r="A705" s="184">
        <v>43110.0</v>
      </c>
      <c r="B705" s="174">
        <v>-0.016522647918936834</v>
      </c>
      <c r="C705" s="174">
        <v>0.02706373954701105</v>
      </c>
      <c r="D705" s="174">
        <v>0.004174412343968227</v>
      </c>
      <c r="E705" s="282">
        <v>-0.023603166817167197</v>
      </c>
      <c r="F705" s="287">
        <v>-4247.42659897873</v>
      </c>
      <c r="G705" s="235">
        <v>23.67900839543309</v>
      </c>
      <c r="H705" s="235">
        <v>438.68615684023916</v>
      </c>
      <c r="I705" s="287">
        <v>4721.708676294111</v>
      </c>
      <c r="J705" s="233">
        <v>91262.95532350619</v>
      </c>
    </row>
    <row r="706">
      <c r="A706" s="184">
        <v>43109.0</v>
      </c>
      <c r="B706" s="174">
        <v>0.023963196109519674</v>
      </c>
      <c r="C706" s="174">
        <v>0.027141374350508632</v>
      </c>
      <c r="D706" s="174">
        <v>0.04471962777613253</v>
      </c>
      <c r="E706" s="282">
        <v>0.008922249583135639</v>
      </c>
      <c r="F706" s="287">
        <v>1643.469297107114</v>
      </c>
      <c r="G706" s="235">
        <v>62.77227577759513</v>
      </c>
      <c r="H706" s="235">
        <v>4686.112755818969</v>
      </c>
      <c r="I706" s="287">
        <v>4698.029667898678</v>
      </c>
      <c r="J706" s="233">
        <v>95510.38192248491</v>
      </c>
    </row>
    <row r="707">
      <c r="A707" s="184">
        <v>43108.0</v>
      </c>
      <c r="B707" s="174">
        <v>0.007898847083686</v>
      </c>
      <c r="C707" s="174">
        <v>0.02762967224000913</v>
      </c>
      <c r="D707" s="174">
        <v>0.029124181626745214</v>
      </c>
      <c r="E707" s="282">
        <v>0.009122605990966206</v>
      </c>
      <c r="F707" s="287">
        <v>1664.9952222683391</v>
      </c>
      <c r="G707" s="235">
        <v>6.8816170793513365</v>
      </c>
      <c r="H707" s="235">
        <v>3042.6434587118556</v>
      </c>
      <c r="I707" s="287">
        <v>4635.257392121082</v>
      </c>
      <c r="J707" s="233">
        <v>93866.9126253778</v>
      </c>
    </row>
    <row r="708">
      <c r="A708" s="184">
        <v>43105.0</v>
      </c>
      <c r="B708" s="174">
        <v>-0.005581283533509255</v>
      </c>
      <c r="C708" s="174">
        <v>0.025279990295042753</v>
      </c>
      <c r="D708" s="174">
        <v>0.013259220613288127</v>
      </c>
      <c r="E708" s="282">
        <v>0.0010032544436583356</v>
      </c>
      <c r="F708" s="287">
        <v>181.69741404532238</v>
      </c>
      <c r="G708" s="235">
        <v>65.59961680132528</v>
      </c>
      <c r="H708" s="235">
        <v>1377.6482364435162</v>
      </c>
      <c r="I708" s="287">
        <v>4628.375775041731</v>
      </c>
      <c r="J708" s="233">
        <v>62201.91740310946</v>
      </c>
    </row>
    <row r="709">
      <c r="A709" s="184">
        <v>43104.0</v>
      </c>
      <c r="B709" s="174">
        <v>-0.007343289701970744</v>
      </c>
      <c r="C709" s="174">
        <v>0.025325699087184336</v>
      </c>
      <c r="D709" s="174">
        <v>0.011531279991444252</v>
      </c>
      <c r="E709" s="282">
        <v>9.353188327286638E-4</v>
      </c>
      <c r="F709" s="287">
        <v>169.22378584830892</v>
      </c>
      <c r="G709" s="235">
        <v>41.98390508325616</v>
      </c>
      <c r="H709" s="235">
        <v>1195.9508223981938</v>
      </c>
      <c r="I709" s="287">
        <v>4562.7761582404055</v>
      </c>
      <c r="J709" s="233">
        <v>62020.219989064135</v>
      </c>
    </row>
    <row r="710">
      <c r="A710" s="184">
        <v>43103.0</v>
      </c>
      <c r="B710" s="174">
        <v>-0.008991135242833345</v>
      </c>
      <c r="C710" s="174">
        <v>0.025371414950912493</v>
      </c>
      <c r="D710" s="174">
        <v>0.009917505267464585</v>
      </c>
      <c r="E710" s="282">
        <v>9.96282615668293E-4</v>
      </c>
      <c r="F710" s="287">
        <v>180.0851434733553</v>
      </c>
      <c r="G710" s="235">
        <v>62.78395989343706</v>
      </c>
      <c r="H710" s="235">
        <v>1026.7270365498848</v>
      </c>
      <c r="I710" s="287">
        <v>4520.792253157149</v>
      </c>
      <c r="J710" s="233">
        <v>61850.99620321583</v>
      </c>
    </row>
    <row r="711">
      <c r="A711" s="184">
        <v>43102.0</v>
      </c>
      <c r="B711" s="174">
        <v>-0.010749981608760775</v>
      </c>
      <c r="C711" s="174">
        <v>0.02541714883276876</v>
      </c>
      <c r="D711" s="174">
        <v>0.008192743146851563</v>
      </c>
      <c r="E711" s="282">
        <v>-0.005761429828829065</v>
      </c>
      <c r="F711" s="287">
        <v>-1040.3817251072937</v>
      </c>
      <c r="G711" s="235">
        <v>21.422967328472062</v>
      </c>
      <c r="H711" s="235">
        <v>846.6418930765294</v>
      </c>
      <c r="I711" s="287">
        <v>4458.008293263712</v>
      </c>
      <c r="J711" s="233">
        <v>61670.91105974247</v>
      </c>
    </row>
    <row r="712">
      <c r="A712" s="184">
        <v>43098.0</v>
      </c>
      <c r="B712" s="174">
        <v>-0.0032110141311214807</v>
      </c>
      <c r="C712" s="174">
        <v>0.026846548267107945</v>
      </c>
      <c r="D712" s="174">
        <v>0.01836215019056039</v>
      </c>
      <c r="E712" s="282">
        <v>-0.0026687025854259115</v>
      </c>
      <c r="F712" s="287">
        <v>-483.9903596473223</v>
      </c>
      <c r="G712" s="235">
        <v>18.964565669492004</v>
      </c>
      <c r="H712" s="235">
        <v>1887.0236181838231</v>
      </c>
      <c r="I712" s="287">
        <v>4436.585325935241</v>
      </c>
      <c r="J712" s="233">
        <v>62711.292784849764</v>
      </c>
    </row>
    <row r="713">
      <c r="A713" s="184">
        <v>43097.0</v>
      </c>
      <c r="B713" s="174">
        <v>0.009916443598633813</v>
      </c>
      <c r="C713" s="174">
        <v>0.018481051192659283</v>
      </c>
      <c r="D713" s="174">
        <v>0.023114367319784425</v>
      </c>
      <c r="E713" s="282">
        <v>0.006147068146114493</v>
      </c>
      <c r="F713" s="287">
        <v>1123.1007862653437</v>
      </c>
      <c r="G713" s="235">
        <v>44.85532030900128</v>
      </c>
      <c r="H713" s="235">
        <v>2371.0139778311454</v>
      </c>
      <c r="I713" s="287">
        <v>4417.620760265749</v>
      </c>
      <c r="J713" s="233">
        <v>63195.28314449709</v>
      </c>
    </row>
    <row r="714">
      <c r="A714" s="184">
        <v>43096.0</v>
      </c>
      <c r="B714" s="174">
        <v>-0.0010342897148380428</v>
      </c>
      <c r="C714" s="174">
        <v>0.018515613577017673</v>
      </c>
      <c r="D714" s="174">
        <v>0.012188316136545741</v>
      </c>
      <c r="E714" s="282">
        <v>-0.004081366278283504</v>
      </c>
      <c r="F714" s="287">
        <v>-741.102705382887</v>
      </c>
      <c r="G714" s="235">
        <v>7.107035932941339</v>
      </c>
      <c r="H714" s="235">
        <v>1247.9131915658018</v>
      </c>
      <c r="I714" s="287">
        <v>4372.765439956747</v>
      </c>
      <c r="J714" s="233">
        <v>62072.182358231745</v>
      </c>
    </row>
    <row r="715">
      <c r="A715" s="184">
        <v>43091.0</v>
      </c>
      <c r="B715" s="174">
        <v>0.006246942075032285</v>
      </c>
      <c r="C715" s="174">
        <v>0.018643683923920372</v>
      </c>
      <c r="D715" s="174">
        <v>0.0195610071541268</v>
      </c>
      <c r="E715" s="282">
        <v>0.011485605894012816</v>
      </c>
      <c r="F715" s="287">
        <v>2094.0914545607757</v>
      </c>
      <c r="G715" s="235">
        <v>49.14037783114782</v>
      </c>
      <c r="H715" s="235">
        <v>1989.0158969486888</v>
      </c>
      <c r="I715" s="287">
        <v>4365.658404023806</v>
      </c>
      <c r="J715" s="233">
        <v>62813.28506361463</v>
      </c>
    </row>
    <row r="716">
      <c r="A716" s="184">
        <v>43090.0</v>
      </c>
      <c r="B716" s="174">
        <v>-0.01437426471904775</v>
      </c>
      <c r="C716" s="174">
        <v>0.018678551210754558</v>
      </c>
      <c r="D716" s="174">
        <v>-0.0010352997688796754</v>
      </c>
      <c r="E716" s="282">
        <v>-0.01921213157753672</v>
      </c>
      <c r="F716" s="287">
        <v>-3462.5837316782386</v>
      </c>
      <c r="G716" s="235">
        <v>68.7050727126926</v>
      </c>
      <c r="H716" s="235">
        <v>-105.07555761208687</v>
      </c>
      <c r="I716" s="287">
        <v>4316.518026192658</v>
      </c>
      <c r="J716" s="233">
        <v>60719.19360905386</v>
      </c>
    </row>
    <row r="717">
      <c r="A717" s="184">
        <v>43089.0</v>
      </c>
      <c r="B717" s="174">
        <v>0.01975575877719178</v>
      </c>
      <c r="C717" s="174">
        <v>0.01871206123031931</v>
      </c>
      <c r="D717" s="174">
        <v>0.03314056702629234</v>
      </c>
      <c r="E717" s="282">
        <v>-0.019229823065335598</v>
      </c>
      <c r="F717" s="287">
        <v>-3553.737417952978</v>
      </c>
      <c r="G717" s="235">
        <v>21.080662922392175</v>
      </c>
      <c r="H717" s="235">
        <v>3357.5081740661517</v>
      </c>
      <c r="I717" s="287">
        <v>4247.8129534799655</v>
      </c>
      <c r="J717" s="233">
        <v>64181.7773407321</v>
      </c>
    </row>
    <row r="718">
      <c r="A718" s="184">
        <v>43088.0</v>
      </c>
      <c r="B718" s="174">
        <v>0.05493910065791525</v>
      </c>
      <c r="C718" s="174">
        <v>0.01874819238894402</v>
      </c>
      <c r="D718" s="174">
        <v>0.06834975366158651</v>
      </c>
      <c r="E718" s="282">
        <v>-0.004379136232737028</v>
      </c>
      <c r="F718" s="287">
        <v>-820.050519378784</v>
      </c>
      <c r="G718" s="235">
        <v>63.49177916669854</v>
      </c>
      <c r="H718" s="235">
        <v>6911.24559201913</v>
      </c>
      <c r="I718" s="287">
        <v>4226.732290557573</v>
      </c>
      <c r="J718" s="233">
        <v>67735.51475868508</v>
      </c>
    </row>
    <row r="719">
      <c r="A719" s="184">
        <v>43087.0</v>
      </c>
      <c r="B719" s="174">
        <v>0.06317976460252916</v>
      </c>
      <c r="C719" s="174">
        <v>0.01878704431387821</v>
      </c>
      <c r="D719" s="174">
        <v>0.07661820853521417</v>
      </c>
      <c r="E719" s="282">
        <v>0.007322169048565731</v>
      </c>
      <c r="F719" s="287">
        <v>1377.176444570363</v>
      </c>
      <c r="G719" s="235">
        <v>58.344747096141965</v>
      </c>
      <c r="H719" s="235">
        <v>7731.296111397914</v>
      </c>
      <c r="I719" s="287">
        <v>4163.240511390874</v>
      </c>
      <c r="J719" s="233">
        <v>68555.56527806386</v>
      </c>
    </row>
    <row r="720">
      <c r="A720" s="184">
        <v>43084.0</v>
      </c>
      <c r="B720" s="174">
        <v>0.04976333592577029</v>
      </c>
      <c r="C720" s="174">
        <v>0.01887488075174917</v>
      </c>
      <c r="D720" s="174">
        <v>0.0632646095950469</v>
      </c>
      <c r="E720" s="282">
        <v>0.005771142936370136</v>
      </c>
      <c r="F720" s="287">
        <v>1077.5067225979901</v>
      </c>
      <c r="G720" s="235">
        <v>13.935531988298896</v>
      </c>
      <c r="H720" s="235">
        <v>6354.119666827551</v>
      </c>
      <c r="I720" s="287">
        <v>4104.8957642947325</v>
      </c>
      <c r="J720" s="233">
        <v>67178.3888334935</v>
      </c>
    </row>
    <row r="721">
      <c r="A721" s="184">
        <v>43083.0</v>
      </c>
      <c r="B721" s="174">
        <v>0.039115756230157527</v>
      </c>
      <c r="C721" s="174">
        <v>0.01891384642809305</v>
      </c>
      <c r="D721" s="174">
        <v>0.05264490219526193</v>
      </c>
      <c r="E721" s="282">
        <v>-0.0012745975957758713</v>
      </c>
      <c r="F721" s="287">
        <v>-236.6015670843335</v>
      </c>
      <c r="G721" s="235">
        <v>1.6235366890175473</v>
      </c>
      <c r="H721" s="235">
        <v>5276.6129442295605</v>
      </c>
      <c r="I721" s="287">
        <v>4090.9602323064337</v>
      </c>
      <c r="J721" s="233">
        <v>66100.88211089552</v>
      </c>
    </row>
    <row r="722">
      <c r="A722" s="184">
        <v>43082.0</v>
      </c>
      <c r="B722" s="174">
        <v>0.04156043641619583</v>
      </c>
      <c r="C722" s="174">
        <v>0.018952197458933052</v>
      </c>
      <c r="D722" s="174">
        <v>0.05511701501887181</v>
      </c>
      <c r="E722" s="282">
        <v>0.0025563210675282584</v>
      </c>
      <c r="F722" s="287">
        <v>475.1307290013492</v>
      </c>
      <c r="G722" s="235">
        <v>9.424224831081114</v>
      </c>
      <c r="H722" s="235">
        <v>5513.214511313894</v>
      </c>
      <c r="I722" s="287">
        <v>4089.3366956174164</v>
      </c>
      <c r="J722" s="233">
        <v>66337.48367797985</v>
      </c>
    </row>
    <row r="723">
      <c r="A723" s="184">
        <v>43081.0</v>
      </c>
      <c r="B723" s="174">
        <v>0.03688559269761169</v>
      </c>
      <c r="C723" s="174">
        <v>0.018990894113625107</v>
      </c>
      <c r="D723" s="174">
        <v>0.05046985116390932</v>
      </c>
      <c r="E723" s="282">
        <v>0.002819784769021548</v>
      </c>
      <c r="F723" s="287">
        <v>522.7596552135828</v>
      </c>
      <c r="G723" s="235">
        <v>41.59738110183866</v>
      </c>
      <c r="H723" s="235">
        <v>5038.083782312545</v>
      </c>
      <c r="I723" s="287">
        <v>4079.9124707863352</v>
      </c>
      <c r="J723" s="233">
        <v>65862.3529489785</v>
      </c>
    </row>
    <row r="724">
      <c r="A724" s="184">
        <v>43080.0</v>
      </c>
      <c r="B724" s="174">
        <v>0.0317129513588069</v>
      </c>
      <c r="C724" s="174">
        <v>0.019029412264362233</v>
      </c>
      <c r="D724" s="174">
        <v>0.0453247620041713</v>
      </c>
      <c r="E724" s="282">
        <v>-0.007170695729055642</v>
      </c>
      <c r="F724" s="287">
        <v>-1325.6261125418596</v>
      </c>
      <c r="G724" s="235">
        <v>69.09115590353099</v>
      </c>
      <c r="H724" s="235">
        <v>4515.324127098962</v>
      </c>
      <c r="I724" s="287">
        <v>4038.315089684497</v>
      </c>
      <c r="J724" s="233">
        <v>65339.59329376492</v>
      </c>
    </row>
    <row r="725">
      <c r="A725" s="184">
        <v>43077.0</v>
      </c>
      <c r="B725" s="174">
        <v>0.045196490418460335</v>
      </c>
      <c r="C725" s="174">
        <v>0.019116983383166673</v>
      </c>
      <c r="D725" s="174">
        <v>0.058901193556667585</v>
      </c>
      <c r="E725" s="282">
        <v>-0.0028404932440001555</v>
      </c>
      <c r="F725" s="287">
        <v>-443.75847214387977</v>
      </c>
      <c r="G725" s="235">
        <v>6.187330240850603</v>
      </c>
      <c r="H725" s="235">
        <v>5840.950239640822</v>
      </c>
      <c r="I725" s="287">
        <v>3969.223933780966</v>
      </c>
      <c r="J725" s="233">
        <v>66665.21940630677</v>
      </c>
    </row>
    <row r="726">
      <c r="A726" s="184">
        <v>43076.0</v>
      </c>
      <c r="B726" s="174">
        <v>0.04977439537421055</v>
      </c>
      <c r="C726" s="174">
        <v>0.019156611262718157</v>
      </c>
      <c r="D726" s="174">
        <v>0.06350750719564802</v>
      </c>
      <c r="E726" s="282">
        <v>0.012236148256134439</v>
      </c>
      <c r="F726" s="287">
        <v>1917.0325594279693</v>
      </c>
      <c r="G726" s="235">
        <v>4.719758631780843</v>
      </c>
      <c r="H726" s="235">
        <v>6284.708711784701</v>
      </c>
      <c r="I726" s="287">
        <v>3963.0366035401153</v>
      </c>
      <c r="J726" s="233">
        <v>67108.97787845065</v>
      </c>
    </row>
    <row r="727">
      <c r="A727" s="184">
        <v>43075.0</v>
      </c>
      <c r="B727" s="174">
        <v>0.030416104265046907</v>
      </c>
      <c r="C727" s="174">
        <v>0.01924698069111337</v>
      </c>
      <c r="D727" s="174">
        <v>0.044228220429024245</v>
      </c>
      <c r="E727" s="282">
        <v>0.005263529601806594</v>
      </c>
      <c r="F727" s="287">
        <v>814.5186584269336</v>
      </c>
      <c r="G727" s="235">
        <v>63.264311288032346</v>
      </c>
      <c r="H727" s="235">
        <v>4367.676152356732</v>
      </c>
      <c r="I727" s="287">
        <v>3958.3168449083346</v>
      </c>
      <c r="J727" s="233">
        <v>65191.94531902268</v>
      </c>
    </row>
    <row r="728">
      <c r="A728" s="184">
        <v>43074.0</v>
      </c>
      <c r="B728" s="174">
        <v>0.022541624888516205</v>
      </c>
      <c r="C728" s="174">
        <v>0.018957305093628394</v>
      </c>
      <c r="D728" s="174">
        <v>0.03605305899884884</v>
      </c>
      <c r="E728" s="282">
        <v>-0.005536571337111377</v>
      </c>
      <c r="F728" s="287">
        <v>-852.4409049632718</v>
      </c>
      <c r="G728" s="235">
        <v>16.815230569765593</v>
      </c>
      <c r="H728" s="235">
        <v>3553.1574939297984</v>
      </c>
      <c r="I728" s="287">
        <v>3895.0525336203023</v>
      </c>
      <c r="J728" s="233">
        <v>64377.426660595745</v>
      </c>
    </row>
    <row r="729">
      <c r="A729" s="184">
        <v>43073.0</v>
      </c>
      <c r="B729" s="174">
        <v>0.031253458592319656</v>
      </c>
      <c r="C729" s="174">
        <v>0.018995178801538434</v>
      </c>
      <c r="D729" s="174">
        <v>0.04479188641860576</v>
      </c>
      <c r="E729" s="282">
        <v>0.026398523205364885</v>
      </c>
      <c r="F729" s="287">
        <v>4086.964675444697</v>
      </c>
      <c r="G729" s="235">
        <v>53.39929032212993</v>
      </c>
      <c r="H729" s="235">
        <v>4405.59839889307</v>
      </c>
      <c r="I729" s="287">
        <v>3878.237303050537</v>
      </c>
      <c r="J729" s="233">
        <v>65229.86756555902</v>
      </c>
    </row>
    <row r="730">
      <c r="A730" s="184">
        <v>43070.0</v>
      </c>
      <c r="B730" s="174">
        <v>-0.010346748948098412</v>
      </c>
      <c r="C730" s="174">
        <v>0.01908349268351632</v>
      </c>
      <c r="D730" s="174">
        <v>0.0032546228035757402</v>
      </c>
      <c r="E730" s="282">
        <v>-0.014185988354964952</v>
      </c>
      <c r="F730" s="287">
        <v>-2138.267696113483</v>
      </c>
      <c r="G730" s="235">
        <v>42.69988599607971</v>
      </c>
      <c r="H730" s="235">
        <v>318.6337234483731</v>
      </c>
      <c r="I730" s="287">
        <v>3824.8380127284067</v>
      </c>
      <c r="J730" s="233">
        <v>61142.902890114325</v>
      </c>
    </row>
    <row r="731">
      <c r="A731" s="184">
        <v>43069.0</v>
      </c>
      <c r="B731" s="174">
        <v>0.011515810193886318</v>
      </c>
      <c r="C731" s="174">
        <v>0.01911941366937651</v>
      </c>
      <c r="D731" s="174">
        <v>0.02514278389854013</v>
      </c>
      <c r="E731" s="282">
        <v>-0.011995579702150353</v>
      </c>
      <c r="F731" s="287">
        <v>-1833.7550494998209</v>
      </c>
      <c r="G731" s="235">
        <v>11.228665076077847</v>
      </c>
      <c r="H731" s="235">
        <v>2456.901419561856</v>
      </c>
      <c r="I731" s="287">
        <v>3782.1381267323272</v>
      </c>
      <c r="J731" s="233">
        <v>53281.17058622781</v>
      </c>
    </row>
    <row r="732">
      <c r="A732" s="184">
        <v>43068.0</v>
      </c>
      <c r="B732" s="174">
        <v>0.029282965653685114</v>
      </c>
      <c r="C732" s="174">
        <v>0.01914949533287715</v>
      </c>
      <c r="D732" s="174">
        <v>0.043977662180942</v>
      </c>
      <c r="E732" s="282">
        <v>0.01038693938791028</v>
      </c>
      <c r="F732" s="287">
        <v>1605.830244810129</v>
      </c>
      <c r="G732" s="235">
        <v>32.04598579500684</v>
      </c>
      <c r="H732" s="235">
        <v>4290.656469061677</v>
      </c>
      <c r="I732" s="287">
        <v>3770.9094616562493</v>
      </c>
      <c r="J732" s="233">
        <v>55114.92563572763</v>
      </c>
    </row>
    <row r="733">
      <c r="A733" s="184">
        <v>43067.0</v>
      </c>
      <c r="B733" s="174">
        <v>0.012844942286314703</v>
      </c>
      <c r="C733" s="174">
        <v>0.019181078644345297</v>
      </c>
      <c r="D733" s="174">
        <v>0.02756387481401351</v>
      </c>
      <c r="E733" s="282">
        <v>0.009200591973286968</v>
      </c>
      <c r="F733" s="287">
        <v>1407.645270261276</v>
      </c>
      <c r="G733" s="235">
        <v>27.924093602258548</v>
      </c>
      <c r="H733" s="235">
        <v>2684.826224251548</v>
      </c>
      <c r="I733" s="287">
        <v>3738.8634758612425</v>
      </c>
      <c r="J733" s="233">
        <v>53509.0953909175</v>
      </c>
    </row>
    <row r="734">
      <c r="A734" s="184">
        <v>43066.0</v>
      </c>
      <c r="B734" s="174">
        <v>-0.001609255389826961</v>
      </c>
      <c r="C734" s="174">
        <v>0.01921154162933828</v>
      </c>
      <c r="D734" s="174">
        <v>0.013133053436411567</v>
      </c>
      <c r="E734" s="282">
        <v>-0.013945674225978998</v>
      </c>
      <c r="F734" s="287">
        <v>-2113.988928837432</v>
      </c>
      <c r="G734" s="235">
        <v>38.49312993064673</v>
      </c>
      <c r="H734" s="235">
        <v>1277.180953990272</v>
      </c>
      <c r="I734" s="287">
        <v>3710.939382258984</v>
      </c>
      <c r="J734" s="233">
        <v>52101.45012065623</v>
      </c>
    </row>
    <row r="735">
      <c r="A735" s="184">
        <v>43063.0</v>
      </c>
      <c r="B735" s="174">
        <v>0.02021250502719267</v>
      </c>
      <c r="C735" s="174">
        <v>0.019291657953707138</v>
      </c>
      <c r="D735" s="174">
        <v>0.035016292500936776</v>
      </c>
      <c r="E735" s="282">
        <v>-0.0033561747466650136</v>
      </c>
      <c r="F735" s="287">
        <v>-512.4403264263365</v>
      </c>
      <c r="G735" s="235">
        <v>64.40506082028263</v>
      </c>
      <c r="H735" s="235">
        <v>3391.169882827704</v>
      </c>
      <c r="I735" s="287">
        <v>3672.4462523283373</v>
      </c>
      <c r="J735" s="233">
        <v>54215.43904949366</v>
      </c>
    </row>
    <row r="736">
      <c r="A736" s="184">
        <v>43062.0</v>
      </c>
      <c r="B736" s="174">
        <v>0.02554528174226389</v>
      </c>
      <c r="C736" s="174">
        <v>0.01932301777316341</v>
      </c>
      <c r="D736" s="174">
        <v>0.040373133715988226</v>
      </c>
      <c r="E736" s="282">
        <v>-0.009062435305139806</v>
      </c>
      <c r="F736" s="287">
        <v>-1388.3494126306914</v>
      </c>
      <c r="G736" s="235">
        <v>8.514907946304586</v>
      </c>
      <c r="H736" s="235">
        <v>3903.6102092540405</v>
      </c>
      <c r="I736" s="287">
        <v>3608.041191508055</v>
      </c>
      <c r="J736" s="233">
        <v>54727.87937592</v>
      </c>
    </row>
    <row r="737">
      <c r="A737" s="184">
        <v>43061.0</v>
      </c>
      <c r="B737" s="174">
        <v>0.039970110791338366</v>
      </c>
      <c r="C737" s="174">
        <v>0.0193548848219784</v>
      </c>
      <c r="D737" s="174">
        <v>0.05482241649626634</v>
      </c>
      <c r="E737" s="282">
        <v>0.004526301559831185</v>
      </c>
      <c r="F737" s="287">
        <v>699.7056575235665</v>
      </c>
      <c r="G737" s="235">
        <v>14.095248565592886</v>
      </c>
      <c r="H737" s="235">
        <v>5291.959621884732</v>
      </c>
      <c r="I737" s="287">
        <v>3599.5262835617505</v>
      </c>
      <c r="J737" s="233">
        <v>56116.22878855069</v>
      </c>
    </row>
    <row r="738">
      <c r="A738" s="184">
        <v>43060.0</v>
      </c>
      <c r="B738" s="174">
        <v>0.03277735954334147</v>
      </c>
      <c r="C738" s="174">
        <v>0.01938794826380011</v>
      </c>
      <c r="D738" s="174">
        <v>0.047655037052344223</v>
      </c>
      <c r="E738" s="282">
        <v>0.008901196385823552</v>
      </c>
      <c r="F738" s="287">
        <v>1369.7776424051112</v>
      </c>
      <c r="G738" s="235">
        <v>57.32717886726153</v>
      </c>
      <c r="H738" s="235">
        <v>4592.253964361165</v>
      </c>
      <c r="I738" s="287">
        <v>3585.4310349961575</v>
      </c>
      <c r="J738" s="233">
        <v>55416.52313102712</v>
      </c>
    </row>
    <row r="739">
      <c r="A739" s="184">
        <v>43059.0</v>
      </c>
      <c r="B739" s="174">
        <v>0.01859406114270195</v>
      </c>
      <c r="C739" s="174">
        <v>0.019420584639582524</v>
      </c>
      <c r="D739" s="174">
        <v>0.03349678273926605</v>
      </c>
      <c r="E739" s="282">
        <v>0.011996159584490237</v>
      </c>
      <c r="F739" s="287">
        <v>1829.6199066876366</v>
      </c>
      <c r="G739" s="235">
        <v>16.948070302571523</v>
      </c>
      <c r="H739" s="235">
        <v>3222.4763219560546</v>
      </c>
      <c r="I739" s="287">
        <v>3528.103856128896</v>
      </c>
      <c r="J739" s="233">
        <v>54046.74548862201</v>
      </c>
    </row>
    <row r="740">
      <c r="A740" s="184">
        <v>43056.0</v>
      </c>
      <c r="B740" s="174">
        <v>-4.261713595744999E-4</v>
      </c>
      <c r="C740" s="174">
        <v>0.01950392690994312</v>
      </c>
      <c r="D740" s="174">
        <v>0.014540504369960345</v>
      </c>
      <c r="E740" s="282">
        <v>-0.016001076572856803</v>
      </c>
      <c r="F740" s="287">
        <v>-2411.1624887343255</v>
      </c>
      <c r="G740" s="235">
        <v>54.91327401016216</v>
      </c>
      <c r="H740" s="235">
        <v>1392.856415268418</v>
      </c>
      <c r="I740" s="287">
        <v>3511.1557858263245</v>
      </c>
      <c r="J740" s="233">
        <v>51217.12558193437</v>
      </c>
    </row>
    <row r="741">
      <c r="A741" s="184">
        <v>43055.0</v>
      </c>
      <c r="B741" s="174">
        <v>0.024782457260755675</v>
      </c>
      <c r="C741" s="174">
        <v>0.019533625612208585</v>
      </c>
      <c r="D741" s="174">
        <v>0.039771922803257295</v>
      </c>
      <c r="E741" s="282">
        <v>0.02970251561019701</v>
      </c>
      <c r="F741" s="287">
        <v>4547.41590004668</v>
      </c>
      <c r="G741" s="235">
        <v>65.36941449931986</v>
      </c>
      <c r="H741" s="235">
        <v>3804.0189040027435</v>
      </c>
      <c r="I741" s="287">
        <v>3456.2425118161623</v>
      </c>
      <c r="J741" s="233">
        <v>53628.2880706687</v>
      </c>
    </row>
    <row r="742">
      <c r="A742" s="184">
        <v>43054.0</v>
      </c>
      <c r="B742" s="174">
        <v>-0.022798808428194463</v>
      </c>
      <c r="C742" s="174">
        <v>0.01956533547131393</v>
      </c>
      <c r="D742" s="174">
        <v>-0.00778500977673226</v>
      </c>
      <c r="E742" s="282">
        <v>-0.015749794388537863</v>
      </c>
      <c r="F742" s="287">
        <v>-2339.6518484699186</v>
      </c>
      <c r="G742" s="235">
        <v>50.94309934177744</v>
      </c>
      <c r="H742" s="235">
        <v>-743.3969960439363</v>
      </c>
      <c r="I742" s="287">
        <v>3390.8730973168426</v>
      </c>
      <c r="J742" s="233">
        <v>49080.87217062202</v>
      </c>
    </row>
    <row r="743">
      <c r="A743" s="184">
        <v>43053.0</v>
      </c>
      <c r="B743" s="174">
        <v>0.0017049712155518806</v>
      </c>
      <c r="C743" s="174">
        <v>0.01959352706888044</v>
      </c>
      <c r="D743" s="174">
        <v>0.016740403177117415</v>
      </c>
      <c r="E743" s="282">
        <v>-0.010137209882044296</v>
      </c>
      <c r="F743" s="287">
        <v>-1529.6128731527165</v>
      </c>
      <c r="G743" s="235">
        <v>37.73231018782497</v>
      </c>
      <c r="H743" s="235">
        <v>1596.2548524259823</v>
      </c>
      <c r="I743" s="287">
        <v>3339.9299979750654</v>
      </c>
      <c r="J743" s="233">
        <v>51420.524019091936</v>
      </c>
    </row>
    <row r="744">
      <c r="A744" s="184">
        <v>43052.0</v>
      </c>
      <c r="B744" s="174">
        <v>0.017773786033725484</v>
      </c>
      <c r="C744" s="174">
        <v>0.019623675129373398</v>
      </c>
      <c r="D744" s="174">
        <v>0.03283235263106749</v>
      </c>
      <c r="E744" s="282">
        <v>-0.019367631547367366</v>
      </c>
      <c r="F744" s="287">
        <v>-2952.024621244299</v>
      </c>
      <c r="G744" s="235">
        <v>69.96612435547526</v>
      </c>
      <c r="H744" s="235">
        <v>3125.867725578699</v>
      </c>
      <c r="I744" s="287">
        <v>3302.1976877872403</v>
      </c>
      <c r="J744" s="233">
        <v>52950.13689224465</v>
      </c>
    </row>
    <row r="745">
      <c r="A745" s="184">
        <v>43049.0</v>
      </c>
      <c r="B745" s="174">
        <v>0.04898941514113995</v>
      </c>
      <c r="C745" s="174">
        <v>0.019707844380749517</v>
      </c>
      <c r="D745" s="174">
        <v>0.06411257046964162</v>
      </c>
      <c r="E745" s="282">
        <v>-0.011133478269878419</v>
      </c>
      <c r="F745" s="287">
        <v>-1729.8369352889003</v>
      </c>
      <c r="G745" s="235">
        <v>22.063088364226267</v>
      </c>
      <c r="H745" s="235">
        <v>6077.892346822998</v>
      </c>
      <c r="I745" s="287">
        <v>3232.231563431765</v>
      </c>
      <c r="J745" s="233">
        <v>55902.16151348895</v>
      </c>
    </row>
    <row r="746">
      <c r="A746" s="184">
        <v>43048.0</v>
      </c>
      <c r="B746" s="174">
        <v>0.06735300031516585</v>
      </c>
      <c r="C746" s="174">
        <v>0.01974196910776542</v>
      </c>
      <c r="D746" s="174">
        <v>0.08250234184329615</v>
      </c>
      <c r="E746" s="282">
        <v>-0.003462884455399951</v>
      </c>
      <c r="F746" s="287">
        <v>-544.0274217512169</v>
      </c>
      <c r="G746" s="235">
        <v>26.463554046861365</v>
      </c>
      <c r="H746" s="235">
        <v>7807.729282111898</v>
      </c>
      <c r="I746" s="287">
        <v>3210.168475067539</v>
      </c>
      <c r="J746" s="233">
        <v>57631.99844877785</v>
      </c>
    </row>
    <row r="747">
      <c r="A747" s="184">
        <v>43047.0</v>
      </c>
      <c r="B747" s="174">
        <v>0.07323363523355977</v>
      </c>
      <c r="C747" s="174">
        <v>0.019777625906750758</v>
      </c>
      <c r="D747" s="174">
        <v>0.08841033862324908</v>
      </c>
      <c r="E747" s="282">
        <v>-0.005363050828134902</v>
      </c>
      <c r="F747" s="287">
        <v>-845.4657456561526</v>
      </c>
      <c r="G747" s="235">
        <v>39.80479356701118</v>
      </c>
      <c r="H747" s="235">
        <v>8351.756703863115</v>
      </c>
      <c r="I747" s="287">
        <v>3183.704921020678</v>
      </c>
      <c r="J747" s="233">
        <v>58176.02587052907</v>
      </c>
    </row>
    <row r="748">
      <c r="A748" s="184">
        <v>43046.0</v>
      </c>
      <c r="B748" s="174">
        <v>0.08233418882192838</v>
      </c>
      <c r="C748" s="174">
        <v>0.019813865811659486</v>
      </c>
      <c r="D748" s="174">
        <v>0.09753870152959465</v>
      </c>
      <c r="E748" s="282">
        <v>0.013654143169095037</v>
      </c>
      <c r="F748" s="287">
        <v>2164.0708541051163</v>
      </c>
      <c r="G748" s="235">
        <v>63.572757375408685</v>
      </c>
      <c r="H748" s="235">
        <v>9197.222449519268</v>
      </c>
      <c r="I748" s="287">
        <v>3143.9001274536668</v>
      </c>
      <c r="J748" s="233">
        <v>59021.49161618522</v>
      </c>
    </row>
    <row r="749">
      <c r="A749" s="184">
        <v>43045.0</v>
      </c>
      <c r="B749" s="174">
        <v>0.05942863666510941</v>
      </c>
      <c r="C749" s="174">
        <v>0.019892592609398855</v>
      </c>
      <c r="D749" s="174">
        <v>0.07472779490111647</v>
      </c>
      <c r="E749" s="282">
        <v>0.009416225124307885</v>
      </c>
      <c r="F749" s="287">
        <v>1395.7065188713868</v>
      </c>
      <c r="G749" s="235">
        <v>16.42282888029826</v>
      </c>
      <c r="H749" s="235">
        <v>7033.151595414151</v>
      </c>
      <c r="I749" s="287">
        <v>3080.327370078258</v>
      </c>
      <c r="J749" s="233">
        <v>56857.42076208011</v>
      </c>
    </row>
    <row r="750">
      <c r="A750" s="184">
        <v>43042.0</v>
      </c>
      <c r="B750" s="174">
        <v>0.045104195911139316</v>
      </c>
      <c r="C750" s="174">
        <v>0.019677549799918717</v>
      </c>
      <c r="D750" s="174">
        <v>0.06016765538752337</v>
      </c>
      <c r="E750" s="282">
        <v>0.00971475359230937</v>
      </c>
      <c r="F750" s="287">
        <v>1426.6736916234477</v>
      </c>
      <c r="G750" s="235">
        <v>59.185698964240785</v>
      </c>
      <c r="H750" s="235">
        <v>5637.445076542765</v>
      </c>
      <c r="I750" s="287">
        <v>3063.9045411979596</v>
      </c>
      <c r="J750" s="233">
        <v>55461.71424320872</v>
      </c>
    </row>
    <row r="751">
      <c r="A751" s="184">
        <v>43041.0</v>
      </c>
      <c r="B751" s="174">
        <v>0.029929347386032305</v>
      </c>
      <c r="C751" s="174">
        <v>0.01971169093142657</v>
      </c>
      <c r="D751" s="174">
        <v>0.04501894241060074</v>
      </c>
      <c r="E751" s="282">
        <v>0.0024053556166714514</v>
      </c>
      <c r="F751" s="287">
        <v>349.81019716417995</v>
      </c>
      <c r="G751" s="235">
        <v>29.070707253556</v>
      </c>
      <c r="H751" s="235">
        <v>4210.771384919317</v>
      </c>
      <c r="I751" s="287">
        <v>3004.718842233719</v>
      </c>
      <c r="J751" s="233">
        <v>54035.040551585276</v>
      </c>
    </row>
    <row r="752">
      <c r="A752" s="184">
        <v>43040.0</v>
      </c>
      <c r="B752" s="174">
        <v>0.026233369085359153</v>
      </c>
      <c r="C752" s="174">
        <v>0.0197447885477113</v>
      </c>
      <c r="D752" s="174">
        <v>0.04134830083155906</v>
      </c>
      <c r="E752" s="282">
        <v>0.001384774518228932</v>
      </c>
      <c r="F752" s="287">
        <v>200.90296411971985</v>
      </c>
      <c r="G752" s="235">
        <v>45.03032370961847</v>
      </c>
      <c r="H752" s="235">
        <v>3860.9611877551374</v>
      </c>
      <c r="I752" s="287">
        <v>2975.648134980163</v>
      </c>
      <c r="J752" s="233">
        <v>53685.230354421095</v>
      </c>
    </row>
    <row r="753">
      <c r="A753" s="184">
        <v>43039.0</v>
      </c>
      <c r="B753" s="174">
        <v>0.024121994135336514</v>
      </c>
      <c r="C753" s="174">
        <v>0.019777716580284963</v>
      </c>
      <c r="D753" s="174">
        <v>0.03926213278429382</v>
      </c>
      <c r="E753" s="282">
        <v>0.01241537680761898</v>
      </c>
      <c r="F753" s="287">
        <v>1798.7274786105625</v>
      </c>
      <c r="G753" s="235">
        <v>14.109556724833908</v>
      </c>
      <c r="H753" s="235">
        <v>3660.0582236354176</v>
      </c>
      <c r="I753" s="287">
        <v>2930.6178112705443</v>
      </c>
      <c r="J753" s="233">
        <v>53484.327390301376</v>
      </c>
    </row>
    <row r="754">
      <c r="A754" s="184">
        <v>43038.0</v>
      </c>
      <c r="B754" s="174">
        <v>0.0038273845319971374</v>
      </c>
      <c r="C754" s="174">
        <v>0.019810595458329878</v>
      </c>
      <c r="D754" s="174">
        <v>0.020000038186168665</v>
      </c>
      <c r="E754" s="282">
        <v>0.00877427081326117</v>
      </c>
      <c r="F754" s="287">
        <v>1254.6025434055423</v>
      </c>
      <c r="G754" s="235">
        <v>18.845561128768118</v>
      </c>
      <c r="H754" s="235">
        <v>1861.3307450248553</v>
      </c>
      <c r="I754" s="287">
        <v>2916.5082545457103</v>
      </c>
      <c r="J754" s="233">
        <v>51685.59991169081</v>
      </c>
    </row>
    <row r="755">
      <c r="A755" s="184">
        <v>43035.0</v>
      </c>
      <c r="B755" s="174">
        <v>-0.009695113911766475</v>
      </c>
      <c r="C755" s="174">
        <v>0.019896310928297568</v>
      </c>
      <c r="D755" s="174">
        <v>0.006547514752066316</v>
      </c>
      <c r="E755" s="282">
        <v>0.029508118408379157</v>
      </c>
      <c r="F755" s="287">
        <v>4182.242519621275</v>
      </c>
      <c r="G755" s="235">
        <v>64.47183410554636</v>
      </c>
      <c r="H755" s="235">
        <v>606.728201619313</v>
      </c>
      <c r="I755" s="287">
        <v>2897.662693416942</v>
      </c>
      <c r="J755" s="233">
        <v>50430.99736828527</v>
      </c>
    </row>
    <row r="756">
      <c r="A756" s="184">
        <v>43034.0</v>
      </c>
      <c r="B756" s="174">
        <v>-0.0549124897283242</v>
      </c>
      <c r="C756" s="174">
        <v>0.019927031095915468</v>
      </c>
      <c r="D756" s="174">
        <v>-0.03864478223068617</v>
      </c>
      <c r="E756" s="282">
        <v>-0.015223559024327735</v>
      </c>
      <c r="F756" s="287">
        <v>-2093.9957587576246</v>
      </c>
      <c r="G756" s="235">
        <v>49.151955140633916</v>
      </c>
      <c r="H756" s="235">
        <v>-3575.5143180019622</v>
      </c>
      <c r="I756" s="287">
        <v>2833.190859311396</v>
      </c>
      <c r="J756" s="233">
        <v>46248.754848664</v>
      </c>
    </row>
    <row r="757">
      <c r="A757" s="184">
        <v>43033.0</v>
      </c>
      <c r="B757" s="174">
        <v>-0.03232446385681442</v>
      </c>
      <c r="C757" s="174">
        <v>0.01995434442005038</v>
      </c>
      <c r="D757" s="174">
        <v>-0.016034458749177378</v>
      </c>
      <c r="E757" s="282">
        <v>-0.012267473052966155</v>
      </c>
      <c r="F757" s="287">
        <v>-1713.0750990914598</v>
      </c>
      <c r="G757" s="235">
        <v>44.644200348513216</v>
      </c>
      <c r="H757" s="235">
        <v>-1481.518559244338</v>
      </c>
      <c r="I757" s="287">
        <v>2784.0389041707617</v>
      </c>
      <c r="J757" s="233">
        <v>48342.75060742162</v>
      </c>
    </row>
    <row r="758">
      <c r="A758" s="184">
        <v>43032.0</v>
      </c>
      <c r="B758" s="174">
        <v>-0.013804006776742485</v>
      </c>
      <c r="C758" s="174">
        <v>0.01998349376032466</v>
      </c>
      <c r="D758" s="174">
        <v>0.0025097947980676515</v>
      </c>
      <c r="E758" s="282">
        <v>-0.004038310277955466</v>
      </c>
      <c r="F758" s="287">
        <v>-570.8424427933131</v>
      </c>
      <c r="G758" s="235">
        <v>47.91436609287745</v>
      </c>
      <c r="H758" s="235">
        <v>231.55653984712194</v>
      </c>
      <c r="I758" s="287">
        <v>2739.3947038222486</v>
      </c>
      <c r="J758" s="233">
        <v>50055.82570651308</v>
      </c>
    </row>
    <row r="759">
      <c r="A759" s="184">
        <v>43031.0</v>
      </c>
      <c r="B759" s="174">
        <v>-0.0076284550285373905</v>
      </c>
      <c r="C759" s="174">
        <v>0.02001417638993725</v>
      </c>
      <c r="D759" s="174">
        <v>0.008710394735408073</v>
      </c>
      <c r="E759" s="282">
        <v>2.2175745055823658E-4</v>
      </c>
      <c r="F759" s="287">
        <v>31.473502514242114</v>
      </c>
      <c r="G759" s="235">
        <v>3.352382072988415</v>
      </c>
      <c r="H759" s="235">
        <v>802.3989826404351</v>
      </c>
      <c r="I759" s="287">
        <v>2691.480337729371</v>
      </c>
      <c r="J759" s="233">
        <v>50626.668149306395</v>
      </c>
    </row>
    <row r="760">
      <c r="A760" s="184">
        <v>43028.0</v>
      </c>
      <c r="B760" s="174">
        <v>-0.008004584847447309</v>
      </c>
      <c r="C760" s="174">
        <v>0.02010073853233044</v>
      </c>
      <c r="D760" s="174">
        <v>0.008404931118906498</v>
      </c>
      <c r="E760" s="282">
        <v>0.008312128180167482</v>
      </c>
      <c r="F760" s="287">
        <v>1179.458783259938</v>
      </c>
      <c r="G760" s="235">
        <v>6.82332551288776</v>
      </c>
      <c r="H760" s="235">
        <v>770.925480126193</v>
      </c>
      <c r="I760" s="287">
        <v>2688.1279556563827</v>
      </c>
      <c r="J760" s="233">
        <v>50595.19464679215</v>
      </c>
    </row>
    <row r="761">
      <c r="A761" s="184">
        <v>43027.0</v>
      </c>
      <c r="B761" s="174">
        <v>-0.020896203997741322</v>
      </c>
      <c r="C761" s="174">
        <v>0.020132241260804012</v>
      </c>
      <c r="D761" s="174">
        <v>-0.004460970343202112</v>
      </c>
      <c r="E761" s="282">
        <v>-0.025002893375656008</v>
      </c>
      <c r="F761" s="287">
        <v>-3518.3238135994716</v>
      </c>
      <c r="G761" s="235">
        <v>50.26632185194192</v>
      </c>
      <c r="H761" s="235">
        <v>-408.533303133745</v>
      </c>
      <c r="I761" s="287">
        <v>2681.304630143495</v>
      </c>
      <c r="J761" s="233">
        <v>49415.735863532216</v>
      </c>
    </row>
    <row r="762">
      <c r="A762" s="184">
        <v>43026.0</v>
      </c>
      <c r="B762" s="174">
        <v>0.017548684441488823</v>
      </c>
      <c r="C762" s="174">
        <v>0.020162837742783712</v>
      </c>
      <c r="D762" s="174">
        <v>0.034008895957351515</v>
      </c>
      <c r="E762" s="282">
        <v>0.0050519123858075235</v>
      </c>
      <c r="F762" s="287">
        <v>728.6625350266522</v>
      </c>
      <c r="G762" s="235">
        <v>20.4385111645029</v>
      </c>
      <c r="H762" s="235">
        <v>3109.7905104657266</v>
      </c>
      <c r="I762" s="287">
        <v>2631.038308291553</v>
      </c>
      <c r="J762" s="233">
        <v>52934.059677131685</v>
      </c>
    </row>
    <row r="763">
      <c r="A763" s="184">
        <v>43025.0</v>
      </c>
      <c r="B763" s="174">
        <v>0.009595996951453021</v>
      </c>
      <c r="C763" s="174">
        <v>0.020196553046285457</v>
      </c>
      <c r="D763" s="174">
        <v>0.026083732421733234</v>
      </c>
      <c r="E763" s="282">
        <v>0.0037456894936991154</v>
      </c>
      <c r="F763" s="287">
        <v>537.5301449769415</v>
      </c>
      <c r="G763" s="235">
        <v>5.580025432414525</v>
      </c>
      <c r="H763" s="235">
        <v>2381.1279754390744</v>
      </c>
      <c r="I763" s="287">
        <v>2610.5997971270504</v>
      </c>
      <c r="J763" s="233">
        <v>52205.39714210503</v>
      </c>
    </row>
    <row r="764">
      <c r="A764" s="184">
        <v>43024.0</v>
      </c>
      <c r="B764" s="174">
        <v>0.0037137944454552745</v>
      </c>
      <c r="C764" s="174">
        <v>0.02022975953057947</v>
      </c>
      <c r="D764" s="174">
        <v>0.020228638488553975</v>
      </c>
      <c r="E764" s="282">
        <v>0.0197349111550067</v>
      </c>
      <c r="F764" s="287">
        <v>2821.476523122284</v>
      </c>
      <c r="G764" s="235">
        <v>28.211445419140308</v>
      </c>
      <c r="H764" s="235">
        <v>1843.597830462133</v>
      </c>
      <c r="I764" s="287">
        <v>2605.019771694636</v>
      </c>
      <c r="J764" s="233">
        <v>51667.86699712809</v>
      </c>
    </row>
    <row r="765">
      <c r="A765" s="184">
        <v>43021.0</v>
      </c>
      <c r="B765" s="174">
        <v>-0.027364754197233374</v>
      </c>
      <c r="C765" s="174">
        <v>0.02031905786821367</v>
      </c>
      <c r="D765" s="174">
        <v>-0.010777010220889916</v>
      </c>
      <c r="E765" s="282">
        <v>0.009095765458878123</v>
      </c>
      <c r="F765" s="287">
        <v>1274.7471643015956</v>
      </c>
      <c r="G765" s="235">
        <v>32.99908855967962</v>
      </c>
      <c r="H765" s="235">
        <v>-977.878692660151</v>
      </c>
      <c r="I765" s="287">
        <v>2576.808326275496</v>
      </c>
      <c r="J765" s="233">
        <v>48846.390474005806</v>
      </c>
    </row>
    <row r="766">
      <c r="A766" s="184">
        <v>43020.0</v>
      </c>
      <c r="B766" s="174">
        <v>-0.04147602632001792</v>
      </c>
      <c r="C766" s="174">
        <v>0.020349738683674012</v>
      </c>
      <c r="D766" s="174">
        <v>-0.02486323563554742</v>
      </c>
      <c r="E766" s="282">
        <v>-0.00434461572507692</v>
      </c>
      <c r="F766" s="287">
        <v>-603.3479694037544</v>
      </c>
      <c r="G766" s="235">
        <v>60.82346879880767</v>
      </c>
      <c r="H766" s="235">
        <v>-2252.6258569617466</v>
      </c>
      <c r="I766" s="287">
        <v>2543.8092377158164</v>
      </c>
      <c r="J766" s="233">
        <v>47571.64330970421</v>
      </c>
    </row>
    <row r="767">
      <c r="A767" s="184">
        <v>43019.0</v>
      </c>
      <c r="B767" s="174">
        <v>-0.03486735425184733</v>
      </c>
      <c r="C767" s="174">
        <v>0.020379400294962356</v>
      </c>
      <c r="D767" s="174">
        <v>-0.01823034890067486</v>
      </c>
      <c r="E767" s="282">
        <v>0.003641264998987746</v>
      </c>
      <c r="F767" s="287">
        <v>507.868793389576</v>
      </c>
      <c r="G767" s="235">
        <v>28.30052441687303</v>
      </c>
      <c r="H767" s="235">
        <v>-1649.2778875579922</v>
      </c>
      <c r="I767" s="287">
        <v>2482.9857689170085</v>
      </c>
      <c r="J767" s="233">
        <v>48174.99127910796</v>
      </c>
    </row>
    <row r="768">
      <c r="A768" s="184">
        <v>43018.0</v>
      </c>
      <c r="B768" s="174">
        <v>-0.04054124475259201</v>
      </c>
      <c r="C768" s="174">
        <v>0.020409679404947177</v>
      </c>
      <c r="D768" s="174">
        <v>-0.023879520631114464</v>
      </c>
      <c r="E768" s="282">
        <v>-0.007051326043924953</v>
      </c>
      <c r="F768" s="287">
        <v>-979.9090536421859</v>
      </c>
      <c r="G768" s="235">
        <v>54.44692134030805</v>
      </c>
      <c r="H768" s="235">
        <v>-2157.1466809475683</v>
      </c>
      <c r="I768" s="287">
        <v>2454.6852445001355</v>
      </c>
      <c r="J768" s="233">
        <v>47667.122485718384</v>
      </c>
    </row>
    <row r="769">
      <c r="A769" s="184">
        <v>43017.0</v>
      </c>
      <c r="B769" s="174">
        <v>-0.02973722982881522</v>
      </c>
      <c r="C769" s="174">
        <v>0.020439603459747813</v>
      </c>
      <c r="D769" s="174">
        <v>-0.013051076791243912</v>
      </c>
      <c r="E769" s="282">
        <v>-0.009626307937313162</v>
      </c>
      <c r="F769" s="287">
        <v>-1347.1821809990738</v>
      </c>
      <c r="G769" s="235">
        <v>53.4932985047802</v>
      </c>
      <c r="H769" s="235">
        <v>-1177.2376273053824</v>
      </c>
      <c r="I769" s="287">
        <v>2400.2383231598274</v>
      </c>
      <c r="J769" s="233">
        <v>48647.03153936057</v>
      </c>
    </row>
    <row r="770">
      <c r="A770" s="184">
        <v>43014.0</v>
      </c>
      <c r="B770" s="174">
        <v>-0.014866178840906475</v>
      </c>
      <c r="C770" s="174">
        <v>0.020528065224799753</v>
      </c>
      <c r="D770" s="174">
        <v>0.001892191182309258</v>
      </c>
      <c r="E770" s="282">
        <v>0.007601190338436693</v>
      </c>
      <c r="F770" s="287">
        <v>1074.0112876495523</v>
      </c>
      <c r="G770" s="235">
        <v>13.788160800036007</v>
      </c>
      <c r="H770" s="235">
        <v>169.94455369369132</v>
      </c>
      <c r="I770" s="287">
        <v>2346.745024655047</v>
      </c>
      <c r="J770" s="233">
        <v>49994.21372035964</v>
      </c>
    </row>
    <row r="771">
      <c r="A771" s="184">
        <v>43013.0</v>
      </c>
      <c r="B771" s="174">
        <v>-0.026916845826640834</v>
      </c>
      <c r="C771" s="174">
        <v>0.020610590285410447</v>
      </c>
      <c r="D771" s="174">
        <v>-0.01008188997090868</v>
      </c>
      <c r="E771" s="282">
        <v>0.0034377355078609824</v>
      </c>
      <c r="F771" s="287">
        <v>482.02769897140126</v>
      </c>
      <c r="G771" s="235">
        <v>59.95232441140949</v>
      </c>
      <c r="H771" s="235">
        <v>-904.066733955861</v>
      </c>
      <c r="I771" s="287">
        <v>2332.956863855011</v>
      </c>
      <c r="J771" s="233">
        <v>48920.20243271009</v>
      </c>
    </row>
    <row r="772">
      <c r="A772" s="184">
        <v>43012.0</v>
      </c>
      <c r="B772" s="174">
        <v>-0.03229482754107801</v>
      </c>
      <c r="C772" s="174">
        <v>0.020595247720407522</v>
      </c>
      <c r="D772" s="174">
        <v>-0.015480996860094772</v>
      </c>
      <c r="E772" s="282">
        <v>0.002805778392811383</v>
      </c>
      <c r="F772" s="287">
        <v>392.07612129736367</v>
      </c>
      <c r="G772" s="235">
        <v>47.1458279462146</v>
      </c>
      <c r="H772" s="235">
        <v>-1386.0944329272622</v>
      </c>
      <c r="I772" s="287">
        <v>2273.0045394436015</v>
      </c>
      <c r="J772" s="233">
        <v>48438.174733738684</v>
      </c>
    </row>
    <row r="773">
      <c r="A773" s="184">
        <v>43011.0</v>
      </c>
      <c r="B773" s="174">
        <v>-0.03476042855516114</v>
      </c>
      <c r="C773" s="174">
        <v>0.01863312016432509</v>
      </c>
      <c r="D773" s="174">
        <v>-0.019890062198062195</v>
      </c>
      <c r="E773" s="282">
        <v>-4.230985925138934E-4</v>
      </c>
      <c r="F773" s="287">
        <v>-55.48989212300239</v>
      </c>
      <c r="G773" s="235">
        <v>42.439945713676146</v>
      </c>
      <c r="H773" s="235">
        <v>-1778.170554224626</v>
      </c>
      <c r="I773" s="287">
        <v>2225.858711497387</v>
      </c>
      <c r="J773" s="233">
        <v>48046.09861244132</v>
      </c>
    </row>
    <row r="774">
      <c r="A774" s="184">
        <v>43010.0</v>
      </c>
      <c r="B774" s="174">
        <v>-0.03479627088899824</v>
      </c>
      <c r="C774" s="174">
        <v>0.019266420197933325</v>
      </c>
      <c r="D774" s="174">
        <v>-0.01929824257076465</v>
      </c>
      <c r="E774" s="282">
        <v>0.015987718918450022</v>
      </c>
      <c r="F774" s="287">
        <v>2096.8318529015487</v>
      </c>
      <c r="G774" s="235">
        <v>49.4799469654101</v>
      </c>
      <c r="H774" s="235">
        <v>-1722.6806621016235</v>
      </c>
      <c r="I774" s="287">
        <v>2183.418765783711</v>
      </c>
      <c r="J774" s="233">
        <v>48101.58850456432</v>
      </c>
    </row>
    <row r="775">
      <c r="A775" s="184">
        <v>43007.0</v>
      </c>
      <c r="B775" s="174">
        <v>-0.055467578287146484</v>
      </c>
      <c r="C775" s="174">
        <v>0.01530956765143022</v>
      </c>
      <c r="D775" s="174">
        <v>-0.04297395127832193</v>
      </c>
      <c r="E775" s="282">
        <v>-0.008963895207072586</v>
      </c>
      <c r="F775" s="287">
        <v>-1159.2902361069846</v>
      </c>
      <c r="G775" s="235">
        <v>17.353071139589535</v>
      </c>
      <c r="H775" s="235">
        <v>-3819.512515003172</v>
      </c>
      <c r="I775" s="287">
        <v>2133.938818818301</v>
      </c>
      <c r="J775" s="233">
        <v>46004.75665166277</v>
      </c>
    </row>
    <row r="776">
      <c r="A776" s="184">
        <v>43006.0</v>
      </c>
      <c r="B776" s="174">
        <v>-0.0424843638368989</v>
      </c>
      <c r="C776" s="174">
        <v>0.015331272798622937</v>
      </c>
      <c r="D776" s="174">
        <v>-0.029973023982135673</v>
      </c>
      <c r="E776" s="282">
        <v>-0.03156530518810617</v>
      </c>
      <c r="F776" s="287">
        <v>-4118.897890594271</v>
      </c>
      <c r="G776" s="235">
        <v>14.619762926588558</v>
      </c>
      <c r="H776" s="235">
        <v>-2660.2222788961876</v>
      </c>
      <c r="I776" s="287">
        <v>2116.5857476787114</v>
      </c>
      <c r="J776" s="233">
        <v>47164.04688776976</v>
      </c>
    </row>
    <row r="777">
      <c r="A777" s="184">
        <v>43005.0</v>
      </c>
      <c r="B777" s="174">
        <v>0.003929492829921644</v>
      </c>
      <c r="C777" s="174">
        <v>0.01535381928441428</v>
      </c>
      <c r="D777" s="174">
        <v>0.016459232118963503</v>
      </c>
      <c r="E777" s="282">
        <v>0.00745695738810961</v>
      </c>
      <c r="F777" s="287">
        <v>1003.7589286961855</v>
      </c>
      <c r="G777" s="235">
        <v>65.99511887922543</v>
      </c>
      <c r="H777" s="235">
        <v>1458.6756116980837</v>
      </c>
      <c r="I777" s="287">
        <v>2101.965984752123</v>
      </c>
      <c r="J777" s="233">
        <v>51282.94477836403</v>
      </c>
    </row>
    <row r="778">
      <c r="A778" s="184">
        <v>43004.0</v>
      </c>
      <c r="B778" s="174">
        <v>-0.007408837755484629</v>
      </c>
      <c r="C778" s="174">
        <v>0.015379214061481348</v>
      </c>
      <c r="D778" s="174">
        <v>0.005141625363248041</v>
      </c>
      <c r="E778" s="282">
        <v>0.023505301212816354</v>
      </c>
      <c r="F778" s="287">
        <v>3140.3852614532034</v>
      </c>
      <c r="G778" s="235">
        <v>1.441601024036565</v>
      </c>
      <c r="H778" s="235">
        <v>454.91668300189804</v>
      </c>
      <c r="I778" s="287">
        <v>2035.9708658728975</v>
      </c>
      <c r="J778" s="233">
        <v>50279.18584966784</v>
      </c>
    </row>
    <row r="779">
      <c r="A779" s="184">
        <v>43003.0</v>
      </c>
      <c r="B779" s="174">
        <v>-0.04297174645271889</v>
      </c>
      <c r="C779" s="174">
        <v>0.015404016705719059</v>
      </c>
      <c r="D779" s="174">
        <v>-0.030401042724127487</v>
      </c>
      <c r="E779" s="282">
        <v>0.02354052184528393</v>
      </c>
      <c r="F779" s="287">
        <v>3071.164545507873</v>
      </c>
      <c r="G779" s="235">
        <v>53.29307118489122</v>
      </c>
      <c r="H779" s="235">
        <v>-2685.4685784513053</v>
      </c>
      <c r="I779" s="287">
        <v>2034.529264848861</v>
      </c>
      <c r="J779" s="233">
        <v>47138.80058821464</v>
      </c>
    </row>
    <row r="780">
      <c r="A780" s="184">
        <v>43000.0</v>
      </c>
      <c r="B780" s="174">
        <v>-0.0780772947777686</v>
      </c>
      <c r="C780" s="174">
        <v>0.015471032355357899</v>
      </c>
      <c r="D780" s="174">
        <v>-0.06545190181500646</v>
      </c>
      <c r="E780" s="282">
        <v>-0.01612837321917412</v>
      </c>
      <c r="F780" s="287">
        <v>-2054.621316091881</v>
      </c>
      <c r="G780" s="235">
        <v>9.042582239145787</v>
      </c>
      <c r="H780" s="235">
        <v>-5756.633123959178</v>
      </c>
      <c r="I780" s="287">
        <v>1981.2361936639697</v>
      </c>
      <c r="J780" s="233">
        <v>44067.63604270676</v>
      </c>
    </row>
    <row r="781">
      <c r="A781" s="184">
        <v>42999.0</v>
      </c>
      <c r="B781" s="174">
        <v>-0.05479033350158892</v>
      </c>
      <c r="C781" s="174">
        <v>0.015491876613877778</v>
      </c>
      <c r="D781" s="174">
        <v>-0.04214793023539091</v>
      </c>
      <c r="E781" s="282">
        <v>0.011607576344593667</v>
      </c>
      <c r="F781" s="287">
        <v>1502.558369169035</v>
      </c>
      <c r="G781" s="235">
        <v>50.75280318711397</v>
      </c>
      <c r="H781" s="235">
        <v>-3702.011807867297</v>
      </c>
      <c r="I781" s="287">
        <v>1972.193611424824</v>
      </c>
      <c r="J781" s="233">
        <v>46122.25735879864</v>
      </c>
    </row>
    <row r="782">
      <c r="A782" s="184">
        <v>42998.0</v>
      </c>
      <c r="B782" s="174">
        <v>-0.0720007138279795</v>
      </c>
      <c r="C782" s="174">
        <v>0.015514186629658797</v>
      </c>
      <c r="D782" s="174">
        <v>-0.059340104102783085</v>
      </c>
      <c r="E782" s="282">
        <v>-0.00590491484671946</v>
      </c>
      <c r="F782" s="287">
        <v>-755.4971840711723</v>
      </c>
      <c r="G782" s="235">
        <v>49.76026123848384</v>
      </c>
      <c r="H782" s="235">
        <v>-5204.570177036332</v>
      </c>
      <c r="I782" s="287">
        <v>1921.44080823771</v>
      </c>
      <c r="J782" s="233">
        <v>44619.69898962961</v>
      </c>
    </row>
    <row r="783">
      <c r="A783" s="184">
        <v>42997.0</v>
      </c>
      <c r="B783" s="174">
        <v>-0.06347406858837615</v>
      </c>
      <c r="C783" s="174">
        <v>0.015535525383866017</v>
      </c>
      <c r="D783" s="174">
        <v>-0.0507960450183235</v>
      </c>
      <c r="E783" s="282">
        <v>-0.01690028077322635</v>
      </c>
      <c r="F783" s="287">
        <v>-2175.054085732931</v>
      </c>
      <c r="G783" s="235">
        <v>24.13119836193059</v>
      </c>
      <c r="H783" s="235">
        <v>-4449.07299296516</v>
      </c>
      <c r="I783" s="287">
        <v>1871.6805469992262</v>
      </c>
      <c r="J783" s="233">
        <v>45375.19617370078</v>
      </c>
    </row>
    <row r="784">
      <c r="A784" s="184">
        <v>42996.0</v>
      </c>
      <c r="B784" s="174">
        <v>-0.03869551545577255</v>
      </c>
      <c r="C784" s="174">
        <v>0.015557444144985992</v>
      </c>
      <c r="D784" s="174">
        <v>-0.025999604716587278</v>
      </c>
      <c r="E784" s="282">
        <v>0.001354895146515241</v>
      </c>
      <c r="F784" s="287">
        <v>177.32100954997122</v>
      </c>
      <c r="G784" s="235">
        <v>60.19973125934899</v>
      </c>
      <c r="H784" s="235">
        <v>-2274.0189072322287</v>
      </c>
      <c r="I784" s="287">
        <v>1847.5493486372957</v>
      </c>
      <c r="J784" s="233">
        <v>47550.25025943371</v>
      </c>
    </row>
    <row r="785">
      <c r="A785" s="184">
        <v>42993.0</v>
      </c>
      <c r="B785" s="174">
        <v>-0.04090258629434094</v>
      </c>
      <c r="C785" s="174">
        <v>0.015626095872822217</v>
      </c>
      <c r="D785" s="174">
        <v>-0.02815065117219296</v>
      </c>
      <c r="E785" s="282">
        <v>0.002470541345548894</v>
      </c>
      <c r="F785" s="287">
        <v>315.7802468408845</v>
      </c>
      <c r="G785" s="235">
        <v>41.33047377633967</v>
      </c>
      <c r="H785" s="235">
        <v>-2451.3399167822</v>
      </c>
      <c r="I785" s="287">
        <v>1787.3496173779467</v>
      </c>
      <c r="J785" s="233">
        <v>38872.92924988374</v>
      </c>
    </row>
    <row r="786">
      <c r="A786" s="184">
        <v>42992.0</v>
      </c>
      <c r="B786" s="174">
        <v>-0.044605866357106026</v>
      </c>
      <c r="C786" s="174">
        <v>0.01564373183923742</v>
      </c>
      <c r="D786" s="174">
        <v>-0.03181286667009598</v>
      </c>
      <c r="E786" s="282">
        <v>0.012295678654565318</v>
      </c>
      <c r="F786" s="287">
        <v>1498.5660813827817</v>
      </c>
      <c r="G786" s="235">
        <v>27.30456502135768</v>
      </c>
      <c r="H786" s="235">
        <v>-2767.1201636230844</v>
      </c>
      <c r="I786" s="287">
        <v>1746.019143601607</v>
      </c>
      <c r="J786" s="233">
        <v>38587.149003042854</v>
      </c>
    </row>
    <row r="787">
      <c r="A787" s="184">
        <v>42991.0</v>
      </c>
      <c r="B787" s="174">
        <v>-0.061903545594693805</v>
      </c>
      <c r="C787" s="174">
        <v>0.015661201451327038</v>
      </c>
      <c r="D787" s="174">
        <v>-0.04909625975497472</v>
      </c>
      <c r="E787" s="282">
        <v>-0.0100484095777051</v>
      </c>
      <c r="F787" s="287">
        <v>-1209.616428961228</v>
      </c>
      <c r="G787" s="235">
        <v>7.386883766908636</v>
      </c>
      <c r="H787" s="235">
        <v>-4265.686245005866</v>
      </c>
      <c r="I787" s="287">
        <v>1718.7145785802495</v>
      </c>
      <c r="J787" s="233">
        <v>37088.58292166007</v>
      </c>
    </row>
    <row r="788">
      <c r="A788" s="184">
        <v>42990.0</v>
      </c>
      <c r="B788" s="174">
        <v>-0.048031766473958896</v>
      </c>
      <c r="C788" s="174">
        <v>0.015677651671880462</v>
      </c>
      <c r="D788" s="174">
        <v>-0.035211028110982964</v>
      </c>
      <c r="E788" s="282">
        <v>-0.007163247482400801</v>
      </c>
      <c r="F788" s="287">
        <v>-870.9685894640825</v>
      </c>
      <c r="G788" s="235">
        <v>28.7409960805984</v>
      </c>
      <c r="H788" s="235">
        <v>-3056.069816044638</v>
      </c>
      <c r="I788" s="287">
        <v>1711.327694813341</v>
      </c>
      <c r="J788" s="233">
        <v>38298.1993506213</v>
      </c>
    </row>
    <row r="789">
      <c r="A789" s="184">
        <v>42989.0</v>
      </c>
      <c r="B789" s="174">
        <v>-0.03803875154646746</v>
      </c>
      <c r="C789" s="174">
        <v>0.01569498017363926</v>
      </c>
      <c r="D789" s="174">
        <v>-0.02520384242680413</v>
      </c>
      <c r="E789" s="282">
        <v>0.006338998010249145</v>
      </c>
      <c r="F789" s="287">
        <v>776.2703922808532</v>
      </c>
      <c r="G789" s="235">
        <v>64.59916068174984</v>
      </c>
      <c r="H789" s="235">
        <v>-2185.1012265805557</v>
      </c>
      <c r="I789" s="287">
        <v>1682.5866987327424</v>
      </c>
      <c r="J789" s="233">
        <v>39169.167940085375</v>
      </c>
    </row>
    <row r="790">
      <c r="A790" s="184">
        <v>42986.0</v>
      </c>
      <c r="B790" s="174">
        <v>-0.04718415156038409</v>
      </c>
      <c r="C790" s="174">
        <v>0.01575896668682985</v>
      </c>
      <c r="D790" s="174">
        <v>-0.03429691608716061</v>
      </c>
      <c r="E790" s="282">
        <v>0.0032831972698917095</v>
      </c>
      <c r="F790" s="287">
        <v>399.5099775486183</v>
      </c>
      <c r="G790" s="235">
        <v>13.469833222342803</v>
      </c>
      <c r="H790" s="235">
        <v>-2961.371618861409</v>
      </c>
      <c r="I790" s="287">
        <v>1617.9875380509925</v>
      </c>
      <c r="J790" s="233">
        <v>38392.897547804525</v>
      </c>
    </row>
    <row r="791">
      <c r="A791" s="184">
        <v>42985.0</v>
      </c>
      <c r="B791" s="174">
        <v>-0.051642869419772544</v>
      </c>
      <c r="C791" s="174">
        <v>0.01555057193938636</v>
      </c>
      <c r="D791" s="174">
        <v>-0.038967232105645455</v>
      </c>
      <c r="E791" s="282">
        <v>-0.01837847012004676</v>
      </c>
      <c r="F791" s="287">
        <v>-2229.3670235417812</v>
      </c>
      <c r="G791" s="235">
        <v>68.25729283604915</v>
      </c>
      <c r="H791" s="235">
        <v>-3360.881596410027</v>
      </c>
      <c r="I791" s="287">
        <v>1604.5177048286496</v>
      </c>
      <c r="J791" s="233">
        <v>37993.38757025591</v>
      </c>
    </row>
    <row r="792">
      <c r="A792" s="184">
        <v>42984.0</v>
      </c>
      <c r="B792" s="174">
        <v>-0.02582314141895469</v>
      </c>
      <c r="C792" s="174">
        <v>0.015567650833620666</v>
      </c>
      <c r="D792" s="174">
        <v>-0.013133582696027706</v>
      </c>
      <c r="E792" s="282">
        <v>0.016749900290349725</v>
      </c>
      <c r="F792" s="287">
        <v>2069.157986016558</v>
      </c>
      <c r="G792" s="235">
        <v>55.089966944457444</v>
      </c>
      <c r="H792" s="235">
        <v>-1131.514572868246</v>
      </c>
      <c r="I792" s="287">
        <v>1536.2604119926004</v>
      </c>
      <c r="J792" s="233">
        <v>40222.75459379769</v>
      </c>
    </row>
    <row r="793">
      <c r="A793" s="184">
        <v>42983.0</v>
      </c>
      <c r="B793" s="174">
        <v>-0.04989982825995207</v>
      </c>
      <c r="C793" s="174">
        <v>0.015586329487250897</v>
      </c>
      <c r="D793" s="174">
        <v>-0.03719504412667646</v>
      </c>
      <c r="E793" s="282">
        <v>0.009281631320121853</v>
      </c>
      <c r="F793" s="287">
        <v>1127.3784739378634</v>
      </c>
      <c r="G793" s="235">
        <v>28.993959374918738</v>
      </c>
      <c r="H793" s="235">
        <v>-3200.672558884804</v>
      </c>
      <c r="I793" s="287">
        <v>1481.170445048143</v>
      </c>
      <c r="J793" s="233">
        <v>38153.59660778113</v>
      </c>
    </row>
    <row r="794">
      <c r="A794" s="184">
        <v>42982.0</v>
      </c>
      <c r="B794" s="174">
        <v>-0.06307085900537748</v>
      </c>
      <c r="C794" s="174">
        <v>0.015603586845145213</v>
      </c>
      <c r="D794" s="174">
        <v>-0.050352007993370904</v>
      </c>
      <c r="E794" s="282">
        <v>-0.026553041662519688</v>
      </c>
      <c r="F794" s="287">
        <v>-3195.2873251372193</v>
      </c>
      <c r="G794" s="235">
        <v>57.302306258371836</v>
      </c>
      <c r="H794" s="235">
        <v>-4328.051032822667</v>
      </c>
      <c r="I794" s="287">
        <v>1452.1764856732243</v>
      </c>
      <c r="J794" s="233">
        <v>37026.21813384327</v>
      </c>
    </row>
    <row r="795">
      <c r="A795" s="184">
        <v>42979.0</v>
      </c>
      <c r="B795" s="174">
        <v>-0.026001352517329795</v>
      </c>
      <c r="C795" s="174">
        <v>0.015666290481494247</v>
      </c>
      <c r="D795" s="174">
        <v>-0.013231390295025923</v>
      </c>
      <c r="E795" s="282">
        <v>0.009342363374730257</v>
      </c>
      <c r="F795" s="287">
        <v>1154.0743515379047</v>
      </c>
      <c r="G795" s="235">
        <v>41.361886832541124</v>
      </c>
      <c r="H795" s="235">
        <v>-1132.7637076854483</v>
      </c>
      <c r="I795" s="287">
        <v>1394.8741794148525</v>
      </c>
      <c r="J795" s="233">
        <v>40221.50545898049</v>
      </c>
    </row>
    <row r="796">
      <c r="A796" s="184">
        <v>42978.0</v>
      </c>
      <c r="B796" s="174">
        <v>-0.03953867617258881</v>
      </c>
      <c r="C796" s="174">
        <v>0.015685200301005654</v>
      </c>
      <c r="D796" s="174">
        <v>-0.026743944330446398</v>
      </c>
      <c r="E796" s="282">
        <v>0.017004677401983567</v>
      </c>
      <c r="F796" s="287">
        <v>1968.3790163704994</v>
      </c>
      <c r="G796" s="235">
        <v>9.333347852668101</v>
      </c>
      <c r="H796" s="235">
        <v>-2286.838059223353</v>
      </c>
      <c r="I796" s="287">
        <v>1353.5122925823114</v>
      </c>
      <c r="J796" s="233">
        <v>39067.431107442586</v>
      </c>
    </row>
    <row r="797">
      <c r="A797" s="184">
        <v>42977.0</v>
      </c>
      <c r="B797" s="174">
        <v>-0.06355440184954143</v>
      </c>
      <c r="C797" s="174">
        <v>0.015703326118799564</v>
      </c>
      <c r="D797" s="174">
        <v>-0.049821104251602896</v>
      </c>
      <c r="E797" s="282">
        <v>0.0398854744917196</v>
      </c>
      <c r="F797" s="287">
        <v>4535.292465034095</v>
      </c>
      <c r="G797" s="235">
        <v>35.18274462898133</v>
      </c>
      <c r="H797" s="235">
        <v>-4255.217075593852</v>
      </c>
      <c r="I797" s="287">
        <v>1344.1789447296433</v>
      </c>
      <c r="J797" s="233">
        <v>37099.05209107209</v>
      </c>
    </row>
    <row r="798">
      <c r="A798" s="184">
        <v>42976.0</v>
      </c>
      <c r="B798" s="174">
        <v>-0.11677913645227862</v>
      </c>
      <c r="C798" s="174">
        <v>0.015720077504512927</v>
      </c>
      <c r="D798" s="174">
        <v>-0.10303118897931111</v>
      </c>
      <c r="E798" s="282">
        <v>-0.03402818676322796</v>
      </c>
      <c r="F798" s="287">
        <v>-3714.9449572950434</v>
      </c>
      <c r="G798" s="235">
        <v>40.262176160581404</v>
      </c>
      <c r="H798" s="235">
        <v>-8790.509540627947</v>
      </c>
      <c r="I798" s="287">
        <v>1308.996200100662</v>
      </c>
      <c r="J798" s="233">
        <v>32563.759626037994</v>
      </c>
    </row>
    <row r="799">
      <c r="A799" s="184">
        <v>42975.0</v>
      </c>
      <c r="B799" s="174">
        <v>-0.07330026770860681</v>
      </c>
      <c r="C799" s="174">
        <v>0.015733599787439587</v>
      </c>
      <c r="D799" s="174">
        <v>-0.05954049436294007</v>
      </c>
      <c r="E799" s="282">
        <v>-0.021671935737491873</v>
      </c>
      <c r="F799" s="287">
        <v>-2446.4911963944896</v>
      </c>
      <c r="G799" s="235">
        <v>29.827108413547254</v>
      </c>
      <c r="H799" s="235">
        <v>-5075.5645833329045</v>
      </c>
      <c r="I799" s="287">
        <v>1268.7340239400805</v>
      </c>
      <c r="J799" s="233">
        <v>36278.704583333034</v>
      </c>
    </row>
    <row r="800">
      <c r="A800" s="184">
        <v>42972.0</v>
      </c>
      <c r="B800" s="174">
        <v>-0.044780355354113566</v>
      </c>
      <c r="C800" s="174">
        <v>0.015796891319885997</v>
      </c>
      <c r="D800" s="174">
        <v>-0.03096523058519163</v>
      </c>
      <c r="E800" s="282">
        <v>-0.010494004042774542</v>
      </c>
      <c r="F800" s="287">
        <v>-1210.3156366068945</v>
      </c>
      <c r="G800" s="235">
        <v>2.5207632335739105</v>
      </c>
      <c r="H800" s="235">
        <v>-2629.073386938415</v>
      </c>
      <c r="I800" s="287">
        <v>1238.9069155265333</v>
      </c>
      <c r="J800" s="233">
        <v>38725.195779727524</v>
      </c>
    </row>
    <row r="801">
      <c r="A801" s="184">
        <v>42971.0</v>
      </c>
      <c r="B801" s="174">
        <v>-0.030560273283599237</v>
      </c>
      <c r="C801" s="174">
        <v>0.01581501293039567</v>
      </c>
      <c r="D801" s="174">
        <v>-0.01672930031358917</v>
      </c>
      <c r="E801" s="282">
        <v>0.012494229645218149</v>
      </c>
      <c r="F801" s="287">
        <v>1456.1316509759615</v>
      </c>
      <c r="G801" s="235">
        <v>15.650172623606855</v>
      </c>
      <c r="H801" s="235">
        <v>-1418.7577503315204</v>
      </c>
      <c r="I801" s="287">
        <v>1236.3861522929594</v>
      </c>
      <c r="J801" s="233">
        <v>39935.51141633442</v>
      </c>
    </row>
    <row r="802">
      <c r="A802" s="184">
        <v>42970.0</v>
      </c>
      <c r="B802" s="174">
        <v>-0.0477877176408262</v>
      </c>
      <c r="C802" s="174">
        <v>0.01583404823151923</v>
      </c>
      <c r="D802" s="174">
        <v>-0.03394009740429319</v>
      </c>
      <c r="E802" s="282">
        <v>-0.008959031812060484</v>
      </c>
      <c r="F802" s="287">
        <v>-1031.0788503564847</v>
      </c>
      <c r="G802" s="235">
        <v>18.211264944743704</v>
      </c>
      <c r="H802" s="235">
        <v>-2874.889401307482</v>
      </c>
      <c r="I802" s="287">
        <v>1220.7359796693527</v>
      </c>
      <c r="J802" s="233">
        <v>38479.379765358455</v>
      </c>
    </row>
    <row r="803">
      <c r="A803" s="184">
        <v>42969.0</v>
      </c>
      <c r="B803" s="174">
        <v>-0.03565562406547098</v>
      </c>
      <c r="C803" s="174">
        <v>0.01585206276095997</v>
      </c>
      <c r="D803" s="174">
        <v>-0.021792249275283237</v>
      </c>
      <c r="E803" s="282">
        <v>0.0026054464827454534</v>
      </c>
      <c r="F803" s="287">
        <v>302.54256821946115</v>
      </c>
      <c r="G803" s="235">
        <v>48.071952591627586</v>
      </c>
      <c r="H803" s="235">
        <v>-1843.8105509509971</v>
      </c>
      <c r="I803" s="287">
        <v>1202.5247147246089</v>
      </c>
      <c r="J803" s="233">
        <v>39510.45861571494</v>
      </c>
    </row>
    <row r="804">
      <c r="A804" s="184">
        <v>42968.0</v>
      </c>
      <c r="B804" s="174">
        <v>-0.039277947042854026</v>
      </c>
      <c r="C804" s="174">
        <v>0.015870864314838192</v>
      </c>
      <c r="D804" s="174">
        <v>-0.02539812940910818</v>
      </c>
      <c r="E804" s="282">
        <v>5.614026467821007E-5</v>
      </c>
      <c r="F804" s="287">
        <v>6.501982262656384</v>
      </c>
      <c r="G804" s="235">
        <v>20.850547371342923</v>
      </c>
      <c r="H804" s="235">
        <v>-2146.3531191704583</v>
      </c>
      <c r="I804" s="287">
        <v>1154.4527621329812</v>
      </c>
      <c r="J804" s="233">
        <v>39207.91604749548</v>
      </c>
    </row>
    <row r="805">
      <c r="A805" s="184">
        <v>42965.0</v>
      </c>
      <c r="B805" s="174">
        <v>-0.03952008961251657</v>
      </c>
      <c r="C805" s="174">
        <v>0.015937486893741994</v>
      </c>
      <c r="D805" s="174">
        <v>-0.025582007398648885</v>
      </c>
      <c r="E805" s="282">
        <v>-0.002655202371264782</v>
      </c>
      <c r="F805" s="287">
        <v>-307.4996103194062</v>
      </c>
      <c r="G805" s="235">
        <v>5.470832057708124</v>
      </c>
      <c r="H805" s="235">
        <v>-2152.8551014331147</v>
      </c>
      <c r="I805" s="287">
        <v>1133.6022147616384</v>
      </c>
      <c r="J805" s="233">
        <v>39201.41406523282</v>
      </c>
    </row>
    <row r="806">
      <c r="A806" s="184">
        <v>42964.0</v>
      </c>
      <c r="B806" s="174">
        <v>-0.03590838612367172</v>
      </c>
      <c r="C806" s="174">
        <v>0.015956266261291444</v>
      </c>
      <c r="D806" s="174">
        <v>-0.021953880469234407</v>
      </c>
      <c r="E806" s="282">
        <v>0.0031757603615287094</v>
      </c>
      <c r="F806" s="287">
        <v>368.76209852383545</v>
      </c>
      <c r="G806" s="235">
        <v>22.474894739395307</v>
      </c>
      <c r="H806" s="235">
        <v>-1845.3554911137085</v>
      </c>
      <c r="I806" s="287">
        <v>1128.1313827039303</v>
      </c>
      <c r="J806" s="233">
        <v>39508.91367555223</v>
      </c>
    </row>
    <row r="807">
      <c r="A807" s="184">
        <v>42963.0</v>
      </c>
      <c r="B807" s="174">
        <v>-0.04034357993861522</v>
      </c>
      <c r="C807" s="174">
        <v>0.015975310530474105</v>
      </c>
      <c r="D807" s="174">
        <v>-0.0263724191746653</v>
      </c>
      <c r="E807" s="282">
        <v>-0.002824281035909549</v>
      </c>
      <c r="F807" s="287">
        <v>-326.90762770460424</v>
      </c>
      <c r="G807" s="235">
        <v>27.340771032122696</v>
      </c>
      <c r="H807" s="235">
        <v>-2214.117589637544</v>
      </c>
      <c r="I807" s="287">
        <v>1105.656487964535</v>
      </c>
      <c r="J807" s="233">
        <v>39140.15157702839</v>
      </c>
    </row>
    <row r="808">
      <c r="A808" s="184">
        <v>42962.0</v>
      </c>
      <c r="B808" s="174">
        <v>-0.03649269054492367</v>
      </c>
      <c r="C808" s="174">
        <v>0.01599412026832224</v>
      </c>
      <c r="D808" s="174">
        <v>-0.022505079780148877</v>
      </c>
      <c r="E808" s="282">
        <v>0.007128689114418415</v>
      </c>
      <c r="F808" s="287">
        <v>827.4688624739065</v>
      </c>
      <c r="G808" s="235">
        <v>1.199494158488028</v>
      </c>
      <c r="H808" s="235">
        <v>-1887.2099619329397</v>
      </c>
      <c r="I808" s="287">
        <v>1078.3157169324122</v>
      </c>
      <c r="J808" s="233">
        <v>39467.05920473299</v>
      </c>
    </row>
    <row r="809">
      <c r="A809" s="184">
        <v>42961.0</v>
      </c>
      <c r="B809" s="174">
        <v>-0.046415635869255095</v>
      </c>
      <c r="C809" s="174">
        <v>0.016013210576489346</v>
      </c>
      <c r="D809" s="174">
        <v>-0.032411329731709466</v>
      </c>
      <c r="E809" s="282">
        <v>-0.0017211082882885361</v>
      </c>
      <c r="F809" s="287">
        <v>-198.35499568639852</v>
      </c>
      <c r="G809" s="235">
        <v>34.69969735002001</v>
      </c>
      <c r="H809" s="235">
        <v>-2714.678824406846</v>
      </c>
      <c r="I809" s="287">
        <v>1077.1162227739242</v>
      </c>
      <c r="J809" s="233">
        <v>38639.590342259085</v>
      </c>
    </row>
    <row r="810">
      <c r="A810" s="184">
        <v>42958.0</v>
      </c>
      <c r="B810" s="174">
        <v>-0.044232990419579586</v>
      </c>
      <c r="C810" s="174">
        <v>0.016080674235119666</v>
      </c>
      <c r="D810" s="174">
        <v>-0.03016968413811498</v>
      </c>
      <c r="E810" s="282">
        <v>0.0012089733041054905</v>
      </c>
      <c r="F810" s="287">
        <v>139.5720583463858</v>
      </c>
      <c r="G810" s="235">
        <v>31.028697467584234</v>
      </c>
      <c r="H810" s="235">
        <v>-2516.3238287204476</v>
      </c>
      <c r="I810" s="287">
        <v>1042.4165254239042</v>
      </c>
      <c r="J810" s="233">
        <v>38837.945337945486</v>
      </c>
    </row>
    <row r="811">
      <c r="A811" s="184">
        <v>42957.0</v>
      </c>
      <c r="B811" s="174">
        <v>-0.04596014993033742</v>
      </c>
      <c r="C811" s="174">
        <v>0.016099501811437898</v>
      </c>
      <c r="D811" s="174">
        <v>-0.03188037804746645</v>
      </c>
      <c r="E811" s="282">
        <v>0.009018509400205765</v>
      </c>
      <c r="F811" s="287">
        <v>1039.8990140188384</v>
      </c>
      <c r="G811" s="235">
        <v>24.152656929773116</v>
      </c>
      <c r="H811" s="235">
        <v>-2655.8958870668334</v>
      </c>
      <c r="I811" s="287">
        <v>1011.3878279563199</v>
      </c>
      <c r="J811" s="233">
        <v>38698.3732795991</v>
      </c>
    </row>
    <row r="812">
      <c r="A812" s="184">
        <v>42956.0</v>
      </c>
      <c r="B812" s="174">
        <v>-0.05851080543092099</v>
      </c>
      <c r="C812" s="174">
        <v>0.016118261045048852</v>
      </c>
      <c r="D812" s="174">
        <v>-0.044414627715556994</v>
      </c>
      <c r="E812" s="282">
        <v>0.009705303743107255</v>
      </c>
      <c r="F812" s="287">
        <v>1108.9988068382345</v>
      </c>
      <c r="G812" s="235">
        <v>69.37440883942485</v>
      </c>
      <c r="H812" s="235">
        <v>-3695.794901085672</v>
      </c>
      <c r="I812" s="287">
        <v>987.2351710265468</v>
      </c>
      <c r="J812" s="233">
        <v>37658.47426558026</v>
      </c>
    </row>
    <row r="813">
      <c r="A813" s="184">
        <v>42955.0</v>
      </c>
      <c r="B813" s="174">
        <v>-0.07191859308296715</v>
      </c>
      <c r="C813" s="174">
        <v>0.016136271269737143</v>
      </c>
      <c r="D813" s="174">
        <v>-0.05780666457865699</v>
      </c>
      <c r="E813" s="282">
        <v>9.581905501069327E-4</v>
      </c>
      <c r="F813" s="287">
        <v>108.42721017326767</v>
      </c>
      <c r="G813" s="235">
        <v>24.399842652101363</v>
      </c>
      <c r="H813" s="235">
        <v>-4804.793707923906</v>
      </c>
      <c r="I813" s="287">
        <v>917.860762187122</v>
      </c>
      <c r="J813" s="233">
        <v>36549.475458742025</v>
      </c>
    </row>
    <row r="814">
      <c r="A814" s="184">
        <v>42954.0</v>
      </c>
      <c r="B814" s="174">
        <v>-0.0733389627471743</v>
      </c>
      <c r="C814" s="174">
        <v>0.016191291161182626</v>
      </c>
      <c r="D814" s="174">
        <v>-0.059174172412244014</v>
      </c>
      <c r="E814" s="282">
        <v>0.002904181353923698</v>
      </c>
      <c r="F814" s="287">
        <v>328.30820272172605</v>
      </c>
      <c r="G814" s="235">
        <v>42.999726653623426</v>
      </c>
      <c r="H814" s="235">
        <v>-4913.220918097174</v>
      </c>
      <c r="I814" s="287">
        <v>893.4609195350206</v>
      </c>
      <c r="J814" s="233">
        <v>36441.04824856875</v>
      </c>
    </row>
    <row r="815">
      <c r="A815" s="184">
        <v>42951.0</v>
      </c>
      <c r="B815" s="174">
        <v>-0.07736103756572732</v>
      </c>
      <c r="C815" s="174">
        <v>0.01600562151199392</v>
      </c>
      <c r="D815" s="174">
        <v>-0.06339032925454045</v>
      </c>
      <c r="E815" s="282">
        <v>0.010726748280755982</v>
      </c>
      <c r="F815" s="287">
        <v>1209.3264236818359</v>
      </c>
      <c r="G815" s="235">
        <v>31.397351180267716</v>
      </c>
      <c r="H815" s="235">
        <v>-5241.5291208189</v>
      </c>
      <c r="I815" s="287">
        <v>850.4611928813972</v>
      </c>
      <c r="J815" s="233">
        <v>36112.74004584703</v>
      </c>
    </row>
    <row r="816">
      <c r="A816" s="184">
        <v>42950.0</v>
      </c>
      <c r="B816" s="174">
        <v>-0.09208316939760587</v>
      </c>
      <c r="C816" s="174">
        <v>0.01602244817313422</v>
      </c>
      <c r="D816" s="174">
        <v>-0.07809777372332809</v>
      </c>
      <c r="E816" s="282">
        <v>2.7578457708006727E-4</v>
      </c>
      <c r="F816" s="287">
        <v>30.758255110497885</v>
      </c>
      <c r="G816" s="235">
        <v>21.320775511560612</v>
      </c>
      <c r="H816" s="235">
        <v>-6450.855544500736</v>
      </c>
      <c r="I816" s="287">
        <v>819.0638417011295</v>
      </c>
      <c r="J816" s="233">
        <v>34903.41362216519</v>
      </c>
    </row>
    <row r="817">
      <c r="A817" s="184">
        <v>42949.0</v>
      </c>
      <c r="B817" s="174">
        <v>-0.09254751523972969</v>
      </c>
      <c r="C817" s="174">
        <v>0.01603838624874132</v>
      </c>
      <c r="D817" s="174">
        <v>-0.07854820781543449</v>
      </c>
      <c r="E817" s="282">
        <v>0.0045073162548021194</v>
      </c>
      <c r="F817" s="287">
        <v>492.37970635332204</v>
      </c>
      <c r="G817" s="235">
        <v>53.35669228845551</v>
      </c>
      <c r="H817" s="235">
        <v>-6481.613799611234</v>
      </c>
      <c r="I817" s="287">
        <v>797.7430661895689</v>
      </c>
      <c r="J817" s="233">
        <v>34872.65536705469</v>
      </c>
    </row>
    <row r="818">
      <c r="A818" s="184">
        <v>42948.0</v>
      </c>
      <c r="B818" s="174">
        <v>-0.09862206095498667</v>
      </c>
      <c r="C818" s="174">
        <v>0.016054321201896683</v>
      </c>
      <c r="D818" s="174">
        <v>-0.0845991399786139</v>
      </c>
      <c r="E818" s="282">
        <v>-0.02082064271621782</v>
      </c>
      <c r="F818" s="287">
        <v>-2167.3189007682986</v>
      </c>
      <c r="G818" s="235">
        <v>52.747450956268686</v>
      </c>
      <c r="H818" s="235">
        <v>-6973.993505964556</v>
      </c>
      <c r="I818" s="287">
        <v>744.3863739011134</v>
      </c>
      <c r="J818" s="233">
        <v>34380.27566070137</v>
      </c>
    </row>
    <row r="819">
      <c r="A819" s="184">
        <v>42947.0</v>
      </c>
      <c r="B819" s="174">
        <v>-0.07240125205985454</v>
      </c>
      <c r="C819" s="174">
        <v>0.016069902196932415</v>
      </c>
      <c r="D819" s="174">
        <v>-0.05836472159732712</v>
      </c>
      <c r="E819" s="282">
        <v>0.010812911413823248</v>
      </c>
      <c r="F819" s="287">
        <v>1149.0019753765637</v>
      </c>
      <c r="G819" s="235">
        <v>59.80562505401783</v>
      </c>
      <c r="H819" s="235">
        <v>-4806.674605196257</v>
      </c>
      <c r="I819" s="287">
        <v>691.6389229448447</v>
      </c>
      <c r="J819" s="233">
        <v>36547.59456146967</v>
      </c>
    </row>
    <row r="820">
      <c r="A820" s="184">
        <v>42944.0</v>
      </c>
      <c r="B820" s="174">
        <v>-0.08758936584668274</v>
      </c>
      <c r="C820" s="174">
        <v>0.016137345585314704</v>
      </c>
      <c r="D820" s="174">
        <v>-0.07261990341536816</v>
      </c>
      <c r="E820" s="282">
        <v>-0.007345436719423563</v>
      </c>
      <c r="F820" s="287">
        <v>-771.5746144650084</v>
      </c>
      <c r="G820" s="235">
        <v>32.31874335679391</v>
      </c>
      <c r="H820" s="235">
        <v>-5955.676580572821</v>
      </c>
      <c r="I820" s="287">
        <v>631.8332978908269</v>
      </c>
      <c r="J820" s="233">
        <v>35398.5925860931</v>
      </c>
    </row>
    <row r="821">
      <c r="A821" s="184">
        <v>42943.0</v>
      </c>
      <c r="B821" s="174">
        <v>-0.07826132983160083</v>
      </c>
      <c r="C821" s="174">
        <v>0.016153874079290757</v>
      </c>
      <c r="D821" s="174">
        <v>-0.06327653509744172</v>
      </c>
      <c r="E821" s="282">
        <v>-0.018845192216455232</v>
      </c>
      <c r="F821" s="287">
        <v>-1994.0649677846432</v>
      </c>
      <c r="G821" s="235">
        <v>10.994838358635224</v>
      </c>
      <c r="H821" s="235">
        <v>-5184.101966107813</v>
      </c>
      <c r="I821" s="287">
        <v>599.514554534033</v>
      </c>
      <c r="J821" s="233">
        <v>36170.16720055811</v>
      </c>
    </row>
    <row r="822">
      <c r="A822" s="184">
        <v>42942.0</v>
      </c>
      <c r="B822" s="174">
        <v>-0.053979234751172916</v>
      </c>
      <c r="C822" s="174">
        <v>0.016171017738060914</v>
      </c>
      <c r="D822" s="174">
        <v>-0.038978537069745404</v>
      </c>
      <c r="E822" s="282">
        <v>-0.017331343070475368</v>
      </c>
      <c r="F822" s="287">
        <v>-1868.4399811083988</v>
      </c>
      <c r="G822" s="235">
        <v>13.803857248999577</v>
      </c>
      <c r="H822" s="235">
        <v>-3190.0369983231694</v>
      </c>
      <c r="I822" s="287">
        <v>588.5197161753978</v>
      </c>
      <c r="J822" s="233">
        <v>38164.23216834276</v>
      </c>
    </row>
    <row r="823">
      <c r="A823" s="184">
        <v>42941.0</v>
      </c>
      <c r="B823" s="174">
        <v>-0.031185105327039622</v>
      </c>
      <c r="C823" s="174">
        <v>0.01618972330727547</v>
      </c>
      <c r="D823" s="174">
        <v>-0.016167055825628256</v>
      </c>
      <c r="E823" s="282">
        <v>-0.007291940922501926</v>
      </c>
      <c r="F823" s="287">
        <v>-799.7467779602893</v>
      </c>
      <c r="G823" s="235">
        <v>3.957657346163994</v>
      </c>
      <c r="H823" s="235">
        <v>-1321.5970172147709</v>
      </c>
      <c r="I823" s="287">
        <v>574.7158589263981</v>
      </c>
      <c r="J823" s="233">
        <v>40032.67214945116</v>
      </c>
    </row>
    <row r="824">
      <c r="A824" s="184">
        <v>42940.0</v>
      </c>
      <c r="B824" s="174">
        <v>-0.02142850962620014</v>
      </c>
      <c r="C824" s="174">
        <v>0.016209907395457943</v>
      </c>
      <c r="D824" s="174">
        <v>-0.00639173678840358</v>
      </c>
      <c r="E824" s="282">
        <v>0.0070921139688628326</v>
      </c>
      <c r="F824" s="287">
        <v>783.502565593816</v>
      </c>
      <c r="G824" s="235">
        <v>39.92904728461744</v>
      </c>
      <c r="H824" s="235">
        <v>-521.8502392544816</v>
      </c>
      <c r="I824" s="287">
        <v>570.7582015802342</v>
      </c>
      <c r="J824" s="233">
        <v>40832.41892741145</v>
      </c>
    </row>
    <row r="825">
      <c r="A825" s="184">
        <v>42937.0</v>
      </c>
      <c r="B825" s="174">
        <v>-0.03116291979903364</v>
      </c>
      <c r="C825" s="174">
        <v>0.01628195613915962</v>
      </c>
      <c r="D825" s="174">
        <v>-0.016059312489832615</v>
      </c>
      <c r="E825" s="282">
        <v>-0.03208896889104281</v>
      </c>
      <c r="F825" s="287">
        <v>-3519.892817121534</v>
      </c>
      <c r="G825" s="235">
        <v>3.9177705838284806</v>
      </c>
      <c r="H825" s="235">
        <v>-1305.3528048482976</v>
      </c>
      <c r="I825" s="287">
        <v>530.8291542956167</v>
      </c>
      <c r="J825" s="233">
        <v>40048.91636181763</v>
      </c>
    </row>
    <row r="826">
      <c r="A826" s="184">
        <v>42936.0</v>
      </c>
      <c r="B826" s="174">
        <v>0.012156361494940662</v>
      </c>
      <c r="C826" s="174">
        <v>0.016302386758535747</v>
      </c>
      <c r="D826" s="174">
        <v>0.02727892082989973</v>
      </c>
      <c r="E826" s="282">
        <v>0.013242996594394344</v>
      </c>
      <c r="F826" s="287">
        <v>1499.2604361185718</v>
      </c>
      <c r="G826" s="235">
        <v>47.903083129353966</v>
      </c>
      <c r="H826" s="235">
        <v>2214.5400122732362</v>
      </c>
      <c r="I826" s="287">
        <v>526.9113837117883</v>
      </c>
      <c r="J826" s="233">
        <v>43568.80917893916</v>
      </c>
    </row>
    <row r="827">
      <c r="A827" s="184">
        <v>42935.0</v>
      </c>
      <c r="B827" s="174">
        <v>-0.006320669522733724</v>
      </c>
      <c r="C827" s="174">
        <v>0.01632561751854078</v>
      </c>
      <c r="D827" s="174">
        <v>0.008823439328365268</v>
      </c>
      <c r="E827" s="282">
        <v>0.01701773961969355</v>
      </c>
      <c r="F827" s="287">
        <v>1901.0909966815989</v>
      </c>
      <c r="G827" s="235">
        <v>61.865958873704415</v>
      </c>
      <c r="H827" s="235">
        <v>715.2795761546645</v>
      </c>
      <c r="I827" s="287">
        <v>479.00830058243434</v>
      </c>
      <c r="J827" s="233">
        <v>42069.54874282059</v>
      </c>
    </row>
    <row r="828">
      <c r="A828" s="184">
        <v>42934.0</v>
      </c>
      <c r="B828" s="174">
        <v>-0.029812195442481943</v>
      </c>
      <c r="C828" s="174">
        <v>0.01634773308084491</v>
      </c>
      <c r="D828" s="174">
        <v>-0.014647571564465495</v>
      </c>
      <c r="E828" s="282">
        <v>-0.012318775310278026</v>
      </c>
      <c r="F828" s="287">
        <v>-1352.7397282283569</v>
      </c>
      <c r="G828" s="235">
        <v>63.121469118479794</v>
      </c>
      <c r="H828" s="235">
        <v>-1185.8114205269344</v>
      </c>
      <c r="I828" s="287">
        <v>417.14234170872993</v>
      </c>
      <c r="J828" s="233">
        <v>40168.45774613899</v>
      </c>
    </row>
    <row r="829">
      <c r="A829" s="184">
        <v>42933.0</v>
      </c>
      <c r="B829" s="174">
        <v>-0.013119233511863778</v>
      </c>
      <c r="C829" s="174">
        <v>0.016368404972988353</v>
      </c>
      <c r="D829" s="174">
        <v>0.0020645662034172</v>
      </c>
      <c r="E829" s="282">
        <v>0.002863352021211168</v>
      </c>
      <c r="F829" s="287">
        <v>318.30154470619095</v>
      </c>
      <c r="G829" s="235">
        <v>48.83269324609642</v>
      </c>
      <c r="H829" s="235">
        <v>166.92830770142245</v>
      </c>
      <c r="I829" s="287">
        <v>354.0208725902501</v>
      </c>
      <c r="J829" s="233">
        <v>41521.19747436735</v>
      </c>
    </row>
    <row r="830">
      <c r="A830" s="184">
        <v>42930.0</v>
      </c>
      <c r="B830" s="174">
        <v>-0.017133160629300034</v>
      </c>
      <c r="C830" s="174">
        <v>0.01644247317734297</v>
      </c>
      <c r="D830" s="174">
        <v>-0.0018806531332641854</v>
      </c>
      <c r="E830" s="282">
        <v>-0.014234216658813028</v>
      </c>
      <c r="F830" s="287">
        <v>-1577.8010940528982</v>
      </c>
      <c r="G830" s="235">
        <v>0.21964076523191656</v>
      </c>
      <c r="H830" s="235">
        <v>-151.3732370047685</v>
      </c>
      <c r="I830" s="287">
        <v>305.1881793441537</v>
      </c>
      <c r="J830" s="233">
        <v>41202.89592966116</v>
      </c>
    </row>
    <row r="831">
      <c r="A831" s="184">
        <v>42929.0</v>
      </c>
      <c r="B831" s="174">
        <v>0.0024726219813722646</v>
      </c>
      <c r="C831" s="174">
        <v>0.01646421233277186</v>
      </c>
      <c r="D831" s="174">
        <v>0.017745295338562964</v>
      </c>
      <c r="E831" s="282">
        <v>0.03277879645817129</v>
      </c>
      <c r="F831" s="287">
        <v>3685.10564221998</v>
      </c>
      <c r="G831" s="235">
        <v>50.47996263023985</v>
      </c>
      <c r="H831" s="235">
        <v>1426.4278570481297</v>
      </c>
      <c r="I831" s="287">
        <v>304.96853857892177</v>
      </c>
      <c r="J831" s="233">
        <v>42780.697023714056</v>
      </c>
    </row>
    <row r="832">
      <c r="A832" s="184">
        <v>42928.0</v>
      </c>
      <c r="B832" s="174">
        <v>-0.04343219119829683</v>
      </c>
      <c r="C832" s="174">
        <v>0.01648726317146601</v>
      </c>
      <c r="D832" s="174">
        <v>-0.028138135225110324</v>
      </c>
      <c r="E832" s="282">
        <v>-0.010281826639136269</v>
      </c>
      <c r="F832" s="287">
        <v>-1118.0288864982026</v>
      </c>
      <c r="G832" s="235">
        <v>42.62574766395087</v>
      </c>
      <c r="H832" s="235">
        <v>-2258.6777851718502</v>
      </c>
      <c r="I832" s="287">
        <v>254.48857594868193</v>
      </c>
      <c r="J832" s="233">
        <v>39095.59138149407</v>
      </c>
    </row>
    <row r="833">
      <c r="A833" s="184">
        <v>42927.0</v>
      </c>
      <c r="B833" s="174">
        <v>-0.029540093589046124</v>
      </c>
      <c r="C833" s="174">
        <v>0.01650742088927203</v>
      </c>
      <c r="D833" s="174">
        <v>-0.01422733874138842</v>
      </c>
      <c r="E833" s="282">
        <v>4.8256608155701855E-4</v>
      </c>
      <c r="F833" s="287">
        <v>53.01296336210157</v>
      </c>
      <c r="G833" s="235">
        <v>63.40183868553957</v>
      </c>
      <c r="H833" s="235">
        <v>-1140.6488986736476</v>
      </c>
      <c r="I833" s="287">
        <v>211.86282828473105</v>
      </c>
      <c r="J833" s="233">
        <v>40213.62026799227</v>
      </c>
    </row>
    <row r="834">
      <c r="A834" s="184">
        <v>42926.0</v>
      </c>
      <c r="B834" s="174">
        <v>-0.030271646139385166</v>
      </c>
      <c r="C834" s="174">
        <v>0.01656024012368824</v>
      </c>
      <c r="D834" s="174">
        <v>-0.014907598897277378</v>
      </c>
      <c r="E834" s="282">
        <v>-5.823177686275382E-4</v>
      </c>
      <c r="F834" s="287">
        <v>-63.93897323475517</v>
      </c>
      <c r="G834" s="235">
        <v>8.760502801849738</v>
      </c>
      <c r="H834" s="235">
        <v>-1193.6618620357492</v>
      </c>
      <c r="I834" s="287">
        <v>148.46098959919146</v>
      </c>
      <c r="J834" s="233">
        <v>40160.60730463017</v>
      </c>
    </row>
    <row r="835">
      <c r="A835" s="184">
        <v>42923.0</v>
      </c>
      <c r="B835" s="174">
        <v>-0.029357917994965642</v>
      </c>
      <c r="C835" s="174">
        <v>0.01638685060210999</v>
      </c>
      <c r="D835" s="174">
        <v>-0.014172651008686135</v>
      </c>
      <c r="E835" s="282">
        <v>-0.04140050568448479</v>
      </c>
      <c r="F835" s="287">
        <v>-4549.275403309175</v>
      </c>
      <c r="G835" s="235">
        <v>1.2074260908759182</v>
      </c>
      <c r="H835" s="235">
        <v>-1129.722888800994</v>
      </c>
      <c r="I835" s="287">
        <v>139.70048679734174</v>
      </c>
      <c r="J835" s="233">
        <v>40224.54627786492</v>
      </c>
    </row>
    <row r="836">
      <c r="A836" s="184">
        <v>42922.0</v>
      </c>
      <c r="B836" s="174">
        <v>0.027749503284069863</v>
      </c>
      <c r="C836" s="174">
        <v>0.016407926686245522</v>
      </c>
      <c r="D836" s="174">
        <v>0.04295430092772792</v>
      </c>
      <c r="E836" s="282">
        <v>0.003302809505362042</v>
      </c>
      <c r="F836" s="287">
        <v>377.95308370773546</v>
      </c>
      <c r="G836" s="235">
        <v>36.089910571663104</v>
      </c>
      <c r="H836" s="235">
        <v>3419.552514508181</v>
      </c>
      <c r="I836" s="287">
        <v>138.49306070646583</v>
      </c>
      <c r="J836" s="233">
        <v>44773.8216811741</v>
      </c>
    </row>
    <row r="837">
      <c r="A837" s="184">
        <v>42921.0</v>
      </c>
      <c r="B837" s="174">
        <v>0.02263468737972236</v>
      </c>
      <c r="C837" s="174">
        <v>0.016834649203371417</v>
      </c>
      <c r="D837" s="174">
        <v>0.03826439049948787</v>
      </c>
      <c r="E837" s="282">
        <v>-4.7212804869919056E-4</v>
      </c>
      <c r="F837" s="287">
        <v>-53.83388586461706</v>
      </c>
      <c r="G837" s="235">
        <v>68.77854220702787</v>
      </c>
      <c r="H837" s="235">
        <v>3041.5994308004456</v>
      </c>
      <c r="I837" s="287">
        <v>102.40315013480273</v>
      </c>
      <c r="J837" s="233">
        <v>44395.86859746637</v>
      </c>
    </row>
    <row r="838">
      <c r="A838" s="184">
        <v>42920.0</v>
      </c>
      <c r="B838" s="174">
        <v>0.026499948768121083</v>
      </c>
      <c r="C838" s="174">
        <v>0.013646511569053933</v>
      </c>
      <c r="D838" s="174">
        <v>0.038999812180536754</v>
      </c>
      <c r="E838" s="282">
        <v>0.0030899697559248506</v>
      </c>
      <c r="F838" s="287">
        <v>302.9491425360957</v>
      </c>
      <c r="G838" s="235">
        <v>33.61995792877679</v>
      </c>
      <c r="H838" s="235">
        <v>3095.4333166650626</v>
      </c>
      <c r="I838" s="287">
        <v>33.62460792777486</v>
      </c>
      <c r="J838" s="233">
        <v>44449.702483330984</v>
      </c>
    </row>
    <row r="839">
      <c r="A839" s="184">
        <v>42919.0</v>
      </c>
      <c r="B839" s="174">
        <v>0.02271704032035104</v>
      </c>
      <c r="C839" s="174">
        <v>0.013666961515764554</v>
      </c>
      <c r="D839" s="174">
        <v>0.035235635372671936</v>
      </c>
      <c r="E839" s="282">
        <v>-0.03356158843062159</v>
      </c>
      <c r="F839" s="287">
        <v>-3004.4268240819542</v>
      </c>
      <c r="G839" s="233">
        <v>0.0</v>
      </c>
      <c r="H839" s="235">
        <v>2792.484174128967</v>
      </c>
      <c r="I839" s="287">
        <v>0.0</v>
      </c>
      <c r="J839" s="233">
        <v>44146.75334079489</v>
      </c>
    </row>
    <row r="840">
      <c r="A840" s="184">
        <v>42916.0</v>
      </c>
      <c r="B840" s="174">
        <v>0.06091514373603383</v>
      </c>
      <c r="C840" s="174">
        <v>0.013731922920139047</v>
      </c>
      <c r="D840" s="174">
        <v>0.0734932418106217</v>
      </c>
      <c r="E840" s="282">
        <v>-0.022843310260344973</v>
      </c>
      <c r="F840" s="287">
        <v>-2287.480227589429</v>
      </c>
      <c r="G840" s="235">
        <v>0.0</v>
      </c>
      <c r="H840" s="235">
        <v>5796.910998210921</v>
      </c>
      <c r="I840" s="287">
        <v>0.0</v>
      </c>
      <c r="J840" s="233">
        <v>47151.18016487684</v>
      </c>
    </row>
    <row r="841">
      <c r="A841" s="184">
        <v>42915.0</v>
      </c>
      <c r="B841" s="174">
        <v>0.08936079695595747</v>
      </c>
      <c r="C841" s="174">
        <v>0.013754464745568172</v>
      </c>
      <c r="D841" s="174">
        <v>0.10266216807276282</v>
      </c>
      <c r="E841" s="282">
        <v>0.008404883918081224</v>
      </c>
      <c r="F841" s="287">
        <v>860.408061045523</v>
      </c>
      <c r="G841" s="235">
        <v>0.0</v>
      </c>
      <c r="H841" s="235">
        <v>8084.39122580035</v>
      </c>
      <c r="I841" s="287">
        <v>0.0</v>
      </c>
      <c r="J841" s="233">
        <v>49438.66039246626</v>
      </c>
    </row>
    <row r="842">
      <c r="A842" s="184">
        <v>42914.0</v>
      </c>
      <c r="B842" s="174">
        <v>0.07857249811309334</v>
      </c>
      <c r="C842" s="174">
        <v>0.013778640478588436</v>
      </c>
      <c r="D842" s="174">
        <v>0.09189724857637796</v>
      </c>
      <c r="E842" s="282">
        <v>-0.03990060020814328</v>
      </c>
      <c r="F842" s="287">
        <v>-4050.294093164155</v>
      </c>
      <c r="G842" s="235">
        <v>0.0</v>
      </c>
      <c r="H842" s="235">
        <v>7223.983164754827</v>
      </c>
      <c r="I842" s="287">
        <v>0.0</v>
      </c>
      <c r="J842" s="233">
        <v>48578.25233142074</v>
      </c>
    </row>
    <row r="843">
      <c r="A843" s="184">
        <v>42913.0</v>
      </c>
      <c r="B843" s="174">
        <v>0.13012984734126576</v>
      </c>
      <c r="C843" s="174">
        <v>0.013992822197083123</v>
      </c>
      <c r="D843" s="174">
        <v>0.14366799966366586</v>
      </c>
      <c r="E843" s="282">
        <v>-0.008391569132352412</v>
      </c>
      <c r="F843" s="287">
        <v>-885.6877214853157</v>
      </c>
      <c r="G843" s="235">
        <v>0.0</v>
      </c>
      <c r="H843" s="235">
        <v>11274.277257918982</v>
      </c>
      <c r="I843" s="287">
        <v>0.0</v>
      </c>
      <c r="J843" s="233">
        <v>52628.5464245849</v>
      </c>
    </row>
    <row r="844">
      <c r="A844" s="184">
        <v>42912.0</v>
      </c>
      <c r="B844" s="174">
        <v>0.1432544214736341</v>
      </c>
      <c r="C844" s="174">
        <v>0.012453414605640922</v>
      </c>
      <c r="D844" s="174">
        <v>0.15525229185831002</v>
      </c>
      <c r="E844" s="282">
        <v>-0.0020470218438193304</v>
      </c>
      <c r="F844" s="287">
        <v>-218.11696329420192</v>
      </c>
      <c r="G844" s="235">
        <v>0.0</v>
      </c>
      <c r="H844" s="235">
        <v>12159.964979404298</v>
      </c>
      <c r="I844" s="287">
        <v>0.0</v>
      </c>
      <c r="J844" s="233">
        <v>53514.234146070216</v>
      </c>
    </row>
    <row r="845">
      <c r="A845" s="184">
        <v>42909.0</v>
      </c>
      <c r="B845" s="174">
        <v>0.14681005647337952</v>
      </c>
      <c r="C845" s="174">
        <v>0.012519146517788146</v>
      </c>
      <c r="D845" s="174">
        <v>0.15887125430575177</v>
      </c>
      <c r="E845" s="282">
        <v>4.138137588777599E-4</v>
      </c>
      <c r="F845" s="287">
        <v>44.18348759296896</v>
      </c>
      <c r="G845" s="235">
        <v>0.0</v>
      </c>
      <c r="H845" s="235">
        <v>12378.0819426985</v>
      </c>
      <c r="I845" s="287">
        <v>0.0</v>
      </c>
      <c r="J845" s="233">
        <v>53732.35110936442</v>
      </c>
    </row>
    <row r="846">
      <c r="A846" s="184">
        <v>42908.0</v>
      </c>
      <c r="B846" s="174">
        <v>0.1465342994289756</v>
      </c>
      <c r="C846" s="174">
        <v>0.01254408610732076</v>
      </c>
      <c r="D846" s="174">
        <v>0.1586195245640704</v>
      </c>
      <c r="E846" s="282">
        <v>-0.0043468432517617854</v>
      </c>
      <c r="F846" s="287">
        <v>-463.9266197261786</v>
      </c>
      <c r="G846" s="235">
        <v>0.0</v>
      </c>
      <c r="H846" s="235">
        <v>12333.898455105531</v>
      </c>
      <c r="I846" s="287">
        <v>0.0</v>
      </c>
      <c r="J846" s="233">
        <v>53688.16762177145</v>
      </c>
    </row>
    <row r="847">
      <c r="A847" s="184">
        <v>42907.0</v>
      </c>
      <c r="B847" s="174">
        <v>0.1528047449948681</v>
      </c>
      <c r="C847" s="174">
        <v>0.012569103353986732</v>
      </c>
      <c r="D847" s="174">
        <v>0.16491407224913138</v>
      </c>
      <c r="E847" s="282">
        <v>0.008449963301769453</v>
      </c>
      <c r="F847" s="287">
        <v>905.7614956558718</v>
      </c>
      <c r="G847" s="235">
        <v>0.0</v>
      </c>
      <c r="H847" s="235">
        <v>12797.82507483171</v>
      </c>
      <c r="I847" s="287">
        <v>0.0</v>
      </c>
      <c r="J847" s="233">
        <v>54152.09424149763</v>
      </c>
    </row>
    <row r="848">
      <c r="A848" s="184">
        <v>42906.0</v>
      </c>
      <c r="B848" s="174">
        <v>0.14141840637633402</v>
      </c>
      <c r="C848" s="174">
        <v>0.012594520303558272</v>
      </c>
      <c r="D848" s="174">
        <v>0.15355222083159314</v>
      </c>
      <c r="E848" s="282">
        <v>0.005612031438921283</v>
      </c>
      <c r="F848" s="287">
        <v>596.4770825050855</v>
      </c>
      <c r="G848" s="235">
        <v>0.0</v>
      </c>
      <c r="H848" s="235">
        <v>11892.063579175838</v>
      </c>
      <c r="I848" s="287">
        <v>0.0</v>
      </c>
      <c r="J848" s="233">
        <v>53246.33274584176</v>
      </c>
    </row>
    <row r="849">
      <c r="A849" s="184">
        <v>42905.0</v>
      </c>
      <c r="B849" s="174">
        <v>0.13398149623868674</v>
      </c>
      <c r="C849" s="174">
        <v>0.012619470468572418</v>
      </c>
      <c r="D849" s="174">
        <v>0.1461393481853003</v>
      </c>
      <c r="E849" s="282">
        <v>0.01339399553619073</v>
      </c>
      <c r="F849" s="287">
        <v>1415.5971436611526</v>
      </c>
      <c r="G849" s="235">
        <v>0.0</v>
      </c>
      <c r="H849" s="235">
        <v>11295.586496670752</v>
      </c>
      <c r="I849" s="287">
        <v>0.0</v>
      </c>
      <c r="J849" s="233">
        <v>52649.855663336675</v>
      </c>
    </row>
    <row r="850">
      <c r="A850" s="184">
        <v>42902.0</v>
      </c>
      <c r="B850" s="174">
        <v>0.11627997795692359</v>
      </c>
      <c r="C850" s="174">
        <v>0.012686361676676151</v>
      </c>
      <c r="D850" s="174">
        <v>0.12850227424030078</v>
      </c>
      <c r="E850" s="282">
        <v>-4.2703720823063565E-4</v>
      </c>
      <c r="F850" s="287">
        <v>-44.528595730194866</v>
      </c>
      <c r="G850" s="235">
        <v>0.0</v>
      </c>
      <c r="H850" s="235">
        <v>9879.9893530096</v>
      </c>
      <c r="I850" s="287">
        <v>0.0</v>
      </c>
      <c r="J850" s="233">
        <v>51234.258519675524</v>
      </c>
    </row>
    <row r="851">
      <c r="A851" s="184">
        <v>42901.0</v>
      </c>
      <c r="B851" s="279">
        <v>0.11708036282746666</v>
      </c>
      <c r="C851" s="279">
        <v>0.012710378859207252</v>
      </c>
      <c r="D851" s="279">
        <v>0.1293257977480882</v>
      </c>
      <c r="E851" s="282">
        <v>-4.268549252950356E-4</v>
      </c>
      <c r="F851" s="287">
        <v>-44.528595730196685</v>
      </c>
      <c r="G851" s="235">
        <v>0.0</v>
      </c>
      <c r="H851" s="235">
        <v>9924.517948739795</v>
      </c>
      <c r="I851" s="287">
        <v>0.0</v>
      </c>
      <c r="J851" s="233">
        <v>51278.78711540572</v>
      </c>
    </row>
    <row r="852">
      <c r="A852" s="184">
        <v>42900.0</v>
      </c>
      <c r="B852" s="279">
        <v>0.11788408735869939</v>
      </c>
      <c r="C852" s="279">
        <v>0.012734519927191846</v>
      </c>
      <c r="D852" s="279">
        <v>0.13015278027030563</v>
      </c>
      <c r="E852" s="282">
        <v>-5.346993662642276E-4</v>
      </c>
      <c r="F852" s="287">
        <v>-44.528595730196685</v>
      </c>
      <c r="G852" s="235">
        <v>0.0</v>
      </c>
      <c r="H852" s="235">
        <v>9969.046544469991</v>
      </c>
      <c r="I852" s="287">
        <v>0.0</v>
      </c>
      <c r="J852" s="233">
        <v>51323.31571113592</v>
      </c>
    </row>
    <row r="853">
      <c r="A853" s="184">
        <v>42899.0</v>
      </c>
      <c r="B853" s="279">
        <v>0.1186911776702479</v>
      </c>
      <c r="C853" s="279">
        <v>0.012758785864527881</v>
      </c>
      <c r="D853" s="279">
        <v>0.1309832488744863</v>
      </c>
      <c r="E853" s="282">
        <v>-5.344136156426205E-4</v>
      </c>
      <c r="F853" s="287">
        <v>-44.528595730196685</v>
      </c>
      <c r="G853" s="235">
        <v>0.0</v>
      </c>
      <c r="H853" s="235">
        <v>10013.575140200188</v>
      </c>
      <c r="I853" s="287">
        <v>0.0</v>
      </c>
      <c r="J853" s="233">
        <v>51367.844306866114</v>
      </c>
    </row>
    <row r="854">
      <c r="A854" s="184">
        <v>42898.0</v>
      </c>
      <c r="B854" s="279">
        <v>0.11950166016420488</v>
      </c>
      <c r="C854" s="279">
        <v>0.012783177666109945</v>
      </c>
      <c r="D854" s="279">
        <v>0.1318172309212244</v>
      </c>
      <c r="E854" s="282">
        <v>-5.341281702759267E-4</v>
      </c>
      <c r="F854" s="287">
        <v>-44.528595730196685</v>
      </c>
      <c r="G854" s="235">
        <v>0.0</v>
      </c>
      <c r="H854" s="235">
        <v>10058.103735930385</v>
      </c>
      <c r="I854" s="287">
        <v>0.0</v>
      </c>
      <c r="J854" s="233">
        <v>51412.37290259631</v>
      </c>
    </row>
    <row r="855">
      <c r="A855" s="184">
        <v>42895.0</v>
      </c>
      <c r="B855" s="174">
        <v>0.12072203302078215</v>
      </c>
      <c r="C855" s="174">
        <v>0.012850965582372961</v>
      </c>
      <c r="D855" s="174">
        <v>0.13310291202126145</v>
      </c>
      <c r="E855" s="282">
        <v>7.945584121212911E-4</v>
      </c>
      <c r="F855" s="287">
        <v>66.27523138945435</v>
      </c>
      <c r="G855" s="235">
        <v>0.0</v>
      </c>
      <c r="H855" s="235">
        <v>10102.632331660581</v>
      </c>
      <c r="I855" s="287">
        <v>0.0</v>
      </c>
      <c r="J855" s="233">
        <v>51456.90149832651</v>
      </c>
    </row>
    <row r="856">
      <c r="A856" s="184">
        <v>42894.0</v>
      </c>
      <c r="B856" s="279">
        <v>0.12008016794470106</v>
      </c>
      <c r="C856" s="279">
        <v>0.012875768761817535</v>
      </c>
      <c r="D856" s="279">
        <v>0.13248494282767745</v>
      </c>
      <c r="E856" s="282">
        <v>7.951902372135059E-4</v>
      </c>
      <c r="F856" s="287">
        <v>66.27523138945435</v>
      </c>
      <c r="G856" s="235">
        <v>0.0</v>
      </c>
      <c r="H856" s="235">
        <v>10036.357100271127</v>
      </c>
      <c r="I856" s="287">
        <v>0.0</v>
      </c>
      <c r="J856" s="233">
        <v>51390.626266937055</v>
      </c>
    </row>
    <row r="857">
      <c r="A857" s="184">
        <v>42893.0</v>
      </c>
      <c r="B857" s="279">
        <v>0.11941349833397791</v>
      </c>
      <c r="C857" s="279">
        <v>0.012922583376501292</v>
      </c>
      <c r="D857" s="279">
        <v>0.13186417847539275</v>
      </c>
      <c r="E857" s="282">
        <v>9.284787533354375E-4</v>
      </c>
      <c r="F857" s="287">
        <v>77.32110328769522</v>
      </c>
      <c r="G857" s="235">
        <v>0.0</v>
      </c>
      <c r="H857" s="235">
        <v>9970.081868881673</v>
      </c>
      <c r="I857" s="287">
        <v>0.0</v>
      </c>
      <c r="J857" s="233">
        <v>51324.3510355476</v>
      </c>
    </row>
    <row r="858">
      <c r="A858" s="184">
        <v>42892.0</v>
      </c>
      <c r="B858" s="279">
        <v>0.1188222546149829</v>
      </c>
      <c r="C858" s="279">
        <v>0.012744793149880342</v>
      </c>
      <c r="D858" s="279">
        <v>0.1310942331129878</v>
      </c>
      <c r="E858" s="282">
        <v>9.291707578837816E-4</v>
      </c>
      <c r="F858" s="287">
        <v>77.32110328769522</v>
      </c>
      <c r="G858" s="235">
        <v>0.0</v>
      </c>
      <c r="H858" s="235">
        <v>9892.760765593977</v>
      </c>
      <c r="I858" s="287">
        <v>0.0</v>
      </c>
      <c r="J858" s="233">
        <v>51247.02993225991</v>
      </c>
    </row>
    <row r="859">
      <c r="A859" s="184">
        <v>42891.0</v>
      </c>
      <c r="B859" s="174">
        <v>0.11802514926534818</v>
      </c>
      <c r="C859" s="174">
        <v>0.012769408806662165</v>
      </c>
      <c r="D859" s="174">
        <v>0.13032083021243862</v>
      </c>
      <c r="E859" s="282">
        <v>0.01062897050439391</v>
      </c>
      <c r="F859" s="287">
        <v>883.6697518593883</v>
      </c>
      <c r="G859" s="235">
        <v>0.0</v>
      </c>
      <c r="H859" s="235">
        <v>9815.439662306282</v>
      </c>
      <c r="I859" s="287">
        <v>0.0</v>
      </c>
      <c r="J859" s="233">
        <v>51169.708828972216</v>
      </c>
    </row>
    <row r="860">
      <c r="A860" s="184">
        <v>42888.0</v>
      </c>
      <c r="B860" s="279">
        <v>0.10686195173107105</v>
      </c>
      <c r="C860" s="279">
        <v>0.012837813086260013</v>
      </c>
      <c r="D860" s="279">
        <v>0.11922349925116305</v>
      </c>
      <c r="E860" s="282">
        <v>0.010474580246267495</v>
      </c>
      <c r="F860" s="287">
        <v>861.5780080628992</v>
      </c>
      <c r="G860" s="235">
        <v>0.0</v>
      </c>
      <c r="H860" s="235">
        <v>8931.769910446894</v>
      </c>
      <c r="I860" s="287">
        <v>0.0</v>
      </c>
      <c r="J860" s="233">
        <v>50286.03907711283</v>
      </c>
    </row>
    <row r="861">
      <c r="A861" s="184">
        <v>42887.0</v>
      </c>
      <c r="B861" s="174">
        <v>0.09554213434329632</v>
      </c>
      <c r="C861" s="174">
        <v>0.012862144991786223</v>
      </c>
      <c r="D861" s="174">
        <v>0.10792711108800747</v>
      </c>
      <c r="E861" s="282">
        <v>0.0017642430800943044</v>
      </c>
      <c r="F861" s="287">
        <v>143.5963346771514</v>
      </c>
      <c r="G861" s="235">
        <v>0.0</v>
      </c>
      <c r="H861" s="235">
        <v>8070.191902383995</v>
      </c>
      <c r="I861" s="287">
        <v>0.0</v>
      </c>
      <c r="J861" s="233">
        <v>49424.46106904993</v>
      </c>
    </row>
    <row r="862">
      <c r="A862" s="184">
        <v>42886.0</v>
      </c>
      <c r="B862" s="279">
        <v>0.0937953321839529</v>
      </c>
      <c r="C862" s="279">
        <v>0.012885993582725241</v>
      </c>
      <c r="D862" s="279">
        <v>0.10620327276901591</v>
      </c>
      <c r="E862" s="282">
        <v>0.001767361134746308</v>
      </c>
      <c r="F862" s="287">
        <v>143.5963346771514</v>
      </c>
      <c r="G862" s="235">
        <v>0.0</v>
      </c>
      <c r="H862" s="235">
        <v>7926.595567706843</v>
      </c>
      <c r="I862" s="287">
        <v>0.0</v>
      </c>
      <c r="J862" s="233">
        <v>49280.86473437278</v>
      </c>
    </row>
    <row r="863">
      <c r="A863" s="184">
        <v>42885.0</v>
      </c>
      <c r="B863" s="174">
        <v>0.09156243009438816</v>
      </c>
      <c r="C863" s="174">
        <v>0.012909836432824527</v>
      </c>
      <c r="D863" s="174">
        <v>0.10447226652721268</v>
      </c>
      <c r="E863" s="282">
        <v>0.002180023937959205</v>
      </c>
      <c r="F863" s="287">
        <v>176.73395037187584</v>
      </c>
      <c r="G863" s="235">
        <v>0.0</v>
      </c>
      <c r="H863" s="235">
        <v>7782.999233029692</v>
      </c>
      <c r="I863" s="287">
        <v>0.0</v>
      </c>
      <c r="J863" s="233">
        <v>49137.268399695626</v>
      </c>
    </row>
    <row r="864">
      <c r="A864" s="184">
        <v>42884.0</v>
      </c>
      <c r="B864" s="174">
        <v>0.08935478414292254</v>
      </c>
      <c r="C864" s="174">
        <v>0.012933672793006171</v>
      </c>
      <c r="D864" s="174">
        <v>0.10228845693592871</v>
      </c>
      <c r="E864" s="282">
        <v>0.004096475297884201</v>
      </c>
      <c r="F864" s="287">
        <v>331.37615694727083</v>
      </c>
      <c r="G864" s="235">
        <v>0.0</v>
      </c>
      <c r="H864" s="235">
        <v>7606.265282657816</v>
      </c>
      <c r="I864" s="287">
        <v>0.0</v>
      </c>
      <c r="J864" s="233">
        <v>48960.53444932375</v>
      </c>
    </row>
    <row r="865">
      <c r="A865" s="184">
        <v>42881.0</v>
      </c>
      <c r="B865" s="174">
        <v>0.08534904021879144</v>
      </c>
      <c r="C865" s="174">
        <v>0.013002314903797586</v>
      </c>
      <c r="D865" s="174">
        <v>0.09835135512258902</v>
      </c>
      <c r="E865" s="282">
        <v>0.009597759345804882</v>
      </c>
      <c r="F865" s="287">
        <v>773.2110328769613</v>
      </c>
      <c r="G865" s="235">
        <v>0.0</v>
      </c>
      <c r="H865" s="235">
        <v>7274.889125710545</v>
      </c>
      <c r="I865" s="287">
        <v>0.0</v>
      </c>
      <c r="J865" s="233">
        <v>48629.15829237648</v>
      </c>
    </row>
    <row r="866">
      <c r="A866" s="184">
        <v>42880.0</v>
      </c>
      <c r="B866" s="174">
        <v>0.0750330370414024</v>
      </c>
      <c r="C866" s="174">
        <v>0.013026144519770055</v>
      </c>
      <c r="D866" s="174">
        <v>0.08805918156117246</v>
      </c>
      <c r="E866" s="282">
        <v>0.002491912032347219</v>
      </c>
      <c r="F866" s="287">
        <v>198.82569416836213</v>
      </c>
      <c r="G866" s="235">
        <v>0.0</v>
      </c>
      <c r="H866" s="235">
        <v>6501.678092833584</v>
      </c>
      <c r="I866" s="287">
        <v>0.0</v>
      </c>
      <c r="J866" s="233">
        <v>47855.94725949952</v>
      </c>
    </row>
    <row r="867">
      <c r="A867" s="184">
        <v>42879.0</v>
      </c>
      <c r="B867" s="279">
        <v>0.07247000064198318</v>
      </c>
      <c r="C867" s="279">
        <v>0.013049530435918309</v>
      </c>
      <c r="D867" s="279">
        <v>0.08551953107790149</v>
      </c>
      <c r="E867" s="282">
        <v>0.0024981371704206556</v>
      </c>
      <c r="F867" s="287">
        <v>198.82569416836304</v>
      </c>
      <c r="G867" s="235">
        <v>0.0</v>
      </c>
      <c r="H867" s="235">
        <v>6302.852398665222</v>
      </c>
      <c r="I867" s="287">
        <v>0.0</v>
      </c>
      <c r="J867" s="233">
        <v>47657.12156533115</v>
      </c>
    </row>
    <row r="868">
      <c r="A868" s="184">
        <v>42878.0</v>
      </c>
      <c r="B868" s="174">
        <v>0.06989701480404509</v>
      </c>
      <c r="C868" s="174">
        <v>0.013072863937444468</v>
      </c>
      <c r="D868" s="174">
        <v>0.08296987874148956</v>
      </c>
      <c r="E868" s="282">
        <v>-0.0032000583469080817</v>
      </c>
      <c r="F868" s="287">
        <v>-254.0550536595738</v>
      </c>
      <c r="G868" s="235">
        <v>0.0</v>
      </c>
      <c r="H868" s="235">
        <v>6104.026704496859</v>
      </c>
      <c r="I868" s="287">
        <v>0.0</v>
      </c>
      <c r="J868" s="233">
        <v>47458.29587116279</v>
      </c>
    </row>
    <row r="869">
      <c r="A869" s="184">
        <v>42877.0</v>
      </c>
      <c r="B869" s="279">
        <v>0.07348091547369547</v>
      </c>
      <c r="C869" s="279">
        <v>0.013096143712921407</v>
      </c>
      <c r="D869" s="279">
        <v>0.08657705918661687</v>
      </c>
      <c r="E869" s="282">
        <v>-0.0031898506387461716</v>
      </c>
      <c r="F869" s="287">
        <v>-254.0550536595738</v>
      </c>
      <c r="G869" s="235">
        <v>0.0</v>
      </c>
      <c r="H869" s="235">
        <v>6358.081758156432</v>
      </c>
      <c r="I869" s="287">
        <v>0.0</v>
      </c>
      <c r="J869" s="233">
        <v>47712.35092482236</v>
      </c>
    </row>
    <row r="870">
      <c r="A870" s="184">
        <v>42874.0</v>
      </c>
      <c r="B870" s="174">
        <v>0.07734862773531324</v>
      </c>
      <c r="C870" s="174">
        <v>0.013165638096055752</v>
      </c>
      <c r="D870" s="174">
        <v>0.090514265831369</v>
      </c>
      <c r="E870" s="282">
        <v>-0.0036964956375942016</v>
      </c>
      <c r="F870" s="287">
        <v>-295.34581261859785</v>
      </c>
      <c r="G870" s="235">
        <v>0.0</v>
      </c>
      <c r="H870" s="235">
        <v>6612.136811816006</v>
      </c>
      <c r="I870" s="287">
        <v>0.0</v>
      </c>
      <c r="J870" s="233">
        <v>47966.40597848194</v>
      </c>
    </row>
    <row r="871">
      <c r="A871" s="184">
        <v>42873.0</v>
      </c>
      <c r="B871" s="279">
        <v>0.08153982952642871</v>
      </c>
      <c r="C871" s="279">
        <v>0.013189607285589683</v>
      </c>
      <c r="D871" s="279">
        <v>0.0947294368120184</v>
      </c>
      <c r="E871" s="282">
        <v>-0.0036828818807880933</v>
      </c>
      <c r="F871" s="287">
        <v>-295.34581261859785</v>
      </c>
      <c r="G871" s="235">
        <v>0.0</v>
      </c>
      <c r="H871" s="235">
        <v>6907.482624434604</v>
      </c>
      <c r="I871" s="287">
        <v>0.0</v>
      </c>
      <c r="J871" s="233">
        <v>48261.75179110054</v>
      </c>
    </row>
    <row r="872">
      <c r="A872" s="184">
        <v>42872.0</v>
      </c>
      <c r="B872" s="279">
        <v>0.08574768356430194</v>
      </c>
      <c r="C872" s="279">
        <v>0.013213874030796826</v>
      </c>
      <c r="D872" s="279">
        <v>0.09896155759509877</v>
      </c>
      <c r="E872" s="282">
        <v>-0.003669368031750018</v>
      </c>
      <c r="F872" s="287">
        <v>-295.34581261859785</v>
      </c>
      <c r="G872" s="235">
        <v>0.0</v>
      </c>
      <c r="H872" s="235">
        <v>7202.828437053202</v>
      </c>
      <c r="I872" s="287">
        <v>0.0</v>
      </c>
      <c r="J872" s="233">
        <v>48557.09760371914</v>
      </c>
    </row>
    <row r="873">
      <c r="A873" s="184">
        <v>42871.0</v>
      </c>
      <c r="B873" s="174">
        <v>0.08997248628994611</v>
      </c>
      <c r="C873" s="174">
        <v>0.013238441614768129</v>
      </c>
      <c r="D873" s="174">
        <v>0.10321092790471424</v>
      </c>
      <c r="E873" s="282">
        <v>2.9910071216636603E-4</v>
      </c>
      <c r="F873" s="287">
        <v>24.162822393368515</v>
      </c>
      <c r="G873" s="235">
        <v>0.0</v>
      </c>
      <c r="H873" s="235">
        <v>7498.1742496718</v>
      </c>
      <c r="I873" s="287">
        <v>0.0</v>
      </c>
      <c r="J873" s="233">
        <v>48852.443416337745</v>
      </c>
    </row>
    <row r="874">
      <c r="A874" s="184">
        <v>42870.0</v>
      </c>
      <c r="B874" s="279">
        <v>0.08980830093115326</v>
      </c>
      <c r="C874" s="279">
        <v>0.01326331338218048</v>
      </c>
      <c r="D874" s="279">
        <v>0.10307161431333374</v>
      </c>
      <c r="E874" s="282">
        <v>3.02998582755529E-4</v>
      </c>
      <c r="F874" s="287">
        <v>24.162822393367605</v>
      </c>
      <c r="G874" s="235">
        <v>0.0</v>
      </c>
      <c r="H874" s="235">
        <v>7474.011427278431</v>
      </c>
      <c r="I874" s="287">
        <v>0.0</v>
      </c>
      <c r="J874" s="233">
        <v>48798.28059394438</v>
      </c>
    </row>
    <row r="875">
      <c r="A875" s="184">
        <v>42867.0</v>
      </c>
      <c r="B875" s="279">
        <v>0.08996113499315421</v>
      </c>
      <c r="C875" s="279">
        <v>0.013335363688756019</v>
      </c>
      <c r="D875" s="279">
        <v>0.10329649868191022</v>
      </c>
      <c r="E875" s="282">
        <v>3.030904187228488E-4</v>
      </c>
      <c r="F875" s="287">
        <v>24.162822393367605</v>
      </c>
      <c r="G875" s="235">
        <v>0.0</v>
      </c>
      <c r="H875" s="235">
        <v>7449.848604885064</v>
      </c>
      <c r="I875" s="287">
        <v>0.0</v>
      </c>
      <c r="J875" s="233">
        <v>48774.11777155101</v>
      </c>
    </row>
    <row r="876">
      <c r="A876" s="184">
        <v>42866.0</v>
      </c>
      <c r="B876" s="279">
        <v>0.08979533762460223</v>
      </c>
      <c r="C876" s="279">
        <v>0.013360543858309433</v>
      </c>
      <c r="D876" s="279">
        <v>0.10315588148291167</v>
      </c>
      <c r="E876" s="282">
        <v>3.031823103762501E-4</v>
      </c>
      <c r="F876" s="287">
        <v>24.162822393367605</v>
      </c>
      <c r="G876" s="235">
        <v>0.0</v>
      </c>
      <c r="H876" s="235">
        <v>7425.685782491696</v>
      </c>
      <c r="I876" s="287">
        <v>0.0</v>
      </c>
      <c r="J876" s="233">
        <v>48249.95494915765</v>
      </c>
    </row>
    <row r="877">
      <c r="A877" s="184">
        <v>42865.0</v>
      </c>
      <c r="B877" s="279">
        <v>0.0896263810254056</v>
      </c>
      <c r="C877" s="279">
        <v>0.01338544116438688</v>
      </c>
      <c r="D877" s="279">
        <v>0.10301182218979248</v>
      </c>
      <c r="E877" s="282">
        <v>3.0327425776639734E-4</v>
      </c>
      <c r="F877" s="287">
        <v>24.162822393367605</v>
      </c>
      <c r="G877" s="235">
        <v>0.0</v>
      </c>
      <c r="H877" s="235">
        <v>7401.522960098328</v>
      </c>
      <c r="I877" s="287">
        <v>0.0</v>
      </c>
      <c r="J877" s="233">
        <v>48225.79212676428</v>
      </c>
    </row>
    <row r="878">
      <c r="A878" s="184">
        <v>42864.0</v>
      </c>
      <c r="B878" s="279">
        <v>0.08945668741165835</v>
      </c>
      <c r="C878" s="279">
        <v>0.013410415524402362</v>
      </c>
      <c r="D878" s="279">
        <v>0.10286710293606072</v>
      </c>
      <c r="E878" s="282">
        <v>-0.007790077864362426</v>
      </c>
      <c r="F878" s="287">
        <v>-620.4719907921135</v>
      </c>
      <c r="G878" s="235">
        <v>0.0</v>
      </c>
      <c r="H878" s="235">
        <v>7377.360137704961</v>
      </c>
      <c r="I878" s="287">
        <v>0.0</v>
      </c>
      <c r="J878" s="233">
        <v>47701.629304370916</v>
      </c>
    </row>
    <row r="879">
      <c r="A879" s="184">
        <v>42863.0</v>
      </c>
      <c r="B879" s="279">
        <v>0.09828890862590442</v>
      </c>
      <c r="C879" s="279">
        <v>0.013435101152131281</v>
      </c>
      <c r="D879" s="279">
        <v>0.1117240097780357</v>
      </c>
      <c r="E879" s="282">
        <v>-0.007729861640303678</v>
      </c>
      <c r="F879" s="287">
        <v>-620.4719907921108</v>
      </c>
      <c r="G879" s="235">
        <v>0.0</v>
      </c>
      <c r="H879" s="235">
        <v>7997.832128497074</v>
      </c>
      <c r="I879" s="287">
        <v>0.0</v>
      </c>
      <c r="J879" s="233">
        <v>48322.101295163025</v>
      </c>
    </row>
    <row r="880">
      <c r="A880" s="184">
        <v>42860.0</v>
      </c>
      <c r="B880" s="279">
        <v>0.10754211410719695</v>
      </c>
      <c r="C880" s="279">
        <v>0.013508666841371234</v>
      </c>
      <c r="D880" s="279">
        <v>0.12105078094856819</v>
      </c>
      <c r="E880" s="282">
        <v>-0.007670569201672365</v>
      </c>
      <c r="F880" s="287">
        <v>-620.4719907921099</v>
      </c>
      <c r="G880" s="235">
        <v>0.0</v>
      </c>
      <c r="H880" s="235">
        <v>8618.304119289185</v>
      </c>
      <c r="I880" s="287">
        <v>0.0</v>
      </c>
      <c r="J880" s="233">
        <v>48942.573285955135</v>
      </c>
    </row>
    <row r="881">
      <c r="A881" s="184">
        <v>42859.0</v>
      </c>
      <c r="B881" s="279">
        <v>0.11648061848862</v>
      </c>
      <c r="C881" s="279">
        <v>0.013534635930111156</v>
      </c>
      <c r="D881" s="279">
        <v>0.13001525441873116</v>
      </c>
      <c r="E881" s="282">
        <v>-0.0076121794524071276</v>
      </c>
      <c r="F881" s="287">
        <v>-620.4719907921099</v>
      </c>
      <c r="G881" s="235">
        <v>0.0</v>
      </c>
      <c r="H881" s="235">
        <v>9238.776110081295</v>
      </c>
      <c r="I881" s="287">
        <v>0.0</v>
      </c>
      <c r="J881" s="233">
        <v>49563.045276747245</v>
      </c>
    </row>
    <row r="882">
      <c r="A882" s="184">
        <v>42858.0</v>
      </c>
      <c r="B882" s="279">
        <v>0.12545785586515595</v>
      </c>
      <c r="C882" s="279">
        <v>0.01356116985928062</v>
      </c>
      <c r="D882" s="279">
        <v>0.13901902572443658</v>
      </c>
      <c r="E882" s="282">
        <v>-0.007554671933941898</v>
      </c>
      <c r="F882" s="287">
        <v>-620.4719907921099</v>
      </c>
      <c r="G882" s="235">
        <v>0.0</v>
      </c>
      <c r="H882" s="235">
        <v>9859.248100873405</v>
      </c>
      <c r="I882" s="287">
        <v>0.0</v>
      </c>
      <c r="J882" s="233">
        <v>50183.517267539355</v>
      </c>
    </row>
    <row r="883">
      <c r="A883" s="184">
        <v>42857.0</v>
      </c>
      <c r="B883" s="279">
        <v>0.13447499016780523</v>
      </c>
      <c r="C883" s="279">
        <v>0.013588275775293451</v>
      </c>
      <c r="D883" s="279">
        <v>0.14806326594309868</v>
      </c>
      <c r="E883" s="281">
        <v>0.02090446643166516</v>
      </c>
      <c r="F883" s="287">
        <v>1131.2042301115725</v>
      </c>
      <c r="G883" s="235">
        <v>0.0</v>
      </c>
      <c r="H883" s="235">
        <v>10479.720091665515</v>
      </c>
      <c r="I883" s="287">
        <v>0.0</v>
      </c>
      <c r="J883" s="233">
        <v>50803.989258331465</v>
      </c>
    </row>
    <row r="884">
      <c r="A884" s="184">
        <v>42853.0</v>
      </c>
      <c r="B884" s="279">
        <v>0.11938177491400984</v>
      </c>
      <c r="C884" s="279">
        <v>0.013690229897788423</v>
      </c>
      <c r="D884" s="279">
        <v>0.13307200481179826</v>
      </c>
      <c r="E884" s="281">
        <v>-0.02218239431786933</v>
      </c>
      <c r="F884" s="287">
        <v>-1175.2639747656194</v>
      </c>
      <c r="G884" s="235">
        <v>0.0</v>
      </c>
      <c r="H884" s="235">
        <v>9348.515861553942</v>
      </c>
      <c r="I884" s="287">
        <v>0.0</v>
      </c>
      <c r="J884" s="233">
        <v>49672.78502821989</v>
      </c>
    </row>
    <row r="885">
      <c r="A885" s="184">
        <v>42852.0</v>
      </c>
      <c r="B885" s="279">
        <v>0.13638187289819156</v>
      </c>
      <c r="C885" s="279">
        <v>0.013717460570448993</v>
      </c>
      <c r="D885" s="279">
        <v>0.15009933346864054</v>
      </c>
      <c r="E885" s="281">
        <v>0.0071200114309996135</v>
      </c>
      <c r="F885" s="287">
        <v>385.5991699043825</v>
      </c>
      <c r="G885" s="235">
        <v>0.0</v>
      </c>
      <c r="H885" s="235">
        <v>10523.779836319562</v>
      </c>
      <c r="I885" s="287">
        <v>0.0</v>
      </c>
      <c r="J885" s="233">
        <v>53348.04900298551</v>
      </c>
    </row>
    <row r="886">
      <c r="A886" s="184">
        <v>42851.0</v>
      </c>
      <c r="B886" s="279">
        <v>0.13116978484077857</v>
      </c>
      <c r="C886" s="279">
        <v>0.013747609972827226</v>
      </c>
      <c r="D886" s="279">
        <v>0.1449173948136058</v>
      </c>
      <c r="E886" s="281">
        <v>0.007171069528011514</v>
      </c>
      <c r="F886" s="287">
        <v>385.5991699043807</v>
      </c>
      <c r="G886" s="235">
        <v>0.0</v>
      </c>
      <c r="H886" s="235">
        <v>10138.180666415179</v>
      </c>
      <c r="I886" s="287">
        <v>0.0</v>
      </c>
      <c r="J886" s="233">
        <v>52962.449833081126</v>
      </c>
    </row>
    <row r="887">
      <c r="A887" s="184">
        <v>42850.0</v>
      </c>
      <c r="B887" s="279">
        <v>0.12593210136816388</v>
      </c>
      <c r="C887" s="279">
        <v>0.013777604045300899</v>
      </c>
      <c r="D887" s="279">
        <v>0.13970970541346478</v>
      </c>
      <c r="E887" s="281">
        <v>0.007222865196527266</v>
      </c>
      <c r="F887" s="287">
        <v>385.5991699043807</v>
      </c>
      <c r="G887" s="235">
        <v>0.0</v>
      </c>
      <c r="H887" s="235">
        <v>9752.581496510798</v>
      </c>
      <c r="I887" s="287">
        <v>0.0</v>
      </c>
      <c r="J887" s="233">
        <v>52576.850663176745</v>
      </c>
    </row>
    <row r="888">
      <c r="A888" s="184">
        <v>42849.0</v>
      </c>
      <c r="B888" s="279">
        <v>0.1206689784525326</v>
      </c>
      <c r="C888" s="279">
        <v>0.013807439257036813</v>
      </c>
      <c r="D888" s="279">
        <v>0.13447641770956942</v>
      </c>
      <c r="E888" s="281">
        <v>0.007275414534962153</v>
      </c>
      <c r="F888" s="287">
        <v>385.5991699043807</v>
      </c>
      <c r="G888" s="235">
        <v>0.0</v>
      </c>
      <c r="H888" s="235">
        <v>9366.982326606418</v>
      </c>
      <c r="I888" s="287">
        <v>0.0</v>
      </c>
      <c r="J888" s="233">
        <v>52191.251493272364</v>
      </c>
    </row>
    <row r="889">
      <c r="A889" s="184">
        <v>42846.0</v>
      </c>
      <c r="B889" s="279">
        <v>0.11580555204186752</v>
      </c>
      <c r="C889" s="279">
        <v>0.013888077476397137</v>
      </c>
      <c r="D889" s="279">
        <v>0.12969362951826466</v>
      </c>
      <c r="E889" s="281">
        <v>0.007328734113655515</v>
      </c>
      <c r="F889" s="287">
        <v>385.5991699043807</v>
      </c>
      <c r="G889" s="235">
        <v>0.0</v>
      </c>
      <c r="H889" s="235">
        <v>8981.383156702037</v>
      </c>
      <c r="I889" s="287">
        <v>0.0</v>
      </c>
      <c r="J889" s="233">
        <v>51805.65232336798</v>
      </c>
    </row>
    <row r="890">
      <c r="A890" s="184">
        <v>42845.0</v>
      </c>
      <c r="B890" s="279">
        <v>0.11047321712788914</v>
      </c>
      <c r="C890" s="279">
        <v>0.01391778719698367</v>
      </c>
      <c r="D890" s="279">
        <v>0.12439100432487281</v>
      </c>
      <c r="E890" s="281">
        <v>0.007382840992291416</v>
      </c>
      <c r="F890" s="287">
        <v>385.5991699043807</v>
      </c>
      <c r="G890" s="235">
        <v>0.0</v>
      </c>
      <c r="H890" s="235">
        <v>8595.783986797656</v>
      </c>
      <c r="I890" s="287">
        <v>0.0</v>
      </c>
      <c r="J890" s="233">
        <v>51420.0531534636</v>
      </c>
    </row>
    <row r="891">
      <c r="A891" s="184">
        <v>42844.0</v>
      </c>
      <c r="B891" s="279">
        <v>0.10509982987239244</v>
      </c>
      <c r="C891" s="279">
        <v>0.013876268244150145</v>
      </c>
      <c r="D891" s="279">
        <v>0.11906310939245014</v>
      </c>
      <c r="E891" s="282">
        <v>0.007095588906229563</v>
      </c>
      <c r="F891" s="287">
        <v>385.5991699043807</v>
      </c>
      <c r="G891" s="235">
        <v>0.0</v>
      </c>
      <c r="H891" s="235">
        <v>8210.184816893276</v>
      </c>
      <c r="I891" s="287">
        <v>0.0</v>
      </c>
      <c r="J891" s="233">
        <v>51034.45398355922</v>
      </c>
    </row>
    <row r="892">
      <c r="A892" s="184">
        <v>42843.0</v>
      </c>
      <c r="B892" s="279">
        <v>0.0997174387362149</v>
      </c>
      <c r="C892" s="279">
        <v>0.013905485782720774</v>
      </c>
      <c r="D892" s="279">
        <v>0.11371011900370494</v>
      </c>
      <c r="E892" s="282">
        <v>0.007146296085454143</v>
      </c>
      <c r="F892" s="287">
        <v>385.5991699043807</v>
      </c>
      <c r="G892" s="235">
        <v>0.0</v>
      </c>
      <c r="H892" s="235">
        <v>7824.585646988895</v>
      </c>
      <c r="I892" s="287">
        <v>0.0</v>
      </c>
      <c r="J892" s="233">
        <v>50648.85481365484</v>
      </c>
    </row>
    <row r="893">
      <c r="A893" s="184">
        <v>42838.0</v>
      </c>
      <c r="B893" s="279">
        <v>0.09501543284529843</v>
      </c>
      <c r="C893" s="279">
        <v>0.01403871085502362</v>
      </c>
      <c r="D893" s="279">
        <v>0.10914217357421178</v>
      </c>
      <c r="E893" s="282">
        <v>0.007197733218175332</v>
      </c>
      <c r="F893" s="287">
        <v>385.5991699043807</v>
      </c>
      <c r="G893" s="235">
        <v>0.0</v>
      </c>
      <c r="H893" s="235">
        <v>7438.986477084514</v>
      </c>
      <c r="I893" s="287">
        <v>0.0</v>
      </c>
      <c r="J893" s="233">
        <v>50263.25564375046</v>
      </c>
    </row>
    <row r="894">
      <c r="A894" s="184">
        <v>42837.0</v>
      </c>
      <c r="B894" s="279">
        <v>0.0895443876395279</v>
      </c>
      <c r="C894" s="279">
        <v>0.01406798433622466</v>
      </c>
      <c r="D894" s="279">
        <v>0.10370058540929285</v>
      </c>
      <c r="E894" s="282">
        <v>0.00724991618069813</v>
      </c>
      <c r="F894" s="287">
        <v>385.5991699043807</v>
      </c>
      <c r="G894" s="235">
        <v>0.0</v>
      </c>
      <c r="H894" s="235">
        <v>7053.387307180134</v>
      </c>
      <c r="I894" s="287">
        <v>0.0</v>
      </c>
      <c r="J894" s="233">
        <v>49877.65647384608</v>
      </c>
    </row>
    <row r="895">
      <c r="A895" s="184">
        <v>42836.0</v>
      </c>
      <c r="B895" s="174">
        <v>0.08404865781638617</v>
      </c>
      <c r="C895" s="174">
        <v>0.01409707480672862</v>
      </c>
      <c r="D895" s="174">
        <v>0.09823412846873522</v>
      </c>
      <c r="E895" s="282">
        <v>0.0017816415557777613</v>
      </c>
      <c r="F895" s="287">
        <v>94.07264844848578</v>
      </c>
      <c r="G895" s="235">
        <v>0.0</v>
      </c>
      <c r="H895" s="235">
        <v>6667.788137275753</v>
      </c>
      <c r="I895" s="287">
        <v>0.0</v>
      </c>
      <c r="J895" s="233">
        <v>49492.0573039417</v>
      </c>
    </row>
    <row r="896">
      <c r="A896" s="184">
        <v>42835.0</v>
      </c>
      <c r="B896" s="174">
        <v>0.08367029247401676</v>
      </c>
      <c r="C896" s="174">
        <v>0.013287891675517343</v>
      </c>
      <c r="D896" s="174">
        <v>0.09704676123632888</v>
      </c>
      <c r="E896" s="282">
        <v>-3.217870060454598E-6</v>
      </c>
      <c r="F896" s="287">
        <v>-0.16978706995814719</v>
      </c>
      <c r="G896" s="235">
        <v>0.0</v>
      </c>
      <c r="H896" s="235">
        <v>6573.715488827267</v>
      </c>
      <c r="I896" s="287">
        <v>0.0</v>
      </c>
      <c r="J896" s="233">
        <v>49397.984655493216</v>
      </c>
    </row>
    <row r="897">
      <c r="A897" s="184">
        <v>42832.0</v>
      </c>
      <c r="B897" s="279">
        <v>0.08460005934463521</v>
      </c>
      <c r="C897" s="279">
        <v>0.012926675863133574</v>
      </c>
      <c r="D897" s="279">
        <v>0.0976158293966387</v>
      </c>
      <c r="E897" s="282">
        <v>-3.2160585804781184E-6</v>
      </c>
      <c r="F897" s="287">
        <v>-0.1697870699572377</v>
      </c>
      <c r="G897" s="235">
        <v>0.0</v>
      </c>
      <c r="H897" s="235">
        <v>6573.885275897225</v>
      </c>
      <c r="I897" s="287">
        <v>0.0</v>
      </c>
      <c r="J897" s="233">
        <v>49398.15444256317</v>
      </c>
    </row>
    <row r="898">
      <c r="A898" s="184">
        <v>42831.0</v>
      </c>
      <c r="B898" s="279">
        <v>0.08477694964996572</v>
      </c>
      <c r="C898" s="279">
        <v>0.01295331823306252</v>
      </c>
      <c r="D898" s="279">
        <v>0.09781954569840534</v>
      </c>
      <c r="E898" s="282">
        <v>-3.2160482374785895E-6</v>
      </c>
      <c r="F898" s="287">
        <v>-0.1697870699572377</v>
      </c>
      <c r="G898" s="235">
        <v>0.0</v>
      </c>
      <c r="H898" s="235">
        <v>6574.0550629671825</v>
      </c>
      <c r="I898" s="287">
        <v>0.0</v>
      </c>
      <c r="J898" s="233">
        <v>49398.32422963313</v>
      </c>
    </row>
    <row r="899">
      <c r="A899" s="184">
        <v>42830.0</v>
      </c>
      <c r="B899" s="174">
        <v>0.08495459365297625</v>
      </c>
      <c r="C899" s="174">
        <v>0.012980074171385572</v>
      </c>
      <c r="D899" s="174">
        <v>0.09802413004899058</v>
      </c>
      <c r="E899" s="282">
        <v>1.2921580826225402E-5</v>
      </c>
      <c r="F899" s="287">
        <v>0.682180191788575</v>
      </c>
      <c r="G899" s="235">
        <v>0.0</v>
      </c>
      <c r="H899" s="235">
        <v>6574.22485003714</v>
      </c>
      <c r="I899" s="287">
        <v>0.0</v>
      </c>
      <c r="J899" s="233">
        <v>49398.49401670309</v>
      </c>
    </row>
    <row r="900">
      <c r="A900" s="184">
        <v>42829.0</v>
      </c>
      <c r="B900" s="279">
        <v>0.08512026691561889</v>
      </c>
      <c r="C900" s="279">
        <v>0.013006944432893235</v>
      </c>
      <c r="D900" s="279">
        <v>0.09821685877033923</v>
      </c>
      <c r="E900" s="282">
        <v>1.2921747795754552E-5</v>
      </c>
      <c r="F900" s="287">
        <v>0.6821801917949415</v>
      </c>
      <c r="G900" s="235">
        <v>0.0</v>
      </c>
      <c r="H900" s="235">
        <v>6573.542669845351</v>
      </c>
      <c r="I900" s="287">
        <v>0.0</v>
      </c>
      <c r="J900" s="233">
        <v>49397.8118365113</v>
      </c>
    </row>
    <row r="901">
      <c r="A901" s="184">
        <v>42828.0</v>
      </c>
      <c r="B901" s="279">
        <v>0.08528425134395794</v>
      </c>
      <c r="C901" s="279">
        <v>0.013033929135217302</v>
      </c>
      <c r="D901" s="279">
        <v>0.098410409444499</v>
      </c>
      <c r="E901" s="282">
        <v>1.2921953932476963E-5</v>
      </c>
      <c r="F901" s="287">
        <v>0.6821801917949415</v>
      </c>
      <c r="G901" s="235">
        <v>0.0</v>
      </c>
      <c r="H901" s="235">
        <v>6572.860489653556</v>
      </c>
      <c r="I901" s="287">
        <v>0.0</v>
      </c>
      <c r="J901" s="233">
        <v>49397.1296563195</v>
      </c>
    </row>
    <row r="902">
      <c r="A902" s="184">
        <v>42825.0</v>
      </c>
      <c r="B902" s="279">
        <v>0.08577873753234748</v>
      </c>
      <c r="C902" s="279">
        <v>0.013111071294461072</v>
      </c>
      <c r="D902" s="279">
        <v>0.0989825836552758</v>
      </c>
      <c r="E902" s="282">
        <v>1.292212091152809E-5</v>
      </c>
      <c r="F902" s="287">
        <v>0.6821801917949415</v>
      </c>
      <c r="G902" s="235">
        <v>0.0</v>
      </c>
      <c r="H902" s="235">
        <v>6572.178309461761</v>
      </c>
      <c r="I902" s="287">
        <v>0.0</v>
      </c>
      <c r="J902" s="233">
        <v>49396.4474761277</v>
      </c>
    </row>
    <row r="903">
      <c r="A903" s="184">
        <v>42824.0</v>
      </c>
      <c r="B903" s="279">
        <v>0.08594781266372001</v>
      </c>
      <c r="C903" s="279">
        <v>0.013138487689087186</v>
      </c>
      <c r="D903" s="279">
        <v>0.09917926918153967</v>
      </c>
      <c r="E903" s="282">
        <v>1.2922287894894723E-5</v>
      </c>
      <c r="F903" s="287">
        <v>0.6821801917949415</v>
      </c>
      <c r="G903" s="235">
        <v>0.0</v>
      </c>
      <c r="H903" s="235">
        <v>6571.496129269966</v>
      </c>
      <c r="I903" s="287">
        <v>0.0</v>
      </c>
      <c r="J903" s="233">
        <v>49395.765295935904</v>
      </c>
    </row>
    <row r="904">
      <c r="A904" s="184">
        <v>42823.0</v>
      </c>
      <c r="B904" s="279">
        <v>0.08611761639051436</v>
      </c>
      <c r="C904" s="279">
        <v>0.013166022043646525</v>
      </c>
      <c r="D904" s="279">
        <v>0.09937680209785109</v>
      </c>
      <c r="E904" s="282">
        <v>1.2922454882577024E-5</v>
      </c>
      <c r="F904" s="287">
        <v>0.6821801917949415</v>
      </c>
      <c r="G904" s="235">
        <v>0.0</v>
      </c>
      <c r="H904" s="235">
        <v>6570.813949078171</v>
      </c>
      <c r="I904" s="287">
        <v>0.0</v>
      </c>
      <c r="J904" s="233">
        <v>49395.083115744106</v>
      </c>
    </row>
    <row r="905">
      <c r="A905" s="184">
        <v>42822.0</v>
      </c>
      <c r="B905" s="279">
        <v>0.08628815360595388</v>
      </c>
      <c r="C905" s="279">
        <v>0.013193675148726663</v>
      </c>
      <c r="D905" s="279">
        <v>0.09957518809361517</v>
      </c>
      <c r="E905" s="282">
        <v>1.2922621874575162E-5</v>
      </c>
      <c r="F905" s="287">
        <v>0.6821801917949415</v>
      </c>
      <c r="G905" s="235">
        <v>0.0</v>
      </c>
      <c r="H905" s="235">
        <v>6570.131768886376</v>
      </c>
      <c r="I905" s="287">
        <v>0.0</v>
      </c>
      <c r="J905" s="233">
        <v>49394.40093555231</v>
      </c>
    </row>
    <row r="906">
      <c r="A906" s="184">
        <v>42821.0</v>
      </c>
      <c r="B906" s="279">
        <v>0.08645942924897</v>
      </c>
      <c r="C906" s="279">
        <v>0.013221447802283862</v>
      </c>
      <c r="D906" s="279">
        <v>0.09977443291136606</v>
      </c>
      <c r="E906" s="282">
        <v>1.2922788870889306E-5</v>
      </c>
      <c r="F906" s="287">
        <v>0.6821801917949415</v>
      </c>
      <c r="G906" s="235">
        <v>0.0</v>
      </c>
      <c r="H906" s="235">
        <v>6569.4495886945815</v>
      </c>
      <c r="I906" s="287">
        <v>0.0</v>
      </c>
      <c r="J906" s="233">
        <v>49393.71875536051</v>
      </c>
    </row>
    <row r="907">
      <c r="A907" s="184">
        <v>42818.0</v>
      </c>
      <c r="B907" s="279">
        <v>0.08696788111371061</v>
      </c>
      <c r="C907" s="279">
        <v>0.013300794560450186</v>
      </c>
      <c r="D907" s="279">
        <v>0.10036279299730778</v>
      </c>
      <c r="E907" s="282">
        <v>1.2922955871519623E-5</v>
      </c>
      <c r="F907" s="287">
        <v>0.6821801917949415</v>
      </c>
      <c r="G907" s="235">
        <v>0.0</v>
      </c>
      <c r="H907" s="235">
        <v>6568.767408502787</v>
      </c>
      <c r="I907" s="287">
        <v>0.0</v>
      </c>
      <c r="J907" s="233">
        <v>49393.03657516871</v>
      </c>
    </row>
    <row r="908">
      <c r="A908" s="184">
        <v>42817.0</v>
      </c>
      <c r="B908" s="279">
        <v>0.08714197539992641</v>
      </c>
      <c r="C908" s="279">
        <v>0.013329017843897513</v>
      </c>
      <c r="D908" s="279">
        <v>0.10056531027683609</v>
      </c>
      <c r="E908" s="282">
        <v>1.2923122876466277E-5</v>
      </c>
      <c r="F908" s="287">
        <v>0.6821801917949415</v>
      </c>
      <c r="G908" s="235">
        <v>0.0</v>
      </c>
      <c r="H908" s="235">
        <v>6568.085228310992</v>
      </c>
      <c r="I908" s="287">
        <v>0.0</v>
      </c>
      <c r="J908" s="233">
        <v>49392.354394976916</v>
      </c>
    </row>
    <row r="909">
      <c r="A909" s="184">
        <v>42816.0</v>
      </c>
      <c r="B909" s="279">
        <v>0.08731683132075013</v>
      </c>
      <c r="C909" s="279">
        <v>0.013357364405631462</v>
      </c>
      <c r="D909" s="279">
        <v>0.10076871334158445</v>
      </c>
      <c r="E909" s="282">
        <v>1.2923289885729438E-5</v>
      </c>
      <c r="F909" s="287">
        <v>0.6821801917949415</v>
      </c>
      <c r="G909" s="235">
        <v>0.0</v>
      </c>
      <c r="H909" s="235">
        <v>6567.403048119197</v>
      </c>
      <c r="I909" s="287">
        <v>0.0</v>
      </c>
      <c r="J909" s="233">
        <v>49391.67221478512</v>
      </c>
    </row>
    <row r="910">
      <c r="A910" s="184">
        <v>42815.0</v>
      </c>
      <c r="B910" s="279">
        <v>0.08749245407115766</v>
      </c>
      <c r="C910" s="279">
        <v>0.013385835084792764</v>
      </c>
      <c r="D910" s="279">
        <v>0.10097300823160729</v>
      </c>
      <c r="E910" s="282">
        <v>1.2923456899309273E-5</v>
      </c>
      <c r="F910" s="287">
        <v>0.6821801917949415</v>
      </c>
      <c r="G910" s="235">
        <v>0.0</v>
      </c>
      <c r="H910" s="235">
        <v>6566.720867927402</v>
      </c>
      <c r="I910" s="287">
        <v>0.0</v>
      </c>
      <c r="J910" s="233">
        <v>49390.99003459332</v>
      </c>
    </row>
    <row r="911">
      <c r="A911" s="184">
        <v>42814.0</v>
      </c>
      <c r="B911" s="279">
        <v>0.08766884889542603</v>
      </c>
      <c r="C911" s="279">
        <v>0.013414430728468322</v>
      </c>
      <c r="D911" s="279">
        <v>0.10117820104426259</v>
      </c>
      <c r="E911" s="282">
        <v>1.292362391720595E-5</v>
      </c>
      <c r="F911" s="287">
        <v>0.6821801917949415</v>
      </c>
      <c r="G911" s="235">
        <v>0.0</v>
      </c>
      <c r="H911" s="235">
        <v>6566.038687735607</v>
      </c>
      <c r="I911" s="287">
        <v>0.0</v>
      </c>
      <c r="J911" s="233">
        <v>49390.30785440152</v>
      </c>
    </row>
    <row r="912">
      <c r="A912" s="184">
        <v>42811.0</v>
      </c>
      <c r="B912" s="279">
        <v>0.08819187156446791</v>
      </c>
      <c r="C912" s="279">
        <v>0.013496077987820152</v>
      </c>
      <c r="D912" s="279">
        <v>0.10178344871419329</v>
      </c>
      <c r="E912" s="282">
        <v>1.2923790939419636E-5</v>
      </c>
      <c r="F912" s="287">
        <v>0.6821801917949415</v>
      </c>
      <c r="G912" s="235">
        <v>0.0</v>
      </c>
      <c r="H912" s="235">
        <v>6565.356507543812</v>
      </c>
      <c r="I912" s="287">
        <v>0.0</v>
      </c>
      <c r="J912" s="233">
        <v>49389.625674209725</v>
      </c>
    </row>
    <row r="913">
      <c r="A913" s="184">
        <v>42810.0</v>
      </c>
      <c r="B913" s="279">
        <v>0.0883712106121363</v>
      </c>
      <c r="C913" s="279">
        <v>0.013525144323586192</v>
      </c>
      <c r="D913" s="279">
        <v>0.1019920597729882</v>
      </c>
      <c r="E913" s="282">
        <v>1.2923957965950497E-5</v>
      </c>
      <c r="F913" s="287">
        <v>0.6821801917949415</v>
      </c>
      <c r="G913" s="235">
        <v>0.0</v>
      </c>
      <c r="H913" s="235">
        <v>6564.674327352017</v>
      </c>
      <c r="I913" s="287">
        <v>0.0</v>
      </c>
      <c r="J913" s="233">
        <v>49388.94349401793</v>
      </c>
    </row>
    <row r="914">
      <c r="A914" s="184">
        <v>42809.0</v>
      </c>
      <c r="B914" s="279">
        <v>0.08855134635443505</v>
      </c>
      <c r="C914" s="279">
        <v>0.013554339580371515</v>
      </c>
      <c r="D914" s="279">
        <v>0.10220159735968663</v>
      </c>
      <c r="E914" s="282">
        <v>1.2924124996798704E-5</v>
      </c>
      <c r="F914" s="287">
        <v>0.6821801917949415</v>
      </c>
      <c r="G914" s="235">
        <v>0.0</v>
      </c>
      <c r="H914" s="235">
        <v>6563.992147160222</v>
      </c>
      <c r="I914" s="287">
        <v>0.0</v>
      </c>
      <c r="J914" s="233">
        <v>49388.26131382613</v>
      </c>
    </row>
    <row r="915">
      <c r="A915" s="184">
        <v>42808.0</v>
      </c>
      <c r="B915" s="279">
        <v>0.08873228431163288</v>
      </c>
      <c r="C915" s="279">
        <v>0.013583664649648683</v>
      </c>
      <c r="D915" s="279">
        <v>0.10241206789233795</v>
      </c>
      <c r="E915" s="282">
        <v>1.2924292031964419E-5</v>
      </c>
      <c r="F915" s="287">
        <v>0.6821801917949415</v>
      </c>
      <c r="G915" s="235">
        <v>0.0</v>
      </c>
      <c r="H915" s="235">
        <v>6563.309966968427</v>
      </c>
      <c r="I915" s="287">
        <v>0.0</v>
      </c>
      <c r="J915" s="233">
        <v>49387.57913363433</v>
      </c>
    </row>
    <row r="916">
      <c r="A916" s="184">
        <v>42807.0</v>
      </c>
      <c r="B916" s="279">
        <v>0.08891403005723553</v>
      </c>
      <c r="C916" s="279">
        <v>0.013613120431468917</v>
      </c>
      <c r="D916" s="279">
        <v>0.10262347785086799</v>
      </c>
      <c r="E916" s="282">
        <v>1.2924459071447814E-5</v>
      </c>
      <c r="F916" s="287">
        <v>0.6821801917949415</v>
      </c>
      <c r="G916" s="235">
        <v>0.0</v>
      </c>
      <c r="H916" s="235">
        <v>6562.627786776632</v>
      </c>
      <c r="I916" s="287">
        <v>0.0</v>
      </c>
      <c r="J916" s="233">
        <v>49386.896953442534</v>
      </c>
    </row>
    <row r="917">
      <c r="A917" s="184">
        <v>42804.0</v>
      </c>
      <c r="B917" s="279">
        <v>0.0894522642255175</v>
      </c>
      <c r="C917" s="279">
        <v>0.013697169742093174</v>
      </c>
      <c r="D917" s="279">
        <v>0.10324635606838868</v>
      </c>
      <c r="E917" s="282">
        <v>1.2924626115249055E-5</v>
      </c>
      <c r="F917" s="287">
        <v>0.6821801917949415</v>
      </c>
      <c r="G917" s="235">
        <v>0.0</v>
      </c>
      <c r="H917" s="235">
        <v>6561.945606584837</v>
      </c>
      <c r="I917" s="287">
        <v>0.0</v>
      </c>
      <c r="J917" s="233">
        <v>49386.21477325074</v>
      </c>
    </row>
    <row r="918">
      <c r="A918" s="184">
        <v>42803.0</v>
      </c>
      <c r="B918" s="279">
        <v>0.08963708734781009</v>
      </c>
      <c r="C918" s="279">
        <v>0.013727117487591431</v>
      </c>
      <c r="D918" s="279">
        <v>0.10346133884845499</v>
      </c>
      <c r="E918" s="282">
        <v>1.2924793163368308E-5</v>
      </c>
      <c r="F918" s="287">
        <v>0.6821801917949415</v>
      </c>
      <c r="G918" s="235">
        <v>0.0</v>
      </c>
      <c r="H918" s="235">
        <v>6561.263426393042</v>
      </c>
      <c r="I918" s="287">
        <v>0.0</v>
      </c>
      <c r="J918" s="233">
        <v>49385.53259305894</v>
      </c>
    </row>
    <row r="919">
      <c r="A919" s="184">
        <v>42802.0</v>
      </c>
      <c r="B919" s="279">
        <v>0.08989385819438982</v>
      </c>
      <c r="C919" s="279">
        <v>0.013686086354120407</v>
      </c>
      <c r="D919" s="279">
        <v>0.10367729142849426</v>
      </c>
      <c r="E919" s="282">
        <v>1.2923858334505642E-5</v>
      </c>
      <c r="F919" s="287">
        <v>0.6821801917949415</v>
      </c>
      <c r="G919" s="235">
        <v>0.0</v>
      </c>
      <c r="H919" s="235">
        <v>6560.581246201247</v>
      </c>
      <c r="I919" s="287">
        <v>0.0</v>
      </c>
      <c r="J919" s="233">
        <v>49384.85041286714</v>
      </c>
    </row>
    <row r="920">
      <c r="A920" s="184">
        <v>42801.0</v>
      </c>
      <c r="B920" s="174">
        <v>0.0900805112579328</v>
      </c>
      <c r="C920" s="174">
        <v>0.013716148668279504</v>
      </c>
      <c r="D920" s="174">
        <v>0.10389422063448975</v>
      </c>
      <c r="E920" s="282">
        <v>-0.003468001634876004</v>
      </c>
      <c r="F920" s="287">
        <v>-183.05457889601803</v>
      </c>
      <c r="G920" s="235">
        <v>0.0</v>
      </c>
      <c r="H920" s="235">
        <v>6559.899066009452</v>
      </c>
      <c r="I920" s="287">
        <v>0.0</v>
      </c>
      <c r="J920" s="233">
        <v>49384.16823267534</v>
      </c>
    </row>
    <row r="921">
      <c r="A921" s="184">
        <v>42800.0</v>
      </c>
      <c r="B921" s="279">
        <v>0.0931843994547077</v>
      </c>
      <c r="C921" s="279">
        <v>0.013746347093577369</v>
      </c>
      <c r="D921" s="279">
        <v>0.10702852205299206</v>
      </c>
      <c r="E921" s="282">
        <v>-0.003456016165165139</v>
      </c>
      <c r="F921" s="287">
        <v>-183.05457889602258</v>
      </c>
      <c r="G921" s="235">
        <v>0.0</v>
      </c>
      <c r="H921" s="235">
        <v>6742.95364490547</v>
      </c>
      <c r="I921" s="287">
        <v>0.0</v>
      </c>
      <c r="J921" s="233">
        <v>49567.22281157136</v>
      </c>
    </row>
    <row r="922">
      <c r="A922" s="184">
        <v>42797.0</v>
      </c>
      <c r="B922" s="279">
        <v>0.096692995100942</v>
      </c>
      <c r="C922" s="279">
        <v>0.013832615501096138</v>
      </c>
      <c r="D922" s="279">
        <v>0.11062399971973103</v>
      </c>
      <c r="E922" s="282">
        <v>-0.003444113254084364</v>
      </c>
      <c r="F922" s="287">
        <v>-183.05457889602258</v>
      </c>
      <c r="G922" s="235">
        <v>0.0</v>
      </c>
      <c r="H922" s="235">
        <v>6926.008223801493</v>
      </c>
      <c r="I922" s="287">
        <v>0.0</v>
      </c>
      <c r="J922" s="233">
        <v>49750.27739046738</v>
      </c>
    </row>
    <row r="923">
      <c r="A923" s="184">
        <v>42796.0</v>
      </c>
      <c r="B923" s="279">
        <v>0.09984023060753387</v>
      </c>
      <c r="C923" s="279">
        <v>0.013863642034574058</v>
      </c>
      <c r="D923" s="279">
        <v>0.11380248244642757</v>
      </c>
      <c r="E923" s="282">
        <v>-0.0034322920515377745</v>
      </c>
      <c r="F923" s="287">
        <v>-183.05457889602258</v>
      </c>
      <c r="G923" s="235">
        <v>0.0</v>
      </c>
      <c r="H923" s="235">
        <v>7109.0628026975155</v>
      </c>
      <c r="I923" s="287">
        <v>0.0</v>
      </c>
      <c r="J923" s="233">
        <v>49933.331969363404</v>
      </c>
    </row>
    <row r="924">
      <c r="A924" s="184">
        <v>42795.0</v>
      </c>
      <c r="B924" s="279">
        <v>0.10300282440974294</v>
      </c>
      <c r="C924" s="279">
        <v>0.013894971033049592</v>
      </c>
      <c r="D924" s="279">
        <v>0.11699662808512266</v>
      </c>
      <c r="E924" s="282">
        <v>-0.003420551719060569</v>
      </c>
      <c r="F924" s="287">
        <v>-183.05457889602258</v>
      </c>
      <c r="G924" s="235">
        <v>0.0</v>
      </c>
      <c r="H924" s="235">
        <v>7292.117381593538</v>
      </c>
      <c r="I924" s="287">
        <v>0.0</v>
      </c>
      <c r="J924" s="233">
        <v>50116.38654825943</v>
      </c>
    </row>
    <row r="925">
      <c r="A925" s="184">
        <v>42794.0</v>
      </c>
      <c r="B925" s="279">
        <v>0.10618099578948065</v>
      </c>
      <c r="C925" s="279">
        <v>0.013926606101580948</v>
      </c>
      <c r="D925" s="279">
        <v>0.12020665954842816</v>
      </c>
      <c r="E925" s="282">
        <v>-0.003408891429620888</v>
      </c>
      <c r="F925" s="287">
        <v>-183.05457889602258</v>
      </c>
      <c r="G925" s="235">
        <v>0.0</v>
      </c>
      <c r="H925" s="235">
        <v>7475.171960489561</v>
      </c>
      <c r="I925" s="287">
        <v>0.0</v>
      </c>
      <c r="J925" s="233">
        <v>50299.44112715545</v>
      </c>
    </row>
    <row r="926">
      <c r="A926" s="184">
        <v>42793.0</v>
      </c>
      <c r="B926" s="279">
        <v>0.10937496757593967</v>
      </c>
      <c r="C926" s="279">
        <v>0.013958550908945188</v>
      </c>
      <c r="D926" s="279">
        <v>0.1234328033604092</v>
      </c>
      <c r="E926" s="282">
        <v>-0.0033973103674256088</v>
      </c>
      <c r="F926" s="287">
        <v>-183.05457889602258</v>
      </c>
      <c r="G926" s="235">
        <v>0.0</v>
      </c>
      <c r="H926" s="235">
        <v>7658.226539385583</v>
      </c>
      <c r="I926" s="287">
        <v>0.0</v>
      </c>
      <c r="J926" s="233">
        <v>50482.49570605147</v>
      </c>
    </row>
    <row r="927">
      <c r="A927" s="184">
        <v>42790.0</v>
      </c>
      <c r="B927" s="279">
        <v>0.1130473274817764</v>
      </c>
      <c r="C927" s="279">
        <v>0.014048266310962109</v>
      </c>
      <c r="D927" s="279">
        <v>0.12719551679915336</v>
      </c>
      <c r="E927" s="282">
        <v>-0.0033858077277300817</v>
      </c>
      <c r="F927" s="287">
        <v>-183.05457889602258</v>
      </c>
      <c r="G927" s="235">
        <v>0.0</v>
      </c>
      <c r="H927" s="235">
        <v>7841.281118281606</v>
      </c>
      <c r="I927" s="287">
        <v>0.0</v>
      </c>
      <c r="J927" s="233">
        <v>50665.550284947494</v>
      </c>
    </row>
    <row r="928">
      <c r="A928" s="184">
        <v>42789.0</v>
      </c>
      <c r="B928" s="279">
        <v>0.11628781128632787</v>
      </c>
      <c r="C928" s="279">
        <v>0.01408109414452993</v>
      </c>
      <c r="D928" s="279">
        <v>0.13046906193625052</v>
      </c>
      <c r="E928" s="282">
        <v>-0.0033743827166517236</v>
      </c>
      <c r="F928" s="287">
        <v>-183.05457889602258</v>
      </c>
      <c r="G928" s="235">
        <v>0.0</v>
      </c>
      <c r="H928" s="235">
        <v>8024.335697177628</v>
      </c>
      <c r="I928" s="287">
        <v>0.0</v>
      </c>
      <c r="J928" s="233">
        <v>50848.60486384352</v>
      </c>
    </row>
    <row r="929">
      <c r="A929" s="184">
        <v>42788.0</v>
      </c>
      <c r="B929" s="279">
        <v>0.1195449127419543</v>
      </c>
      <c r="C929" s="279">
        <v>0.014114245484366569</v>
      </c>
      <c r="D929" s="279">
        <v>0.1337595505317383</v>
      </c>
      <c r="E929" s="282">
        <v>-0.003363034550987369</v>
      </c>
      <c r="F929" s="287">
        <v>-183.05457889602258</v>
      </c>
      <c r="G929" s="235">
        <v>0.0</v>
      </c>
      <c r="H929" s="235">
        <v>8207.390276073651</v>
      </c>
      <c r="I929" s="287">
        <v>0.0</v>
      </c>
      <c r="J929" s="233">
        <v>51031.65944273954</v>
      </c>
    </row>
    <row r="930">
      <c r="A930" s="184">
        <v>42787.0</v>
      </c>
      <c r="B930" s="279">
        <v>0.12281887144193834</v>
      </c>
      <c r="C930" s="279">
        <v>0.014147724299411014</v>
      </c>
      <c r="D930" s="279">
        <v>0.13706722617606873</v>
      </c>
      <c r="E930" s="282">
        <v>-0.0033517624580342974</v>
      </c>
      <c r="F930" s="287">
        <v>-183.05457889602258</v>
      </c>
      <c r="G930" s="235">
        <v>0.0</v>
      </c>
      <c r="H930" s="235">
        <v>8390.444854969674</v>
      </c>
      <c r="I930" s="287">
        <v>0.0</v>
      </c>
      <c r="J930" s="233">
        <v>51214.71402163556</v>
      </c>
    </row>
    <row r="931">
      <c r="A931" s="184">
        <v>42786.0</v>
      </c>
      <c r="B931" s="174">
        <v>0.12610993097231346</v>
      </c>
      <c r="C931" s="174">
        <v>0.01418153463024627</v>
      </c>
      <c r="D931" s="174">
        <v>0.14039233652459834</v>
      </c>
      <c r="E931" s="282">
        <v>4.769033935060271E-5</v>
      </c>
      <c r="F931" s="287">
        <v>2.583946970917168</v>
      </c>
      <c r="G931" s="235">
        <v>0.0</v>
      </c>
      <c r="H931" s="235">
        <v>8573.499433865696</v>
      </c>
      <c r="I931" s="287">
        <v>0.0</v>
      </c>
      <c r="J931" s="233">
        <v>51397.768600531585</v>
      </c>
    </row>
    <row r="932">
      <c r="A932" s="184">
        <v>42783.0</v>
      </c>
      <c r="B932" s="279">
        <v>0.12689770755982058</v>
      </c>
      <c r="C932" s="279">
        <v>0.014274912593169972</v>
      </c>
      <c r="D932" s="279">
        <v>0.14127415525711265</v>
      </c>
      <c r="E932" s="282">
        <v>4.769261382760781E-5</v>
      </c>
      <c r="F932" s="287">
        <v>2.583946970920806</v>
      </c>
      <c r="G932" s="235">
        <v>0.0</v>
      </c>
      <c r="H932" s="235">
        <v>8570.915486894779</v>
      </c>
      <c r="I932" s="287">
        <v>0.0</v>
      </c>
      <c r="J932" s="233">
        <v>51395.18465356067</v>
      </c>
    </row>
    <row r="933">
      <c r="A933" s="184">
        <v>42782.0</v>
      </c>
      <c r="B933" s="279">
        <v>0.12716244654546954</v>
      </c>
      <c r="C933" s="279">
        <v>0.01430949622351803</v>
      </c>
      <c r="D933" s="279">
        <v>0.14157372386078113</v>
      </c>
      <c r="E933" s="282">
        <v>4.7694888521507625E-5</v>
      </c>
      <c r="F933" s="287">
        <v>2.583946970920806</v>
      </c>
      <c r="G933" s="235">
        <v>0.0</v>
      </c>
      <c r="H933" s="235">
        <v>8568.331539923858</v>
      </c>
      <c r="I933" s="287">
        <v>0.0</v>
      </c>
      <c r="J933" s="233">
        <v>51392.60070658974</v>
      </c>
    </row>
    <row r="934">
      <c r="A934" s="184">
        <v>42781.0</v>
      </c>
      <c r="B934" s="279">
        <v>0.1274285241424546</v>
      </c>
      <c r="C934" s="279">
        <v>0.014344253767847778</v>
      </c>
      <c r="D934" s="279">
        <v>0.14187480622678886</v>
      </c>
      <c r="E934" s="282">
        <v>4.769716343240032E-5</v>
      </c>
      <c r="F934" s="287">
        <v>2.583946970920806</v>
      </c>
      <c r="G934" s="235">
        <v>0.0</v>
      </c>
      <c r="H934" s="235">
        <v>8565.747592952937</v>
      </c>
      <c r="I934" s="287">
        <v>0.0</v>
      </c>
      <c r="J934" s="233">
        <v>51390.016759618826</v>
      </c>
    </row>
    <row r="935">
      <c r="A935" s="184">
        <v>42780.0</v>
      </c>
      <c r="B935" s="279">
        <v>0.12769595106521384</v>
      </c>
      <c r="C935" s="279">
        <v>0.014379186607947774</v>
      </c>
      <c r="D935" s="279">
        <v>0.14217741446119098</v>
      </c>
      <c r="E935" s="282">
        <v>4.769943856031697E-5</v>
      </c>
      <c r="F935" s="287">
        <v>2.583946970920806</v>
      </c>
      <c r="G935" s="235">
        <v>0.0</v>
      </c>
      <c r="H935" s="235">
        <v>8563.163645982017</v>
      </c>
      <c r="I935" s="287">
        <v>0.0</v>
      </c>
      <c r="J935" s="233">
        <v>51387.43281264791</v>
      </c>
    </row>
    <row r="936">
      <c r="A936" s="184">
        <v>42779.0</v>
      </c>
      <c r="B936" s="279">
        <v>0.1279647381485145</v>
      </c>
      <c r="C936" s="279">
        <v>0.014414296141018355</v>
      </c>
      <c r="D936" s="279">
        <v>0.14248156080589316</v>
      </c>
      <c r="E936" s="282">
        <v>4.770171390525503E-5</v>
      </c>
      <c r="F936" s="287">
        <v>2.583946970918987</v>
      </c>
      <c r="G936" s="235">
        <v>0.0</v>
      </c>
      <c r="H936" s="235">
        <v>8560.579699011096</v>
      </c>
      <c r="I936" s="287">
        <v>0.0</v>
      </c>
      <c r="J936" s="233">
        <v>51384.84886567699</v>
      </c>
    </row>
    <row r="937">
      <c r="A937" s="184">
        <v>42776.0</v>
      </c>
      <c r="B937" s="174">
        <v>0.12877711578410117</v>
      </c>
      <c r="C937" s="174">
        <v>0.014510681385731413</v>
      </c>
      <c r="D937" s="174">
        <v>0.14339100925857687</v>
      </c>
      <c r="E937" s="282">
        <v>0.006091364303006704</v>
      </c>
      <c r="F937" s="287">
        <v>329.94645762915206</v>
      </c>
      <c r="G937" s="235">
        <v>0.0</v>
      </c>
      <c r="H937" s="235">
        <v>8557.995752040177</v>
      </c>
      <c r="I937" s="287">
        <v>0.0</v>
      </c>
      <c r="J937" s="233">
        <v>51382.264918706074</v>
      </c>
    </row>
    <row r="938">
      <c r="A938" s="184">
        <v>42775.0</v>
      </c>
      <c r="B938" s="279">
        <v>0.12363421477417569</v>
      </c>
      <c r="C938" s="279">
        <v>0.014464629403531163</v>
      </c>
      <c r="D938" s="279">
        <v>0.1382023105282831</v>
      </c>
      <c r="E938" s="282">
        <v>0.0061281420777122625</v>
      </c>
      <c r="F938" s="287">
        <v>329.94645762915115</v>
      </c>
      <c r="G938" s="235">
        <v>0.0</v>
      </c>
      <c r="H938" s="235">
        <v>8228.049294411025</v>
      </c>
      <c r="I938" s="287">
        <v>0.0</v>
      </c>
      <c r="J938" s="233">
        <v>51052.318461076924</v>
      </c>
    </row>
    <row r="939">
      <c r="A939" s="184">
        <v>42774.0</v>
      </c>
      <c r="B939" s="279">
        <v>0.11838143619818733</v>
      </c>
      <c r="C939" s="279">
        <v>0.014500047687141028</v>
      </c>
      <c r="D939" s="279">
        <v>0.1329852035849844</v>
      </c>
      <c r="E939" s="282">
        <v>0.0061659277590607135</v>
      </c>
      <c r="F939" s="287">
        <v>329.94645762915206</v>
      </c>
      <c r="G939" s="235">
        <v>0.0</v>
      </c>
      <c r="H939" s="235">
        <v>7898.1028367818735</v>
      </c>
      <c r="I939" s="287">
        <v>0.0</v>
      </c>
      <c r="J939" s="233">
        <v>50722.372003447774</v>
      </c>
    </row>
    <row r="940">
      <c r="A940" s="184">
        <v>42773.0</v>
      </c>
      <c r="B940" s="279">
        <v>0.11310049411703375</v>
      </c>
      <c r="C940" s="279">
        <v>0.014535334450954902</v>
      </c>
      <c r="D940" s="279">
        <v>0.12773980067595558</v>
      </c>
      <c r="E940" s="282">
        <v>0.006204182298919897</v>
      </c>
      <c r="F940" s="287">
        <v>329.94645762915206</v>
      </c>
      <c r="G940" s="235">
        <v>0.0</v>
      </c>
      <c r="H940" s="235">
        <v>7568.1563791527215</v>
      </c>
      <c r="I940" s="287">
        <v>0.0</v>
      </c>
      <c r="J940" s="233">
        <v>50392.42554581862</v>
      </c>
    </row>
    <row r="941">
      <c r="A941" s="184">
        <v>42772.0</v>
      </c>
      <c r="B941" s="279">
        <v>0.10779151044284041</v>
      </c>
      <c r="C941" s="279">
        <v>0.014570485740039147</v>
      </c>
      <c r="D941" s="279">
        <v>0.12246621973009862</v>
      </c>
      <c r="E941" s="282">
        <v>0.006242914478420584</v>
      </c>
      <c r="F941" s="287">
        <v>329.94645762915206</v>
      </c>
      <c r="G941" s="235">
        <v>0.0</v>
      </c>
      <c r="H941" s="235">
        <v>7238.209921523569</v>
      </c>
      <c r="I941" s="287">
        <v>0.0</v>
      </c>
      <c r="J941" s="233">
        <v>50062.47908818947</v>
      </c>
    </row>
    <row r="942">
      <c r="A942" s="184">
        <v>42769.0</v>
      </c>
      <c r="B942" s="279">
        <v>0.10289433225090515</v>
      </c>
      <c r="C942" s="279">
        <v>0.01466818210035175</v>
      </c>
      <c r="D942" s="279">
        <v>0.1176674367263259</v>
      </c>
      <c r="E942" s="282">
        <v>0.006282133299350468</v>
      </c>
      <c r="F942" s="287">
        <v>329.94645762915206</v>
      </c>
      <c r="G942" s="235">
        <v>0.0</v>
      </c>
      <c r="H942" s="235">
        <v>6908.263463894417</v>
      </c>
      <c r="I942" s="287">
        <v>0.0</v>
      </c>
      <c r="J942" s="233">
        <v>49732.53263056032</v>
      </c>
    </row>
    <row r="943">
      <c r="A943" s="184">
        <v>42768.0</v>
      </c>
      <c r="B943" s="279">
        <v>0.09750752612921447</v>
      </c>
      <c r="C943" s="279">
        <v>0.014703335200128332</v>
      </c>
      <c r="D943" s="279">
        <v>0.11231603515661591</v>
      </c>
      <c r="E943" s="282">
        <v>0.006321847991128971</v>
      </c>
      <c r="F943" s="287">
        <v>329.94645762915206</v>
      </c>
      <c r="G943" s="235">
        <v>0.0</v>
      </c>
      <c r="H943" s="235">
        <v>6578.317006265265</v>
      </c>
      <c r="I943" s="287">
        <v>0.0</v>
      </c>
      <c r="J943" s="233">
        <v>49402.58617293117</v>
      </c>
    </row>
    <row r="944">
      <c r="A944" s="184">
        <v>42767.0</v>
      </c>
      <c r="B944" s="279">
        <v>0.09209286469285465</v>
      </c>
      <c r="C944" s="279">
        <v>0.014738341324643443</v>
      </c>
      <c r="D944" s="279">
        <v>0.10693663024565257</v>
      </c>
      <c r="E944" s="282">
        <v>0.006362068018048295</v>
      </c>
      <c r="F944" s="287">
        <v>329.94645762915206</v>
      </c>
      <c r="G944" s="235">
        <v>0.0</v>
      </c>
      <c r="H944" s="235">
        <v>6248.370548636113</v>
      </c>
      <c r="I944" s="287">
        <v>0.0</v>
      </c>
      <c r="J944" s="233">
        <v>49072.63971530202</v>
      </c>
    </row>
    <row r="945">
      <c r="A945" s="184">
        <v>42766.0</v>
      </c>
      <c r="B945" s="174">
        <v>0.08665049271434985</v>
      </c>
      <c r="C945" s="174">
        <v>0.014773196354364608</v>
      </c>
      <c r="D945" s="174">
        <v>0.10152936261696031</v>
      </c>
      <c r="E945" s="282">
        <v>5.095533588005062E-4</v>
      </c>
      <c r="F945" s="287">
        <v>26.258081566816145</v>
      </c>
      <c r="G945" s="235">
        <v>0.0</v>
      </c>
      <c r="H945" s="235">
        <v>5918.424091006961</v>
      </c>
      <c r="I945" s="287">
        <v>0.0</v>
      </c>
      <c r="J945" s="233">
        <v>48742.69325767287</v>
      </c>
    </row>
    <row r="946">
      <c r="A946" s="184">
        <v>42765.0</v>
      </c>
      <c r="B946" s="279">
        <v>0.08640251020139374</v>
      </c>
      <c r="C946" s="279">
        <v>0.014807896132400253</v>
      </c>
      <c r="D946" s="279">
        <v>0.10131632809160672</v>
      </c>
      <c r="E946" s="282">
        <v>5.098131357963E-4</v>
      </c>
      <c r="F946" s="287">
        <v>26.258081566820692</v>
      </c>
      <c r="G946" s="235">
        <v>0.0</v>
      </c>
      <c r="H946" s="235">
        <v>5892.166009440145</v>
      </c>
      <c r="I946" s="287">
        <v>0.0</v>
      </c>
      <c r="J946" s="233">
        <v>48716.43517610605</v>
      </c>
    </row>
    <row r="947">
      <c r="A947" s="184">
        <v>42762.0</v>
      </c>
      <c r="B947" s="279">
        <v>0.08652863272845444</v>
      </c>
      <c r="C947" s="279">
        <v>0.014907412412487152</v>
      </c>
      <c r="D947" s="279">
        <v>0.10154267874459816</v>
      </c>
      <c r="E947" s="282">
        <v>5.100731778025611E-4</v>
      </c>
      <c r="F947" s="287">
        <v>26.258081566820692</v>
      </c>
      <c r="G947" s="235">
        <v>0.0</v>
      </c>
      <c r="H947" s="235">
        <v>5865.907927873324</v>
      </c>
      <c r="I947" s="287">
        <v>0.0</v>
      </c>
      <c r="J947" s="233">
        <v>48690.177094539235</v>
      </c>
    </row>
    <row r="948">
      <c r="A948" s="184">
        <v>42761.0</v>
      </c>
      <c r="B948" s="279">
        <v>0.08627778678872072</v>
      </c>
      <c r="C948" s="279">
        <v>0.01494269152939415</v>
      </c>
      <c r="D948" s="279">
        <v>0.10132736427538355</v>
      </c>
      <c r="E948" s="282">
        <v>5.10333485225109E-4</v>
      </c>
      <c r="F948" s="287">
        <v>26.258081566820692</v>
      </c>
      <c r="G948" s="235">
        <v>0.0</v>
      </c>
      <c r="H948" s="235">
        <v>5839.649846306504</v>
      </c>
      <c r="I948" s="287">
        <v>0.0</v>
      </c>
      <c r="J948" s="233">
        <v>48663.919012972416</v>
      </c>
    </row>
    <row r="949">
      <c r="A949" s="184">
        <v>42760.0</v>
      </c>
      <c r="B949" s="279">
        <v>0.08602562711267803</v>
      </c>
      <c r="C949" s="279">
        <v>0.01497811649437095</v>
      </c>
      <c r="D949" s="279">
        <v>0.10111088296118965</v>
      </c>
      <c r="E949" s="282">
        <v>5.105940584705035E-4</v>
      </c>
      <c r="F949" s="287">
        <v>26.258081566820692</v>
      </c>
      <c r="G949" s="235">
        <v>0.0</v>
      </c>
      <c r="H949" s="235">
        <v>5813.391764739683</v>
      </c>
      <c r="I949" s="287">
        <v>0.0</v>
      </c>
      <c r="J949" s="233">
        <v>48637.6609314056</v>
      </c>
    </row>
    <row r="950">
      <c r="A950" s="184">
        <v>42759.0</v>
      </c>
      <c r="B950" s="279">
        <v>0.0857721452747691</v>
      </c>
      <c r="C950" s="279">
        <v>0.01501368816786538</v>
      </c>
      <c r="D950" s="279">
        <v>0.10089322724306188</v>
      </c>
      <c r="E950" s="282">
        <v>5.108548979461353E-4</v>
      </c>
      <c r="F950" s="287">
        <v>26.258081566820692</v>
      </c>
      <c r="G950" s="235">
        <v>0.0</v>
      </c>
      <c r="H950" s="235">
        <v>5787.133683172862</v>
      </c>
      <c r="I950" s="287">
        <v>0.0</v>
      </c>
      <c r="J950" s="233">
        <v>48611.40284983878</v>
      </c>
    </row>
    <row r="951">
      <c r="A951" s="184">
        <v>42758.0</v>
      </c>
      <c r="B951" s="279">
        <v>0.08551733278055706</v>
      </c>
      <c r="C951" s="279">
        <v>0.015049407416671942</v>
      </c>
      <c r="D951" s="279">
        <v>0.10067438949955805</v>
      </c>
      <c r="E951" s="282">
        <v>5.111160040602281E-4</v>
      </c>
      <c r="F951" s="287">
        <v>26.258081566820692</v>
      </c>
      <c r="G951" s="235">
        <v>0.0</v>
      </c>
      <c r="H951" s="235">
        <v>5760.8756016060415</v>
      </c>
      <c r="I951" s="287">
        <v>0.0</v>
      </c>
      <c r="J951" s="233">
        <v>48585.14476827196</v>
      </c>
    </row>
    <row r="952">
      <c r="A952" s="184">
        <v>42755.0</v>
      </c>
      <c r="B952" s="279">
        <v>0.08563844292917289</v>
      </c>
      <c r="C952" s="279">
        <v>0.015152024118912444</v>
      </c>
      <c r="D952" s="279">
        <v>0.10089885037376145</v>
      </c>
      <c r="E952" s="282">
        <v>5.113773772218406E-4</v>
      </c>
      <c r="F952" s="287">
        <v>26.258081566820692</v>
      </c>
      <c r="G952" s="235">
        <v>0.0</v>
      </c>
      <c r="H952" s="235">
        <v>5734.617520039221</v>
      </c>
      <c r="I952" s="287">
        <v>0.0</v>
      </c>
      <c r="J952" s="233">
        <v>48558.88668670514</v>
      </c>
    </row>
    <row r="953">
      <c r="A953" s="184">
        <v>42754.0</v>
      </c>
      <c r="B953" s="279">
        <v>0.0853806379559778</v>
      </c>
      <c r="C953" s="279">
        <v>0.015188348867333295</v>
      </c>
      <c r="D953" s="279">
        <v>0.10067762998206346</v>
      </c>
      <c r="E953" s="282">
        <v>5.116390178408684E-4</v>
      </c>
      <c r="F953" s="287">
        <v>26.258081566820692</v>
      </c>
      <c r="G953" s="235">
        <v>0.0</v>
      </c>
      <c r="H953" s="235">
        <v>5708.3594384724</v>
      </c>
      <c r="I953" s="287">
        <v>0.0</v>
      </c>
      <c r="J953" s="233">
        <v>48532.62860513832</v>
      </c>
    </row>
    <row r="954">
      <c r="A954" s="184">
        <v>42753.0</v>
      </c>
      <c r="B954" s="279">
        <v>0.08512146903658233</v>
      </c>
      <c r="C954" s="279">
        <v>0.015224825865323251</v>
      </c>
      <c r="D954" s="279">
        <v>0.10045519898278438</v>
      </c>
      <c r="E954" s="282">
        <v>5.119009263280466E-4</v>
      </c>
      <c r="F954" s="287">
        <v>26.258081566820692</v>
      </c>
      <c r="G954" s="235">
        <v>0.0</v>
      </c>
      <c r="H954" s="235">
        <v>5682.101356905579</v>
      </c>
      <c r="I954" s="287">
        <v>0.0</v>
      </c>
      <c r="J954" s="233">
        <v>48506.3705235715</v>
      </c>
    </row>
    <row r="955">
      <c r="A955" s="184">
        <v>42752.0</v>
      </c>
      <c r="B955" s="279">
        <v>0.08486092730574292</v>
      </c>
      <c r="C955" s="279">
        <v>0.015261456023157137</v>
      </c>
      <c r="D955" s="279">
        <v>0.10023154942746672</v>
      </c>
      <c r="E955" s="282">
        <v>5.12163103094952E-4</v>
      </c>
      <c r="F955" s="287">
        <v>26.258081566820692</v>
      </c>
      <c r="G955" s="235">
        <v>0.0</v>
      </c>
      <c r="H955" s="235">
        <v>5655.843275338759</v>
      </c>
      <c r="I955" s="287">
        <v>0.0</v>
      </c>
      <c r="J955" s="233">
        <v>48480.11244200468</v>
      </c>
    </row>
    <row r="956">
      <c r="A956" s="184">
        <v>42751.0</v>
      </c>
      <c r="B956" s="279">
        <v>0.08459900382476575</v>
      </c>
      <c r="C956" s="279">
        <v>0.015298240257903842</v>
      </c>
      <c r="D956" s="279">
        <v>0.10000667330104539</v>
      </c>
      <c r="E956" s="282">
        <v>5.124255485540046E-4</v>
      </c>
      <c r="F956" s="287">
        <v>26.258081566820692</v>
      </c>
      <c r="G956" s="235">
        <v>0.0</v>
      </c>
      <c r="H956" s="235">
        <v>5629.585193771938</v>
      </c>
      <c r="I956" s="287">
        <v>0.0</v>
      </c>
      <c r="J956" s="233">
        <v>48453.854360437865</v>
      </c>
    </row>
    <row r="957">
      <c r="A957" s="184">
        <v>42748.0</v>
      </c>
      <c r="B957" s="279">
        <v>0.08471472638788094</v>
      </c>
      <c r="C957" s="279">
        <v>0.015404101648508731</v>
      </c>
      <c r="D957" s="279">
        <v>0.10022901448756054</v>
      </c>
      <c r="E957" s="282">
        <v>5.126882631184703E-4</v>
      </c>
      <c r="F957" s="287">
        <v>26.258081566820692</v>
      </c>
      <c r="G957" s="235">
        <v>0.0</v>
      </c>
      <c r="H957" s="235">
        <v>5603.327112205117</v>
      </c>
      <c r="I957" s="287">
        <v>0.0</v>
      </c>
      <c r="J957" s="233">
        <v>48427.596278871046</v>
      </c>
    </row>
    <row r="958">
      <c r="A958" s="184">
        <v>42747.0</v>
      </c>
      <c r="B958" s="279">
        <v>0.08444967357375598</v>
      </c>
      <c r="C958" s="279">
        <v>0.015441519141168881</v>
      </c>
      <c r="D958" s="279">
        <v>0.10000164681563621</v>
      </c>
      <c r="E958" s="282">
        <v>5.129512472024629E-4</v>
      </c>
      <c r="F958" s="287">
        <v>26.258081566820692</v>
      </c>
      <c r="G958" s="235">
        <v>0.0</v>
      </c>
      <c r="H958" s="235">
        <v>5577.069030638297</v>
      </c>
      <c r="I958" s="287">
        <v>0.0</v>
      </c>
      <c r="J958" s="233">
        <v>48401.33819730423</v>
      </c>
    </row>
    <row r="959">
      <c r="A959" s="184">
        <v>42746.0</v>
      </c>
      <c r="B959" s="279">
        <v>0.08418320385492103</v>
      </c>
      <c r="C959" s="279">
        <v>0.015479095666678235</v>
      </c>
      <c r="D959" s="279">
        <v>0.09977302240942251</v>
      </c>
      <c r="E959" s="282">
        <v>5.132145012209466E-4</v>
      </c>
      <c r="F959" s="287">
        <v>26.258081566820692</v>
      </c>
      <c r="G959" s="235">
        <v>0.0</v>
      </c>
      <c r="H959" s="235">
        <v>5550.810949071476</v>
      </c>
      <c r="I959" s="287">
        <v>0.0</v>
      </c>
      <c r="J959" s="233">
        <v>48375.08011573741</v>
      </c>
    </row>
    <row r="960">
      <c r="A960" s="184">
        <v>42745.0</v>
      </c>
      <c r="B960" s="279">
        <v>0.0839153078961319</v>
      </c>
      <c r="C960" s="279">
        <v>0.01551683218880005</v>
      </c>
      <c r="D960" s="279">
        <v>0.09954313290433231</v>
      </c>
      <c r="E960" s="282">
        <v>5.134780255897376E-4</v>
      </c>
      <c r="F960" s="287">
        <v>26.258081566820692</v>
      </c>
      <c r="G960" s="235">
        <v>0.0</v>
      </c>
      <c r="H960" s="235">
        <v>5524.552867504655</v>
      </c>
      <c r="I960" s="287">
        <v>0.0</v>
      </c>
      <c r="J960" s="233">
        <v>48348.82203417059</v>
      </c>
    </row>
    <row r="961">
      <c r="A961" s="184">
        <v>42744.0</v>
      </c>
      <c r="B961" s="279">
        <v>0.08364597628374518</v>
      </c>
      <c r="C961" s="279">
        <v>0.015554729678577132</v>
      </c>
      <c r="D961" s="279">
        <v>0.09931196986471096</v>
      </c>
      <c r="E961" s="282">
        <v>5.137418207255066E-4</v>
      </c>
      <c r="F961" s="287">
        <v>26.258081566820692</v>
      </c>
      <c r="G961" s="235">
        <v>0.0</v>
      </c>
      <c r="H961" s="235">
        <v>5498.294785937835</v>
      </c>
      <c r="I961" s="287">
        <v>0.0</v>
      </c>
      <c r="J961" s="233">
        <v>48322.56395260377</v>
      </c>
    </row>
    <row r="962">
      <c r="A962" s="184">
        <v>42741.0</v>
      </c>
      <c r="B962" s="279">
        <v>0.08375590819855894</v>
      </c>
      <c r="C962" s="279">
        <v>0.015663989064685812</v>
      </c>
      <c r="D962" s="279">
        <v>0.0995319427044915</v>
      </c>
      <c r="E962" s="282">
        <v>5.140058870457811E-4</v>
      </c>
      <c r="F962" s="287">
        <v>26.258081566820692</v>
      </c>
      <c r="G962" s="235">
        <v>0.0</v>
      </c>
      <c r="H962" s="235">
        <v>5472.036704371014</v>
      </c>
      <c r="I962" s="287">
        <v>0.0</v>
      </c>
      <c r="J962" s="233">
        <v>48296.30587103695</v>
      </c>
    </row>
    <row r="963">
      <c r="A963" s="184">
        <v>42740.0</v>
      </c>
      <c r="B963" s="279">
        <v>0.08348330199673691</v>
      </c>
      <c r="C963" s="279">
        <v>0.015702549292012574</v>
      </c>
      <c r="D963" s="279">
        <v>0.09929817255358546</v>
      </c>
      <c r="E963" s="282">
        <v>5.142702249689475E-4</v>
      </c>
      <c r="F963" s="287">
        <v>26.258081566820692</v>
      </c>
      <c r="G963" s="235">
        <v>0.0</v>
      </c>
      <c r="H963" s="235">
        <v>5445.778622804193</v>
      </c>
      <c r="I963" s="287">
        <v>0.0</v>
      </c>
      <c r="J963" s="233">
        <v>48270.04778947013</v>
      </c>
    </row>
    <row r="964">
      <c r="A964" s="184">
        <v>42739.0</v>
      </c>
      <c r="B964" s="279">
        <v>0.08320922298583285</v>
      </c>
      <c r="C964" s="279">
        <v>0.015741275746166773</v>
      </c>
      <c r="D964" s="279">
        <v>0.09906309700945515</v>
      </c>
      <c r="E964" s="282">
        <v>5.145348349142532E-4</v>
      </c>
      <c r="F964" s="287">
        <v>26.258081566820692</v>
      </c>
      <c r="G964" s="235">
        <v>0.0</v>
      </c>
      <c r="H964" s="235">
        <v>5419.5205412373725</v>
      </c>
      <c r="I964" s="287">
        <v>0.0</v>
      </c>
      <c r="J964" s="233">
        <v>48243.789707903314</v>
      </c>
    </row>
    <row r="965">
      <c r="A965" s="184">
        <v>42738.0</v>
      </c>
      <c r="B965" s="279">
        <v>0.08293036298879639</v>
      </c>
      <c r="C965" s="279">
        <v>0.015780169448388375</v>
      </c>
      <c r="D965" s="279">
        <v>0.09882670726248381</v>
      </c>
      <c r="E965" s="282">
        <v>5.148015340203317E-4</v>
      </c>
      <c r="F965" s="287">
        <v>26.258081566820692</v>
      </c>
      <c r="G965" s="235">
        <v>0.0</v>
      </c>
      <c r="H965" s="235">
        <v>5393.262459670552</v>
      </c>
      <c r="I965" s="287">
        <v>0.0</v>
      </c>
      <c r="J965" s="233">
        <v>48217.531626336495</v>
      </c>
    </row>
    <row r="966">
      <c r="A966" s="184">
        <v>42737.0</v>
      </c>
      <c r="B966" s="279">
        <v>0.08274735225318686</v>
      </c>
      <c r="C966" s="279">
        <v>0.015725179771361418</v>
      </c>
      <c r="D966" s="279">
        <v>0.09858899442715376</v>
      </c>
      <c r="E966" s="282">
        <v>5.15014967359701E-4</v>
      </c>
      <c r="F966" s="287">
        <v>26.258081566820692</v>
      </c>
      <c r="G966" s="235">
        <v>0.0</v>
      </c>
      <c r="H966" s="235">
        <v>5367.004378103731</v>
      </c>
      <c r="I966" s="287">
        <v>0.0</v>
      </c>
      <c r="J966" s="233">
        <v>48191.273544769676</v>
      </c>
    </row>
    <row r="967">
      <c r="A967" s="184">
        <v>42734.0</v>
      </c>
      <c r="B967" s="279">
        <v>0.08715750732808723</v>
      </c>
      <c r="C967" s="279">
        <v>0.011531529494017088</v>
      </c>
      <c r="D967" s="279">
        <v>0.09880632981755132</v>
      </c>
      <c r="E967" s="282">
        <v>5.129376470865484E-4</v>
      </c>
      <c r="F967" s="287">
        <v>26.258081566820692</v>
      </c>
      <c r="G967" s="235">
        <v>0.0</v>
      </c>
      <c r="H967" s="235">
        <v>5340.74629653691</v>
      </c>
      <c r="I967" s="287">
        <v>0.0</v>
      </c>
      <c r="J967" s="233">
        <v>48165.01546320286</v>
      </c>
    </row>
    <row r="968">
      <c r="A968" s="184">
        <v>42733.0</v>
      </c>
      <c r="B968" s="279">
        <v>0.08688799673229124</v>
      </c>
      <c r="C968" s="279">
        <v>0.011560304701696136</v>
      </c>
      <c r="D968" s="279">
        <v>0.09856588711656708</v>
      </c>
      <c r="E968" s="282">
        <v>5.132008871420818E-4</v>
      </c>
      <c r="F968" s="287">
        <v>26.258081566820692</v>
      </c>
      <c r="G968" s="235">
        <v>0.0</v>
      </c>
      <c r="H968" s="235">
        <v>5314.48821497009</v>
      </c>
      <c r="I968" s="287">
        <v>0.0</v>
      </c>
      <c r="J968" s="233">
        <v>48138.75738163604</v>
      </c>
    </row>
    <row r="969">
      <c r="A969" s="184">
        <v>42732.0</v>
      </c>
      <c r="B969" s="279">
        <v>0.08879721797741745</v>
      </c>
      <c r="C969" s="279">
        <v>0.009408990021081544</v>
      </c>
      <c r="D969" s="279">
        <v>0.09832408764820487</v>
      </c>
      <c r="E969" s="282">
        <v>5.12289735614592E-4</v>
      </c>
      <c r="F969" s="287">
        <v>26.258081566820692</v>
      </c>
      <c r="G969" s="235">
        <v>0.0</v>
      </c>
      <c r="H969" s="235">
        <v>5288.230133403269</v>
      </c>
      <c r="I969" s="287">
        <v>0.0</v>
      </c>
      <c r="J969" s="233">
        <v>48112.49930006922</v>
      </c>
    </row>
    <row r="970">
      <c r="A970" s="184">
        <v>42731.0</v>
      </c>
      <c r="B970" s="279">
        <v>0.08853019034880538</v>
      </c>
      <c r="C970" s="279">
        <v>0.009432556872807484</v>
      </c>
      <c r="D970" s="279">
        <v>0.09808092212641199</v>
      </c>
      <c r="E970" s="282">
        <v>5.125523109024329E-4</v>
      </c>
      <c r="F970" s="287">
        <v>26.258081566820692</v>
      </c>
      <c r="G970" s="235">
        <v>0.0</v>
      </c>
      <c r="H970" s="235">
        <v>5261.972051836448</v>
      </c>
      <c r="I970" s="287">
        <v>0.0</v>
      </c>
      <c r="J970" s="233">
        <v>48086.2412185024</v>
      </c>
    </row>
    <row r="971">
      <c r="A971" s="184">
        <v>42727.0</v>
      </c>
      <c r="B971" s="279">
        <v>0.0888861755954198</v>
      </c>
      <c r="C971" s="279">
        <v>0.00952313443735567</v>
      </c>
      <c r="D971" s="279">
        <v>0.09852861973010346</v>
      </c>
      <c r="E971" s="282">
        <v>5.128151554954478E-4</v>
      </c>
      <c r="F971" s="287">
        <v>26.258081566820692</v>
      </c>
      <c r="G971" s="235">
        <v>0.0</v>
      </c>
      <c r="H971" s="235">
        <v>5235.713970269628</v>
      </c>
      <c r="I971" s="287">
        <v>0.0</v>
      </c>
      <c r="J971" s="233">
        <v>48059.98313693558</v>
      </c>
    </row>
    <row r="972">
      <c r="A972" s="184">
        <v>42726.0</v>
      </c>
      <c r="B972" s="279">
        <v>0.08861573900274114</v>
      </c>
      <c r="C972" s="279">
        <v>0.009547235611532322</v>
      </c>
      <c r="D972" s="279">
        <v>0.09828258626090347</v>
      </c>
      <c r="E972" s="282">
        <v>5.130782698081609E-4</v>
      </c>
      <c r="F972" s="287">
        <v>26.258081566820692</v>
      </c>
      <c r="G972" s="235">
        <v>0.0</v>
      </c>
      <c r="H972" s="235">
        <v>5209.455888702807</v>
      </c>
      <c r="I972" s="287">
        <v>0.0</v>
      </c>
      <c r="J972" s="233">
        <v>48033.72505536876</v>
      </c>
    </row>
    <row r="973">
      <c r="A973" s="184">
        <v>42725.0</v>
      </c>
      <c r="B973" s="279">
        <v>0.08834378920799862</v>
      </c>
      <c r="C973" s="279">
        <v>0.00957144382186011</v>
      </c>
      <c r="D973" s="279">
        <v>0.09803514796678313</v>
      </c>
      <c r="E973" s="282">
        <v>5.13341654255947E-4</v>
      </c>
      <c r="F973" s="287">
        <v>26.258081566820692</v>
      </c>
      <c r="G973" s="235">
        <v>0.0</v>
      </c>
      <c r="H973" s="235">
        <v>5183.197807135986</v>
      </c>
      <c r="I973" s="287">
        <v>0.0</v>
      </c>
      <c r="J973" s="233">
        <v>48007.466973801944</v>
      </c>
    </row>
    <row r="974">
      <c r="A974" s="184">
        <v>42724.0</v>
      </c>
      <c r="B974" s="279">
        <v>0.08807031576670203</v>
      </c>
      <c r="C974" s="279">
        <v>0.00959575974574758</v>
      </c>
      <c r="D974" s="279">
        <v>0.09778629508914764</v>
      </c>
      <c r="E974" s="282">
        <v>5.136053092550345E-4</v>
      </c>
      <c r="F974" s="287">
        <v>26.258081566820692</v>
      </c>
      <c r="G974" s="235">
        <v>0.0</v>
      </c>
      <c r="H974" s="235">
        <v>5156.939725569166</v>
      </c>
      <c r="I974" s="287">
        <v>0.0</v>
      </c>
      <c r="J974" s="233">
        <v>47981.208892235125</v>
      </c>
    </row>
    <row r="975">
      <c r="A975" s="184">
        <v>42723.0</v>
      </c>
      <c r="B975" s="279">
        <v>0.08779530814237914</v>
      </c>
      <c r="C975" s="279">
        <v>0.009620184065930421</v>
      </c>
      <c r="D975" s="279">
        <v>0.09753601778281405</v>
      </c>
      <c r="E975" s="282">
        <v>5.138692352225077E-4</v>
      </c>
      <c r="F975" s="287">
        <v>26.258081566820692</v>
      </c>
      <c r="G975" s="235">
        <v>0.0</v>
      </c>
      <c r="H975" s="235">
        <v>5130.681644002345</v>
      </c>
      <c r="I975" s="287">
        <v>0.0</v>
      </c>
      <c r="J975" s="233">
        <v>47954.950810668306</v>
      </c>
    </row>
    <row r="976">
      <c r="A976" s="184">
        <v>42720.0</v>
      </c>
      <c r="B976" s="279">
        <v>0.08793850992961218</v>
      </c>
      <c r="C976" s="279">
        <v>0.00969097510826503</v>
      </c>
      <c r="D976" s="279">
        <v>0.09775089751132134</v>
      </c>
      <c r="E976" s="282">
        <v>5.141334325763081E-4</v>
      </c>
      <c r="F976" s="287">
        <v>26.258081566820692</v>
      </c>
      <c r="G976" s="235">
        <v>0.0</v>
      </c>
      <c r="H976" s="235">
        <v>5104.423562435524</v>
      </c>
      <c r="I976" s="287">
        <v>0.0</v>
      </c>
      <c r="J976" s="233">
        <v>47928.69272910149</v>
      </c>
    </row>
    <row r="977">
      <c r="A977" s="184">
        <v>42719.0</v>
      </c>
      <c r="B977" s="279">
        <v>0.08766007392404083</v>
      </c>
      <c r="C977" s="279">
        <v>0.009715847963864547</v>
      </c>
      <c r="D977" s="279">
        <v>0.0974976459785899</v>
      </c>
      <c r="E977" s="282">
        <v>5.143979017352372E-4</v>
      </c>
      <c r="F977" s="287">
        <v>26.258081566820692</v>
      </c>
      <c r="G977" s="235">
        <v>0.0</v>
      </c>
      <c r="H977" s="235">
        <v>5078.1654808687035</v>
      </c>
      <c r="I977" s="287">
        <v>0.0</v>
      </c>
      <c r="J977" s="233">
        <v>47902.43464753467</v>
      </c>
    </row>
    <row r="978">
      <c r="A978" s="184">
        <v>42718.0</v>
      </c>
      <c r="B978" s="279">
        <v>0.08738006243478834</v>
      </c>
      <c r="C978" s="279">
        <v>0.009740832935660712</v>
      </c>
      <c r="D978" s="279">
        <v>0.09724293248301122</v>
      </c>
      <c r="E978" s="282">
        <v>5.146626431189591E-4</v>
      </c>
      <c r="F978" s="287">
        <v>26.258081566820692</v>
      </c>
      <c r="G978" s="235">
        <v>0.0</v>
      </c>
      <c r="H978" s="235">
        <v>5051.907399301883</v>
      </c>
      <c r="I978" s="287">
        <v>0.0</v>
      </c>
      <c r="J978" s="233">
        <v>47876.17656596785</v>
      </c>
    </row>
    <row r="979">
      <c r="A979" s="184">
        <v>42717.0</v>
      </c>
      <c r="B979" s="279">
        <v>0.08709846442874444</v>
      </c>
      <c r="C979" s="279">
        <v>0.009765930743435625</v>
      </c>
      <c r="D979" s="279">
        <v>0.09698674672027488</v>
      </c>
      <c r="E979" s="282">
        <v>5.149276571480019E-4</v>
      </c>
      <c r="F979" s="287">
        <v>26.258081566820692</v>
      </c>
      <c r="G979" s="235">
        <v>0.0</v>
      </c>
      <c r="H979" s="235">
        <v>5025.649317735062</v>
      </c>
      <c r="I979" s="287">
        <v>0.0</v>
      </c>
      <c r="J979" s="233">
        <v>47849.91848440103</v>
      </c>
    </row>
    <row r="980">
      <c r="A980" s="184">
        <v>42716.0</v>
      </c>
      <c r="B980" s="279">
        <v>0.08681526877422387</v>
      </c>
      <c r="C980" s="279">
        <v>0.009791142112702711</v>
      </c>
      <c r="D980" s="279">
        <v>0.09672907829329855</v>
      </c>
      <c r="E980" s="282">
        <v>5.151929442437605E-4</v>
      </c>
      <c r="F980" s="287">
        <v>26.258081566820692</v>
      </c>
      <c r="G980" s="235">
        <v>0.0</v>
      </c>
      <c r="H980" s="235">
        <v>4999.391236168241</v>
      </c>
      <c r="I980" s="287">
        <v>0.0</v>
      </c>
      <c r="J980" s="233">
        <v>47823.66040283421</v>
      </c>
    </row>
    <row r="981">
      <c r="A981" s="184">
        <v>42713.0</v>
      </c>
      <c r="B981" s="279">
        <v>0.08695256406547185</v>
      </c>
      <c r="C981" s="279">
        <v>0.009864352983413089</v>
      </c>
      <c r="D981" s="279">
        <v>0.09694050167078958</v>
      </c>
      <c r="E981" s="282">
        <v>5.154585048284987E-4</v>
      </c>
      <c r="F981" s="287">
        <v>26.258081566820692</v>
      </c>
      <c r="G981" s="235">
        <v>0.0</v>
      </c>
      <c r="H981" s="235">
        <v>4973.133154601421</v>
      </c>
      <c r="I981" s="287">
        <v>0.0</v>
      </c>
      <c r="J981" s="233">
        <v>47797.40232126739</v>
      </c>
    </row>
    <row r="982">
      <c r="A982" s="184">
        <v>42712.0</v>
      </c>
      <c r="B982" s="279">
        <v>0.08675508495755807</v>
      </c>
      <c r="C982" s="279">
        <v>0.009800720939191898</v>
      </c>
      <c r="D982" s="279">
        <v>0.0966797122753782</v>
      </c>
      <c r="E982" s="282">
        <v>5.156780533431597E-4</v>
      </c>
      <c r="F982" s="287">
        <v>26.258081566820692</v>
      </c>
      <c r="G982" s="235">
        <v>0.0</v>
      </c>
      <c r="H982" s="235">
        <v>4946.8750730346</v>
      </c>
      <c r="I982" s="287">
        <v>0.0</v>
      </c>
      <c r="J982" s="233">
        <v>47771.144239700574</v>
      </c>
    </row>
    <row r="983">
      <c r="A983" s="184">
        <v>42711.0</v>
      </c>
      <c r="B983" s="279">
        <v>0.08646688316979421</v>
      </c>
      <c r="C983" s="279">
        <v>0.009826287648361904</v>
      </c>
      <c r="D983" s="279">
        <v>0.09641740042589844</v>
      </c>
      <c r="E983" s="282">
        <v>5.159441143997072E-4</v>
      </c>
      <c r="F983" s="287">
        <v>26.258081566820692</v>
      </c>
      <c r="G983" s="235">
        <v>0.0</v>
      </c>
      <c r="H983" s="235">
        <v>4920.616991467779</v>
      </c>
      <c r="I983" s="287">
        <v>0.0</v>
      </c>
      <c r="J983" s="233">
        <v>47744.886158133755</v>
      </c>
    </row>
    <row r="984">
      <c r="A984" s="184">
        <v>42710.0</v>
      </c>
      <c r="B984" s="279">
        <v>0.08617702933402312</v>
      </c>
      <c r="C984" s="279">
        <v>0.009851971578978122</v>
      </c>
      <c r="D984" s="279">
        <v>0.09615355523183891</v>
      </c>
      <c r="E984" s="282">
        <v>5.162104501432503E-4</v>
      </c>
      <c r="F984" s="287">
        <v>26.258081566820692</v>
      </c>
      <c r="G984" s="235">
        <v>0.0</v>
      </c>
      <c r="H984" s="235">
        <v>4894.358909900959</v>
      </c>
      <c r="I984" s="287">
        <v>0.0</v>
      </c>
      <c r="J984" s="233">
        <v>47718.628076566936</v>
      </c>
    </row>
    <row r="985">
      <c r="A985" s="184">
        <v>42709.0</v>
      </c>
      <c r="B985" s="279">
        <v>0.08588551168583236</v>
      </c>
      <c r="C985" s="279">
        <v>0.009877773495765003</v>
      </c>
      <c r="D985" s="279">
        <v>0.09588816570317978</v>
      </c>
      <c r="E985" s="282">
        <v>5.164770609993975E-4</v>
      </c>
      <c r="F985" s="287">
        <v>26.258081566820692</v>
      </c>
      <c r="G985" s="235">
        <v>0.0</v>
      </c>
      <c r="H985" s="235">
        <v>4868.100828334138</v>
      </c>
      <c r="I985" s="287">
        <v>0.0</v>
      </c>
      <c r="J985" s="233">
        <v>47692.36999500012</v>
      </c>
    </row>
    <row r="986">
      <c r="A986" s="184">
        <v>42706.0</v>
      </c>
      <c r="B986" s="279">
        <v>0.0860170941274298</v>
      </c>
      <c r="C986" s="279">
        <v>0.009952844016612023</v>
      </c>
      <c r="D986" s="279">
        <v>0.09609576775053724</v>
      </c>
      <c r="E986" s="282">
        <v>5.16743947394637E-4</v>
      </c>
      <c r="F986" s="287">
        <v>26.258081566820692</v>
      </c>
      <c r="G986" s="235">
        <v>0.0</v>
      </c>
      <c r="H986" s="235">
        <v>4841.842746767317</v>
      </c>
      <c r="I986" s="287">
        <v>0.0</v>
      </c>
      <c r="J986" s="233">
        <v>47666.1119134333</v>
      </c>
    </row>
    <row r="987">
      <c r="A987" s="184">
        <v>42705.0</v>
      </c>
      <c r="B987" s="279">
        <v>0.08572180271913539</v>
      </c>
      <c r="C987" s="279">
        <v>0.009979136041219012</v>
      </c>
      <c r="D987" s="279">
        <v>0.09582710076582088</v>
      </c>
      <c r="E987" s="282">
        <v>5.170111097563394E-4</v>
      </c>
      <c r="F987" s="287">
        <v>26.258081566820692</v>
      </c>
      <c r="G987" s="235">
        <v>0.0</v>
      </c>
      <c r="H987" s="235">
        <v>4815.584665200497</v>
      </c>
      <c r="I987" s="287">
        <v>0.0</v>
      </c>
      <c r="J987" s="233">
        <v>47639.85383186648</v>
      </c>
    </row>
    <row r="988">
      <c r="A988" s="184">
        <v>42704.0</v>
      </c>
      <c r="B988" s="279">
        <v>0.08542480103492645</v>
      </c>
      <c r="C988" s="279">
        <v>0.010005550239429504</v>
      </c>
      <c r="D988" s="279">
        <v>0.0955568472233828</v>
      </c>
      <c r="E988" s="282">
        <v>5.172785485127591E-4</v>
      </c>
      <c r="F988" s="287">
        <v>26.258081566820692</v>
      </c>
      <c r="G988" s="235">
        <v>0.0</v>
      </c>
      <c r="H988" s="235">
        <v>4789.326583633676</v>
      </c>
      <c r="I988" s="287">
        <v>0.0</v>
      </c>
      <c r="J988" s="233">
        <v>47613.59575029966</v>
      </c>
    </row>
    <row r="989">
      <c r="A989" s="184">
        <v>42703.0</v>
      </c>
      <c r="B989" s="279">
        <v>0.08512607673605337</v>
      </c>
      <c r="C989" s="279">
        <v>0.010032087418833747</v>
      </c>
      <c r="D989" s="279">
        <v>0.09528499560227367</v>
      </c>
      <c r="E989" s="282">
        <v>5.175462640930374E-4</v>
      </c>
      <c r="F989" s="287">
        <v>26.258081566820692</v>
      </c>
      <c r="G989" s="235">
        <v>0.0</v>
      </c>
      <c r="H989" s="235">
        <v>4763.068502066855</v>
      </c>
      <c r="I989" s="287">
        <v>0.0</v>
      </c>
      <c r="J989" s="233">
        <v>47587.33766873284</v>
      </c>
    </row>
    <row r="990">
      <c r="A990" s="184">
        <v>42702.0</v>
      </c>
      <c r="B990" s="279">
        <v>0.08482561737023236</v>
      </c>
      <c r="C990" s="279">
        <v>0.010058748393616462</v>
      </c>
      <c r="D990" s="279">
        <v>0.09501153427468781</v>
      </c>
      <c r="E990" s="282">
        <v>5.178142569272041E-4</v>
      </c>
      <c r="F990" s="287">
        <v>26.258081566820692</v>
      </c>
      <c r="G990" s="235">
        <v>0.0</v>
      </c>
      <c r="H990" s="235">
        <v>4736.8104205000345</v>
      </c>
      <c r="I990" s="287">
        <v>0.0</v>
      </c>
      <c r="J990" s="233">
        <v>47561.07958716602</v>
      </c>
    </row>
    <row r="991">
      <c r="A991" s="184">
        <v>42699.0</v>
      </c>
      <c r="B991" s="279">
        <v>0.08495029628135943</v>
      </c>
      <c r="C991" s="279">
        <v>0.010136471024940308</v>
      </c>
      <c r="D991" s="279">
        <v>0.0952149184315652</v>
      </c>
      <c r="E991" s="282">
        <v>5.180825274461807E-4</v>
      </c>
      <c r="F991" s="287">
        <v>26.258081566820692</v>
      </c>
      <c r="G991" s="235">
        <v>0.0</v>
      </c>
      <c r="H991" s="235">
        <v>4710.552338933214</v>
      </c>
      <c r="I991" s="287">
        <v>0.0</v>
      </c>
      <c r="J991" s="233">
        <v>47534.821505599204</v>
      </c>
    </row>
    <row r="992">
      <c r="A992" s="184">
        <v>42698.0</v>
      </c>
      <c r="B992" s="279">
        <v>0.08464587061320422</v>
      </c>
      <c r="C992" s="279">
        <v>0.010163647272634383</v>
      </c>
      <c r="D992" s="279">
        <v>0.09493801258893445</v>
      </c>
      <c r="E992" s="282">
        <v>5.183510760817816E-4</v>
      </c>
      <c r="F992" s="287">
        <v>26.258081566820692</v>
      </c>
      <c r="G992" s="235">
        <v>0.0</v>
      </c>
      <c r="H992" s="235">
        <v>4684.294257366393</v>
      </c>
      <c r="I992" s="287">
        <v>0.0</v>
      </c>
      <c r="J992" s="233">
        <v>47508.563424032385</v>
      </c>
    </row>
    <row r="993">
      <c r="A993" s="184">
        <v>42697.0</v>
      </c>
      <c r="B993" s="279">
        <v>0.084339660500241</v>
      </c>
      <c r="C993" s="279">
        <v>0.010190951785665106</v>
      </c>
      <c r="D993" s="279">
        <v>0.09465945218843684</v>
      </c>
      <c r="E993" s="282">
        <v>5.186199032667173E-4</v>
      </c>
      <c r="F993" s="287">
        <v>26.258081566820692</v>
      </c>
      <c r="G993" s="235">
        <v>0.0</v>
      </c>
      <c r="H993" s="235">
        <v>4658.036175799572</v>
      </c>
      <c r="I993" s="287">
        <v>0.0</v>
      </c>
      <c r="J993" s="233">
        <v>47482.305342465566</v>
      </c>
    </row>
    <row r="994">
      <c r="A994" s="184">
        <v>42696.0</v>
      </c>
      <c r="B994" s="279">
        <v>0.08403165287120873</v>
      </c>
      <c r="C994" s="279">
        <v>0.010218385424620518</v>
      </c>
      <c r="D994" s="279">
        <v>0.09437922503027946</v>
      </c>
      <c r="E994" s="282">
        <v>5.188890094345965E-4</v>
      </c>
      <c r="F994" s="287">
        <v>26.258081566820692</v>
      </c>
      <c r="G994" s="235">
        <v>0.0</v>
      </c>
      <c r="H994" s="235">
        <v>4631.778094232752</v>
      </c>
      <c r="I994" s="287">
        <v>0.0</v>
      </c>
      <c r="J994" s="233">
        <v>47456.04726089875</v>
      </c>
    </row>
    <row r="995">
      <c r="A995" s="184">
        <v>42695.0</v>
      </c>
      <c r="B995" s="279">
        <v>0.08372183453275642</v>
      </c>
      <c r="C995" s="279">
        <v>0.0102459490572058</v>
      </c>
      <c r="D995" s="279">
        <v>0.0940973187997865</v>
      </c>
      <c r="E995" s="282">
        <v>5.191583950199279E-4</v>
      </c>
      <c r="F995" s="287">
        <v>26.258081566820692</v>
      </c>
      <c r="G995" s="235">
        <v>0.0</v>
      </c>
      <c r="H995" s="235">
        <v>4605.520012665931</v>
      </c>
      <c r="I995" s="287">
        <v>0.0</v>
      </c>
      <c r="J995" s="233">
        <v>47429.78917933193</v>
      </c>
    </row>
    <row r="996">
      <c r="A996" s="184">
        <v>42692.0</v>
      </c>
      <c r="B996" s="279">
        <v>0.08383903634375518</v>
      </c>
      <c r="C996" s="279">
        <v>0.010326464347808205</v>
      </c>
      <c r="D996" s="279">
        <v>0.09429605382222683</v>
      </c>
      <c r="E996" s="282">
        <v>5.194280604581237E-4</v>
      </c>
      <c r="F996" s="287">
        <v>26.258081566820692</v>
      </c>
      <c r="G996" s="235">
        <v>0.0</v>
      </c>
      <c r="H996" s="235">
        <v>4579.26193109911</v>
      </c>
      <c r="I996" s="287">
        <v>0.0</v>
      </c>
      <c r="J996" s="233">
        <v>47403.53109776511</v>
      </c>
    </row>
    <row r="997">
      <c r="A997" s="184">
        <v>42691.0</v>
      </c>
      <c r="B997" s="174">
        <v>0.08352504590430507</v>
      </c>
      <c r="C997" s="174">
        <v>0.010354570169890756</v>
      </c>
      <c r="D997" s="174">
        <v>0.09401052453490634</v>
      </c>
      <c r="E997" s="282">
        <v>1.4397269949573127E-4</v>
      </c>
      <c r="F997" s="287">
        <v>7.274314778504049</v>
      </c>
      <c r="G997" s="235">
        <v>0.0</v>
      </c>
      <c r="H997" s="235">
        <v>4553.00384953229</v>
      </c>
      <c r="I997" s="287">
        <v>0.0</v>
      </c>
      <c r="J997" s="233">
        <v>47377.27301619829</v>
      </c>
    </row>
    <row r="998">
      <c r="A998" s="184">
        <v>42690.0</v>
      </c>
      <c r="B998" s="279">
        <v>0.08360223852348589</v>
      </c>
      <c r="C998" s="279">
        <v>0.01038281076233029</v>
      </c>
      <c r="D998" s="279">
        <v>0.0941163147804185</v>
      </c>
      <c r="E998" s="282">
        <v>1.4399343061862908E-4</v>
      </c>
      <c r="F998" s="287">
        <v>7.27431477850314</v>
      </c>
      <c r="G998" s="235">
        <v>0.0</v>
      </c>
      <c r="H998" s="235">
        <v>4545.729534753786</v>
      </c>
      <c r="I998" s="287">
        <v>0.0</v>
      </c>
      <c r="J998" s="233">
        <v>47369.99870141978</v>
      </c>
    </row>
    <row r="999">
      <c r="A999" s="184">
        <v>42689.0</v>
      </c>
      <c r="B999" s="174">
        <v>0.08367983010499477</v>
      </c>
      <c r="C999" s="174">
        <v>0.010411202927291972</v>
      </c>
      <c r="D999" s="174">
        <v>0.09422265747704832</v>
      </c>
      <c r="E999" s="282">
        <v>1.658363735619333E-4</v>
      </c>
      <c r="F999" s="287">
        <v>8.376578514285939</v>
      </c>
      <c r="G999" s="235">
        <v>0.0</v>
      </c>
      <c r="H999" s="235">
        <v>4538.4552199752825</v>
      </c>
      <c r="I999" s="287">
        <v>0.0</v>
      </c>
      <c r="J999" s="233">
        <v>47362.72438664128</v>
      </c>
    </row>
    <row r="1000">
      <c r="A1000" s="184">
        <v>42688.0</v>
      </c>
      <c r="B1000" s="279">
        <v>0.08373487720292981</v>
      </c>
      <c r="C1000" s="279">
        <v>0.010439747903549236</v>
      </c>
      <c r="D1000" s="279">
        <v>0.09430661043332858</v>
      </c>
      <c r="E1000" s="282">
        <v>1.658638798260525E-4</v>
      </c>
      <c r="F1000" s="287">
        <v>8.376578514275025</v>
      </c>
      <c r="G1000" s="235">
        <v>0.0</v>
      </c>
      <c r="H1000" s="235">
        <v>4530.078641460997</v>
      </c>
      <c r="I1000" s="287">
        <v>0.0</v>
      </c>
      <c r="J1000" s="233">
        <v>47354.347808127</v>
      </c>
    </row>
    <row r="1001">
      <c r="A1001" s="184">
        <v>42685.0</v>
      </c>
      <c r="B1001" s="279">
        <v>0.08422888847256449</v>
      </c>
      <c r="C1001" s="279">
        <v>0.01052325462702124</v>
      </c>
      <c r="D1001" s="279">
        <v>0.09488518416669771</v>
      </c>
      <c r="E1001" s="282">
        <v>1.6589139521649285E-4</v>
      </c>
      <c r="F1001" s="287">
        <v>8.376578514275025</v>
      </c>
      <c r="G1001" s="235">
        <v>0.0</v>
      </c>
      <c r="H1001" s="235">
        <v>4521.7020629467215</v>
      </c>
      <c r="I1001" s="287">
        <v>0.0</v>
      </c>
      <c r="J1001" s="233">
        <v>47345.971229612725</v>
      </c>
    </row>
    <row r="1002">
      <c r="A1002" s="184">
        <v>42684.0</v>
      </c>
      <c r="B1002" s="279">
        <v>0.08428592520566595</v>
      </c>
      <c r="C1002" s="279">
        <v>0.010552402421220606</v>
      </c>
      <c r="D1002" s="279">
        <v>0.09497173719725933</v>
      </c>
      <c r="E1002" s="282">
        <v>1.6591891973758092E-4</v>
      </c>
      <c r="F1002" s="287">
        <v>8.376578514275025</v>
      </c>
      <c r="G1002" s="235">
        <v>0.0</v>
      </c>
      <c r="H1002" s="235">
        <v>4513.3254844324465</v>
      </c>
      <c r="I1002" s="287">
        <v>0.0</v>
      </c>
      <c r="J1002" s="233">
        <v>47337.59465109845</v>
      </c>
    </row>
    <row r="1003">
      <c r="A1003" s="184">
        <v>42683.0</v>
      </c>
      <c r="B1003" s="279">
        <v>0.08434324765076937</v>
      </c>
      <c r="C1003" s="279">
        <v>0.010581708227944176</v>
      </c>
      <c r="D1003" s="279">
        <v>0.09505873595003277</v>
      </c>
      <c r="E1003" s="282">
        <v>1.6594645339386232E-4</v>
      </c>
      <c r="F1003" s="287">
        <v>8.376578514275025</v>
      </c>
      <c r="G1003" s="235">
        <v>0.0</v>
      </c>
      <c r="H1003" s="235">
        <v>4504.9489059181715</v>
      </c>
      <c r="I1003" s="287">
        <v>0.0</v>
      </c>
      <c r="J1003" s="233">
        <v>47329.218072584175</v>
      </c>
    </row>
    <row r="1004">
      <c r="A1004" s="184">
        <v>42682.0</v>
      </c>
      <c r="B1004" s="279">
        <v>0.08449755813276945</v>
      </c>
      <c r="C1004" s="279">
        <v>0.010514473455753104</v>
      </c>
      <c r="D1004" s="279">
        <v>0.09514618417492547</v>
      </c>
      <c r="E1004" s="282">
        <v>1.6595896856609095E-4</v>
      </c>
      <c r="F1004" s="287">
        <v>8.376578514275025</v>
      </c>
      <c r="G1004" s="235">
        <v>0.0</v>
      </c>
      <c r="H1004" s="235">
        <v>4496.572327403896</v>
      </c>
      <c r="I1004" s="287">
        <v>0.0</v>
      </c>
      <c r="J1004" s="233">
        <v>47320.8414940699</v>
      </c>
    </row>
    <row r="1005">
      <c r="A1005" s="184">
        <v>42681.0</v>
      </c>
      <c r="B1005" s="279">
        <v>0.08455572930706845</v>
      </c>
      <c r="C1005" s="279">
        <v>0.010543829225701013</v>
      </c>
      <c r="D1005" s="279">
        <v>0.09523408566502872</v>
      </c>
      <c r="E1005" s="282">
        <v>1.6598651551700202E-4</v>
      </c>
      <c r="F1005" s="287">
        <v>8.376578514275025</v>
      </c>
      <c r="G1005" s="235">
        <v>0.0</v>
      </c>
      <c r="H1005" s="235">
        <v>4488.195748889621</v>
      </c>
      <c r="I1005" s="287">
        <v>0.0</v>
      </c>
      <c r="J1005" s="233">
        <v>47312.464915555625</v>
      </c>
    </row>
    <row r="1006">
      <c r="A1006" s="184">
        <v>42678.0</v>
      </c>
      <c r="B1006" s="279">
        <v>0.0850654707585859</v>
      </c>
      <c r="C1006" s="279">
        <v>0.010629736655796458</v>
      </c>
      <c r="D1006" s="279">
        <v>0.09583083062662956</v>
      </c>
      <c r="E1006" s="282">
        <v>1.6601407161427606E-4</v>
      </c>
      <c r="F1006" s="287">
        <v>8.376578514275025</v>
      </c>
      <c r="G1006" s="235">
        <v>0.0</v>
      </c>
      <c r="H1006" s="235">
        <v>4479.819170375346</v>
      </c>
      <c r="I1006" s="287">
        <v>0.0</v>
      </c>
      <c r="J1006" s="233">
        <v>47304.08833704135</v>
      </c>
    </row>
    <row r="1007">
      <c r="A1007" s="184">
        <v>42677.0</v>
      </c>
      <c r="B1007" s="279">
        <v>0.08512575446390448</v>
      </c>
      <c r="C1007" s="279">
        <v>0.010659724212332213</v>
      </c>
      <c r="D1007" s="279">
        <v>0.09592148449521033</v>
      </c>
      <c r="E1007" s="282">
        <v>1.660416368624691E-4</v>
      </c>
      <c r="F1007" s="287">
        <v>8.376578514275025</v>
      </c>
      <c r="G1007" s="235">
        <v>0.0</v>
      </c>
      <c r="H1007" s="235">
        <v>4471.442591861071</v>
      </c>
      <c r="I1007" s="287">
        <v>0.0</v>
      </c>
      <c r="J1007" s="233">
        <v>47295.711758527075</v>
      </c>
    </row>
    <row r="1008">
      <c r="A1008" s="184">
        <v>42676.0</v>
      </c>
      <c r="B1008" s="279">
        <v>0.08518634759314538</v>
      </c>
      <c r="C1008" s="279">
        <v>0.01068987746901226</v>
      </c>
      <c r="D1008" s="279">
        <v>0.09601261560200094</v>
      </c>
      <c r="E1008" s="282">
        <v>1.660692112661402E-4</v>
      </c>
      <c r="F1008" s="287">
        <v>8.376578514275025</v>
      </c>
      <c r="G1008" s="235">
        <v>0.0</v>
      </c>
      <c r="H1008" s="235">
        <v>4463.066013346796</v>
      </c>
      <c r="I1008" s="287">
        <v>0.0</v>
      </c>
      <c r="J1008" s="233">
        <v>47287.3351800128</v>
      </c>
    </row>
    <row r="1009">
      <c r="A1009" s="184">
        <v>42675.0</v>
      </c>
      <c r="B1009" s="279">
        <v>0.08524725283035414</v>
      </c>
      <c r="C1009" s="279">
        <v>0.010720197817159936</v>
      </c>
      <c r="D1009" s="279">
        <v>0.09610422804012199</v>
      </c>
      <c r="E1009" s="282">
        <v>1.6609679482985142E-4</v>
      </c>
      <c r="F1009" s="287">
        <v>8.376578514275025</v>
      </c>
      <c r="G1009" s="235">
        <v>0.0</v>
      </c>
      <c r="H1009" s="235">
        <v>4454.689434832521</v>
      </c>
      <c r="I1009" s="287">
        <v>0.0</v>
      </c>
      <c r="J1009" s="233">
        <v>47278.958601498525</v>
      </c>
    </row>
    <row r="1010">
      <c r="A1010" s="184">
        <v>42674.0</v>
      </c>
      <c r="B1010" s="279">
        <v>0.08530847289157464</v>
      </c>
      <c r="C1010" s="279">
        <v>0.010750686663953853</v>
      </c>
      <c r="D1010" s="279">
        <v>0.0961963259507499</v>
      </c>
      <c r="E1010" s="282">
        <v>1.661243875581679E-4</v>
      </c>
      <c r="F1010" s="287">
        <v>8.376578514275025</v>
      </c>
      <c r="G1010" s="235">
        <v>0.0</v>
      </c>
      <c r="H1010" s="235">
        <v>4446.312856318246</v>
      </c>
      <c r="I1010" s="287">
        <v>0.0</v>
      </c>
      <c r="J1010" s="233">
        <v>47270.58202298425</v>
      </c>
    </row>
    <row r="1011">
      <c r="A1011" s="184">
        <v>42671.0</v>
      </c>
      <c r="B1011" s="279">
        <v>0.08583397797384827</v>
      </c>
      <c r="C1011" s="279">
        <v>0.01083993970131458</v>
      </c>
      <c r="D1011" s="279">
        <v>0.09681222283647242</v>
      </c>
      <c r="E1011" s="282">
        <v>1.661519894556578E-4</v>
      </c>
      <c r="F1011" s="287">
        <v>8.376578514275025</v>
      </c>
      <c r="G1011" s="235">
        <v>0.0</v>
      </c>
      <c r="H1011" s="235">
        <v>4437.936277803971</v>
      </c>
      <c r="I1011" s="287">
        <v>0.0</v>
      </c>
      <c r="J1011" s="233">
        <v>47262.205444469975</v>
      </c>
    </row>
    <row r="1012">
      <c r="A1012" s="184">
        <v>42670.0</v>
      </c>
      <c r="B1012" s="279">
        <v>0.08589743727891859</v>
      </c>
      <c r="C1012" s="279">
        <v>0.010871097500533191</v>
      </c>
      <c r="D1012" s="279">
        <v>0.09690723747843828</v>
      </c>
      <c r="E1012" s="282">
        <v>1.661796005268923E-4</v>
      </c>
      <c r="F1012" s="287">
        <v>8.376578514275025</v>
      </c>
      <c r="G1012" s="235">
        <v>0.0</v>
      </c>
      <c r="H1012" s="235">
        <v>4429.559699289696</v>
      </c>
      <c r="I1012" s="287">
        <v>0.0</v>
      </c>
      <c r="J1012" s="233">
        <v>47253.8288659557</v>
      </c>
    </row>
    <row r="1013">
      <c r="A1013" s="184">
        <v>42669.0</v>
      </c>
      <c r="B1013" s="279">
        <v>0.0859612302694086</v>
      </c>
      <c r="C1013" s="279">
        <v>0.010902430852295367</v>
      </c>
      <c r="D1013" s="279">
        <v>0.09700276359821591</v>
      </c>
      <c r="E1013" s="282">
        <v>1.662072207764456E-4</v>
      </c>
      <c r="F1013" s="287">
        <v>8.376578514275025</v>
      </c>
      <c r="G1013" s="235">
        <v>0.0</v>
      </c>
      <c r="H1013" s="235">
        <v>4421.183120775421</v>
      </c>
      <c r="I1013" s="287">
        <v>0.0</v>
      </c>
      <c r="J1013" s="233">
        <v>47245.452287441425</v>
      </c>
    </row>
    <row r="1014">
      <c r="A1014" s="184">
        <v>42668.0</v>
      </c>
      <c r="B1014" s="279">
        <v>0.08602535989641814</v>
      </c>
      <c r="C1014" s="279">
        <v>0.010933941260101563</v>
      </c>
      <c r="D1014" s="279">
        <v>0.09709880566958856</v>
      </c>
      <c r="E1014" s="282">
        <v>1.66234850208895E-4</v>
      </c>
      <c r="F1014" s="287">
        <v>8.376578514275025</v>
      </c>
      <c r="G1014" s="235">
        <v>0.0</v>
      </c>
      <c r="H1014" s="235">
        <v>4412.806542261146</v>
      </c>
      <c r="I1014" s="287">
        <v>0.0</v>
      </c>
      <c r="J1014" s="233">
        <v>47237.07570892715</v>
      </c>
    </row>
    <row r="1015">
      <c r="A1015" s="184">
        <v>42667.0</v>
      </c>
      <c r="B1015" s="279">
        <v>0.08608982914691345</v>
      </c>
      <c r="C1015" s="279">
        <v>0.010965630244933884</v>
      </c>
      <c r="D1015" s="279">
        <v>0.09719536821991052</v>
      </c>
      <c r="E1015" s="282">
        <v>1.6626248882882082E-4</v>
      </c>
      <c r="F1015" s="287">
        <v>8.376578514275025</v>
      </c>
      <c r="G1015" s="235">
        <v>0.0</v>
      </c>
      <c r="H1015" s="235">
        <v>4404.429963746871</v>
      </c>
      <c r="I1015" s="287">
        <v>0.0</v>
      </c>
      <c r="J1015" s="233">
        <v>47228.699130412875</v>
      </c>
    </row>
    <row r="1016">
      <c r="A1016" s="184">
        <v>42664.0</v>
      </c>
      <c r="B1016" s="279">
        <v>0.08663195207500596</v>
      </c>
      <c r="C1016" s="279">
        <v>0.011058427319729393</v>
      </c>
      <c r="D1016" s="279">
        <v>0.09783147220672762</v>
      </c>
      <c r="E1016" s="282">
        <v>1.6629013664080643E-4</v>
      </c>
      <c r="F1016" s="287">
        <v>8.376578514275025</v>
      </c>
      <c r="G1016" s="235">
        <v>0.0</v>
      </c>
      <c r="H1016" s="235">
        <v>4396.053385232596</v>
      </c>
      <c r="I1016" s="287">
        <v>0.0</v>
      </c>
      <c r="J1016" s="233">
        <v>47220.3225518986</v>
      </c>
    </row>
    <row r="1017">
      <c r="A1017" s="184">
        <v>42663.0</v>
      </c>
      <c r="B1017" s="279">
        <v>0.08669879753032701</v>
      </c>
      <c r="C1017" s="279">
        <v>0.011090825397014321</v>
      </c>
      <c r="D1017" s="279">
        <v>0.09793112910153197</v>
      </c>
      <c r="E1017" s="282">
        <v>1.663177936494382E-4</v>
      </c>
      <c r="F1017" s="287">
        <v>8.376578514275025</v>
      </c>
      <c r="G1017" s="235">
        <v>0.0</v>
      </c>
      <c r="H1017" s="235">
        <v>4387.676806718321</v>
      </c>
      <c r="I1017" s="287">
        <v>0.0</v>
      </c>
      <c r="J1017" s="233">
        <v>47211.945973384325</v>
      </c>
    </row>
    <row r="1018">
      <c r="A1018" s="184">
        <v>42662.0</v>
      </c>
      <c r="B1018" s="279">
        <v>0.08676600313718294</v>
      </c>
      <c r="C1018" s="279">
        <v>0.011123409677504286</v>
      </c>
      <c r="D1018" s="279">
        <v>0.09803133472681494</v>
      </c>
      <c r="E1018" s="282">
        <v>1.663454598593056E-4</v>
      </c>
      <c r="F1018" s="287">
        <v>8.376578514275025</v>
      </c>
      <c r="G1018" s="235">
        <v>0.0</v>
      </c>
      <c r="H1018" s="235">
        <v>4379.300228204046</v>
      </c>
      <c r="I1018" s="287">
        <v>0.0</v>
      </c>
      <c r="J1018" s="233">
        <v>47203.56939487005</v>
      </c>
    </row>
    <row r="1019">
      <c r="A1019" s="184">
        <v>42661.0</v>
      </c>
      <c r="B1019" s="279">
        <v>0.08683357214434187</v>
      </c>
      <c r="C1019" s="279">
        <v>0.0111561817884262</v>
      </c>
      <c r="D1019" s="279">
        <v>0.09813209397933309</v>
      </c>
      <c r="E1019" s="282">
        <v>1.6637313527500112E-4</v>
      </c>
      <c r="F1019" s="287">
        <v>8.376578514275025</v>
      </c>
      <c r="G1019" s="235">
        <v>0.0</v>
      </c>
      <c r="H1019" s="235">
        <v>4370.923649689771</v>
      </c>
      <c r="I1019" s="287">
        <v>0.0</v>
      </c>
      <c r="J1019" s="233">
        <v>47195.192816355775</v>
      </c>
    </row>
    <row r="1020">
      <c r="A1020" s="184">
        <v>42660.0</v>
      </c>
      <c r="B1020" s="279">
        <v>0.08690150784084158</v>
      </c>
      <c r="C1020" s="279">
        <v>0.01118914337631951</v>
      </c>
      <c r="D1020" s="279">
        <v>0.09823341181567162</v>
      </c>
      <c r="E1020" s="282">
        <v>1.6640081990112042E-4</v>
      </c>
      <c r="F1020" s="287">
        <v>8.376578514275025</v>
      </c>
      <c r="G1020" s="235">
        <v>0.0</v>
      </c>
      <c r="H1020" s="235">
        <v>4362.547071175496</v>
      </c>
      <c r="I1020" s="287">
        <v>0.0</v>
      </c>
      <c r="J1020" s="233">
        <v>47186.8162378415</v>
      </c>
    </row>
    <row r="1021">
      <c r="A1021" s="184">
        <v>42657.0</v>
      </c>
      <c r="B1021" s="279">
        <v>0.08746116843548493</v>
      </c>
      <c r="C1021" s="279">
        <v>0.011285698910195645</v>
      </c>
      <c r="D1021" s="279">
        <v>0.09889085988173467</v>
      </c>
      <c r="E1021" s="282">
        <v>1.6642851374226204E-4</v>
      </c>
      <c r="F1021" s="287">
        <v>8.376578514275025</v>
      </c>
      <c r="G1021" s="235">
        <v>0.0</v>
      </c>
      <c r="H1021" s="235">
        <v>4354.170492661221</v>
      </c>
      <c r="I1021" s="287">
        <v>0.0</v>
      </c>
      <c r="J1021" s="233">
        <v>47178.439659327225</v>
      </c>
    </row>
    <row r="1022">
      <c r="A1022" s="184">
        <v>42656.0</v>
      </c>
      <c r="B1022" s="279">
        <v>0.08753162859901055</v>
      </c>
      <c r="C1022" s="279">
        <v>0.011319413008397694</v>
      </c>
      <c r="D1022" s="279">
        <v>0.09899546429657377</v>
      </c>
      <c r="E1022" s="282">
        <v>1.6645621680302773E-4</v>
      </c>
      <c r="F1022" s="287">
        <v>8.376578514275025</v>
      </c>
      <c r="G1022" s="235">
        <v>0.0</v>
      </c>
      <c r="H1022" s="235">
        <v>4345.793914146946</v>
      </c>
      <c r="I1022" s="287">
        <v>0.0</v>
      </c>
      <c r="J1022" s="233">
        <v>47170.06308081295</v>
      </c>
    </row>
    <row r="1023">
      <c r="A1023" s="184">
        <v>42655.0</v>
      </c>
      <c r="B1023" s="279">
        <v>0.0876024778276918</v>
      </c>
      <c r="C1023" s="279">
        <v>0.011353324841304928</v>
      </c>
      <c r="D1023" s="279">
        <v>0.09910065803414107</v>
      </c>
      <c r="E1023" s="282">
        <v>1.6648392908802224E-4</v>
      </c>
      <c r="F1023" s="287">
        <v>8.376578514275025</v>
      </c>
      <c r="G1023" s="235">
        <v>0.0</v>
      </c>
      <c r="H1023" s="235">
        <v>4337.417335632671</v>
      </c>
      <c r="I1023" s="287">
        <v>0.0</v>
      </c>
      <c r="J1023" s="233">
        <v>47161.686502298675</v>
      </c>
    </row>
    <row r="1024">
      <c r="A1024" s="184">
        <v>42654.0</v>
      </c>
      <c r="B1024" s="279">
        <v>0.08767371970270438</v>
      </c>
      <c r="C1024" s="279">
        <v>0.011387436172877607</v>
      </c>
      <c r="D1024" s="279">
        <v>0.09920644646207862</v>
      </c>
      <c r="E1024" s="282">
        <v>1.6651165060185336E-4</v>
      </c>
      <c r="F1024" s="287">
        <v>8.376578514275025</v>
      </c>
      <c r="G1024" s="235">
        <v>0.0</v>
      </c>
      <c r="H1024" s="235">
        <v>4329.040757118396</v>
      </c>
      <c r="I1024" s="287">
        <v>0.0</v>
      </c>
      <c r="J1024" s="233">
        <v>47153.3099237844</v>
      </c>
    </row>
    <row r="1025">
      <c r="A1025" s="184">
        <v>42653.0</v>
      </c>
      <c r="B1025" s="279">
        <v>0.08774535785051768</v>
      </c>
      <c r="C1025" s="279">
        <v>0.011421748788454525</v>
      </c>
      <c r="D1025" s="279">
        <v>0.0993128350149735</v>
      </c>
      <c r="E1025" s="282">
        <v>1.66539381349132E-4</v>
      </c>
      <c r="F1025" s="287">
        <v>8.376578514275025</v>
      </c>
      <c r="G1025" s="235">
        <v>0.0</v>
      </c>
      <c r="H1025" s="235">
        <v>4320.664178604121</v>
      </c>
      <c r="I1025" s="287">
        <v>0.0</v>
      </c>
      <c r="J1025" s="233">
        <v>47144.933345270125</v>
      </c>
    </row>
    <row r="1026">
      <c r="A1026" s="184">
        <v>42650.0</v>
      </c>
      <c r="B1026" s="279">
        <v>0.08831983801910338</v>
      </c>
      <c r="C1026" s="279">
        <v>0.011522294837995694</v>
      </c>
      <c r="D1026" s="279">
        <v>0.09999285414756812</v>
      </c>
      <c r="E1026" s="282">
        <v>1.665676512824768E-4</v>
      </c>
      <c r="F1026" s="287">
        <v>8.376578514275025</v>
      </c>
      <c r="G1026" s="235">
        <v>0.0</v>
      </c>
      <c r="H1026" s="235">
        <v>4312.287600089846</v>
      </c>
      <c r="I1026" s="287">
        <v>0.0</v>
      </c>
      <c r="J1026" s="233">
        <v>47136.55676675585</v>
      </c>
    </row>
    <row r="1027">
      <c r="A1027" s="184">
        <v>42649.0</v>
      </c>
      <c r="B1027" s="279">
        <v>0.08839415007698649</v>
      </c>
      <c r="C1027" s="279">
        <v>0.01155740700118161</v>
      </c>
      <c r="D1027" s="279">
        <v>0.1001027376652114</v>
      </c>
      <c r="E1027" s="282">
        <v>1.665954006870837E-4</v>
      </c>
      <c r="F1027" s="287">
        <v>8.376578514275025</v>
      </c>
      <c r="G1027" s="235">
        <v>0.0</v>
      </c>
      <c r="H1027" s="235">
        <v>4303.911021575571</v>
      </c>
      <c r="I1027" s="287">
        <v>0.0</v>
      </c>
      <c r="J1027" s="233">
        <v>47128.180188241575</v>
      </c>
    </row>
    <row r="1028">
      <c r="A1028" s="184">
        <v>42648.0</v>
      </c>
      <c r="B1028" s="279">
        <v>0.08846888276839743</v>
      </c>
      <c r="C1028" s="279">
        <v>0.011592729404458994</v>
      </c>
      <c r="D1028" s="279">
        <v>0.10021325480659087</v>
      </c>
      <c r="E1028" s="282">
        <v>1.6662315933907754E-4</v>
      </c>
      <c r="F1028" s="287">
        <v>8.376578514275025</v>
      </c>
      <c r="G1028" s="235">
        <v>0.0</v>
      </c>
      <c r="H1028" s="235">
        <v>4295.534443061296</v>
      </c>
      <c r="I1028" s="287">
        <v>0.0</v>
      </c>
      <c r="J1028" s="233">
        <v>47119.8036097273</v>
      </c>
    </row>
    <row r="1029">
      <c r="A1029" s="184">
        <v>42647.0</v>
      </c>
      <c r="B1029" s="279">
        <v>0.08854404004581609</v>
      </c>
      <c r="C1029" s="279">
        <v>0.011628263963205127</v>
      </c>
      <c r="D1029" s="279">
        <v>0.10032441146461847</v>
      </c>
      <c r="E1029" s="282">
        <v>1.6665092724308156E-4</v>
      </c>
      <c r="F1029" s="287">
        <v>8.376578514275025</v>
      </c>
      <c r="G1029" s="235">
        <v>0.0</v>
      </c>
      <c r="H1029" s="235">
        <v>4287.157864547021</v>
      </c>
      <c r="I1029" s="287">
        <v>0.0</v>
      </c>
      <c r="J1029" s="233">
        <v>47111.427031213025</v>
      </c>
    </row>
    <row r="1030">
      <c r="A1030" s="184">
        <v>42646.0</v>
      </c>
      <c r="B1030" s="279">
        <v>0.08861962591275414</v>
      </c>
      <c r="C1030" s="279">
        <v>0.01166401261651295</v>
      </c>
      <c r="D1030" s="279">
        <v>0.10043621360726379</v>
      </c>
      <c r="E1030" s="282">
        <v>1.666787044037221E-4</v>
      </c>
      <c r="F1030" s="287">
        <v>8.376578514275025</v>
      </c>
      <c r="G1030" s="235">
        <v>0.0</v>
      </c>
      <c r="H1030" s="235">
        <v>4278.781286032746</v>
      </c>
      <c r="I1030" s="287">
        <v>0.0</v>
      </c>
      <c r="J1030" s="233">
        <v>47103.05045269875</v>
      </c>
    </row>
    <row r="1031">
      <c r="A1031" s="184">
        <v>42643.0</v>
      </c>
      <c r="B1031" s="279">
        <v>0.08932159297029207</v>
      </c>
      <c r="C1031" s="279">
        <v>0.01166459126277572</v>
      </c>
      <c r="D1031" s="279">
        <v>0.10114013002748423</v>
      </c>
      <c r="E1031" s="282">
        <v>1.666918941820234E-4</v>
      </c>
      <c r="F1031" s="287">
        <v>8.376578514275025</v>
      </c>
      <c r="G1031" s="235">
        <v>0.0</v>
      </c>
      <c r="H1031" s="235">
        <v>4270.404707518471</v>
      </c>
      <c r="I1031" s="287">
        <v>0.0</v>
      </c>
      <c r="J1031" s="233">
        <v>47094.673874184475</v>
      </c>
    </row>
    <row r="1032">
      <c r="A1032" s="184">
        <v>42642.0</v>
      </c>
      <c r="B1032" s="279">
        <v>0.08940036242818733</v>
      </c>
      <c r="C1032" s="279">
        <v>0.011700866429564163</v>
      </c>
      <c r="D1032" s="279">
        <v>0.1012556534009936</v>
      </c>
      <c r="E1032" s="282">
        <v>1.6671968500211386E-4</v>
      </c>
      <c r="F1032" s="287">
        <v>8.376578514275025</v>
      </c>
      <c r="G1032" s="235">
        <v>0.0</v>
      </c>
      <c r="H1032" s="235">
        <v>4262.028129004196</v>
      </c>
      <c r="I1032" s="287">
        <v>0.0</v>
      </c>
      <c r="J1032" s="233">
        <v>47086.2972956702</v>
      </c>
    </row>
    <row r="1033">
      <c r="A1033" s="184">
        <v>42641.0</v>
      </c>
      <c r="B1033" s="279">
        <v>0.08947958916762867</v>
      </c>
      <c r="C1033" s="279">
        <v>0.011737363438914275</v>
      </c>
      <c r="D1033" s="279">
        <v>0.10137185882642263</v>
      </c>
      <c r="E1033" s="282">
        <v>1.66747485090303E-4</v>
      </c>
      <c r="F1033" s="287">
        <v>8.376578514275025</v>
      </c>
      <c r="G1033" s="235">
        <v>0.0</v>
      </c>
      <c r="H1033" s="235">
        <v>4253.651550489921</v>
      </c>
      <c r="I1033" s="287">
        <v>0.0</v>
      </c>
      <c r="J1033" s="233">
        <v>47077.920717155925</v>
      </c>
    </row>
    <row r="1034">
      <c r="A1034" s="184">
        <v>42640.0</v>
      </c>
      <c r="B1034" s="279">
        <v>0.09096162024628</v>
      </c>
      <c r="C1034" s="279">
        <v>0.0103717416859754</v>
      </c>
      <c r="D1034" s="279">
        <v>0.10148875278383739</v>
      </c>
      <c r="E1034" s="282">
        <v>1.6658074414933687E-4</v>
      </c>
      <c r="F1034" s="287">
        <v>8.376578514275025</v>
      </c>
      <c r="G1034" s="235">
        <v>0.0</v>
      </c>
      <c r="H1034" s="235">
        <v>4245.274971975646</v>
      </c>
      <c r="I1034" s="287">
        <v>0.0</v>
      </c>
      <c r="J1034" s="233">
        <v>47069.54413864165</v>
      </c>
    </row>
    <row r="1035">
      <c r="A1035" s="184">
        <v>42639.0</v>
      </c>
      <c r="B1035" s="279">
        <v>0.09104617530230841</v>
      </c>
      <c r="C1035" s="279">
        <v>0.01040428806937804</v>
      </c>
      <c r="D1035" s="279">
        <v>0.1016063418376331</v>
      </c>
      <c r="E1035" s="282">
        <v>1.6660849791690145E-4</v>
      </c>
      <c r="F1035" s="287">
        <v>8.376578514275025</v>
      </c>
      <c r="G1035" s="235">
        <v>0.0</v>
      </c>
      <c r="H1035" s="235">
        <v>4236.898393461371</v>
      </c>
      <c r="I1035" s="287">
        <v>0.0</v>
      </c>
      <c r="J1035" s="233">
        <v>47061.167560127375</v>
      </c>
    </row>
    <row r="1036">
      <c r="A1036" s="184">
        <v>42636.0</v>
      </c>
      <c r="B1036" s="279">
        <v>0.09167856285115976</v>
      </c>
      <c r="C1036" s="279">
        <v>0.010499720296749828</v>
      </c>
      <c r="D1036" s="279">
        <v>0.1023355913925307</v>
      </c>
      <c r="E1036" s="282">
        <v>1.6663626093403418E-4</v>
      </c>
      <c r="F1036" s="287">
        <v>8.376578514275025</v>
      </c>
      <c r="G1036" s="235">
        <v>0.0</v>
      </c>
      <c r="H1036" s="235">
        <v>4228.521814947096</v>
      </c>
      <c r="I1036" s="287">
        <v>0.0</v>
      </c>
      <c r="J1036" s="233">
        <v>47052.7909816131</v>
      </c>
    </row>
    <row r="1037">
      <c r="A1037" s="184">
        <v>42635.0</v>
      </c>
      <c r="B1037" s="279">
        <v>0.09176628229827845</v>
      </c>
      <c r="C1037" s="279">
        <v>0.010533057767616377</v>
      </c>
      <c r="D1037" s="279">
        <v>0.10245714777706114</v>
      </c>
      <c r="E1037" s="282">
        <v>1.666640332053597E-4</v>
      </c>
      <c r="F1037" s="287">
        <v>8.376578514275025</v>
      </c>
      <c r="G1037" s="235">
        <v>0.0</v>
      </c>
      <c r="H1037" s="235">
        <v>4220.145236432821</v>
      </c>
      <c r="I1037" s="287">
        <v>0.0</v>
      </c>
      <c r="J1037" s="233">
        <v>47044.414403098825</v>
      </c>
    </row>
    <row r="1038">
      <c r="A1038" s="184">
        <v>42634.0</v>
      </c>
      <c r="B1038" s="279">
        <v>0.09185452538030463</v>
      </c>
      <c r="C1038" s="279">
        <v>0.010566603565099576</v>
      </c>
      <c r="D1038" s="279">
        <v>0.10257943924429355</v>
      </c>
      <c r="E1038" s="282">
        <v>1.6669181473550585E-4</v>
      </c>
      <c r="F1038" s="287">
        <v>8.376578514275025</v>
      </c>
      <c r="G1038" s="235">
        <v>0.0</v>
      </c>
      <c r="H1038" s="235">
        <v>4211.768657918546</v>
      </c>
      <c r="I1038" s="287">
        <v>0.0</v>
      </c>
      <c r="J1038" s="233">
        <v>47036.03782458455</v>
      </c>
    </row>
    <row r="1039">
      <c r="A1039" s="184">
        <v>42633.0</v>
      </c>
      <c r="B1039" s="279">
        <v>0.09272149580685739</v>
      </c>
      <c r="C1039" s="279">
        <v>0.009822161087702924</v>
      </c>
      <c r="D1039" s="279">
        <v>0.10270247293204804</v>
      </c>
      <c r="E1039" s="282">
        <v>1.6661398680819372E-4</v>
      </c>
      <c r="F1039" s="287">
        <v>8.376578514275025</v>
      </c>
      <c r="G1039" s="235">
        <v>0.0</v>
      </c>
      <c r="H1039" s="235">
        <v>4203.392079404271</v>
      </c>
      <c r="I1039" s="287">
        <v>0.0</v>
      </c>
      <c r="J1039" s="233">
        <v>47027.661246070275</v>
      </c>
    </row>
    <row r="1040">
      <c r="A1040" s="184">
        <v>42632.0</v>
      </c>
      <c r="B1040" s="279">
        <v>0.09281329531122533</v>
      </c>
      <c r="C1040" s="279">
        <v>0.00985363580482977</v>
      </c>
      <c r="D1040" s="279">
        <v>0.10282625607309837</v>
      </c>
      <c r="E1040" s="282">
        <v>1.6664175165480562E-4</v>
      </c>
      <c r="F1040" s="287">
        <v>8.376578514275025</v>
      </c>
      <c r="G1040" s="235">
        <v>0.0</v>
      </c>
      <c r="H1040" s="235">
        <v>4195.015500889996</v>
      </c>
      <c r="I1040" s="287">
        <v>0.0</v>
      </c>
      <c r="J1040" s="233">
        <v>47019.284667556</v>
      </c>
    </row>
    <row r="1041">
      <c r="A1041" s="184">
        <v>42629.0</v>
      </c>
      <c r="B1041" s="279">
        <v>0.09408475098706967</v>
      </c>
      <c r="C1041" s="279">
        <v>0.009336827301510519</v>
      </c>
      <c r="D1041" s="279">
        <v>0.10358239597224074</v>
      </c>
      <c r="E1041" s="282">
        <v>1.6658791994456627E-4</v>
      </c>
      <c r="F1041" s="287">
        <v>8.376578514275025</v>
      </c>
      <c r="G1041" s="235">
        <v>0.0</v>
      </c>
      <c r="H1041" s="235">
        <v>4186.6389223757205</v>
      </c>
      <c r="I1041" s="287">
        <v>0.0</v>
      </c>
      <c r="J1041" s="233">
        <v>47010.908089041724</v>
      </c>
    </row>
    <row r="1042">
      <c r="A1042" s="184">
        <v>42628.0</v>
      </c>
      <c r="B1042" s="279">
        <v>0.094181966956847</v>
      </c>
      <c r="C1042" s="279">
        <v>0.009367108390559384</v>
      </c>
      <c r="D1042" s="279">
        <v>0.10371041459309677</v>
      </c>
      <c r="E1042" s="282">
        <v>1.6661567610347852E-4</v>
      </c>
      <c r="F1042" s="287">
        <v>8.376578514275025</v>
      </c>
      <c r="G1042" s="235">
        <v>0.0</v>
      </c>
      <c r="H1042" s="235">
        <v>4178.2623438614455</v>
      </c>
      <c r="I1042" s="287">
        <v>0.0</v>
      </c>
      <c r="J1042" s="233">
        <v>47002.53151052745</v>
      </c>
    </row>
    <row r="1043">
      <c r="A1043" s="184">
        <v>42627.0</v>
      </c>
      <c r="B1043" s="279">
        <v>0.09427977940257473</v>
      </c>
      <c r="C1043" s="279">
        <v>0.009397582929375462</v>
      </c>
      <c r="D1043" s="279">
        <v>0.10383922647165272</v>
      </c>
      <c r="E1043" s="282">
        <v>1.6664344151315444E-4</v>
      </c>
      <c r="F1043" s="287">
        <v>8.376578514275025</v>
      </c>
      <c r="G1043" s="235">
        <v>0.0</v>
      </c>
      <c r="H1043" s="235">
        <v>4169.8857653471705</v>
      </c>
      <c r="I1043" s="287">
        <v>0.0</v>
      </c>
      <c r="J1043" s="233">
        <v>46994.154932013174</v>
      </c>
    </row>
    <row r="1044">
      <c r="A1044" s="184">
        <v>42626.0</v>
      </c>
      <c r="B1044" s="279">
        <v>0.09437819428574416</v>
      </c>
      <c r="C1044" s="279">
        <v>0.00942825280037991</v>
      </c>
      <c r="D1044" s="279">
        <v>0.10396883948424393</v>
      </c>
      <c r="E1044" s="282">
        <v>1.6667121617821955E-4</v>
      </c>
      <c r="F1044" s="287">
        <v>8.376578514275025</v>
      </c>
      <c r="G1044" s="235">
        <v>0.0</v>
      </c>
      <c r="H1044" s="235">
        <v>4161.5091868328955</v>
      </c>
      <c r="I1044" s="287">
        <v>0.0</v>
      </c>
      <c r="J1044" s="233">
        <v>46985.7783534989</v>
      </c>
    </row>
    <row r="1045">
      <c r="A1045" s="184">
        <v>42625.0</v>
      </c>
      <c r="B1045" s="279">
        <v>0.094477217649655</v>
      </c>
      <c r="C1045" s="279">
        <v>0.009459119910918141</v>
      </c>
      <c r="D1045" s="279">
        <v>0.10409926161436764</v>
      </c>
      <c r="E1045" s="282">
        <v>1.6669900010330248E-4</v>
      </c>
      <c r="F1045" s="287">
        <v>8.376578514275025</v>
      </c>
      <c r="G1045" s="235">
        <v>0.0</v>
      </c>
      <c r="H1045" s="235">
        <v>4153.13260831862</v>
      </c>
      <c r="I1045" s="287">
        <v>0.0</v>
      </c>
      <c r="J1045" s="233">
        <v>46977.401774984624</v>
      </c>
    </row>
    <row r="1046">
      <c r="A1046" s="184">
        <v>42622.0</v>
      </c>
      <c r="B1046" s="279">
        <v>0.09528444663236305</v>
      </c>
      <c r="C1046" s="279">
        <v>0.009435053124595588</v>
      </c>
      <c r="D1046" s="279">
        <v>0.10488398371916828</v>
      </c>
      <c r="E1046" s="282">
        <v>1.6671176176341897E-4</v>
      </c>
      <c r="F1046" s="287">
        <v>8.376578514275025</v>
      </c>
      <c r="G1046" s="235">
        <v>0.0</v>
      </c>
      <c r="H1046" s="235">
        <v>4144.756029804345</v>
      </c>
      <c r="I1046" s="287">
        <v>0.0</v>
      </c>
      <c r="J1046" s="233">
        <v>46969.02519647035</v>
      </c>
    </row>
    <row r="1047">
      <c r="A1047" s="184">
        <v>42621.0</v>
      </c>
      <c r="B1047" s="279">
        <v>0.09538758056427893</v>
      </c>
      <c r="C1047" s="279">
        <v>0.009466324359309766</v>
      </c>
      <c r="D1047" s="279">
        <v>0.10501893404611923</v>
      </c>
      <c r="E1047" s="282">
        <v>1.6673955920909036E-4</v>
      </c>
      <c r="F1047" s="287">
        <v>8.376578514275025</v>
      </c>
      <c r="G1047" s="235">
        <v>0.0</v>
      </c>
      <c r="H1047" s="235">
        <v>4136.37945129007</v>
      </c>
      <c r="I1047" s="287">
        <v>0.0</v>
      </c>
      <c r="J1047" s="233">
        <v>46960.648617956074</v>
      </c>
    </row>
    <row r="1048">
      <c r="A1048" s="184">
        <v>42620.0</v>
      </c>
      <c r="B1048" s="279">
        <v>0.09549136379414813</v>
      </c>
      <c r="C1048" s="279">
        <v>0.009497799929467511</v>
      </c>
      <c r="D1048" s="279">
        <v>0.10515474156870493</v>
      </c>
      <c r="E1048" s="282">
        <v>1.6676736592617536E-4</v>
      </c>
      <c r="F1048" s="287">
        <v>8.376578514275025</v>
      </c>
      <c r="G1048" s="235">
        <v>0.0</v>
      </c>
      <c r="H1048" s="235">
        <v>4128.002872775795</v>
      </c>
      <c r="I1048" s="287">
        <v>0.0</v>
      </c>
      <c r="J1048" s="233">
        <v>46952.2720394418</v>
      </c>
    </row>
    <row r="1049">
      <c r="A1049" s="184">
        <v>42619.0</v>
      </c>
      <c r="B1049" s="279">
        <v>0.0955958029594722</v>
      </c>
      <c r="C1049" s="279">
        <v>0.009529481869594486</v>
      </c>
      <c r="D1049" s="279">
        <v>0.10529141499442103</v>
      </c>
      <c r="E1049" s="282">
        <v>1.667951819193132E-4</v>
      </c>
      <c r="F1049" s="287">
        <v>8.376578514275025</v>
      </c>
      <c r="G1049" s="235">
        <v>0.0</v>
      </c>
      <c r="H1049" s="235">
        <v>4119.62629426152</v>
      </c>
      <c r="I1049" s="287">
        <v>0.0</v>
      </c>
      <c r="J1049" s="233">
        <v>46943.895460927524</v>
      </c>
    </row>
    <row r="1050">
      <c r="A1050" s="184">
        <v>42618.0</v>
      </c>
      <c r="B1050" s="279">
        <v>0.09570090479092702</v>
      </c>
      <c r="C1050" s="279">
        <v>0.009561372241791993</v>
      </c>
      <c r="D1050" s="279">
        <v>0.10542896315199392</v>
      </c>
      <c r="E1050" s="282">
        <v>1.6682300719314633E-4</v>
      </c>
      <c r="F1050" s="287">
        <v>8.376578514275025</v>
      </c>
      <c r="G1050" s="235">
        <v>0.0</v>
      </c>
      <c r="H1050" s="235">
        <v>4111.249715747245</v>
      </c>
      <c r="I1050" s="287">
        <v>0.0</v>
      </c>
      <c r="J1050" s="233">
        <v>46935.51888241325</v>
      </c>
    </row>
    <row r="1051">
      <c r="A1051" s="184">
        <v>42615.0</v>
      </c>
      <c r="B1051" s="279">
        <v>0.09642082147375725</v>
      </c>
      <c r="C1051" s="279">
        <v>0.009654969758884318</v>
      </c>
      <c r="D1051" s="279">
        <v>0.10624410906402884</v>
      </c>
      <c r="E1051" s="282">
        <v>1.668508417523292E-4</v>
      </c>
      <c r="F1051" s="287">
        <v>8.37657851427548</v>
      </c>
      <c r="G1051" s="235">
        <v>0.0</v>
      </c>
      <c r="H1051" s="235">
        <v>4102.87313723297</v>
      </c>
      <c r="I1051" s="287">
        <v>0.0</v>
      </c>
      <c r="J1051" s="233">
        <v>46927.142303898974</v>
      </c>
    </row>
    <row r="1052">
      <c r="A1052" s="184">
        <v>42614.0</v>
      </c>
      <c r="B1052" s="279">
        <v>0.09652992850596655</v>
      </c>
      <c r="C1052" s="279">
        <v>0.009687688836658576</v>
      </c>
      <c r="D1052" s="279">
        <v>0.10638650557499278</v>
      </c>
      <c r="E1052" s="282">
        <v>1.6687868560148327E-4</v>
      </c>
      <c r="F1052" s="287">
        <v>8.376578514275025</v>
      </c>
      <c r="G1052" s="235">
        <v>0.0</v>
      </c>
      <c r="H1052" s="235">
        <v>4094.496558718695</v>
      </c>
      <c r="I1052" s="287">
        <v>0.0</v>
      </c>
      <c r="J1052" s="233">
        <v>46918.7657253847</v>
      </c>
    </row>
    <row r="1053">
      <c r="A1053" s="184">
        <v>42613.0</v>
      </c>
      <c r="B1053" s="279">
        <v>0.09663974053845972</v>
      </c>
      <c r="C1053" s="279">
        <v>0.00972062670524207</v>
      </c>
      <c r="D1053" s="279">
        <v>0.10652982969129217</v>
      </c>
      <c r="E1053" s="282">
        <v>1.669065387452874E-4</v>
      </c>
      <c r="F1053" s="287">
        <v>8.376578514275025</v>
      </c>
      <c r="G1053" s="235">
        <v>0.0</v>
      </c>
      <c r="H1053" s="235">
        <v>4086.11998020442</v>
      </c>
      <c r="I1053" s="287">
        <v>0.0</v>
      </c>
      <c r="J1053" s="233">
        <v>46910.389146870424</v>
      </c>
    </row>
    <row r="1054">
      <c r="A1054" s="184">
        <v>42612.0</v>
      </c>
      <c r="B1054" s="174">
        <v>0.09675026494735402</v>
      </c>
      <c r="C1054" s="174">
        <v>0.009753785594884426</v>
      </c>
      <c r="D1054" s="174">
        <v>0.10667409105817446</v>
      </c>
      <c r="E1054" s="282">
        <v>2.449785598936305E-4</v>
      </c>
      <c r="F1054" s="287">
        <v>12.292745693245251</v>
      </c>
      <c r="G1054" s="235">
        <v>0.0</v>
      </c>
      <c r="H1054" s="235">
        <v>4077.7434016901448</v>
      </c>
      <c r="I1054" s="287">
        <v>0.0</v>
      </c>
      <c r="J1054" s="233">
        <v>46902.01256835615</v>
      </c>
    </row>
    <row r="1055">
      <c r="A1055" s="184">
        <v>42611.0</v>
      </c>
      <c r="B1055" s="279">
        <v>0.09675871134649126</v>
      </c>
      <c r="C1055" s="279">
        <v>0.009787167766796223</v>
      </c>
      <c r="D1055" s="279">
        <v>0.10671650159011242</v>
      </c>
      <c r="E1055" s="282">
        <v>2.450385890942961E-4</v>
      </c>
      <c r="F1055" s="287">
        <v>12.292745693244797</v>
      </c>
      <c r="G1055" s="235">
        <v>0.0</v>
      </c>
      <c r="H1055" s="235">
        <v>4065.4506559968995</v>
      </c>
      <c r="I1055" s="287">
        <v>0.0</v>
      </c>
      <c r="J1055" s="233">
        <v>46889.719822662904</v>
      </c>
    </row>
    <row r="1056">
      <c r="A1056" s="184">
        <v>42608.0</v>
      </c>
      <c r="B1056" s="279">
        <v>0.09740167899151395</v>
      </c>
      <c r="C1056" s="279">
        <v>0.00988517007384425</v>
      </c>
      <c r="D1056" s="279">
        <v>0.10745918004425048</v>
      </c>
      <c r="E1056" s="282">
        <v>2.4509864772112263E-4</v>
      </c>
      <c r="F1056" s="287">
        <v>12.292745693244797</v>
      </c>
      <c r="G1056" s="235">
        <v>0.0</v>
      </c>
      <c r="H1056" s="235">
        <v>4053.1579103036547</v>
      </c>
      <c r="I1056" s="287">
        <v>0.0</v>
      </c>
      <c r="J1056" s="233">
        <v>46877.42707696966</v>
      </c>
    </row>
    <row r="1057">
      <c r="A1057" s="184">
        <v>42607.0</v>
      </c>
      <c r="B1057" s="279">
        <v>0.09741223321528625</v>
      </c>
      <c r="C1057" s="279">
        <v>0.009919432126176646</v>
      </c>
      <c r="D1057" s="279">
        <v>0.10750459362044948</v>
      </c>
      <c r="E1057" s="282">
        <v>2.4515873579574317E-4</v>
      </c>
      <c r="F1057" s="287">
        <v>12.292745693244797</v>
      </c>
      <c r="G1057" s="235">
        <v>0.0</v>
      </c>
      <c r="H1057" s="235">
        <v>4040.86516461041</v>
      </c>
      <c r="I1057" s="287">
        <v>0.0</v>
      </c>
      <c r="J1057" s="233">
        <v>46865.134331276415</v>
      </c>
    </row>
    <row r="1058">
      <c r="A1058" s="184">
        <v>42606.0</v>
      </c>
      <c r="B1058" s="279">
        <v>0.09742278398126564</v>
      </c>
      <c r="C1058" s="279">
        <v>0.009953924655048388</v>
      </c>
      <c r="D1058" s="279">
        <v>0.10755023823335792</v>
      </c>
      <c r="E1058" s="282">
        <v>2.4521885333982123E-4</v>
      </c>
      <c r="F1058" s="287">
        <v>12.292745693244797</v>
      </c>
      <c r="G1058" s="235">
        <v>0.0</v>
      </c>
      <c r="H1058" s="235">
        <v>4028.572418917165</v>
      </c>
      <c r="I1058" s="287">
        <v>0.0</v>
      </c>
      <c r="J1058" s="233">
        <v>46852.84158558317</v>
      </c>
    </row>
    <row r="1059">
      <c r="A1059" s="184">
        <v>42605.0</v>
      </c>
      <c r="B1059" s="279">
        <v>0.0974333313788778</v>
      </c>
      <c r="C1059" s="279">
        <v>0.009988650006644745</v>
      </c>
      <c r="D1059" s="279">
        <v>0.10759611635948846</v>
      </c>
      <c r="E1059" s="282">
        <v>2.4527900037504157E-4</v>
      </c>
      <c r="F1059" s="287">
        <v>12.292745693244797</v>
      </c>
      <c r="G1059" s="235">
        <v>0.0</v>
      </c>
      <c r="H1059" s="235">
        <v>4016.2796732239203</v>
      </c>
      <c r="I1059" s="287">
        <v>0.0</v>
      </c>
      <c r="J1059" s="233">
        <v>46840.548839889925</v>
      </c>
    </row>
    <row r="1060">
      <c r="A1060" s="184">
        <v>42604.0</v>
      </c>
      <c r="B1060" s="279">
        <v>0.0975702291818463</v>
      </c>
      <c r="C1060" s="279">
        <v>0.009897256879298953</v>
      </c>
      <c r="D1060" s="279">
        <v>0.10764223051236198</v>
      </c>
      <c r="E1060" s="282">
        <v>2.4531616557658454E-4</v>
      </c>
      <c r="F1060" s="287">
        <v>12.292745693244797</v>
      </c>
      <c r="G1060" s="235">
        <v>0.0</v>
      </c>
      <c r="H1060" s="235">
        <v>4003.9869275306755</v>
      </c>
      <c r="I1060" s="287">
        <v>0.0</v>
      </c>
      <c r="J1060" s="233">
        <v>46828.25609419668</v>
      </c>
    </row>
    <row r="1061">
      <c r="A1061" s="184">
        <v>42601.0</v>
      </c>
      <c r="B1061" s="279">
        <v>0.09823612129739222</v>
      </c>
      <c r="C1061" s="279">
        <v>0.00999866914461163</v>
      </c>
      <c r="D1061" s="279">
        <v>0.10841132541264074</v>
      </c>
      <c r="E1061" s="282">
        <v>2.4537636036443225E-4</v>
      </c>
      <c r="F1061" s="287">
        <v>12.292745693244797</v>
      </c>
      <c r="G1061" s="235">
        <v>0.0</v>
      </c>
      <c r="H1061" s="235">
        <v>3991.6941818374307</v>
      </c>
      <c r="I1061" s="287">
        <v>0.0</v>
      </c>
      <c r="J1061" s="233">
        <v>46815.963348503436</v>
      </c>
    </row>
    <row r="1062">
      <c r="A1062" s="184">
        <v>42600.0</v>
      </c>
      <c r="B1062" s="279">
        <v>0.09824938493528476</v>
      </c>
      <c r="C1062" s="279">
        <v>0.010034120716687968</v>
      </c>
      <c r="D1062" s="279">
        <v>0.10846066655013509</v>
      </c>
      <c r="E1062" s="282">
        <v>2.454365847002863E-4</v>
      </c>
      <c r="F1062" s="287">
        <v>12.292745693244797</v>
      </c>
      <c r="G1062" s="235">
        <v>0.0</v>
      </c>
      <c r="H1062" s="235">
        <v>3979.401436144186</v>
      </c>
      <c r="I1062" s="287">
        <v>0.0</v>
      </c>
      <c r="J1062" s="233">
        <v>46803.67060281019</v>
      </c>
    </row>
    <row r="1063">
      <c r="A1063" s="184">
        <v>42599.0</v>
      </c>
      <c r="B1063" s="279">
        <v>0.09826266406270964</v>
      </c>
      <c r="C1063" s="279">
        <v>0.010069816493880312</v>
      </c>
      <c r="D1063" s="279">
        <v>0.10851027169392588</v>
      </c>
      <c r="E1063" s="282">
        <v>2.4549683860590845E-4</v>
      </c>
      <c r="F1063" s="287">
        <v>12.292745693244797</v>
      </c>
      <c r="G1063" s="235">
        <v>0.0</v>
      </c>
      <c r="H1063" s="235">
        <v>3967.108690450941</v>
      </c>
      <c r="I1063" s="287">
        <v>0.0</v>
      </c>
      <c r="J1063" s="233">
        <v>46791.377857116946</v>
      </c>
    </row>
    <row r="1064">
      <c r="A1064" s="184">
        <v>42598.0</v>
      </c>
      <c r="B1064" s="279">
        <v>0.09827595898076066</v>
      </c>
      <c r="C1064" s="279">
        <v>0.010105759022635389</v>
      </c>
      <c r="D1064" s="279">
        <v>0.10856014373651333</v>
      </c>
      <c r="E1064" s="282">
        <v>2.455571221030819E-4</v>
      </c>
      <c r="F1064" s="287">
        <v>12.292745693244797</v>
      </c>
      <c r="G1064" s="235">
        <v>0.0</v>
      </c>
      <c r="H1064" s="235">
        <v>3954.8159447576963</v>
      </c>
      <c r="I1064" s="287">
        <v>0.0</v>
      </c>
      <c r="J1064" s="233">
        <v>46779.0851114237</v>
      </c>
    </row>
    <row r="1065">
      <c r="A1065" s="184">
        <v>42597.0</v>
      </c>
      <c r="B1065" s="279">
        <v>0.09828926999810554</v>
      </c>
      <c r="C1065" s="279">
        <v>0.01014195088527553</v>
      </c>
      <c r="D1065" s="279">
        <v>0.10861028561448059</v>
      </c>
      <c r="E1065" s="282">
        <v>2.4561743521361136E-4</v>
      </c>
      <c r="F1065" s="287">
        <v>12.292745693244797</v>
      </c>
      <c r="G1065" s="235">
        <v>0.0</v>
      </c>
      <c r="H1065" s="235">
        <v>3942.5231990644515</v>
      </c>
      <c r="I1065" s="287">
        <v>0.0</v>
      </c>
      <c r="J1065" s="233">
        <v>46766.79236573046</v>
      </c>
    </row>
    <row r="1066">
      <c r="A1066" s="184">
        <v>42594.0</v>
      </c>
      <c r="B1066" s="174">
        <v>0.09897821665753227</v>
      </c>
      <c r="C1066" s="174">
        <v>0.010248349303394669</v>
      </c>
      <c r="D1066" s="174">
        <v>0.10940750924619672</v>
      </c>
      <c r="E1066" s="282">
        <v>1.963984686143678E-4</v>
      </c>
      <c r="F1066" s="287">
        <v>9.827003684553347</v>
      </c>
      <c r="G1066" s="235">
        <v>0.0</v>
      </c>
      <c r="H1066" s="235">
        <v>3930.2304533712067</v>
      </c>
      <c r="I1066" s="287">
        <v>0.0</v>
      </c>
      <c r="J1066" s="233">
        <v>46754.49962003721</v>
      </c>
    </row>
    <row r="1067">
      <c r="A1067" s="184">
        <v>42593.0</v>
      </c>
      <c r="B1067" s="279">
        <v>0.0990628716021414</v>
      </c>
      <c r="C1067" s="279">
        <v>0.01028554204284883</v>
      </c>
      <c r="D1067" s="279">
        <v>0.10953001359956993</v>
      </c>
      <c r="E1067" s="282">
        <v>1.9643704854986393E-4</v>
      </c>
      <c r="F1067" s="287">
        <v>9.827003684552437</v>
      </c>
      <c r="G1067" s="235">
        <v>0.0</v>
      </c>
      <c r="H1067" s="235">
        <v>3920.4034496866534</v>
      </c>
      <c r="I1067" s="287">
        <v>0.0</v>
      </c>
      <c r="J1067" s="233">
        <v>46744.67261635266</v>
      </c>
    </row>
    <row r="1068">
      <c r="A1068" s="184">
        <v>42592.0</v>
      </c>
      <c r="B1068" s="279">
        <v>0.09914808881030228</v>
      </c>
      <c r="C1068" s="279">
        <v>0.010323000054705067</v>
      </c>
      <c r="D1068" s="279">
        <v>0.10965335017250588</v>
      </c>
      <c r="E1068" s="282">
        <v>1.9647564364541357E-4</v>
      </c>
      <c r="F1068" s="287">
        <v>9.827003684552437</v>
      </c>
      <c r="G1068" s="235">
        <v>0.0</v>
      </c>
      <c r="H1068" s="235">
        <v>3910.576446002101</v>
      </c>
      <c r="I1068" s="287">
        <v>0.0</v>
      </c>
      <c r="J1068" s="233">
        <v>46734.84561266811</v>
      </c>
    </row>
    <row r="1069">
      <c r="A1069" s="184">
        <v>42591.0</v>
      </c>
      <c r="B1069" s="279">
        <v>0.09923387460905837</v>
      </c>
      <c r="C1069" s="279">
        <v>0.010360726217441375</v>
      </c>
      <c r="D1069" s="279">
        <v>0.10977752822134795</v>
      </c>
      <c r="E1069" s="282">
        <v>1.96514253909936E-4</v>
      </c>
      <c r="F1069" s="287">
        <v>9.827003684552437</v>
      </c>
      <c r="G1069" s="235">
        <v>0.0</v>
      </c>
      <c r="H1069" s="235">
        <v>3900.7494423175485</v>
      </c>
      <c r="I1069" s="287">
        <v>0.0</v>
      </c>
      <c r="J1069" s="233">
        <v>46725.01860898356</v>
      </c>
    </row>
    <row r="1070">
      <c r="A1070" s="184">
        <v>42590.0</v>
      </c>
      <c r="B1070" s="279">
        <v>0.09932023542347669</v>
      </c>
      <c r="C1070" s="279">
        <v>0.0103987234519769</v>
      </c>
      <c r="D1070" s="279">
        <v>0.10990255714365364</v>
      </c>
      <c r="E1070" s="282">
        <v>1.965528793523758E-4</v>
      </c>
      <c r="F1070" s="287">
        <v>9.827003684552437</v>
      </c>
      <c r="G1070" s="235">
        <v>0.0</v>
      </c>
      <c r="H1070" s="235">
        <v>3890.922438632996</v>
      </c>
      <c r="I1070" s="287">
        <v>0.0</v>
      </c>
      <c r="J1070" s="233">
        <v>46715.19160529901</v>
      </c>
    </row>
    <row r="1071">
      <c r="A1071" s="184">
        <v>42587.0</v>
      </c>
      <c r="B1071" s="279">
        <v>0.10010722832634789</v>
      </c>
      <c r="C1071" s="279">
        <v>0.010510494685307103</v>
      </c>
      <c r="D1071" s="279">
        <v>0.11080329469562754</v>
      </c>
      <c r="E1071" s="282">
        <v>1.9659151998168448E-4</v>
      </c>
      <c r="F1071" s="287">
        <v>9.827003684552437</v>
      </c>
      <c r="G1071" s="235">
        <v>0.0</v>
      </c>
      <c r="H1071" s="235">
        <v>3881.0954349484437</v>
      </c>
      <c r="I1071" s="287">
        <v>0.0</v>
      </c>
      <c r="J1071" s="233">
        <v>46705.36460161446</v>
      </c>
    </row>
    <row r="1072">
      <c r="A1072" s="184">
        <v>42586.0</v>
      </c>
      <c r="B1072" s="279">
        <v>0.100197851116367</v>
      </c>
      <c r="C1072" s="279">
        <v>0.010549575143421351</v>
      </c>
      <c r="D1072" s="279">
        <v>0.1109336879423423</v>
      </c>
      <c r="E1072" s="282">
        <v>1.9663017580682062E-4</v>
      </c>
      <c r="F1072" s="287">
        <v>9.827003684552437</v>
      </c>
      <c r="G1072" s="235">
        <v>0.0</v>
      </c>
      <c r="H1072" s="235">
        <v>3871.268431263891</v>
      </c>
      <c r="I1072" s="287">
        <v>0.0</v>
      </c>
      <c r="J1072" s="233">
        <v>46695.53759792991</v>
      </c>
    </row>
    <row r="1073">
      <c r="A1073" s="184">
        <v>42585.0</v>
      </c>
      <c r="B1073" s="279">
        <v>0.10028909495538442</v>
      </c>
      <c r="C1073" s="279">
        <v>0.010588941459414167</v>
      </c>
      <c r="D1073" s="279">
        <v>0.11106499314299685</v>
      </c>
      <c r="E1073" s="282">
        <v>1.9666884683674983E-4</v>
      </c>
      <c r="F1073" s="287">
        <v>9.827003684552437</v>
      </c>
      <c r="G1073" s="235">
        <v>0.0</v>
      </c>
      <c r="H1073" s="235">
        <v>3861.441427579339</v>
      </c>
      <c r="I1073" s="287">
        <v>0.0</v>
      </c>
      <c r="J1073" s="233">
        <v>46685.71059424536</v>
      </c>
    </row>
    <row r="1074">
      <c r="A1074" s="184">
        <v>42584.0</v>
      </c>
      <c r="B1074" s="279">
        <v>0.10038096700853909</v>
      </c>
      <c r="C1074" s="279">
        <v>0.010628596815723972</v>
      </c>
      <c r="D1074" s="279">
        <v>0.1111972207013572</v>
      </c>
      <c r="E1074" s="282">
        <v>1.9670753308044484E-4</v>
      </c>
      <c r="F1074" s="287">
        <v>9.827003684552437</v>
      </c>
      <c r="G1074" s="235">
        <v>0.0</v>
      </c>
      <c r="H1074" s="235">
        <v>3851.6144238947863</v>
      </c>
      <c r="I1074" s="287">
        <v>0.0</v>
      </c>
      <c r="J1074" s="233">
        <v>46675.883590560814</v>
      </c>
    </row>
    <row r="1075">
      <c r="A1075" s="184">
        <v>42583.0</v>
      </c>
      <c r="B1075" s="279">
        <v>0.10047347455477218</v>
      </c>
      <c r="C1075" s="279">
        <v>0.010668544442953313</v>
      </c>
      <c r="D1075" s="279">
        <v>0.11133038118400608</v>
      </c>
      <c r="E1075" s="282">
        <v>1.9674623454688547E-4</v>
      </c>
      <c r="F1075" s="287">
        <v>9.827003684552437</v>
      </c>
      <c r="G1075" s="235">
        <v>0.0</v>
      </c>
      <c r="H1075" s="235">
        <v>3841.787420210234</v>
      </c>
      <c r="I1075" s="287">
        <v>0.0</v>
      </c>
      <c r="J1075" s="233">
        <v>46666.056586876264</v>
      </c>
    </row>
    <row r="1076">
      <c r="A1076" s="184">
        <v>42580.0</v>
      </c>
      <c r="B1076" s="279">
        <v>0.10129273780497094</v>
      </c>
      <c r="C1076" s="279">
        <v>0.010786107387017458</v>
      </c>
      <c r="D1076" s="279">
        <v>0.11226928305159893</v>
      </c>
      <c r="E1076" s="282">
        <v>1.967849512450584E-4</v>
      </c>
      <c r="F1076" s="287">
        <v>9.827003684552437</v>
      </c>
      <c r="G1076" s="235">
        <v>0.0</v>
      </c>
      <c r="H1076" s="235">
        <v>3831.9604165256815</v>
      </c>
      <c r="I1076" s="287">
        <v>0.0</v>
      </c>
      <c r="J1076" s="233">
        <v>46656.229583191714</v>
      </c>
    </row>
    <row r="1077">
      <c r="A1077" s="184">
        <v>42579.0</v>
      </c>
      <c r="B1077" s="279">
        <v>0.10138984920088023</v>
      </c>
      <c r="C1077" s="279">
        <v>0.010827223372350476</v>
      </c>
      <c r="D1077" s="279">
        <v>0.11240823637037937</v>
      </c>
      <c r="E1077" s="282">
        <v>1.9682368318395764E-4</v>
      </c>
      <c r="F1077" s="287">
        <v>9.827003684552437</v>
      </c>
      <c r="G1077" s="235">
        <v>0.0</v>
      </c>
      <c r="H1077" s="235">
        <v>3822.133412841129</v>
      </c>
      <c r="I1077" s="287">
        <v>0.0</v>
      </c>
      <c r="J1077" s="233">
        <v>46646.402579507165</v>
      </c>
    </row>
    <row r="1078">
      <c r="A1078" s="184">
        <v>42578.0</v>
      </c>
      <c r="B1078" s="279">
        <v>0.10148764749569708</v>
      </c>
      <c r="C1078" s="279">
        <v>0.010868647991120133</v>
      </c>
      <c r="D1078" s="279">
        <v>0.11254819067068868</v>
      </c>
      <c r="E1078" s="282">
        <v>1.9686243037258413E-4</v>
      </c>
      <c r="F1078" s="287">
        <v>9.827003684552437</v>
      </c>
      <c r="G1078" s="235">
        <v>0.0</v>
      </c>
      <c r="H1078" s="235">
        <v>3812.3064091565766</v>
      </c>
      <c r="I1078" s="287">
        <v>0.0</v>
      </c>
      <c r="J1078" s="233">
        <v>46636.575575822615</v>
      </c>
    </row>
    <row r="1079">
      <c r="A1079" s="184">
        <v>42577.0</v>
      </c>
      <c r="B1079" s="279">
        <v>0.10158614082019389</v>
      </c>
      <c r="C1079" s="279">
        <v>0.0109103847709727</v>
      </c>
      <c r="D1079" s="279">
        <v>0.11268915767322912</v>
      </c>
      <c r="E1079" s="282">
        <v>1.9690119281994591E-4</v>
      </c>
      <c r="F1079" s="287">
        <v>9.827003684552437</v>
      </c>
      <c r="G1079" s="235">
        <v>0.0</v>
      </c>
      <c r="H1079" s="235">
        <v>3802.479405472024</v>
      </c>
      <c r="I1079" s="287">
        <v>0.0</v>
      </c>
      <c r="J1079" s="233">
        <v>46626.748572138065</v>
      </c>
    </row>
    <row r="1080">
      <c r="A1080" s="184">
        <v>42576.0</v>
      </c>
      <c r="B1080" s="279">
        <v>0.1016853374376323</v>
      </c>
      <c r="C1080" s="279">
        <v>0.010952437294393694</v>
      </c>
      <c r="D1080" s="279">
        <v>0.11283114928699968</v>
      </c>
      <c r="E1080" s="282">
        <v>1.969399705350582E-4</v>
      </c>
      <c r="F1080" s="287">
        <v>9.827003684552437</v>
      </c>
      <c r="G1080" s="235">
        <v>0.0</v>
      </c>
      <c r="H1080" s="235">
        <v>3792.6524017874717</v>
      </c>
      <c r="I1080" s="287">
        <v>0.0</v>
      </c>
      <c r="J1080" s="233">
        <v>46616.921568453516</v>
      </c>
    </row>
    <row r="1081">
      <c r="A1081" s="184">
        <v>42573.0</v>
      </c>
      <c r="B1081" s="279">
        <v>0.10253921052986324</v>
      </c>
      <c r="C1081" s="279">
        <v>0.011076252230909741</v>
      </c>
      <c r="D1081" s="279">
        <v>0.11381102337329754</v>
      </c>
      <c r="E1081" s="282">
        <v>1.9697876352694322E-4</v>
      </c>
      <c r="F1081" s="287">
        <v>9.827003684552437</v>
      </c>
      <c r="G1081" s="235">
        <v>0.0</v>
      </c>
      <c r="H1081" s="235">
        <v>3782.8253981029193</v>
      </c>
      <c r="I1081" s="287">
        <v>0.0</v>
      </c>
      <c r="J1081" s="233">
        <v>46607.094564768966</v>
      </c>
    </row>
    <row r="1082">
      <c r="A1082" s="184">
        <v>42572.0</v>
      </c>
      <c r="B1082" s="279">
        <v>0.10264339007758401</v>
      </c>
      <c r="C1082" s="279">
        <v>0.011119567410783395</v>
      </c>
      <c r="D1082" s="279">
        <v>0.11395928286707198</v>
      </c>
      <c r="E1082" s="282">
        <v>1.9701757180463035E-4</v>
      </c>
      <c r="F1082" s="287">
        <v>9.827003684552437</v>
      </c>
      <c r="G1082" s="235">
        <v>0.0</v>
      </c>
      <c r="H1082" s="235">
        <v>3772.998394418367</v>
      </c>
      <c r="I1082" s="287">
        <v>0.0</v>
      </c>
      <c r="J1082" s="233">
        <v>46597.267561084416</v>
      </c>
    </row>
    <row r="1083">
      <c r="A1083" s="184">
        <v>42571.0</v>
      </c>
      <c r="B1083" s="279">
        <v>0.10274833047093425</v>
      </c>
      <c r="C1083" s="279">
        <v>0.011163216489149185</v>
      </c>
      <c r="D1083" s="279">
        <v>0.11410864300022867</v>
      </c>
      <c r="E1083" s="282">
        <v>1.9705639537715615E-4</v>
      </c>
      <c r="F1083" s="287">
        <v>9.827003684552437</v>
      </c>
      <c r="G1083" s="235">
        <v>0.0</v>
      </c>
      <c r="H1083" s="235">
        <v>3763.1713907338144</v>
      </c>
      <c r="I1083" s="287">
        <v>0.0</v>
      </c>
      <c r="J1083" s="233">
        <v>46587.44055739987</v>
      </c>
    </row>
    <row r="1084">
      <c r="A1084" s="184">
        <v>42570.0</v>
      </c>
      <c r="B1084" s="279">
        <v>0.1028540409567546</v>
      </c>
      <c r="C1084" s="279">
        <v>0.011207203387015637</v>
      </c>
      <c r="D1084" s="279">
        <v>0.11425911700984549</v>
      </c>
      <c r="E1084" s="282">
        <v>1.9709523425356416E-4</v>
      </c>
      <c r="F1084" s="287">
        <v>9.827003684552437</v>
      </c>
      <c r="G1084" s="235">
        <v>0.0</v>
      </c>
      <c r="H1084" s="235">
        <v>3753.344387049262</v>
      </c>
      <c r="I1084" s="287">
        <v>0.0</v>
      </c>
      <c r="J1084" s="233">
        <v>46577.61355371532</v>
      </c>
    </row>
    <row r="1085">
      <c r="A1085" s="184">
        <v>42569.0</v>
      </c>
      <c r="B1085" s="279">
        <v>0.10296053093659033</v>
      </c>
      <c r="C1085" s="279">
        <v>0.011251532088047822</v>
      </c>
      <c r="D1085" s="279">
        <v>0.11441071835146774</v>
      </c>
      <c r="E1085" s="282">
        <v>1.9713408844290517E-4</v>
      </c>
      <c r="F1085" s="287">
        <v>9.827003684552437</v>
      </c>
      <c r="G1085" s="235">
        <v>0.0</v>
      </c>
      <c r="H1085" s="235">
        <v>3743.5173833647095</v>
      </c>
      <c r="I1085" s="287">
        <v>0.0</v>
      </c>
      <c r="J1085" s="233">
        <v>46567.78655003077</v>
      </c>
    </row>
    <row r="1086">
      <c r="A1086" s="184">
        <v>42566.0</v>
      </c>
      <c r="B1086" s="279">
        <v>0.10385159559718862</v>
      </c>
      <c r="C1086" s="279">
        <v>0.011382109351941009</v>
      </c>
      <c r="D1086" s="279">
        <v>0.11543466572812627</v>
      </c>
      <c r="E1086" s="282">
        <v>1.971729579542371E-4</v>
      </c>
      <c r="F1086" s="287">
        <v>9.827003684552437</v>
      </c>
      <c r="G1086" s="235">
        <v>0.0</v>
      </c>
      <c r="H1086" s="235">
        <v>3733.690379680157</v>
      </c>
      <c r="I1086" s="287">
        <v>0.0</v>
      </c>
      <c r="J1086" s="233">
        <v>46557.95954634622</v>
      </c>
    </row>
    <row r="1087">
      <c r="A1087" s="184">
        <v>42565.0</v>
      </c>
      <c r="B1087" s="279">
        <v>0.10396348997497465</v>
      </c>
      <c r="C1087" s="279">
        <v>0.011427805438914246</v>
      </c>
      <c r="D1087" s="279">
        <v>0.11559306299599659</v>
      </c>
      <c r="E1087" s="282">
        <v>1.972118427966249E-4</v>
      </c>
      <c r="F1087" s="287">
        <v>9.827003684552437</v>
      </c>
      <c r="G1087" s="235">
        <v>0.0</v>
      </c>
      <c r="H1087" s="235">
        <v>3723.8633759956047</v>
      </c>
      <c r="I1087" s="287">
        <v>0.0</v>
      </c>
      <c r="J1087" s="233">
        <v>46548.13254266167</v>
      </c>
    </row>
    <row r="1088">
      <c r="A1088" s="184">
        <v>42564.0</v>
      </c>
      <c r="B1088" s="279">
        <v>0.10407622845595957</v>
      </c>
      <c r="C1088" s="279">
        <v>0.011473863528868871</v>
      </c>
      <c r="D1088" s="279">
        <v>0.11575267276151632</v>
      </c>
      <c r="E1088" s="282">
        <v>1.9725074297914085E-4</v>
      </c>
      <c r="F1088" s="287">
        <v>9.827003684552437</v>
      </c>
      <c r="G1088" s="235">
        <v>0.0</v>
      </c>
      <c r="H1088" s="235">
        <v>3714.036372311052</v>
      </c>
      <c r="I1088" s="287">
        <v>0.0</v>
      </c>
      <c r="J1088" s="233">
        <v>46538.30553897712</v>
      </c>
    </row>
    <row r="1089">
      <c r="A1089" s="184">
        <v>42563.0</v>
      </c>
      <c r="B1089" s="279">
        <v>0.10418982158120646</v>
      </c>
      <c r="C1089" s="279">
        <v>0.011520287992625368</v>
      </c>
      <c r="D1089" s="279">
        <v>0.11591351001373966</v>
      </c>
      <c r="E1089" s="282">
        <v>1.972896585108642E-4</v>
      </c>
      <c r="F1089" s="287">
        <v>9.827003684552437</v>
      </c>
      <c r="G1089" s="235">
        <v>0.0</v>
      </c>
      <c r="H1089" s="235">
        <v>3704.2093686265</v>
      </c>
      <c r="I1089" s="287">
        <v>0.0</v>
      </c>
      <c r="J1089" s="233">
        <v>46528.47853529257</v>
      </c>
    </row>
    <row r="1090">
      <c r="A1090" s="184">
        <v>42562.0</v>
      </c>
      <c r="B1090" s="174">
        <v>0.10445163745599616</v>
      </c>
      <c r="C1090" s="174">
        <v>0.01141972588985976</v>
      </c>
      <c r="D1090" s="174">
        <v>0.11607558999606252</v>
      </c>
      <c r="E1090" s="282">
        <v>0.004424791043911193</v>
      </c>
      <c r="F1090" s="287">
        <v>220.3762416793561</v>
      </c>
      <c r="G1090" s="235">
        <v>0.0</v>
      </c>
      <c r="H1090" s="235">
        <v>3694.3823649419473</v>
      </c>
      <c r="I1090" s="287">
        <v>0.0</v>
      </c>
      <c r="J1090" s="233">
        <v>46518.65153160802</v>
      </c>
    </row>
    <row r="1091">
      <c r="A1091" s="184">
        <v>42559.0</v>
      </c>
      <c r="B1091" s="174">
        <v>0.0986902881704485</v>
      </c>
      <c r="C1091" s="174">
        <v>0.011555876012798774</v>
      </c>
      <c r="D1091" s="174">
        <v>0.11045282569781062</v>
      </c>
      <c r="E1091" s="282">
        <v>6.551099935661829E-4</v>
      </c>
      <c r="F1091" s="287">
        <v>32.48331203849284</v>
      </c>
      <c r="G1091" s="235">
        <v>0.0</v>
      </c>
      <c r="H1091" s="235">
        <v>3474.0061232625912</v>
      </c>
      <c r="I1091" s="287">
        <v>0.0</v>
      </c>
      <c r="J1091" s="233">
        <v>46298.275289928664</v>
      </c>
    </row>
    <row r="1092">
      <c r="A1092" s="184">
        <v>42558.0</v>
      </c>
      <c r="B1092" s="279">
        <v>0.09805776041263368</v>
      </c>
      <c r="C1092" s="279">
        <v>0.011603237762008303</v>
      </c>
      <c r="D1092" s="279">
        <v>0.10986850669126845</v>
      </c>
      <c r="E1092" s="282">
        <v>6.555394440071103E-4</v>
      </c>
      <c r="F1092" s="287">
        <v>32.48331203849193</v>
      </c>
      <c r="G1092" s="235">
        <v>0.0</v>
      </c>
      <c r="H1092" s="235">
        <v>3441.5228112240984</v>
      </c>
      <c r="I1092" s="287">
        <v>0.0</v>
      </c>
      <c r="J1092" s="233">
        <v>46265.79197789017</v>
      </c>
    </row>
    <row r="1093">
      <c r="A1093" s="184">
        <v>42557.0</v>
      </c>
      <c r="B1093" s="279">
        <v>0.09741968904489405</v>
      </c>
      <c r="C1093" s="279">
        <v>0.011650948976407376</v>
      </c>
      <c r="D1093" s="279">
        <v>0.1092789997897124</v>
      </c>
      <c r="E1093" s="282">
        <v>6.559694578608021E-4</v>
      </c>
      <c r="F1093" s="287">
        <v>32.48331203849193</v>
      </c>
      <c r="G1093" s="235">
        <v>0.0</v>
      </c>
      <c r="H1093" s="235">
        <v>3409.0394991856065</v>
      </c>
      <c r="I1093" s="287">
        <v>0.0</v>
      </c>
      <c r="J1093" s="233">
        <v>46233.30866585168</v>
      </c>
    </row>
    <row r="1094">
      <c r="A1094" s="184">
        <v>42556.0</v>
      </c>
      <c r="B1094" s="279">
        <v>0.09677053911230067</v>
      </c>
      <c r="C1094" s="279">
        <v>0.01169901336547788</v>
      </c>
      <c r="D1094" s="279">
        <v>0.1086842457566751</v>
      </c>
      <c r="E1094" s="282">
        <v>6.564022911367919E-4</v>
      </c>
      <c r="F1094" s="287">
        <v>32.48331203849193</v>
      </c>
      <c r="G1094" s="235">
        <v>0.0</v>
      </c>
      <c r="H1094" s="235">
        <v>3376.5561871471145</v>
      </c>
      <c r="I1094" s="287">
        <v>0.0</v>
      </c>
      <c r="J1094" s="233">
        <v>46200.82535381318</v>
      </c>
    </row>
    <row r="1095">
      <c r="A1095" s="184">
        <v>42555.0</v>
      </c>
      <c r="B1095" s="279">
        <v>0.0961211679172666</v>
      </c>
      <c r="C1095" s="279">
        <v>0.01174743468800949</v>
      </c>
      <c r="D1095" s="279">
        <v>0.10808418448325172</v>
      </c>
      <c r="E1095" s="282">
        <v>6.56833438110463E-4</v>
      </c>
      <c r="F1095" s="287">
        <v>32.48331203849193</v>
      </c>
      <c r="G1095" s="235">
        <v>0.0</v>
      </c>
      <c r="H1095" s="235">
        <v>3344.0728751086226</v>
      </c>
      <c r="I1095" s="287">
        <v>0.0</v>
      </c>
      <c r="J1095" s="233">
        <v>46168.34204177469</v>
      </c>
    </row>
    <row r="1096">
      <c r="A1096" s="184">
        <v>42552.0</v>
      </c>
      <c r="B1096" s="279">
        <v>0.09623285679428628</v>
      </c>
      <c r="C1096" s="279">
        <v>0.011890965481757113</v>
      </c>
      <c r="D1096" s="279">
        <v>0.10834203814508901</v>
      </c>
      <c r="E1096" s="282">
        <v>6.572651518398961E-4</v>
      </c>
      <c r="F1096" s="287">
        <v>32.48331203849193</v>
      </c>
      <c r="G1096" s="235">
        <v>0.0</v>
      </c>
      <c r="H1096" s="235">
        <v>3311.5895630701307</v>
      </c>
      <c r="I1096" s="287">
        <v>0.0</v>
      </c>
      <c r="J1096" s="233">
        <v>46135.858729736196</v>
      </c>
    </row>
    <row r="1097">
      <c r="A1097" s="184">
        <v>42551.0</v>
      </c>
      <c r="B1097" s="279">
        <v>0.09556971058207978</v>
      </c>
      <c r="C1097" s="279">
        <v>0.011940890543827583</v>
      </c>
      <c r="D1097" s="279">
        <v>0.1077297331897585</v>
      </c>
      <c r="E1097" s="282">
        <v>6.576974334433529E-4</v>
      </c>
      <c r="F1097" s="287">
        <v>32.48331203849193</v>
      </c>
      <c r="G1097" s="235">
        <v>0.0</v>
      </c>
      <c r="H1097" s="235">
        <v>3279.1062510316387</v>
      </c>
      <c r="I1097" s="287">
        <v>0.0</v>
      </c>
      <c r="J1097" s="233">
        <v>46103.3754176977</v>
      </c>
    </row>
    <row r="1098">
      <c r="A1098" s="184">
        <v>42550.0</v>
      </c>
      <c r="B1098" s="279">
        <v>0.09580493526746363</v>
      </c>
      <c r="C1098" s="279">
        <v>0.011086888636778616</v>
      </c>
      <c r="D1098" s="279">
        <v>0.10711187909605095</v>
      </c>
      <c r="E1098" s="282">
        <v>6.577649994385897E-4</v>
      </c>
      <c r="F1098" s="287">
        <v>32.48331203849193</v>
      </c>
      <c r="G1098" s="235">
        <v>0.0</v>
      </c>
      <c r="H1098" s="235">
        <v>3246.622938993147</v>
      </c>
      <c r="I1098" s="287">
        <v>0.0</v>
      </c>
      <c r="J1098" s="233">
        <v>46070.89210565921</v>
      </c>
    </row>
    <row r="1099">
      <c r="A1099" s="184">
        <v>42549.0</v>
      </c>
      <c r="B1099" s="279">
        <v>0.09699730640557669</v>
      </c>
      <c r="C1099" s="279">
        <v>0.009270119170007262</v>
      </c>
      <c r="D1099" s="279">
        <v>0.106488410903904</v>
      </c>
      <c r="E1099" s="282">
        <v>6.574485961979155E-4</v>
      </c>
      <c r="F1099" s="287">
        <v>32.48331203849193</v>
      </c>
      <c r="G1099" s="235">
        <v>0.0</v>
      </c>
      <c r="H1099" s="235">
        <v>3214.139626954655</v>
      </c>
      <c r="I1099" s="287">
        <v>0.0</v>
      </c>
      <c r="J1099" s="233">
        <v>46038.408793620714</v>
      </c>
    </row>
    <row r="1100">
      <c r="A1100" s="184">
        <v>42548.0</v>
      </c>
      <c r="B1100" s="279">
        <v>0.09632790542481127</v>
      </c>
      <c r="C1100" s="279">
        <v>0.009309434698209629</v>
      </c>
      <c r="D1100" s="279">
        <v>0.1058592626728317</v>
      </c>
      <c r="E1100" s="282">
        <v>6.578811192162092E-4</v>
      </c>
      <c r="F1100" s="287">
        <v>32.48331203849193</v>
      </c>
      <c r="G1100" s="235">
        <v>0.0</v>
      </c>
      <c r="H1100" s="235">
        <v>3181.656314916163</v>
      </c>
      <c r="I1100" s="287">
        <v>0.0</v>
      </c>
      <c r="J1100" s="233">
        <v>46005.92548158222</v>
      </c>
    </row>
    <row r="1101">
      <c r="A1101" s="184">
        <v>42545.0</v>
      </c>
      <c r="B1101" s="279">
        <v>0.09644296596086113</v>
      </c>
      <c r="C1101" s="279">
        <v>0.009426315565646562</v>
      </c>
      <c r="D1101" s="279">
        <v>0.1060939903357388</v>
      </c>
      <c r="E1101" s="282">
        <v>6.583142117066027E-4</v>
      </c>
      <c r="F1101" s="287">
        <v>32.48331203849193</v>
      </c>
      <c r="G1101" s="235">
        <v>0.0</v>
      </c>
      <c r="H1101" s="235">
        <v>3149.173002877671</v>
      </c>
      <c r="I1101" s="287">
        <v>0.0</v>
      </c>
      <c r="J1101" s="233">
        <v>45973.44216954373</v>
      </c>
    </row>
    <row r="1102">
      <c r="A1102" s="184">
        <v>42544.0</v>
      </c>
      <c r="B1102" s="279">
        <v>0.09575900832929579</v>
      </c>
      <c r="C1102" s="279">
        <v>0.009466887188037528</v>
      </c>
      <c r="D1102" s="279">
        <v>0.10545157149140126</v>
      </c>
      <c r="E1102" s="282">
        <v>6.587478747945115E-4</v>
      </c>
      <c r="F1102" s="287">
        <v>32.48331203849193</v>
      </c>
      <c r="G1102" s="235">
        <v>0.0</v>
      </c>
      <c r="H1102" s="235">
        <v>3116.689690839179</v>
      </c>
      <c r="I1102" s="287">
        <v>0.0</v>
      </c>
      <c r="J1102" s="233">
        <v>45940.95885750523</v>
      </c>
    </row>
    <row r="1103">
      <c r="A1103" s="184">
        <v>42543.0</v>
      </c>
      <c r="B1103" s="279">
        <v>0.0950687809106761</v>
      </c>
      <c r="C1103" s="279">
        <v>0.009507773891909703</v>
      </c>
      <c r="D1103" s="279">
        <v>0.10480320545254662</v>
      </c>
      <c r="E1103" s="282">
        <v>6.591821096083185E-4</v>
      </c>
      <c r="F1103" s="287">
        <v>32.48331203849193</v>
      </c>
      <c r="G1103" s="235">
        <v>0.0</v>
      </c>
      <c r="H1103" s="235">
        <v>3084.206378800687</v>
      </c>
      <c r="I1103" s="287">
        <v>0.0</v>
      </c>
      <c r="J1103" s="233">
        <v>45908.47554546674</v>
      </c>
    </row>
    <row r="1104">
      <c r="A1104" s="184">
        <v>42542.0</v>
      </c>
      <c r="B1104" s="279">
        <v>0.09437220868434801</v>
      </c>
      <c r="C1104" s="279">
        <v>0.009548979190102953</v>
      </c>
      <c r="D1104" s="279">
        <v>0.10414882079510139</v>
      </c>
      <c r="E1104" s="282">
        <v>6.596169172793841E-4</v>
      </c>
      <c r="F1104" s="287">
        <v>32.48331203849193</v>
      </c>
      <c r="G1104" s="235">
        <v>0.0</v>
      </c>
      <c r="H1104" s="235">
        <v>3051.7230667621952</v>
      </c>
      <c r="I1104" s="287">
        <v>0.0</v>
      </c>
      <c r="J1104" s="233">
        <v>45875.992233428246</v>
      </c>
    </row>
    <row r="1105">
      <c r="A1105" s="184">
        <v>42541.0</v>
      </c>
      <c r="B1105" s="279">
        <v>0.09366921547447654</v>
      </c>
      <c r="C1105" s="279">
        <v>0.00959050664420441</v>
      </c>
      <c r="D1105" s="279">
        <v>0.10348834498972043</v>
      </c>
      <c r="E1105" s="282">
        <v>6.600522989420554E-4</v>
      </c>
      <c r="F1105" s="287">
        <v>32.48331203849193</v>
      </c>
      <c r="G1105" s="235">
        <v>0.0</v>
      </c>
      <c r="H1105" s="235">
        <v>3019.2397547237033</v>
      </c>
      <c r="I1105" s="287">
        <v>0.0</v>
      </c>
      <c r="J1105" s="233">
        <v>45843.50892138975</v>
      </c>
    </row>
    <row r="1106">
      <c r="A1106" s="184">
        <v>42538.0</v>
      </c>
      <c r="B1106" s="279">
        <v>0.09375087051541366</v>
      </c>
      <c r="C1106" s="279">
        <v>0.009714337396045915</v>
      </c>
      <c r="D1106" s="279">
        <v>0.10369678271643322</v>
      </c>
      <c r="E1106" s="282">
        <v>0.0015991593102821105</v>
      </c>
      <c r="F1106" s="287">
        <v>78.64786455203694</v>
      </c>
      <c r="G1106" s="235">
        <v>0.0</v>
      </c>
      <c r="H1106" s="235">
        <v>2986.7564426852114</v>
      </c>
      <c r="I1106" s="287">
        <v>0.0</v>
      </c>
      <c r="J1106" s="233">
        <v>45811.02560935126</v>
      </c>
    </row>
    <row r="1107">
      <c r="A1107" s="184">
        <v>42537.0</v>
      </c>
      <c r="B1107" s="279">
        <v>0.0914222050574439</v>
      </c>
      <c r="C1107" s="279">
        <v>0.009757230912160231</v>
      </c>
      <c r="D1107" s="279">
        <v>0.10141203328977608</v>
      </c>
      <c r="E1107" s="282">
        <v>0.0016017207168789794</v>
      </c>
      <c r="F1107" s="287">
        <v>78.64786455203694</v>
      </c>
      <c r="G1107" s="235">
        <v>0.0</v>
      </c>
      <c r="H1107" s="235">
        <v>2908.1085781331744</v>
      </c>
      <c r="I1107" s="287">
        <v>0.0</v>
      </c>
      <c r="J1107" s="233">
        <v>45732.37774479922</v>
      </c>
    </row>
    <row r="1108">
      <c r="A1108" s="184">
        <v>42536.0</v>
      </c>
      <c r="B1108" s="279">
        <v>0.08907197505776951</v>
      </c>
      <c r="C1108" s="279">
        <v>0.009800404888646768</v>
      </c>
      <c r="D1108" s="279">
        <v>0.09910600646752876</v>
      </c>
      <c r="E1108" s="282">
        <v>0.0016042903419555784</v>
      </c>
      <c r="F1108" s="287">
        <v>78.64786455203694</v>
      </c>
      <c r="G1108" s="235">
        <v>0.0</v>
      </c>
      <c r="H1108" s="235">
        <v>2829.4607135811375</v>
      </c>
      <c r="I1108" s="287">
        <v>0.0</v>
      </c>
      <c r="J1108" s="233">
        <v>45653.72988024718</v>
      </c>
    </row>
    <row r="1109">
      <c r="A1109" s="184">
        <v>42535.0</v>
      </c>
      <c r="B1109" s="174">
        <v>0.08686601897932189</v>
      </c>
      <c r="C1109" s="174">
        <v>0.00967780326459816</v>
      </c>
      <c r="D1109" s="174">
        <v>0.0967784846976603</v>
      </c>
      <c r="E1109" s="282">
        <v>-3.86805341795339E-4</v>
      </c>
      <c r="F1109" s="287">
        <v>-18.93394078439087</v>
      </c>
      <c r="G1109" s="235">
        <v>0.0</v>
      </c>
      <c r="H1109" s="235">
        <v>2750.8128490291006</v>
      </c>
      <c r="I1109" s="287">
        <v>0.0</v>
      </c>
      <c r="J1109" s="233">
        <v>45575.08201569514</v>
      </c>
    </row>
    <row r="1110">
      <c r="A1110" s="184">
        <v>42534.0</v>
      </c>
      <c r="B1110" s="279">
        <v>0.08792109312598746</v>
      </c>
      <c r="C1110" s="279">
        <v>0.009720806070215887</v>
      </c>
      <c r="D1110" s="279">
        <v>0.09787760436011327</v>
      </c>
      <c r="E1110" s="282">
        <v>-3.8665578127395695E-4</v>
      </c>
      <c r="F1110" s="287">
        <v>-18.93394078440315</v>
      </c>
      <c r="G1110" s="235">
        <v>0.0</v>
      </c>
      <c r="H1110" s="235">
        <v>2769.7467898134914</v>
      </c>
      <c r="I1110" s="287">
        <v>0.0</v>
      </c>
      <c r="J1110" s="233">
        <v>45594.01595647953</v>
      </c>
    </row>
    <row r="1111">
      <c r="A1111" s="184">
        <v>42531.0</v>
      </c>
      <c r="B1111" s="279">
        <v>0.08976643485220247</v>
      </c>
      <c r="C1111" s="279">
        <v>0.009849873631432436</v>
      </c>
      <c r="D1111" s="279">
        <v>0.09985514321215626</v>
      </c>
      <c r="E1111" s="282">
        <v>-3.865063363645026E-4</v>
      </c>
      <c r="F1111" s="287">
        <v>-18.93394078440315</v>
      </c>
      <c r="G1111" s="235">
        <v>0.0</v>
      </c>
      <c r="H1111" s="235">
        <v>2788.6807305978946</v>
      </c>
      <c r="I1111" s="287">
        <v>0.0</v>
      </c>
      <c r="J1111" s="233">
        <v>45612.949897263934</v>
      </c>
    </row>
    <row r="1112">
      <c r="A1112" s="184">
        <v>42530.0</v>
      </c>
      <c r="B1112" s="279">
        <v>0.09085393751845786</v>
      </c>
      <c r="C1112" s="279">
        <v>0.009894473530484227</v>
      </c>
      <c r="D1112" s="279">
        <v>0.10098832721314278</v>
      </c>
      <c r="E1112" s="282">
        <v>-3.863570069332241E-4</v>
      </c>
      <c r="F1112" s="287">
        <v>-18.93394078440315</v>
      </c>
      <c r="G1112" s="235">
        <v>0.0</v>
      </c>
      <c r="H1112" s="235">
        <v>2807.6146713822977</v>
      </c>
      <c r="I1112" s="287">
        <v>0.0</v>
      </c>
      <c r="J1112" s="233">
        <v>45631.883838048336</v>
      </c>
    </row>
    <row r="1113">
      <c r="A1113" s="184">
        <v>42529.0</v>
      </c>
      <c r="B1113" s="279">
        <v>0.09195162002725599</v>
      </c>
      <c r="C1113" s="279">
        <v>0.009939510150691899</v>
      </c>
      <c r="D1113" s="279">
        <v>0.10213213836722052</v>
      </c>
      <c r="E1113" s="282">
        <v>-3.862077928463257E-4</v>
      </c>
      <c r="F1113" s="287">
        <v>-18.93394078440315</v>
      </c>
      <c r="G1113" s="235">
        <v>0.0</v>
      </c>
      <c r="H1113" s="235">
        <v>2826.548612166701</v>
      </c>
      <c r="I1113" s="287">
        <v>0.0</v>
      </c>
      <c r="J1113" s="233">
        <v>45650.81777883274</v>
      </c>
    </row>
    <row r="1114">
      <c r="A1114" s="184">
        <v>42528.0</v>
      </c>
      <c r="B1114" s="279">
        <v>0.09305963454522109</v>
      </c>
      <c r="C1114" s="279">
        <v>0.009984990143075833</v>
      </c>
      <c r="D1114" s="279">
        <v>0.10328673565330461</v>
      </c>
      <c r="E1114" s="282">
        <v>-3.860586939702183E-4</v>
      </c>
      <c r="F1114" s="287">
        <v>-18.93394078440315</v>
      </c>
      <c r="G1114" s="235">
        <v>0.0</v>
      </c>
      <c r="H1114" s="235">
        <v>2845.482552951104</v>
      </c>
      <c r="I1114" s="287">
        <v>0.0</v>
      </c>
      <c r="J1114" s="233">
        <v>45669.75171961714</v>
      </c>
    </row>
    <row r="1115">
      <c r="A1115" s="184">
        <v>42527.0</v>
      </c>
      <c r="B1115" s="279">
        <v>0.09417813639489372</v>
      </c>
      <c r="C1115" s="279">
        <v>0.010030920299754534</v>
      </c>
      <c r="D1115" s="279">
        <v>0.104452281350746</v>
      </c>
      <c r="E1115" s="282">
        <v>-3.8590971017151907E-4</v>
      </c>
      <c r="F1115" s="287">
        <v>-18.93394078440315</v>
      </c>
      <c r="G1115" s="235">
        <v>0.0</v>
      </c>
      <c r="H1115" s="235">
        <v>2864.416493735507</v>
      </c>
      <c r="I1115" s="287">
        <v>0.0</v>
      </c>
      <c r="J1115" s="233">
        <v>45688.68566040154</v>
      </c>
    </row>
    <row r="1116">
      <c r="A1116" s="184">
        <v>42524.0</v>
      </c>
      <c r="B1116" s="279">
        <v>0.09616979349910981</v>
      </c>
      <c r="C1116" s="279">
        <v>0.010168504911330442</v>
      </c>
      <c r="D1116" s="279">
        <v>0.10658485914825679</v>
      </c>
      <c r="E1116" s="282">
        <v>-3.857608413170509E-4</v>
      </c>
      <c r="F1116" s="287">
        <v>-18.93394078440315</v>
      </c>
      <c r="G1116" s="235">
        <v>0.0</v>
      </c>
      <c r="H1116" s="235">
        <v>2883.3504345199103</v>
      </c>
      <c r="I1116" s="287">
        <v>0.0</v>
      </c>
      <c r="J1116" s="233">
        <v>45707.61960118594</v>
      </c>
    </row>
    <row r="1117">
      <c r="A1117" s="184">
        <v>42523.0</v>
      </c>
      <c r="B1117" s="279">
        <v>0.09732403276384805</v>
      </c>
      <c r="C1117" s="279">
        <v>0.010216196812747548</v>
      </c>
      <c r="D1117" s="279">
        <v>0.10778794672339298</v>
      </c>
      <c r="E1117" s="282">
        <v>-3.8561208727384215E-4</v>
      </c>
      <c r="F1117" s="287">
        <v>-18.93394078440315</v>
      </c>
      <c r="G1117" s="235">
        <v>0.0</v>
      </c>
      <c r="H1117" s="235">
        <v>2902.2843753043135</v>
      </c>
      <c r="I1117" s="287">
        <v>0.0</v>
      </c>
      <c r="J1117" s="233">
        <v>45726.553541970345</v>
      </c>
    </row>
    <row r="1118">
      <c r="A1118" s="184">
        <v>42522.0</v>
      </c>
      <c r="B1118" s="279">
        <v>0.09848947579061255</v>
      </c>
      <c r="C1118" s="279">
        <v>0.010264372121969081</v>
      </c>
      <c r="D1118" s="279">
        <v>0.10900273318978657</v>
      </c>
      <c r="E1118" s="282">
        <v>-3.8546344790912614E-4</v>
      </c>
      <c r="F1118" s="287">
        <v>-18.93394078440315</v>
      </c>
      <c r="G1118" s="235">
        <v>0.0</v>
      </c>
      <c r="H1118" s="235">
        <v>2921.2183160887166</v>
      </c>
      <c r="I1118" s="287">
        <v>0.0</v>
      </c>
      <c r="J1118" s="233">
        <v>45745.48748275475</v>
      </c>
    </row>
    <row r="1119">
      <c r="A1119" s="184">
        <v>42521.0</v>
      </c>
      <c r="B1119" s="279">
        <v>0.09966629613498246</v>
      </c>
      <c r="C1119" s="279">
        <v>0.010313038468850315</v>
      </c>
      <c r="D1119" s="279">
        <v>0.11022939991787681</v>
      </c>
      <c r="E1119" s="282">
        <v>-3.853149230903409E-4</v>
      </c>
      <c r="F1119" s="287">
        <v>-18.93394078440315</v>
      </c>
      <c r="G1119" s="235">
        <v>0.0</v>
      </c>
      <c r="H1119" s="235">
        <v>2940.1522568731198</v>
      </c>
      <c r="I1119" s="287">
        <v>0.0</v>
      </c>
      <c r="J1119" s="233">
        <v>45764.42142353915</v>
      </c>
    </row>
    <row r="1120">
      <c r="A1120" s="184">
        <v>42520.0</v>
      </c>
      <c r="B1120" s="279">
        <v>0.10085467108753685</v>
      </c>
      <c r="C1120" s="279">
        <v>0.010362203651163741</v>
      </c>
      <c r="D1120" s="279">
        <v>0.11146813218509168</v>
      </c>
      <c r="E1120" s="282">
        <v>-3.851665126851286E-4</v>
      </c>
      <c r="F1120" s="287">
        <v>-18.93394078440315</v>
      </c>
      <c r="G1120" s="235">
        <v>0.0</v>
      </c>
      <c r="H1120" s="235">
        <v>2959.086197657523</v>
      </c>
      <c r="I1120" s="287">
        <v>0.0</v>
      </c>
      <c r="J1120" s="233">
        <v>45783.35536432355</v>
      </c>
    </row>
    <row r="1121">
      <c r="A1121" s="184">
        <v>42517.0</v>
      </c>
      <c r="B1121" s="279">
        <v>0.10300856478640993</v>
      </c>
      <c r="C1121" s="279">
        <v>0.01050918288841033</v>
      </c>
      <c r="D1121" s="279">
        <v>0.11377256899903758</v>
      </c>
      <c r="E1121" s="282">
        <v>-3.850182165613354E-4</v>
      </c>
      <c r="F1121" s="287">
        <v>-18.93394078440315</v>
      </c>
      <c r="G1121" s="235">
        <v>0.0</v>
      </c>
      <c r="H1121" s="235">
        <v>2978.020138441926</v>
      </c>
      <c r="I1121" s="287">
        <v>0.0</v>
      </c>
      <c r="J1121" s="233">
        <v>45802.28930510795</v>
      </c>
    </row>
    <row r="1122">
      <c r="A1122" s="184">
        <v>42516.0</v>
      </c>
      <c r="B1122" s="279">
        <v>0.10423645472923519</v>
      </c>
      <c r="C1122" s="279">
        <v>0.010560297911414529</v>
      </c>
      <c r="D1122" s="279">
        <v>0.11505281337595993</v>
      </c>
      <c r="E1122" s="282">
        <v>-3.848700345870109E-4</v>
      </c>
      <c r="F1122" s="287">
        <v>-18.93394078440315</v>
      </c>
      <c r="G1122" s="235">
        <v>0.0</v>
      </c>
      <c r="H1122" s="235">
        <v>2996.954079226329</v>
      </c>
      <c r="I1122" s="287">
        <v>0.0</v>
      </c>
      <c r="J1122" s="233">
        <v>45821.22324589235</v>
      </c>
    </row>
    <row r="1123">
      <c r="A1123" s="184">
        <v>42515.0</v>
      </c>
      <c r="B1123" s="279">
        <v>0.10547671848633162</v>
      </c>
      <c r="C1123" s="279">
        <v>0.01061194991213582</v>
      </c>
      <c r="D1123" s="279">
        <v>0.11634598156523328</v>
      </c>
      <c r="E1123" s="282">
        <v>-3.847219666304074E-4</v>
      </c>
      <c r="F1123" s="287">
        <v>-18.93394078440315</v>
      </c>
      <c r="G1123" s="235">
        <v>0.0</v>
      </c>
      <c r="H1123" s="235">
        <v>3015.8880200107324</v>
      </c>
      <c r="I1123" s="287">
        <v>0.0</v>
      </c>
      <c r="J1123" s="233">
        <v>45840.157186676755</v>
      </c>
    </row>
    <row r="1124">
      <c r="A1124" s="184">
        <v>42514.0</v>
      </c>
      <c r="B1124" s="279">
        <v>0.10672955496308799</v>
      </c>
      <c r="C1124" s="279">
        <v>0.0106641476856881</v>
      </c>
      <c r="D1124" s="279">
        <v>0.1176522814806197</v>
      </c>
      <c r="E1124" s="282">
        <v>-3.8457401255998045E-4</v>
      </c>
      <c r="F1124" s="287">
        <v>-18.93394078440315</v>
      </c>
      <c r="G1124" s="235">
        <v>0.0</v>
      </c>
      <c r="H1124" s="235">
        <v>3034.8219607951355</v>
      </c>
      <c r="I1124" s="287">
        <v>0.0</v>
      </c>
      <c r="J1124" s="233">
        <v>45859.09112746116</v>
      </c>
    </row>
    <row r="1125">
      <c r="A1125" s="184">
        <v>42513.0</v>
      </c>
      <c r="B1125" s="279">
        <v>0.10799516751260155</v>
      </c>
      <c r="C1125" s="279">
        <v>0.010716900228256611</v>
      </c>
      <c r="D1125" s="279">
        <v>0.11897192568953661</v>
      </c>
      <c r="E1125" s="282">
        <v>-3.8442617224438726E-4</v>
      </c>
      <c r="F1125" s="287">
        <v>-18.93394078440315</v>
      </c>
      <c r="G1125" s="235">
        <v>0.0</v>
      </c>
      <c r="H1125" s="235">
        <v>3053.7559015795387</v>
      </c>
      <c r="I1125" s="287">
        <v>0.0</v>
      </c>
      <c r="J1125" s="233">
        <v>45878.02506824556</v>
      </c>
    </row>
    <row r="1126">
      <c r="A1126" s="184">
        <v>42510.0</v>
      </c>
      <c r="B1126" s="279">
        <v>0.11032954922612398</v>
      </c>
      <c r="C1126" s="279">
        <v>0.01087427680827976</v>
      </c>
      <c r="D1126" s="279">
        <v>0.12146749997039046</v>
      </c>
      <c r="E1126" s="282">
        <v>-3.8427844555248753E-4</v>
      </c>
      <c r="F1126" s="287">
        <v>-18.93394078440315</v>
      </c>
      <c r="G1126" s="235">
        <v>0.0</v>
      </c>
      <c r="H1126" s="235">
        <v>3072.689842363942</v>
      </c>
      <c r="I1126" s="287">
        <v>0.0</v>
      </c>
      <c r="J1126" s="233">
        <v>45896.95900902996</v>
      </c>
    </row>
    <row r="1127">
      <c r="A1127" s="184">
        <v>42509.0</v>
      </c>
      <c r="B1127" s="279">
        <v>0.11163900928028227</v>
      </c>
      <c r="C1127" s="279">
        <v>0.010929195061000629</v>
      </c>
      <c r="D1127" s="279">
        <v>0.12283320990714328</v>
      </c>
      <c r="E1127" s="282">
        <v>-3.84130832353342E-4</v>
      </c>
      <c r="F1127" s="287">
        <v>-18.93394078440315</v>
      </c>
      <c r="G1127" s="235">
        <v>0.0</v>
      </c>
      <c r="H1127" s="235">
        <v>3091.623783148345</v>
      </c>
      <c r="I1127" s="287">
        <v>0.0</v>
      </c>
      <c r="J1127" s="233">
        <v>45915.89294981436</v>
      </c>
    </row>
    <row r="1128">
      <c r="A1128" s="184">
        <v>42508.0</v>
      </c>
      <c r="B1128" s="279">
        <v>0.11296218671016743</v>
      </c>
      <c r="C1128" s="279">
        <v>0.01098471205990372</v>
      </c>
      <c r="D1128" s="279">
        <v>0.12421325048389824</v>
      </c>
      <c r="E1128" s="282">
        <v>-3.8398333251621277E-4</v>
      </c>
      <c r="F1128" s="287">
        <v>-18.93394078440315</v>
      </c>
      <c r="G1128" s="235">
        <v>0.0</v>
      </c>
      <c r="H1128" s="235">
        <v>3110.557723932748</v>
      </c>
      <c r="I1128" s="287">
        <v>0.0</v>
      </c>
      <c r="J1128" s="233">
        <v>45934.826890598764</v>
      </c>
    </row>
    <row r="1129">
      <c r="A1129" s="184">
        <v>42507.0</v>
      </c>
      <c r="B1129" s="279">
        <v>0.11429931065344033</v>
      </c>
      <c r="C1129" s="279">
        <v>0.011040837995981373</v>
      </c>
      <c r="D1129" s="279">
        <v>0.12560786127641457</v>
      </c>
      <c r="E1129" s="282">
        <v>-3.838359459105625E-4</v>
      </c>
      <c r="F1129" s="287">
        <v>-18.93394078440315</v>
      </c>
      <c r="G1129" s="235">
        <v>0.0</v>
      </c>
      <c r="H1129" s="235">
        <v>3129.4916647171513</v>
      </c>
      <c r="I1129" s="287">
        <v>0.0</v>
      </c>
      <c r="J1129" s="233">
        <v>45953.760831383166</v>
      </c>
    </row>
    <row r="1130">
      <c r="A1130" s="184">
        <v>42506.0</v>
      </c>
      <c r="B1130" s="279">
        <v>0.11565061557938836</v>
      </c>
      <c r="C1130" s="279">
        <v>0.01109758330259768</v>
      </c>
      <c r="D1130" s="279">
        <v>0.12701728744032662</v>
      </c>
      <c r="E1130" s="282">
        <v>-3.836886724060543E-4</v>
      </c>
      <c r="F1130" s="287">
        <v>-18.93394078440315</v>
      </c>
      <c r="G1130" s="235">
        <v>0.0</v>
      </c>
      <c r="H1130" s="235">
        <v>3148.4256055015544</v>
      </c>
      <c r="I1130" s="287">
        <v>0.0</v>
      </c>
      <c r="J1130" s="233">
        <v>45972.69477216757</v>
      </c>
    </row>
    <row r="1131">
      <c r="A1131" s="184">
        <v>42503.0</v>
      </c>
      <c r="B1131" s="279">
        <v>0.11818650486625087</v>
      </c>
      <c r="C1131" s="279">
        <v>0.01126650824968769</v>
      </c>
      <c r="D1131" s="279">
        <v>0.1297261976805213</v>
      </c>
      <c r="E1131" s="282">
        <v>-3.8354151187255134E-4</v>
      </c>
      <c r="F1131" s="287">
        <v>-18.93394078440315</v>
      </c>
      <c r="G1131" s="235">
        <v>0.0</v>
      </c>
      <c r="H1131" s="235">
        <v>3167.3595462859575</v>
      </c>
      <c r="I1131" s="287">
        <v>0.0</v>
      </c>
      <c r="J1131" s="233">
        <v>45991.62871295197</v>
      </c>
    </row>
    <row r="1132">
      <c r="A1132" s="184">
        <v>42502.0</v>
      </c>
      <c r="B1132" s="279">
        <v>0.11958665082130383</v>
      </c>
      <c r="C1132" s="279">
        <v>0.011325668234736736</v>
      </c>
      <c r="D1132" s="279">
        <v>0.13118693810186613</v>
      </c>
      <c r="E1132" s="282">
        <v>-3.833944641801162E-4</v>
      </c>
      <c r="F1132" s="287">
        <v>-18.93394078440315</v>
      </c>
      <c r="G1132" s="235">
        <v>0.0</v>
      </c>
      <c r="H1132" s="235">
        <v>3186.2934870703607</v>
      </c>
      <c r="I1132" s="287">
        <v>0.0</v>
      </c>
      <c r="J1132" s="233">
        <v>46010.56265373637</v>
      </c>
    </row>
    <row r="1133">
      <c r="A1133" s="184">
        <v>42501.0</v>
      </c>
      <c r="B1133" s="279">
        <v>0.1210020650340367</v>
      </c>
      <c r="C1133" s="279">
        <v>0.011385498561549487</v>
      </c>
      <c r="D1133" s="279">
        <v>0.13266363337676088</v>
      </c>
      <c r="E1133" s="282">
        <v>-3.8324752919901054E-4</v>
      </c>
      <c r="F1133" s="287">
        <v>-18.93394078440315</v>
      </c>
      <c r="G1133" s="235">
        <v>0.0</v>
      </c>
      <c r="H1133" s="235">
        <v>3205.227427854764</v>
      </c>
      <c r="I1133" s="287">
        <v>0.0</v>
      </c>
      <c r="J1133" s="233">
        <v>46029.49659452077</v>
      </c>
    </row>
    <row r="1134">
      <c r="A1134" s="184">
        <v>42500.0</v>
      </c>
      <c r="B1134" s="279">
        <v>0.12262649829551367</v>
      </c>
      <c r="C1134" s="279">
        <v>0.011252525748850817</v>
      </c>
      <c r="D1134" s="279">
        <v>0.13415656110291876</v>
      </c>
      <c r="E1134" s="282">
        <v>-3.8306466578697835E-4</v>
      </c>
      <c r="F1134" s="287">
        <v>-18.93394078440315</v>
      </c>
      <c r="G1134" s="235">
        <v>0.0</v>
      </c>
      <c r="H1134" s="235">
        <v>3224.161368639167</v>
      </c>
      <c r="I1134" s="287">
        <v>0.0</v>
      </c>
      <c r="J1134" s="233">
        <v>46048.430535305175</v>
      </c>
    </row>
    <row r="1135">
      <c r="A1135" s="184">
        <v>42499.0</v>
      </c>
      <c r="B1135" s="279">
        <v>0.12407428641927394</v>
      </c>
      <c r="C1135" s="279">
        <v>0.011312698024085962</v>
      </c>
      <c r="D1135" s="279">
        <v>0.13566600561638306</v>
      </c>
      <c r="E1135" s="282">
        <v>-3.8291798343762895E-4</v>
      </c>
      <c r="F1135" s="287">
        <v>-18.93394078440315</v>
      </c>
      <c r="G1135" s="235">
        <v>0.0</v>
      </c>
      <c r="H1135" s="235">
        <v>3243.09530942357</v>
      </c>
      <c r="I1135" s="287">
        <v>0.0</v>
      </c>
      <c r="J1135" s="233">
        <v>46067.36447608958</v>
      </c>
    </row>
    <row r="1136">
      <c r="A1136" s="184">
        <v>42496.0</v>
      </c>
      <c r="B1136" s="279">
        <v>0.12683908425635929</v>
      </c>
      <c r="C1136" s="279">
        <v>0.01149142598708406</v>
      </c>
      <c r="D1136" s="279">
        <v>0.13861393963860605</v>
      </c>
      <c r="E1136" s="282">
        <v>-3.8277141337989993E-4</v>
      </c>
      <c r="F1136" s="287">
        <v>-18.93394078440315</v>
      </c>
      <c r="G1136" s="235">
        <v>0.0</v>
      </c>
      <c r="H1136" s="235">
        <v>3262.0292502079733</v>
      </c>
      <c r="I1136" s="287">
        <v>0.0</v>
      </c>
      <c r="J1136" s="233">
        <v>46086.29841687398</v>
      </c>
    </row>
    <row r="1137">
      <c r="A1137" s="184">
        <v>42495.0</v>
      </c>
      <c r="B1137" s="279">
        <v>0.1283415450504459</v>
      </c>
      <c r="C1137" s="279">
        <v>0.011554255910212044</v>
      </c>
      <c r="D1137" s="279">
        <v>0.14018078001964218</v>
      </c>
      <c r="E1137" s="282">
        <v>-3.826249554848946E-4</v>
      </c>
      <c r="F1137" s="287">
        <v>-18.93394078440315</v>
      </c>
      <c r="G1137" s="235">
        <v>0.0</v>
      </c>
      <c r="H1137" s="235">
        <v>3280.9631909923764</v>
      </c>
      <c r="I1137" s="287">
        <v>0.0</v>
      </c>
      <c r="J1137" s="233">
        <v>46105.23235765838</v>
      </c>
    </row>
    <row r="1138">
      <c r="A1138" s="184">
        <v>42494.0</v>
      </c>
      <c r="B1138" s="279">
        <v>0.12986108713616115</v>
      </c>
      <c r="C1138" s="279">
        <v>0.01161782688790291</v>
      </c>
      <c r="D1138" s="279">
        <v>0.14176546102455334</v>
      </c>
      <c r="E1138" s="282">
        <v>-3.824786096239133E-4</v>
      </c>
      <c r="F1138" s="287">
        <v>-18.93394078440315</v>
      </c>
      <c r="G1138" s="235">
        <v>0.0</v>
      </c>
      <c r="H1138" s="235">
        <v>3299.8971317767796</v>
      </c>
      <c r="I1138" s="287">
        <v>0.0</v>
      </c>
      <c r="J1138" s="233">
        <v>46124.16629844278</v>
      </c>
    </row>
    <row r="1139">
      <c r="A1139" s="184">
        <v>42493.0</v>
      </c>
      <c r="B1139" s="279">
        <v>0.1313980200803135</v>
      </c>
      <c r="C1139" s="279">
        <v>0.011682152604108773</v>
      </c>
      <c r="D1139" s="279">
        <v>0.1433683062416068</v>
      </c>
      <c r="E1139" s="282">
        <v>-3.8233237566845347E-4</v>
      </c>
      <c r="F1139" s="287">
        <v>-18.93394078440315</v>
      </c>
      <c r="G1139" s="235">
        <v>0.0</v>
      </c>
      <c r="H1139" s="235">
        <v>3318.8310725611827</v>
      </c>
      <c r="I1139" s="287">
        <v>0.0</v>
      </c>
      <c r="J1139" s="233">
        <v>46143.100239227184</v>
      </c>
    </row>
    <row r="1140">
      <c r="A1140" s="184">
        <v>42492.0</v>
      </c>
      <c r="B1140" s="279">
        <v>0.1329526612872586</v>
      </c>
      <c r="C1140" s="279">
        <v>0.011747247096673255</v>
      </c>
      <c r="D1140" s="279">
        <v>0.14498964745923715</v>
      </c>
      <c r="E1140" s="282">
        <v>-3.821862534902087E-4</v>
      </c>
      <c r="F1140" s="287">
        <v>-18.93394078440315</v>
      </c>
      <c r="G1140" s="235">
        <v>0.0</v>
      </c>
      <c r="H1140" s="235">
        <v>3337.765013345586</v>
      </c>
      <c r="I1140" s="287">
        <v>0.0</v>
      </c>
      <c r="J1140" s="233">
        <v>46162.034180011586</v>
      </c>
    </row>
    <row r="1141">
      <c r="A1141" s="184">
        <v>42489.0</v>
      </c>
      <c r="B1141" s="279">
        <v>0.13597184525190642</v>
      </c>
      <c r="C1141" s="279">
        <v>0.01194014761635127</v>
      </c>
      <c r="D1141" s="279">
        <v>0.1482064897236401</v>
      </c>
      <c r="E1141" s="282">
        <v>-3.820402429610689E-4</v>
      </c>
      <c r="F1141" s="287">
        <v>-18.93394078440315</v>
      </c>
      <c r="G1141" s="235">
        <v>0.0</v>
      </c>
      <c r="H1141" s="235">
        <v>3356.698954129989</v>
      </c>
      <c r="I1141" s="287">
        <v>0.0</v>
      </c>
      <c r="J1141" s="233">
        <v>46180.96812079599</v>
      </c>
    </row>
    <row r="1142">
      <c r="A1142" s="184">
        <v>42488.0</v>
      </c>
      <c r="B1142" s="279">
        <v>0.13758790729167897</v>
      </c>
      <c r="C1142" s="279">
        <v>0.012008230679092645</v>
      </c>
      <c r="D1142" s="279">
        <v>0.1498923140556348</v>
      </c>
      <c r="E1142" s="282">
        <v>-3.818943439531196E-4</v>
      </c>
      <c r="F1142" s="287">
        <v>-18.93394078440315</v>
      </c>
      <c r="G1142" s="235">
        <v>0.0</v>
      </c>
      <c r="H1142" s="235">
        <v>3375.632894914392</v>
      </c>
      <c r="I1142" s="287">
        <v>0.0</v>
      </c>
      <c r="J1142" s="233">
        <v>46199.90206158039</v>
      </c>
    </row>
    <row r="1143">
      <c r="A1143" s="184">
        <v>42487.0</v>
      </c>
      <c r="B1143" s="279">
        <v>0.13922315481933262</v>
      </c>
      <c r="C1143" s="279">
        <v>0.012077151014616217</v>
      </c>
      <c r="D1143" s="279">
        <v>0.1515981817991431</v>
      </c>
      <c r="E1143" s="282">
        <v>-3.817485563386416E-4</v>
      </c>
      <c r="F1143" s="287">
        <v>-18.93394078440315</v>
      </c>
      <c r="G1143" s="235">
        <v>0.0</v>
      </c>
      <c r="H1143" s="235">
        <v>3394.5668356987953</v>
      </c>
      <c r="I1143" s="287">
        <v>0.0</v>
      </c>
      <c r="J1143" s="233">
        <v>46218.83600236479</v>
      </c>
    </row>
    <row r="1144">
      <c r="A1144" s="184">
        <v>42486.0</v>
      </c>
      <c r="B1144" s="279">
        <v>0.14087795094503586</v>
      </c>
      <c r="C1144" s="279">
        <v>0.012146924767945115</v>
      </c>
      <c r="D1144" s="279">
        <v>0.1533244726075644</v>
      </c>
      <c r="E1144" s="282">
        <v>-3.8160287999011077E-4</v>
      </c>
      <c r="F1144" s="287">
        <v>-18.93394078440315</v>
      </c>
      <c r="G1144" s="235">
        <v>0.0</v>
      </c>
      <c r="H1144" s="235">
        <v>3413.5007764831985</v>
      </c>
      <c r="I1144" s="287">
        <v>0.0</v>
      </c>
      <c r="J1144" s="233">
        <v>46237.76994314919</v>
      </c>
    </row>
    <row r="1145">
      <c r="A1145" s="184">
        <v>42485.0</v>
      </c>
      <c r="B1145" s="279">
        <v>0.14255266839423994</v>
      </c>
      <c r="C1145" s="279">
        <v>0.012217568520666348</v>
      </c>
      <c r="D1145" s="279">
        <v>0.15507157619691214</v>
      </c>
      <c r="E1145" s="282">
        <v>-3.8145731478019733E-4</v>
      </c>
      <c r="F1145" s="287">
        <v>-18.93394078440315</v>
      </c>
      <c r="G1145" s="235">
        <v>0.0</v>
      </c>
      <c r="H1145" s="235">
        <v>3432.4347172676016</v>
      </c>
      <c r="I1145" s="287">
        <v>0.0</v>
      </c>
      <c r="J1145" s="233">
        <v>46256.703883933595</v>
      </c>
    </row>
    <row r="1146">
      <c r="A1146" s="184">
        <v>42482.0</v>
      </c>
      <c r="B1146" s="279">
        <v>0.14585939587467162</v>
      </c>
      <c r="C1146" s="279">
        <v>0.01242640767860967</v>
      </c>
      <c r="D1146" s="279">
        <v>0.15859229373268566</v>
      </c>
      <c r="E1146" s="282">
        <v>-3.813118605817659E-4</v>
      </c>
      <c r="F1146" s="287">
        <v>-18.93394078440315</v>
      </c>
      <c r="G1146" s="235">
        <v>0.0</v>
      </c>
      <c r="H1146" s="235">
        <v>3451.368658052005</v>
      </c>
      <c r="I1146" s="287">
        <v>0.0</v>
      </c>
      <c r="J1146" s="233">
        <v>46275.637824718</v>
      </c>
    </row>
    <row r="1147">
      <c r="A1147" s="184">
        <v>42481.0</v>
      </c>
      <c r="B1147" s="279">
        <v>0.14760344656264307</v>
      </c>
      <c r="C1147" s="279">
        <v>0.012500428274886462</v>
      </c>
      <c r="D1147" s="279">
        <v>0.16041219069225532</v>
      </c>
      <c r="E1147" s="282">
        <v>-3.811665172678751E-4</v>
      </c>
      <c r="F1147" s="287">
        <v>-18.93394078440315</v>
      </c>
      <c r="G1147" s="235">
        <v>0.0</v>
      </c>
      <c r="H1147" s="235">
        <v>3470.302598836408</v>
      </c>
      <c r="I1147" s="287">
        <v>0.0</v>
      </c>
      <c r="J1147" s="233">
        <v>46294.5717655024</v>
      </c>
    </row>
    <row r="1148">
      <c r="A1148" s="184">
        <v>42480.0</v>
      </c>
      <c r="B1148" s="279">
        <v>0.14936915643269244</v>
      </c>
      <c r="C1148" s="279">
        <v>0.012575399730318274</v>
      </c>
      <c r="D1148" s="279">
        <v>0.16225472114545061</v>
      </c>
      <c r="E1148" s="282">
        <v>-3.8102128471177656E-4</v>
      </c>
      <c r="F1148" s="287">
        <v>-18.93394078440315</v>
      </c>
      <c r="G1148" s="235">
        <v>0.0</v>
      </c>
      <c r="H1148" s="235">
        <v>3489.236539620811</v>
      </c>
      <c r="I1148" s="287">
        <v>0.0</v>
      </c>
      <c r="J1148" s="233">
        <v>46313.5057062868</v>
      </c>
    </row>
    <row r="1149">
      <c r="A1149" s="184">
        <v>42479.0</v>
      </c>
      <c r="B1149" s="279">
        <v>0.15115695440869453</v>
      </c>
      <c r="C1149" s="279">
        <v>0.012651341228439176</v>
      </c>
      <c r="D1149" s="279">
        <v>0.16412033367283124</v>
      </c>
      <c r="E1149" s="282">
        <v>-3.808761627869154E-4</v>
      </c>
      <c r="F1149" s="287">
        <v>-18.93394078440315</v>
      </c>
      <c r="G1149" s="235">
        <v>0.0</v>
      </c>
      <c r="H1149" s="235">
        <v>3508.170480405214</v>
      </c>
      <c r="I1149" s="287">
        <v>0.0</v>
      </c>
      <c r="J1149" s="233">
        <v>46332.4396470712</v>
      </c>
    </row>
    <row r="1150">
      <c r="A1150" s="184">
        <v>42478.0</v>
      </c>
      <c r="B1150" s="279">
        <v>0.15296728131793305</v>
      </c>
      <c r="C1150" s="279">
        <v>0.01272827249621613</v>
      </c>
      <c r="D1150" s="279">
        <v>0.16600948931520218</v>
      </c>
      <c r="E1150" s="282">
        <v>-3.8073115136692934E-4</v>
      </c>
      <c r="F1150" s="287">
        <v>-18.93394078440315</v>
      </c>
      <c r="G1150" s="235">
        <v>0.0</v>
      </c>
      <c r="H1150" s="235">
        <v>3527.1044211896174</v>
      </c>
      <c r="I1150" s="287">
        <v>0.0</v>
      </c>
      <c r="J1150" s="233">
        <v>46351.3735878556</v>
      </c>
    </row>
    <row r="1151">
      <c r="A1151" s="184">
        <v>42475.0</v>
      </c>
      <c r="B1151" s="279">
        <v>0.1569306670774457</v>
      </c>
      <c r="C1151" s="279">
        <v>0.012955123287405683</v>
      </c>
      <c r="D1151" s="279">
        <v>0.16987525112318727</v>
      </c>
      <c r="E1151" s="282">
        <v>-4.2515250503293294E-4</v>
      </c>
      <c r="F1151" s="287">
        <v>-18.93394078440315</v>
      </c>
      <c r="G1151" s="235">
        <v>0.0</v>
      </c>
      <c r="H1151" s="235">
        <v>3546.0383619740205</v>
      </c>
      <c r="I1151" s="287">
        <v>0.0</v>
      </c>
      <c r="J1151" s="233">
        <v>46370.307528640005</v>
      </c>
    </row>
    <row r="1152">
      <c r="A1152" s="184">
        <v>42474.0</v>
      </c>
      <c r="B1152" s="279">
        <v>0.15882172472889974</v>
      </c>
      <c r="C1152" s="279">
        <v>0.01303589001928238</v>
      </c>
      <c r="D1152" s="279">
        <v>0.17184700980123008</v>
      </c>
      <c r="E1152" s="282">
        <v>-4.2497182719603206E-4</v>
      </c>
      <c r="F1152" s="287">
        <v>-18.93394078440315</v>
      </c>
      <c r="G1152" s="235">
        <v>0.0</v>
      </c>
      <c r="H1152" s="235">
        <v>3564.9723027584237</v>
      </c>
      <c r="I1152" s="287">
        <v>0.0</v>
      </c>
      <c r="J1152" s="233">
        <v>46389.24146942441</v>
      </c>
    </row>
    <row r="1153">
      <c r="A1153" s="184">
        <v>42473.0</v>
      </c>
      <c r="B1153" s="279">
        <v>0.1607373981634286</v>
      </c>
      <c r="C1153" s="279">
        <v>0.013117742662755989</v>
      </c>
      <c r="D1153" s="279">
        <v>0.17384446929053468</v>
      </c>
      <c r="E1153" s="282">
        <v>-4.2479130285987866E-4</v>
      </c>
      <c r="F1153" s="287">
        <v>-18.93394078440315</v>
      </c>
      <c r="G1153" s="235">
        <v>0.0</v>
      </c>
      <c r="H1153" s="235">
        <v>3583.906243542827</v>
      </c>
      <c r="I1153" s="287">
        <v>0.0</v>
      </c>
      <c r="J1153" s="233">
        <v>46408.17541020881</v>
      </c>
    </row>
    <row r="1154">
      <c r="A1154" s="184">
        <v>42472.0</v>
      </c>
      <c r="B1154" s="279">
        <v>0.16267819853338394</v>
      </c>
      <c r="C1154" s="279">
        <v>0.01320070418742368</v>
      </c>
      <c r="D1154" s="279">
        <v>0.17586816369436367</v>
      </c>
      <c r="E1154" s="282">
        <v>-4.2461093182893857E-4</v>
      </c>
      <c r="F1154" s="287">
        <v>-18.93394078440315</v>
      </c>
      <c r="G1154" s="235">
        <v>0.0</v>
      </c>
      <c r="H1154" s="235">
        <v>3602.84018432723</v>
      </c>
      <c r="I1154" s="287">
        <v>0.0</v>
      </c>
      <c r="J1154" s="233">
        <v>46427.10935099321</v>
      </c>
    </row>
    <row r="1155">
      <c r="A1155" s="184">
        <v>42471.0</v>
      </c>
      <c r="B1155" s="279">
        <v>0.16464465189045774</v>
      </c>
      <c r="C1155" s="279">
        <v>0.013284798246028925</v>
      </c>
      <c r="D1155" s="279">
        <v>0.1779186426979106</v>
      </c>
      <c r="E1155" s="282">
        <v>-4.2443071390800926E-4</v>
      </c>
      <c r="F1155" s="287">
        <v>-18.93394078440315</v>
      </c>
      <c r="G1155" s="235">
        <v>0.0</v>
      </c>
      <c r="H1155" s="235">
        <v>3621.774125111633</v>
      </c>
      <c r="I1155" s="287">
        <v>0.0</v>
      </c>
      <c r="J1155" s="233">
        <v>46446.04329177761</v>
      </c>
    </row>
    <row r="1156">
      <c r="A1156" s="184">
        <v>42468.0</v>
      </c>
      <c r="B1156" s="279">
        <v>0.16886130589651183</v>
      </c>
      <c r="C1156" s="279">
        <v>0.013327950323648413</v>
      </c>
      <c r="D1156" s="279">
        <v>0.18217824758839302</v>
      </c>
      <c r="E1156" s="282">
        <v>-4.242118674133976E-4</v>
      </c>
      <c r="F1156" s="287">
        <v>-18.93394078440315</v>
      </c>
      <c r="G1156" s="235">
        <v>0.0</v>
      </c>
      <c r="H1156" s="235">
        <v>3640.7080658960363</v>
      </c>
      <c r="I1156" s="287">
        <v>0.0</v>
      </c>
      <c r="J1156" s="233">
        <v>46464.977232562014</v>
      </c>
    </row>
    <row r="1157">
      <c r="A1157" s="184">
        <v>42467.0</v>
      </c>
      <c r="B1157" s="279">
        <v>0.17091898366972078</v>
      </c>
      <c r="C1157" s="279">
        <v>0.013415090682104976</v>
      </c>
      <c r="D1157" s="279">
        <v>0.18432299374379096</v>
      </c>
      <c r="E1157" s="282">
        <v>-4.2403198801192E-4</v>
      </c>
      <c r="F1157" s="287">
        <v>-18.93394078440315</v>
      </c>
      <c r="G1157" s="235">
        <v>0.0</v>
      </c>
      <c r="H1157" s="235">
        <v>3659.6420066804394</v>
      </c>
      <c r="I1157" s="287">
        <v>0.0</v>
      </c>
      <c r="J1157" s="233">
        <v>46483.911173346416</v>
      </c>
    </row>
    <row r="1158">
      <c r="A1158" s="184">
        <v>42466.0</v>
      </c>
      <c r="B1158" s="279">
        <v>0.1730047952592915</v>
      </c>
      <c r="C1158" s="279">
        <v>0.013503459960016562</v>
      </c>
      <c r="D1158" s="279">
        <v>0.1864971016199418</v>
      </c>
      <c r="E1158" s="282">
        <v>-4.2385226109502446E-4</v>
      </c>
      <c r="F1158" s="287">
        <v>-18.93394078440315</v>
      </c>
      <c r="G1158" s="235">
        <v>0.0</v>
      </c>
      <c r="H1158" s="235">
        <v>3678.5759474648426</v>
      </c>
      <c r="I1158" s="287">
        <v>0.0</v>
      </c>
      <c r="J1158" s="233">
        <v>46502.84511413082</v>
      </c>
    </row>
    <row r="1159">
      <c r="A1159" s="184">
        <v>42465.0</v>
      </c>
      <c r="B1159" s="279">
        <v>0.1751193546587511</v>
      </c>
      <c r="C1159" s="279">
        <v>0.013593085473598344</v>
      </c>
      <c r="D1159" s="279">
        <v>0.18870121250402505</v>
      </c>
      <c r="E1159" s="282">
        <v>-4.236726864689005E-4</v>
      </c>
      <c r="F1159" s="287">
        <v>-18.93394078440315</v>
      </c>
      <c r="G1159" s="235">
        <v>0.0</v>
      </c>
      <c r="H1159" s="235">
        <v>3697.5098882492457</v>
      </c>
      <c r="I1159" s="287">
        <v>0.0</v>
      </c>
      <c r="J1159" s="233">
        <v>46521.77905491522</v>
      </c>
    </row>
    <row r="1160">
      <c r="A1160" s="184">
        <v>42464.0</v>
      </c>
      <c r="B1160" s="279">
        <v>0.1772632947041313</v>
      </c>
      <c r="C1160" s="279">
        <v>0.013683995394027364</v>
      </c>
      <c r="D1160" s="279">
        <v>0.19093598737998077</v>
      </c>
      <c r="E1160" s="282">
        <v>-4.234932639400655E-4</v>
      </c>
      <c r="F1160" s="287">
        <v>-18.93394078440315</v>
      </c>
      <c r="G1160" s="235">
        <v>0.0</v>
      </c>
      <c r="H1160" s="235">
        <v>3716.443829033649</v>
      </c>
      <c r="I1160" s="287">
        <v>0.0</v>
      </c>
      <c r="J1160" s="233">
        <v>46540.71299569962</v>
      </c>
    </row>
    <row r="1161">
      <c r="A1161" s="184">
        <v>42461.0</v>
      </c>
      <c r="B1161" s="279">
        <v>0.18170862565866253</v>
      </c>
      <c r="C1161" s="279">
        <v>0.01395060129900236</v>
      </c>
      <c r="D1161" s="279">
        <v>0.19564770402811438</v>
      </c>
      <c r="E1161" s="282">
        <v>-4.2331399331536494E-4</v>
      </c>
      <c r="F1161" s="287">
        <v>-18.93394078440315</v>
      </c>
      <c r="G1161" s="235">
        <v>0.0</v>
      </c>
      <c r="H1161" s="235">
        <v>3735.377769818052</v>
      </c>
      <c r="I1161" s="287">
        <v>0.0</v>
      </c>
      <c r="J1161" s="233">
        <v>46559.64693648402</v>
      </c>
    </row>
    <row r="1162">
      <c r="A1162" s="184">
        <v>42460.0</v>
      </c>
      <c r="B1162" s="279">
        <v>0.1839558570640028</v>
      </c>
      <c r="C1162" s="279">
        <v>0.014046470795965146</v>
      </c>
      <c r="D1162" s="279">
        <v>0.1979907257440486</v>
      </c>
      <c r="E1162" s="282">
        <v>-4.231348744019708E-4</v>
      </c>
      <c r="F1162" s="287">
        <v>-18.93394078440315</v>
      </c>
      <c r="G1162" s="235">
        <v>0.0</v>
      </c>
      <c r="H1162" s="235">
        <v>3754.311710602455</v>
      </c>
      <c r="I1162" s="287">
        <v>0.0</v>
      </c>
      <c r="J1162" s="233">
        <v>46578.580877268425</v>
      </c>
    </row>
    <row r="1163">
      <c r="A1163" s="184">
        <v>42459.0</v>
      </c>
      <c r="B1163" s="279">
        <v>0.18623543662379538</v>
      </c>
      <c r="C1163" s="279">
        <v>0.014143761847469303</v>
      </c>
      <c r="D1163" s="279">
        <v>0.2003675159947997</v>
      </c>
      <c r="E1163" s="282">
        <v>-4.229559070073816E-4</v>
      </c>
      <c r="F1163" s="287">
        <v>-18.93394078440315</v>
      </c>
      <c r="G1163" s="235">
        <v>0.0</v>
      </c>
      <c r="H1163" s="235">
        <v>3773.2456513868583</v>
      </c>
      <c r="I1163" s="287">
        <v>0.0</v>
      </c>
      <c r="J1163" s="233">
        <v>46597.51481805283</v>
      </c>
    </row>
    <row r="1164">
      <c r="A1164" s="184">
        <v>42458.0</v>
      </c>
      <c r="B1164" s="279">
        <v>0.19076188636892574</v>
      </c>
      <c r="C1164" s="279">
        <v>0.012028729553140603</v>
      </c>
      <c r="D1164" s="279">
        <v>0.20277885188338357</v>
      </c>
      <c r="E1164" s="282">
        <v>-4.2238662699924437E-4</v>
      </c>
      <c r="F1164" s="287">
        <v>-18.93394078440315</v>
      </c>
      <c r="G1164" s="235">
        <v>0.0</v>
      </c>
      <c r="H1164" s="235">
        <v>3792.1795921712614</v>
      </c>
      <c r="I1164" s="287">
        <v>0.0</v>
      </c>
      <c r="J1164" s="233">
        <v>46616.44875883723</v>
      </c>
    </row>
    <row r="1165">
      <c r="A1165" s="184">
        <v>42453.0</v>
      </c>
      <c r="B1165" s="279">
        <v>0.19827397114162273</v>
      </c>
      <c r="C1165" s="279">
        <v>0.012436408264330331</v>
      </c>
      <c r="D1165" s="279">
        <v>0.2106982166594843</v>
      </c>
      <c r="E1165" s="282">
        <v>-4.222082918629532E-4</v>
      </c>
      <c r="F1165" s="287">
        <v>-18.93394078440315</v>
      </c>
      <c r="G1165" s="235">
        <v>0.0</v>
      </c>
      <c r="H1165" s="235">
        <v>3811.1135329556646</v>
      </c>
      <c r="I1165" s="287">
        <v>0.0</v>
      </c>
      <c r="J1165" s="233">
        <v>46635.38269962163</v>
      </c>
    </row>
    <row r="1166">
      <c r="A1166" s="184">
        <v>42452.0</v>
      </c>
      <c r="B1166" s="279">
        <v>0.20076988525413814</v>
      </c>
      <c r="C1166" s="279">
        <v>0.012526826282809206</v>
      </c>
      <c r="D1166" s="279">
        <v>0.21328446036209864</v>
      </c>
      <c r="E1166" s="282">
        <v>-4.220301072522556E-4</v>
      </c>
      <c r="F1166" s="287">
        <v>-18.93394078440315</v>
      </c>
      <c r="G1166" s="235">
        <v>0.0</v>
      </c>
      <c r="H1166" s="235">
        <v>3830.0474737400677</v>
      </c>
      <c r="I1166" s="287">
        <v>0.0</v>
      </c>
      <c r="J1166" s="233">
        <v>46654.31664040603</v>
      </c>
    </row>
    <row r="1167">
      <c r="A1167" s="184">
        <v>42451.0</v>
      </c>
      <c r="B1167" s="279">
        <v>0.20464674005809952</v>
      </c>
      <c r="C1167" s="279">
        <v>0.011275735438470824</v>
      </c>
      <c r="D1167" s="279">
        <v>0.21591013450957236</v>
      </c>
      <c r="E1167" s="282">
        <v>-4.2162718205674245E-4</v>
      </c>
      <c r="F1167" s="287">
        <v>-18.93394078440315</v>
      </c>
      <c r="G1167" s="235">
        <v>0.0</v>
      </c>
      <c r="H1167" s="235">
        <v>3848.981414524471</v>
      </c>
      <c r="I1167" s="287">
        <v>0.0</v>
      </c>
      <c r="J1167" s="233">
        <v>46673.250581190434</v>
      </c>
    </row>
    <row r="1168">
      <c r="A1168" s="184">
        <v>42450.0</v>
      </c>
      <c r="B1168" s="279">
        <v>0.20722953823971832</v>
      </c>
      <c r="C1168" s="279">
        <v>0.011359090689731071</v>
      </c>
      <c r="D1168" s="279">
        <v>0.21857619671238684</v>
      </c>
      <c r="E1168" s="282">
        <v>-4.2144948749694983E-4</v>
      </c>
      <c r="F1168" s="287">
        <v>-18.93394078440315</v>
      </c>
      <c r="G1168" s="235">
        <v>0.0</v>
      </c>
      <c r="H1168" s="235">
        <v>3867.915355308874</v>
      </c>
      <c r="I1168" s="287">
        <v>0.0</v>
      </c>
      <c r="J1168" s="233">
        <v>46692.184521974836</v>
      </c>
    </row>
    <row r="1169">
      <c r="A1169" s="184">
        <v>42447.0</v>
      </c>
      <c r="B1169" s="279">
        <v>0.21276700494404457</v>
      </c>
      <c r="C1169" s="279">
        <v>0.011602715048325727</v>
      </c>
      <c r="D1169" s="279">
        <v>0.22435702113504663</v>
      </c>
      <c r="E1169" s="282">
        <v>-4.212719426526221E-4</v>
      </c>
      <c r="F1169" s="287">
        <v>-18.93394078440315</v>
      </c>
      <c r="G1169" s="235">
        <v>0.0</v>
      </c>
      <c r="H1169" s="235">
        <v>3886.849296093277</v>
      </c>
      <c r="I1169" s="287">
        <v>0.0</v>
      </c>
      <c r="J1169" s="233">
        <v>46711.11846275924</v>
      </c>
    </row>
    <row r="1170">
      <c r="A1170" s="184">
        <v>42446.0</v>
      </c>
      <c r="B1170" s="279">
        <v>0.2154885374535655</v>
      </c>
      <c r="C1170" s="279">
        <v>0.011691074219083993</v>
      </c>
      <c r="D1170" s="279">
        <v>0.22716681610860692</v>
      </c>
      <c r="E1170" s="282">
        <v>-4.21094547334626E-4</v>
      </c>
      <c r="F1170" s="287">
        <v>-18.93394078440315</v>
      </c>
      <c r="G1170" s="235">
        <v>0.0</v>
      </c>
      <c r="H1170" s="235">
        <v>3905.7832368776803</v>
      </c>
      <c r="I1170" s="287">
        <v>0.0</v>
      </c>
      <c r="J1170" s="233">
        <v>46730.05240354364</v>
      </c>
    </row>
    <row r="1171">
      <c r="A1171" s="184">
        <v>42445.0</v>
      </c>
      <c r="B1171" s="279">
        <v>0.2182535430909583</v>
      </c>
      <c r="C1171" s="279">
        <v>0.011780881473696337</v>
      </c>
      <c r="D1171" s="279">
        <v>0.23002153070900458</v>
      </c>
      <c r="E1171" s="282">
        <v>-4.20917301354147E-4</v>
      </c>
      <c r="F1171" s="287">
        <v>-18.93394078440315</v>
      </c>
      <c r="G1171" s="235">
        <v>0.0</v>
      </c>
      <c r="H1171" s="235">
        <v>3924.7171776620835</v>
      </c>
      <c r="I1171" s="287">
        <v>0.0</v>
      </c>
      <c r="J1171" s="233">
        <v>46748.98634432804</v>
      </c>
    </row>
    <row r="1172">
      <c r="A1172" s="184">
        <v>42444.0</v>
      </c>
      <c r="B1172" s="279">
        <v>0.22106312860069216</v>
      </c>
      <c r="C1172" s="279">
        <v>0.011872174273585848</v>
      </c>
      <c r="D1172" s="279">
        <v>0.23292230910113146</v>
      </c>
      <c r="E1172" s="282">
        <v>-4.207402045226881E-4</v>
      </c>
      <c r="F1172" s="287">
        <v>-18.93394078440315</v>
      </c>
      <c r="G1172" s="235">
        <v>0.0</v>
      </c>
      <c r="H1172" s="235">
        <v>3943.6511184464866</v>
      </c>
      <c r="I1172" s="287">
        <v>0.0</v>
      </c>
      <c r="J1172" s="233">
        <v>46767.92028511244</v>
      </c>
    </row>
    <row r="1173">
      <c r="A1173" s="184">
        <v>42443.0</v>
      </c>
      <c r="B1173" s="279">
        <v>0.22391844037824052</v>
      </c>
      <c r="C1173" s="279">
        <v>0.011964991444704729</v>
      </c>
      <c r="D1173" s="279">
        <v>0.23587033646391914</v>
      </c>
      <c r="E1173" s="282">
        <v>-4.205632566520695E-4</v>
      </c>
      <c r="F1173" s="287">
        <v>-18.93394078440315</v>
      </c>
      <c r="G1173" s="235">
        <v>0.0</v>
      </c>
      <c r="H1173" s="235">
        <v>3962.58505923089</v>
      </c>
      <c r="I1173" s="287">
        <v>0.0</v>
      </c>
      <c r="J1173" s="233">
        <v>46786.854225896845</v>
      </c>
    </row>
    <row r="1174">
      <c r="A1174" s="184">
        <v>42440.0</v>
      </c>
      <c r="B1174" s="279">
        <v>0.23013191694886287</v>
      </c>
      <c r="C1174" s="279">
        <v>0.01223542248748953</v>
      </c>
      <c r="D1174" s="279">
        <v>0.24235394809787544</v>
      </c>
      <c r="E1174" s="282">
        <v>-4.2038645755442807E-4</v>
      </c>
      <c r="F1174" s="287">
        <v>-18.93394078440315</v>
      </c>
      <c r="G1174" s="235">
        <v>0.0</v>
      </c>
      <c r="H1174" s="235">
        <v>3981.519000015293</v>
      </c>
      <c r="I1174" s="287">
        <v>0.0</v>
      </c>
      <c r="J1174" s="233">
        <v>46805.78816668125</v>
      </c>
    </row>
    <row r="1175">
      <c r="A1175" s="184">
        <v>42439.0</v>
      </c>
      <c r="B1175" s="279">
        <v>0.23315002378890015</v>
      </c>
      <c r="C1175" s="279">
        <v>0.01233411673929774</v>
      </c>
      <c r="D1175" s="279">
        <v>0.2454706411715358</v>
      </c>
      <c r="E1175" s="282">
        <v>-4.202098070422159E-4</v>
      </c>
      <c r="F1175" s="287">
        <v>-18.93394078440315</v>
      </c>
      <c r="G1175" s="235">
        <v>0.0</v>
      </c>
      <c r="H1175" s="235">
        <v>4000.452940799696</v>
      </c>
      <c r="I1175" s="287">
        <v>0.0</v>
      </c>
      <c r="J1175" s="233">
        <v>46824.72210746565</v>
      </c>
    </row>
    <row r="1176">
      <c r="A1176" s="184">
        <v>42438.0</v>
      </c>
      <c r="B1176" s="279">
        <v>0.2362192889823117</v>
      </c>
      <c r="C1176" s="279">
        <v>0.01243452523290098</v>
      </c>
      <c r="D1176" s="279">
        <v>0.24864020496417424</v>
      </c>
      <c r="E1176" s="282">
        <v>-4.200333049282008E-4</v>
      </c>
      <c r="F1176" s="287">
        <v>-18.93394078440315</v>
      </c>
      <c r="G1176" s="235">
        <v>0.0</v>
      </c>
      <c r="H1176" s="235">
        <v>4019.3868815840992</v>
      </c>
      <c r="I1176" s="287">
        <v>0.0</v>
      </c>
      <c r="J1176" s="233">
        <v>46843.65604825005</v>
      </c>
    </row>
    <row r="1177">
      <c r="A1177" s="184">
        <v>42437.0</v>
      </c>
      <c r="B1177" s="279">
        <v>0.23934109607512197</v>
      </c>
      <c r="C1177" s="279">
        <v>0.012536695064866495</v>
      </c>
      <c r="D1177" s="279">
        <v>0.25186407006683653</v>
      </c>
      <c r="E1177" s="282">
        <v>-4.198569510254644E-4</v>
      </c>
      <c r="F1177" s="287">
        <v>-18.93394078440315</v>
      </c>
      <c r="G1177" s="235">
        <v>0.0</v>
      </c>
      <c r="H1177" s="235">
        <v>4038.3208223685024</v>
      </c>
      <c r="I1177" s="287">
        <v>0.0</v>
      </c>
      <c r="J1177" s="233">
        <v>46862.58998903445</v>
      </c>
    </row>
    <row r="1178">
      <c r="A1178" s="184">
        <v>42436.0</v>
      </c>
      <c r="B1178" s="279">
        <v>0.24276339370990224</v>
      </c>
      <c r="C1178" s="279">
        <v>0.012394162810653881</v>
      </c>
      <c r="D1178" s="279">
        <v>0.25514372164401067</v>
      </c>
      <c r="E1178" s="282">
        <v>-4.196442827342718E-4</v>
      </c>
      <c r="F1178" s="287">
        <v>-18.93394078440315</v>
      </c>
      <c r="G1178" s="235">
        <v>0.0</v>
      </c>
      <c r="H1178" s="235">
        <v>4057.2547631529055</v>
      </c>
      <c r="I1178" s="287">
        <v>0.0</v>
      </c>
      <c r="J1178" s="233">
        <v>46881.52392981885</v>
      </c>
    </row>
    <row r="1179">
      <c r="A1179" s="184">
        <v>42433.0</v>
      </c>
      <c r="B1179" s="174">
        <v>0.249781277779331</v>
      </c>
      <c r="C1179" s="174">
        <v>0.012690215936000062</v>
      </c>
      <c r="D1179" s="174">
        <v>0.2624573283720568</v>
      </c>
      <c r="E1179" s="282">
        <v>0.0025973718353049426</v>
      </c>
      <c r="F1179" s="287">
        <v>117.24006264076434</v>
      </c>
      <c r="G1179" s="235">
        <v>0.0</v>
      </c>
      <c r="H1179" s="235">
        <v>4076.1887039373087</v>
      </c>
      <c r="I1179" s="287">
        <v>0.0</v>
      </c>
      <c r="J1179" s="233">
        <v>46900.457870603255</v>
      </c>
    </row>
    <row r="1180">
      <c r="A1180" s="184">
        <v>42432.0</v>
      </c>
      <c r="B1180" s="279">
        <v>0.24430888392720598</v>
      </c>
      <c r="C1180" s="279">
        <v>0.012798998246516865</v>
      </c>
      <c r="D1180" s="279">
        <v>0.2570935954031397</v>
      </c>
      <c r="E1180" s="282">
        <v>0.0026041357441421286</v>
      </c>
      <c r="F1180" s="287">
        <v>117.24006264076615</v>
      </c>
      <c r="G1180" s="235">
        <v>0.0</v>
      </c>
      <c r="H1180" s="235">
        <v>3958.9486412965443</v>
      </c>
      <c r="I1180" s="287">
        <v>0.0</v>
      </c>
      <c r="J1180" s="233">
        <v>46783.217807962494</v>
      </c>
    </row>
    <row r="1181">
      <c r="A1181" s="184">
        <v>42431.0</v>
      </c>
      <c r="B1181" s="279">
        <v>0.23873603378332958</v>
      </c>
      <c r="C1181" s="279">
        <v>0.012909346705748885</v>
      </c>
      <c r="D1181" s="279">
        <v>0.2516309705429865</v>
      </c>
      <c r="E1181" s="282">
        <v>0.0026109349732315514</v>
      </c>
      <c r="F1181" s="287">
        <v>117.24006264076615</v>
      </c>
      <c r="G1181" s="235">
        <v>0.0</v>
      </c>
      <c r="H1181" s="235">
        <v>3841.708578655778</v>
      </c>
      <c r="I1181" s="287">
        <v>0.0</v>
      </c>
      <c r="J1181" s="233">
        <v>46665.977745321725</v>
      </c>
    </row>
    <row r="1182">
      <c r="A1182" s="184">
        <v>42430.0</v>
      </c>
      <c r="B1182" s="279">
        <v>0.23306049152152652</v>
      </c>
      <c r="C1182" s="279">
        <v>0.013021292549433135</v>
      </c>
      <c r="D1182" s="279">
        <v>0.24606724916629236</v>
      </c>
      <c r="E1182" s="282">
        <v>0.0026177697999541214</v>
      </c>
      <c r="F1182" s="287">
        <v>117.24006264076615</v>
      </c>
      <c r="G1182" s="235">
        <v>0.0</v>
      </c>
      <c r="H1182" s="235">
        <v>3724.468516015012</v>
      </c>
      <c r="I1182" s="287">
        <v>0.0</v>
      </c>
      <c r="J1182" s="233">
        <v>46548.737682680956</v>
      </c>
    </row>
    <row r="1183">
      <c r="A1183" s="184">
        <v>42429.0</v>
      </c>
      <c r="B1183" s="279">
        <v>0.22727995974594356</v>
      </c>
      <c r="C1183" s="279">
        <v>0.013134867750340947</v>
      </c>
      <c r="D1183" s="279">
        <v>0.24040016581428605</v>
      </c>
      <c r="E1183" s="282">
        <v>0.0026246405046028067</v>
      </c>
      <c r="F1183" s="287">
        <v>117.24006264076615</v>
      </c>
      <c r="G1183" s="235">
        <v>0.0</v>
      </c>
      <c r="H1183" s="235">
        <v>3607.228453374246</v>
      </c>
      <c r="I1183" s="287">
        <v>0.0</v>
      </c>
      <c r="J1183" s="233">
        <v>46431.49762004019</v>
      </c>
    </row>
    <row r="1184">
      <c r="A1184" s="184">
        <v>42426.0</v>
      </c>
      <c r="B1184" s="279">
        <v>0.22499194874107628</v>
      </c>
      <c r="C1184" s="279">
        <v>0.013465553896318318</v>
      </c>
      <c r="D1184" s="279">
        <v>0.238442471829859</v>
      </c>
      <c r="E1184" s="282">
        <v>0.0026315473704209944</v>
      </c>
      <c r="F1184" s="287">
        <v>117.24006264076615</v>
      </c>
      <c r="G1184" s="235">
        <v>0.0</v>
      </c>
      <c r="H1184" s="235">
        <v>3489.9883907334797</v>
      </c>
      <c r="I1184" s="287">
        <v>0.0</v>
      </c>
      <c r="J1184" s="233">
        <v>46314.25755739942</v>
      </c>
    </row>
    <row r="1185">
      <c r="A1185" s="184">
        <v>42425.0</v>
      </c>
      <c r="B1185" s="279">
        <v>0.21892547462670345</v>
      </c>
      <c r="C1185" s="279">
        <v>0.01358616966289439</v>
      </c>
      <c r="D1185" s="279">
        <v>0.23249647884576083</v>
      </c>
      <c r="E1185" s="282">
        <v>0.002638490683641412</v>
      </c>
      <c r="F1185" s="287">
        <v>117.24006264076615</v>
      </c>
      <c r="G1185" s="235">
        <v>0.0</v>
      </c>
      <c r="H1185" s="235">
        <v>3372.7483280927136</v>
      </c>
      <c r="I1185" s="287">
        <v>0.0</v>
      </c>
      <c r="J1185" s="233">
        <v>46197.01749475865</v>
      </c>
    </row>
    <row r="1186">
      <c r="A1186" s="184">
        <v>42424.0</v>
      </c>
      <c r="B1186" s="279">
        <v>0.21274373664792437</v>
      </c>
      <c r="C1186" s="279">
        <v>0.013708604750533924</v>
      </c>
      <c r="D1186" s="279">
        <v>0.22643703928751854</v>
      </c>
      <c r="E1186" s="282">
        <v>0.002645470733525665</v>
      </c>
      <c r="F1186" s="287">
        <v>117.24006264076615</v>
      </c>
      <c r="G1186" s="235">
        <v>0.0</v>
      </c>
      <c r="H1186" s="235">
        <v>3255.5082654519474</v>
      </c>
      <c r="I1186" s="287">
        <v>0.0</v>
      </c>
      <c r="J1186" s="233">
        <v>46079.77743211788</v>
      </c>
    </row>
    <row r="1187">
      <c r="A1187" s="184">
        <v>42423.0</v>
      </c>
      <c r="B1187" s="279">
        <v>0.20644405369099808</v>
      </c>
      <c r="C1187" s="279">
        <v>0.013832897056601186</v>
      </c>
      <c r="D1187" s="279">
        <v>0.22026150989645282</v>
      </c>
      <c r="E1187" s="282">
        <v>0.002652487812404414</v>
      </c>
      <c r="F1187" s="287">
        <v>117.24006264076615</v>
      </c>
      <c r="G1187" s="235">
        <v>0.0</v>
      </c>
      <c r="H1187" s="235">
        <v>3138.2682028111813</v>
      </c>
      <c r="I1187" s="287">
        <v>0.0</v>
      </c>
      <c r="J1187" s="233">
        <v>45962.53736947711</v>
      </c>
    </row>
    <row r="1188">
      <c r="A1188" s="184">
        <v>42422.0</v>
      </c>
      <c r="B1188" s="279">
        <v>0.20002366767683408</v>
      </c>
      <c r="C1188" s="279">
        <v>0.013959085400241922</v>
      </c>
      <c r="D1188" s="279">
        <v>0.21396717136928742</v>
      </c>
      <c r="E1188" s="282">
        <v>0.0026595422157181824</v>
      </c>
      <c r="F1188" s="287">
        <v>117.24006264076615</v>
      </c>
      <c r="G1188" s="235">
        <v>0.0</v>
      </c>
      <c r="H1188" s="235">
        <v>3021.028140170415</v>
      </c>
      <c r="I1188" s="287">
        <v>0.0</v>
      </c>
      <c r="J1188" s="233">
        <v>45845.29730683634</v>
      </c>
    </row>
    <row r="1189">
      <c r="A1189" s="184">
        <v>42419.0</v>
      </c>
      <c r="B1189" s="279">
        <v>0.19681559868418377</v>
      </c>
      <c r="C1189" s="279">
        <v>0.014330092464440643</v>
      </c>
      <c r="D1189" s="279">
        <v>0.21112969530742406</v>
      </c>
      <c r="E1189" s="282">
        <v>0.002666634242058817</v>
      </c>
      <c r="F1189" s="287">
        <v>117.24006264076615</v>
      </c>
      <c r="G1189" s="235">
        <v>0.0</v>
      </c>
      <c r="H1189" s="235">
        <v>2903.788077529649</v>
      </c>
      <c r="I1189" s="287">
        <v>0.0</v>
      </c>
      <c r="J1189" s="233">
        <v>45728.057244195574</v>
      </c>
    </row>
    <row r="1190">
      <c r="A1190" s="184">
        <v>42418.0</v>
      </c>
      <c r="B1190" s="279">
        <v>0.19005821270771436</v>
      </c>
      <c r="C1190" s="279">
        <v>0.014464567767576575</v>
      </c>
      <c r="D1190" s="279">
        <v>0.2045066345272019</v>
      </c>
      <c r="E1190" s="282">
        <v>0.002673764193211626</v>
      </c>
      <c r="F1190" s="287">
        <v>117.24006264076615</v>
      </c>
      <c r="G1190" s="235">
        <v>0.0</v>
      </c>
      <c r="H1190" s="235">
        <v>2786.548014888883</v>
      </c>
      <c r="I1190" s="287">
        <v>0.0</v>
      </c>
      <c r="J1190" s="233">
        <v>45610.817181554805</v>
      </c>
    </row>
    <row r="1191">
      <c r="A1191" s="184">
        <v>42417.0</v>
      </c>
      <c r="B1191" s="279">
        <v>0.18316756485698843</v>
      </c>
      <c r="C1191" s="279">
        <v>0.014601173438888003</v>
      </c>
      <c r="D1191" s="279">
        <v>0.19775243986289376</v>
      </c>
      <c r="E1191" s="282">
        <v>0.0026809323741981794</v>
      </c>
      <c r="F1191" s="287">
        <v>117.24006264076615</v>
      </c>
      <c r="G1191" s="235">
        <v>0.0</v>
      </c>
      <c r="H1191" s="235">
        <v>2669.3079522481166</v>
      </c>
      <c r="I1191" s="287">
        <v>0.0</v>
      </c>
      <c r="J1191" s="233">
        <v>45493.577118914036</v>
      </c>
    </row>
    <row r="1192">
      <c r="A1192" s="184">
        <v>42416.0</v>
      </c>
      <c r="B1192" s="279">
        <v>0.1761404081067319</v>
      </c>
      <c r="C1192" s="279">
        <v>0.014739955902195304</v>
      </c>
      <c r="D1192" s="279">
        <v>0.19086391066122574</v>
      </c>
      <c r="E1192" s="282">
        <v>0.0026881390933198076</v>
      </c>
      <c r="F1192" s="287">
        <v>117.24006264076615</v>
      </c>
      <c r="G1192" s="235">
        <v>0.0</v>
      </c>
      <c r="H1192" s="235">
        <v>2552.0678896073505</v>
      </c>
      <c r="I1192" s="287">
        <v>0.0</v>
      </c>
      <c r="J1192" s="233">
        <v>45376.33705627327</v>
      </c>
    </row>
    <row r="1193">
      <c r="A1193" s="184">
        <v>42415.0</v>
      </c>
      <c r="B1193" s="279">
        <v>0.16897339816554938</v>
      </c>
      <c r="C1193" s="279">
        <v>0.014880962743425897</v>
      </c>
      <c r="D1193" s="279">
        <v>0.18383775016361248</v>
      </c>
      <c r="E1193" s="282">
        <v>0.0026953846622018067</v>
      </c>
      <c r="F1193" s="287">
        <v>117.24006264076615</v>
      </c>
      <c r="G1193" s="235">
        <v>0.0</v>
      </c>
      <c r="H1193" s="235">
        <v>2434.8278269665843</v>
      </c>
      <c r="I1193" s="287">
        <v>0.0</v>
      </c>
      <c r="J1193" s="233">
        <v>45259.0969936325</v>
      </c>
    </row>
    <row r="1194">
      <c r="A1194" s="184">
        <v>42412.0</v>
      </c>
      <c r="B1194" s="279">
        <v>0.16462938549367845</v>
      </c>
      <c r="C1194" s="279">
        <v>0.015299916911510386</v>
      </c>
      <c r="D1194" s="279">
        <v>0.17991222400587617</v>
      </c>
      <c r="E1194" s="282">
        <v>0.0027026693958383512</v>
      </c>
      <c r="F1194" s="287">
        <v>117.24006264076615</v>
      </c>
      <c r="G1194" s="235">
        <v>0.0</v>
      </c>
      <c r="H1194" s="235">
        <v>2317.587764325818</v>
      </c>
      <c r="I1194" s="287">
        <v>0.0</v>
      </c>
      <c r="J1194" s="233">
        <v>45141.85693099173</v>
      </c>
    </row>
    <row r="1195">
      <c r="A1195" s="184">
        <v>42411.0</v>
      </c>
      <c r="B1195" s="279">
        <v>0.1570616013046241</v>
      </c>
      <c r="C1195" s="279">
        <v>0.015450768918013419</v>
      </c>
      <c r="D1195" s="279">
        <v>0.17249512343608334</v>
      </c>
      <c r="E1195" s="282">
        <v>0.0027099936126381463</v>
      </c>
      <c r="F1195" s="287">
        <v>117.24006264076615</v>
      </c>
      <c r="G1195" s="235">
        <v>0.0</v>
      </c>
      <c r="H1195" s="235">
        <v>2200.347701685052</v>
      </c>
      <c r="I1195" s="287">
        <v>0.0</v>
      </c>
      <c r="J1195" s="233">
        <v>45024.61686835096</v>
      </c>
    </row>
    <row r="1196">
      <c r="A1196" s="184">
        <v>42410.0</v>
      </c>
      <c r="B1196" s="279">
        <v>0.14933843387094106</v>
      </c>
      <c r="C1196" s="279">
        <v>0.015604137740850545</v>
      </c>
      <c r="D1196" s="279">
        <v>0.16492515362862153</v>
      </c>
      <c r="E1196" s="282">
        <v>0.00271735763447081</v>
      </c>
      <c r="F1196" s="287">
        <v>117.24006264076593</v>
      </c>
      <c r="G1196" s="235">
        <v>0.0</v>
      </c>
      <c r="H1196" s="235">
        <v>2083.107639044286</v>
      </c>
      <c r="I1196" s="287">
        <v>0.0</v>
      </c>
      <c r="J1196" s="233">
        <v>44907.37680571019</v>
      </c>
    </row>
    <row r="1197">
      <c r="A1197" s="184">
        <v>42409.0</v>
      </c>
      <c r="B1197" s="279">
        <v>0.14145590758069038</v>
      </c>
      <c r="C1197" s="279">
        <v>0.015760080848589444</v>
      </c>
      <c r="D1197" s="279">
        <v>0.15719839637597072</v>
      </c>
      <c r="E1197" s="282">
        <v>0.002724761786714057</v>
      </c>
      <c r="F1197" s="287">
        <v>117.24006264076615</v>
      </c>
      <c r="G1197" s="235">
        <v>0.0</v>
      </c>
      <c r="H1197" s="235">
        <v>1965.8675764035202</v>
      </c>
      <c r="I1197" s="287">
        <v>0.0</v>
      </c>
      <c r="J1197" s="233">
        <v>44790.13674306942</v>
      </c>
    </row>
    <row r="1198">
      <c r="A1198" s="184">
        <v>42408.0</v>
      </c>
      <c r="B1198" s="279">
        <v>0.13372653484435817</v>
      </c>
      <c r="C1198" s="279">
        <v>0.015602044795050703</v>
      </c>
      <c r="D1198" s="279">
        <v>0.14931081057664078</v>
      </c>
      <c r="E1198" s="282">
        <v>0.0027319568254386647</v>
      </c>
      <c r="F1198" s="287">
        <v>117.24006264076615</v>
      </c>
      <c r="G1198" s="235">
        <v>0.0</v>
      </c>
      <c r="H1198" s="235">
        <v>1848.627513762754</v>
      </c>
      <c r="I1198" s="287">
        <v>0.0</v>
      </c>
      <c r="J1198" s="233">
        <v>44672.896680428654</v>
      </c>
    </row>
    <row r="1199">
      <c r="A1199" s="184">
        <v>42405.0</v>
      </c>
      <c r="B1199" s="279">
        <v>0.12797716930619446</v>
      </c>
      <c r="C1199" s="279">
        <v>0.016069128957337992</v>
      </c>
      <c r="D1199" s="279">
        <v>0.14402799724178678</v>
      </c>
      <c r="E1199" s="282">
        <v>0.002739440859592915</v>
      </c>
      <c r="F1199" s="287">
        <v>117.24006264076615</v>
      </c>
      <c r="G1199" s="235">
        <v>0.0</v>
      </c>
      <c r="H1199" s="235">
        <v>1731.3874511219879</v>
      </c>
      <c r="I1199" s="287">
        <v>0.0</v>
      </c>
      <c r="J1199" s="233">
        <v>44555.656617787885</v>
      </c>
    </row>
    <row r="1200">
      <c r="A1200" s="184">
        <v>42404.0</v>
      </c>
      <c r="B1200" s="279">
        <v>0.11945308840754712</v>
      </c>
      <c r="C1200" s="279">
        <v>0.01623613530020975</v>
      </c>
      <c r="D1200" s="279">
        <v>0.13567073248362246</v>
      </c>
      <c r="E1200" s="282">
        <v>0.002746966010522052</v>
      </c>
      <c r="F1200" s="287">
        <v>117.24006264076615</v>
      </c>
      <c r="G1200" s="235">
        <v>0.0</v>
      </c>
      <c r="H1200" s="235">
        <v>1614.1473884812217</v>
      </c>
      <c r="I1200" s="287">
        <v>0.0</v>
      </c>
      <c r="J1200" s="233">
        <v>44438.416555147116</v>
      </c>
    </row>
    <row r="1201">
      <c r="A1201" s="184">
        <v>42403.0</v>
      </c>
      <c r="B1201" s="279">
        <v>0.11074615384222564</v>
      </c>
      <c r="C1201" s="279">
        <v>0.01640608485704403</v>
      </c>
      <c r="D1201" s="279">
        <v>0.12713355392074013</v>
      </c>
      <c r="E1201" s="282">
        <v>0.0027545326179985686</v>
      </c>
      <c r="F1201" s="287">
        <v>117.24006264076615</v>
      </c>
      <c r="G1201" s="235">
        <v>0.0</v>
      </c>
      <c r="H1201" s="235">
        <v>1496.9073258404555</v>
      </c>
      <c r="I1201" s="287">
        <v>0.0</v>
      </c>
      <c r="J1201" s="233">
        <v>44321.17649250635</v>
      </c>
    </row>
    <row r="1202">
      <c r="A1202" s="184">
        <v>42402.0</v>
      </c>
      <c r="B1202" s="279">
        <v>0.10185143995478449</v>
      </c>
      <c r="C1202" s="279">
        <v>0.016579048157619205</v>
      </c>
      <c r="D1202" s="279">
        <v>0.1184116063471468</v>
      </c>
      <c r="E1202" s="282">
        <v>0.002762141025548955</v>
      </c>
      <c r="F1202" s="287">
        <v>117.24006264076615</v>
      </c>
      <c r="G1202" s="235">
        <v>0.0</v>
      </c>
      <c r="H1202" s="235">
        <v>1379.6672631996894</v>
      </c>
      <c r="I1202" s="287">
        <v>0.0</v>
      </c>
      <c r="J1202" s="233">
        <v>44203.93642986558</v>
      </c>
    </row>
    <row r="1203">
      <c r="A1203" s="184">
        <v>42401.0</v>
      </c>
      <c r="B1203" s="279">
        <v>0.09276386011080666</v>
      </c>
      <c r="C1203" s="279">
        <v>0.016755097582482087</v>
      </c>
      <c r="D1203" s="279">
        <v>0.1094998754265385</v>
      </c>
      <c r="E1203" s="282">
        <v>0.0027697915805056897</v>
      </c>
      <c r="F1203" s="287">
        <v>117.24006264076615</v>
      </c>
      <c r="G1203" s="235">
        <v>0.0</v>
      </c>
      <c r="H1203" s="235">
        <v>1262.4272005589232</v>
      </c>
      <c r="I1203" s="287">
        <v>0.0</v>
      </c>
      <c r="J1203" s="233">
        <v>44086.69636722481</v>
      </c>
    </row>
    <row r="1204">
      <c r="A1204" s="184">
        <v>42398.0</v>
      </c>
      <c r="B1204" s="279">
        <v>0.08523559617474015</v>
      </c>
      <c r="C1204" s="279">
        <v>0.017290819122084782</v>
      </c>
      <c r="D1204" s="279">
        <v>0.1025067229004546</v>
      </c>
      <c r="E1204" s="282">
        <v>0.002777484634060091</v>
      </c>
      <c r="F1204" s="287">
        <v>117.24006264076604</v>
      </c>
      <c r="G1204" s="235">
        <v>0.0</v>
      </c>
      <c r="H1204" s="235">
        <v>1145.187137918157</v>
      </c>
      <c r="I1204" s="287">
        <v>0.0</v>
      </c>
      <c r="J1204" s="233">
        <v>43969.45630458404</v>
      </c>
    </row>
    <row r="1205">
      <c r="A1205" s="184">
        <v>42397.0</v>
      </c>
      <c r="B1205" s="279">
        <v>0.07556315034176835</v>
      </c>
      <c r="C1205" s="279">
        <v>0.017480939974155403</v>
      </c>
      <c r="D1205" s="279">
        <v>0.09302418139220726</v>
      </c>
      <c r="E1205" s="282">
        <v>0.002785220541316065</v>
      </c>
      <c r="F1205" s="287">
        <v>117.24006264076604</v>
      </c>
      <c r="G1205" s="235">
        <v>0.0</v>
      </c>
      <c r="H1205" s="235">
        <v>1027.947075277391</v>
      </c>
      <c r="I1205" s="287">
        <v>0.0</v>
      </c>
      <c r="J1205" s="233">
        <v>43852.21624194327</v>
      </c>
    </row>
    <row r="1206">
      <c r="A1206" s="184">
        <v>42396.0</v>
      </c>
      <c r="B1206" s="279">
        <v>0.06567311966656844</v>
      </c>
      <c r="C1206" s="279">
        <v>0.01767461174554004</v>
      </c>
      <c r="D1206" s="279">
        <v>0.08332760191692797</v>
      </c>
      <c r="E1206" s="282">
        <v>0.0027929996613447307</v>
      </c>
      <c r="F1206" s="287">
        <v>117.24006264076604</v>
      </c>
      <c r="G1206" s="235">
        <v>0.0</v>
      </c>
      <c r="H1206" s="235">
        <v>910.707012636625</v>
      </c>
      <c r="I1206" s="287">
        <v>0.0</v>
      </c>
      <c r="J1206" s="233">
        <v>43734.9761793025</v>
      </c>
    </row>
    <row r="1207">
      <c r="A1207" s="184">
        <v>42395.0</v>
      </c>
      <c r="B1207" s="279">
        <v>0.0555593167096315</v>
      </c>
      <c r="C1207" s="279">
        <v>0.017871923863054195</v>
      </c>
      <c r="D1207" s="279">
        <v>0.0734108863600757</v>
      </c>
      <c r="E1207" s="282">
        <v>0.0028008223572399886</v>
      </c>
      <c r="F1207" s="287">
        <v>117.24006264076604</v>
      </c>
      <c r="G1207" s="235">
        <v>0.0</v>
      </c>
      <c r="H1207" s="235">
        <v>793.466949995859</v>
      </c>
      <c r="I1207" s="287">
        <v>0.0</v>
      </c>
      <c r="J1207" s="233">
        <v>43617.736116661734</v>
      </c>
    </row>
    <row r="1208">
      <c r="A1208" s="184">
        <v>42394.0</v>
      </c>
      <c r="B1208" s="279">
        <v>0.04521534287842241</v>
      </c>
      <c r="C1208" s="279">
        <v>0.018072968131429123</v>
      </c>
      <c r="D1208" s="279">
        <v>0.06326772782929081</v>
      </c>
      <c r="E1208" s="282">
        <v>0.00280868899617501</v>
      </c>
      <c r="F1208" s="287">
        <v>117.24006264076604</v>
      </c>
      <c r="G1208" s="235">
        <v>0.0</v>
      </c>
      <c r="H1208" s="235">
        <v>676.2268873550929</v>
      </c>
      <c r="I1208" s="287">
        <v>0.0</v>
      </c>
      <c r="J1208" s="233">
        <v>43500.496054020965</v>
      </c>
    </row>
    <row r="1209">
      <c r="A1209" s="184">
        <v>42391.0</v>
      </c>
      <c r="B1209" s="279">
        <v>0.03542173081799763</v>
      </c>
      <c r="C1209" s="279">
        <v>0.01869324417687417</v>
      </c>
      <c r="D1209" s="279">
        <v>0.05409368538613902</v>
      </c>
      <c r="E1209" s="282">
        <v>0.0028165999494596844</v>
      </c>
      <c r="F1209" s="287">
        <v>117.24006264076604</v>
      </c>
      <c r="G1209" s="235">
        <v>0.0</v>
      </c>
      <c r="H1209" s="235">
        <v>558.9868247143269</v>
      </c>
      <c r="I1209" s="287">
        <v>0.0</v>
      </c>
      <c r="J1209" s="233">
        <v>43383.255991380196</v>
      </c>
    </row>
    <row r="1210">
      <c r="A1210" s="184">
        <v>42390.0</v>
      </c>
      <c r="B1210" s="279">
        <v>0.024357549957260922</v>
      </c>
      <c r="C1210" s="279">
        <v>0.018911612378029817</v>
      </c>
      <c r="D1210" s="279">
        <v>0.04324762402849793</v>
      </c>
      <c r="E1210" s="282">
        <v>0.0028245555925990443</v>
      </c>
      <c r="F1210" s="287">
        <v>117.24006264076604</v>
      </c>
      <c r="G1210" s="235">
        <v>0.0</v>
      </c>
      <c r="H1210" s="235">
        <v>441.74676207356083</v>
      </c>
      <c r="I1210" s="287">
        <v>0.0</v>
      </c>
      <c r="J1210" s="233">
        <v>43266.01592873943</v>
      </c>
    </row>
    <row r="1211">
      <c r="A1211" s="184">
        <v>42389.0</v>
      </c>
      <c r="B1211" s="279">
        <v>0.013031256505000274</v>
      </c>
      <c r="C1211" s="279">
        <v>0.019134318738034534</v>
      </c>
      <c r="D1211" s="279">
        <v>0.03214378329748235</v>
      </c>
      <c r="E1211" s="282">
        <v>2.2289361012564073E-4</v>
      </c>
      <c r="F1211" s="287">
        <v>9.225610366146952</v>
      </c>
      <c r="G1211" s="235">
        <v>0.0</v>
      </c>
      <c r="H1211" s="235">
        <v>324.5066994327948</v>
      </c>
      <c r="I1211" s="287">
        <v>0.0</v>
      </c>
      <c r="J1211" s="233">
        <v>43148.77586609866</v>
      </c>
    </row>
    <row r="1212">
      <c r="A1212" s="184">
        <v>42388.0</v>
      </c>
      <c r="B1212" s="279">
        <v>0.012261276146406212</v>
      </c>
      <c r="C1212" s="279">
        <v>0.019361478192276106</v>
      </c>
      <c r="D1212" s="279">
        <v>0.03160070368277146</v>
      </c>
      <c r="E1212" s="282">
        <v>2.2294330276324562E-4</v>
      </c>
      <c r="F1212" s="287">
        <v>9.225610366146896</v>
      </c>
      <c r="G1212" s="235">
        <v>0.0</v>
      </c>
      <c r="H1212" s="235">
        <v>315.28108906664784</v>
      </c>
      <c r="I1212" s="287">
        <v>0.0</v>
      </c>
      <c r="J1212" s="233">
        <v>43139.55025573251</v>
      </c>
    </row>
    <row r="1213">
      <c r="A1213" s="184">
        <v>42387.0</v>
      </c>
      <c r="B1213" s="279">
        <v>0.01147276438728186</v>
      </c>
      <c r="C1213" s="279">
        <v>0.019594045506492526</v>
      </c>
      <c r="D1213" s="279">
        <v>0.031044494368530153</v>
      </c>
      <c r="E1213" s="282">
        <v>2.229930175630742E-4</v>
      </c>
      <c r="F1213" s="287">
        <v>9.225610366146896</v>
      </c>
      <c r="G1213" s="235">
        <v>0.0</v>
      </c>
      <c r="H1213" s="235">
        <v>306.05547870050094</v>
      </c>
      <c r="I1213" s="287">
        <v>0.0</v>
      </c>
      <c r="J1213" s="233">
        <v>43130.32464536636</v>
      </c>
    </row>
    <row r="1214">
      <c r="A1214" s="184">
        <v>42384.0</v>
      </c>
      <c r="B1214" s="279">
        <v>0.010928386091510695</v>
      </c>
      <c r="C1214" s="279">
        <v>0.020321900433127326</v>
      </c>
      <c r="D1214" s="279">
        <v>0.031227142050365163</v>
      </c>
      <c r="E1214" s="282">
        <v>2.2304275453995467E-4</v>
      </c>
      <c r="F1214" s="287">
        <v>9.225610366146896</v>
      </c>
      <c r="G1214" s="235">
        <v>0.0</v>
      </c>
      <c r="H1214" s="235">
        <v>296.82986833435405</v>
      </c>
      <c r="I1214" s="287">
        <v>0.0</v>
      </c>
      <c r="J1214" s="233">
        <v>43121.09903500021</v>
      </c>
    </row>
    <row r="1215">
      <c r="A1215" s="184">
        <v>42383.0</v>
      </c>
      <c r="B1215" s="279">
        <v>0.010083370919866315</v>
      </c>
      <c r="C1215" s="279">
        <v>0.02057809973265876</v>
      </c>
      <c r="D1215" s="279">
        <v>0.030638034394611397</v>
      </c>
      <c r="E1215" s="282">
        <v>2.230925137087295E-4</v>
      </c>
      <c r="F1215" s="287">
        <v>9.225610366146896</v>
      </c>
      <c r="G1215" s="235">
        <v>0.0</v>
      </c>
      <c r="H1215" s="235">
        <v>287.60425796820715</v>
      </c>
      <c r="I1215" s="287">
        <v>0.0</v>
      </c>
      <c r="J1215" s="233">
        <v>43111.87342463406</v>
      </c>
    </row>
    <row r="1216">
      <c r="A1216" s="184">
        <v>42382.0</v>
      </c>
      <c r="B1216" s="279">
        <v>0.009216752106544502</v>
      </c>
      <c r="C1216" s="279">
        <v>0.020840784144384172</v>
      </c>
      <c r="D1216" s="279">
        <v>0.03003380082352398</v>
      </c>
      <c r="E1216" s="282">
        <v>2.231422950842546E-4</v>
      </c>
      <c r="F1216" s="287">
        <v>9.225610366146896</v>
      </c>
      <c r="G1216" s="235">
        <v>0.0</v>
      </c>
      <c r="H1216" s="235">
        <v>278.37864760206025</v>
      </c>
      <c r="I1216" s="287">
        <v>0.0</v>
      </c>
      <c r="J1216" s="233">
        <v>43102.64781426791</v>
      </c>
    </row>
    <row r="1217">
      <c r="A1217" s="184">
        <v>42381.0</v>
      </c>
      <c r="B1217" s="279">
        <v>0.008327698848454728</v>
      </c>
      <c r="C1217" s="279">
        <v>0.0211102030169194</v>
      </c>
      <c r="D1217" s="279">
        <v>0.02941385959864678</v>
      </c>
      <c r="E1217" s="282">
        <v>2.2319209868139906E-4</v>
      </c>
      <c r="F1217" s="287">
        <v>9.225610366146896</v>
      </c>
      <c r="G1217" s="235">
        <v>0.0</v>
      </c>
      <c r="H1217" s="235">
        <v>269.15303723591336</v>
      </c>
      <c r="I1217" s="287">
        <v>0.0</v>
      </c>
      <c r="J1217" s="233">
        <v>43093.42220390176</v>
      </c>
    </row>
    <row r="1218">
      <c r="A1218" s="184">
        <v>42380.0</v>
      </c>
      <c r="B1218" s="279">
        <v>0.007415337197095584</v>
      </c>
      <c r="C1218" s="279">
        <v>0.02138661864613296</v>
      </c>
      <c r="D1218" s="279">
        <v>0.028777598768619912</v>
      </c>
      <c r="E1218" s="282">
        <v>2.2324192451504587E-4</v>
      </c>
      <c r="F1218" s="287">
        <v>9.225610366146924</v>
      </c>
      <c r="G1218" s="235">
        <v>0.0</v>
      </c>
      <c r="H1218" s="235">
        <v>259.92742686976646</v>
      </c>
      <c r="I1218" s="287">
        <v>0.0</v>
      </c>
      <c r="J1218" s="233">
        <v>43084.19659353561</v>
      </c>
    </row>
    <row r="1219">
      <c r="A1219" s="184">
        <v>42377.0</v>
      </c>
      <c r="B1219" s="279">
        <v>0.0066538484975558814</v>
      </c>
      <c r="C1219" s="279">
        <v>0.022255991102761483</v>
      </c>
      <c r="D1219" s="279">
        <v>0.02888449240332711</v>
      </c>
      <c r="E1219" s="282">
        <v>2.232917726000895E-4</v>
      </c>
      <c r="F1219" s="287">
        <v>9.225610366146924</v>
      </c>
      <c r="G1219" s="235">
        <v>0.0</v>
      </c>
      <c r="H1219" s="235">
        <v>250.7018165036195</v>
      </c>
      <c r="I1219" s="287">
        <v>0.0</v>
      </c>
      <c r="J1219" s="233">
        <v>43074.97098316946</v>
      </c>
    </row>
    <row r="1220">
      <c r="A1220" s="184">
        <v>42376.0</v>
      </c>
      <c r="B1220" s="279">
        <v>0.0056681095306589675</v>
      </c>
      <c r="C1220" s="279">
        <v>0.022563245825061314</v>
      </c>
      <c r="D1220" s="279">
        <v>0.028205658228415247</v>
      </c>
      <c r="E1220" s="282">
        <v>2.2334164295143954E-4</v>
      </c>
      <c r="F1220" s="287">
        <v>9.225610366146924</v>
      </c>
      <c r="G1220" s="235">
        <v>0.0</v>
      </c>
      <c r="H1220" s="235">
        <v>241.4762061374726</v>
      </c>
      <c r="I1220" s="287">
        <v>0.0</v>
      </c>
      <c r="J1220" s="233">
        <v>43065.745372803314</v>
      </c>
    </row>
    <row r="1221">
      <c r="A1221" s="184">
        <v>42375.0</v>
      </c>
      <c r="B1221" s="279">
        <v>0.004654758304196573</v>
      </c>
      <c r="C1221" s="279">
        <v>0.02287903386639479</v>
      </c>
      <c r="D1221" s="279">
        <v>0.027507735394432502</v>
      </c>
      <c r="E1221" s="282">
        <v>2.2339153558401835E-4</v>
      </c>
      <c r="F1221" s="287">
        <v>9.225610366146924</v>
      </c>
      <c r="G1221" s="235">
        <v>0.0</v>
      </c>
      <c r="H1221" s="235">
        <v>232.25059577132566</v>
      </c>
      <c r="I1221" s="287">
        <v>0.0</v>
      </c>
      <c r="J1221" s="233">
        <v>43056.519762437165</v>
      </c>
    </row>
    <row r="1222">
      <c r="A1222" s="184">
        <v>42374.0</v>
      </c>
      <c r="B1222" s="279">
        <v>0.0035862017523263442</v>
      </c>
      <c r="C1222" s="279">
        <v>0.023203715664075086</v>
      </c>
      <c r="D1222" s="279">
        <v>0.02678991741640143</v>
      </c>
      <c r="E1222" s="282">
        <v>2.2344264108943736E-4</v>
      </c>
      <c r="F1222" s="287">
        <v>9.225610366146924</v>
      </c>
      <c r="G1222" s="235">
        <v>0.0</v>
      </c>
      <c r="H1222" s="235">
        <v>223.02498540517874</v>
      </c>
      <c r="I1222" s="287">
        <v>0.0</v>
      </c>
      <c r="J1222" s="233">
        <v>43047.294152071016</v>
      </c>
    </row>
    <row r="1223">
      <c r="A1223" s="184">
        <v>42373.0</v>
      </c>
      <c r="B1223" s="279">
        <v>0.006643159809889967</v>
      </c>
      <c r="C1223" s="279">
        <v>0.019408191927397143</v>
      </c>
      <c r="D1223" s="279">
        <v>0.02605135173728711</v>
      </c>
      <c r="E1223" s="282">
        <v>2.233092434881884E-4</v>
      </c>
      <c r="F1223" s="287">
        <v>9.225610366146924</v>
      </c>
      <c r="G1223" s="235">
        <v>0.0</v>
      </c>
      <c r="H1223" s="235">
        <v>213.79937503903182</v>
      </c>
      <c r="I1223" s="287">
        <v>0.0</v>
      </c>
      <c r="J1223" s="233">
        <v>43038.068541704866</v>
      </c>
    </row>
    <row r="1224">
      <c r="A1224" s="184">
        <v>42369.0</v>
      </c>
      <c r="B1224" s="279">
        <v>0.025382193037515977</v>
      </c>
      <c r="C1224" s="279">
        <v>0.0010585404619547875</v>
      </c>
      <c r="D1224" s="279">
        <v>0.026440733499470764</v>
      </c>
      <c r="E1224" s="282">
        <v>2.225450507161161E-4</v>
      </c>
      <c r="F1224" s="287">
        <v>9.225610366146924</v>
      </c>
      <c r="G1224" s="235">
        <v>0.0</v>
      </c>
      <c r="H1224" s="235">
        <v>204.5737646728849</v>
      </c>
      <c r="I1224" s="287">
        <v>0.0</v>
      </c>
      <c r="J1224" s="233">
        <v>43028.84293133872</v>
      </c>
    </row>
    <row r="1225">
      <c r="A1225" s="184">
        <v>42368.0</v>
      </c>
      <c r="B1225" s="279">
        <v>0.024564530919365102</v>
      </c>
      <c r="C1225" s="279">
        <v>0.001074938513765613</v>
      </c>
      <c r="D1225" s="279">
        <v>0.025639469433130717</v>
      </c>
      <c r="E1225" s="282">
        <v>2.2259458804000062E-4</v>
      </c>
      <c r="F1225" s="287">
        <v>9.225610366146924</v>
      </c>
      <c r="G1225" s="235">
        <v>0.0</v>
      </c>
      <c r="H1225" s="235">
        <v>195.34815430673797</v>
      </c>
      <c r="I1225" s="287">
        <v>0.0</v>
      </c>
      <c r="J1225" s="233">
        <v>43019.61732097257</v>
      </c>
    </row>
    <row r="1226">
      <c r="A1226" s="184">
        <v>42367.0</v>
      </c>
      <c r="B1226" s="279">
        <v>0.02372105638325516</v>
      </c>
      <c r="C1226" s="279">
        <v>0.0010918488966454912</v>
      </c>
      <c r="D1226" s="279">
        <v>0.02481290527990065</v>
      </c>
      <c r="E1226" s="282">
        <v>2.226441474222756E-4</v>
      </c>
      <c r="F1226" s="287">
        <v>9.225610366146924</v>
      </c>
      <c r="G1226" s="235">
        <v>0.0</v>
      </c>
      <c r="H1226" s="235">
        <v>186.12254394059104</v>
      </c>
      <c r="I1226" s="287">
        <v>0.0</v>
      </c>
      <c r="J1226" s="233">
        <v>43010.39171060642</v>
      </c>
    </row>
    <row r="1227">
      <c r="A1227" s="184">
        <v>42366.0</v>
      </c>
      <c r="B1227" s="279">
        <v>0.022850540451445304</v>
      </c>
      <c r="C1227" s="279">
        <v>0.0011092959982866172</v>
      </c>
      <c r="D1227" s="279">
        <v>0.02395983644973192</v>
      </c>
      <c r="E1227" s="282">
        <v>2.226937288776778E-4</v>
      </c>
      <c r="F1227" s="287">
        <v>9.225610366146924</v>
      </c>
      <c r="G1227" s="235">
        <v>0.0</v>
      </c>
      <c r="H1227" s="235">
        <v>176.89693357444412</v>
      </c>
      <c r="I1227" s="287">
        <v>0.0</v>
      </c>
      <c r="J1227" s="233">
        <v>43001.16610024027</v>
      </c>
    </row>
    <row r="1228">
      <c r="A1228" s="184">
        <v>42362.0</v>
      </c>
      <c r="B1228" s="279">
        <v>0.02306786174080943</v>
      </c>
      <c r="C1228" s="279">
        <v>0.0011846264117740912</v>
      </c>
      <c r="D1228" s="279">
        <v>0.02425248815258352</v>
      </c>
      <c r="E1228" s="282">
        <v>2.2274333242095726E-4</v>
      </c>
      <c r="F1228" s="287">
        <v>9.225610366146924</v>
      </c>
      <c r="G1228" s="235">
        <v>0.0</v>
      </c>
      <c r="H1228" s="235">
        <v>167.6713232082972</v>
      </c>
      <c r="I1228" s="287">
        <v>0.0</v>
      </c>
      <c r="J1228" s="233">
        <v>42991.94048987412</v>
      </c>
    </row>
    <row r="1229">
      <c r="A1229" s="184">
        <v>42361.0</v>
      </c>
      <c r="B1229" s="279">
        <v>0.02211046562543036</v>
      </c>
      <c r="C1229" s="279">
        <v>0.0012051768950875862</v>
      </c>
      <c r="D1229" s="279">
        <v>0.023315642520517946</v>
      </c>
      <c r="E1229" s="282">
        <v>2.2279295806687703E-4</v>
      </c>
      <c r="F1229" s="287">
        <v>9.225610366146924</v>
      </c>
      <c r="G1229" s="235">
        <v>0.0</v>
      </c>
      <c r="H1229" s="235">
        <v>158.44571284215027</v>
      </c>
      <c r="I1229" s="287">
        <v>0.0</v>
      </c>
      <c r="J1229" s="233">
        <v>42982.71487950797</v>
      </c>
    </row>
    <row r="1230">
      <c r="A1230" s="184">
        <v>42360.0</v>
      </c>
      <c r="B1230" s="279">
        <v>0.021119185193539225</v>
      </c>
      <c r="C1230" s="279">
        <v>0.001226448280887528</v>
      </c>
      <c r="D1230" s="279">
        <v>0.02234563347442675</v>
      </c>
      <c r="E1230" s="282">
        <v>2.2284260583021329E-4</v>
      </c>
      <c r="F1230" s="287">
        <v>9.225610366146924</v>
      </c>
      <c r="G1230" s="235">
        <v>0.0</v>
      </c>
      <c r="H1230" s="235">
        <v>149.22010247600335</v>
      </c>
      <c r="I1230" s="287">
        <v>0.0</v>
      </c>
      <c r="J1230" s="233">
        <v>42973.48926914182</v>
      </c>
    </row>
    <row r="1231">
      <c r="A1231" s="184">
        <v>42359.0</v>
      </c>
      <c r="B1231" s="279">
        <v>0.02009220555440789</v>
      </c>
      <c r="C1231" s="279">
        <v>0.0012484791743929877</v>
      </c>
      <c r="D1231" s="279">
        <v>0.021340684728800876</v>
      </c>
      <c r="E1231" s="282">
        <v>2.2289227572575511E-4</v>
      </c>
      <c r="F1231" s="287">
        <v>9.22561036614691</v>
      </c>
      <c r="G1231" s="235">
        <v>0.0</v>
      </c>
      <c r="H1231" s="235">
        <v>139.99449210985642</v>
      </c>
      <c r="I1231" s="287">
        <v>0.0</v>
      </c>
      <c r="J1231" s="233">
        <v>42964.26365877567</v>
      </c>
    </row>
    <row r="1232">
      <c r="A1232" s="184">
        <v>42356.0</v>
      </c>
      <c r="B1232" s="279">
        <v>0.019745601751725322</v>
      </c>
      <c r="C1232" s="279">
        <v>0.0013192849865015946</v>
      </c>
      <c r="D1232" s="279">
        <v>0.02106488673822692</v>
      </c>
      <c r="E1232" s="282">
        <v>2.2294196776830578E-4</v>
      </c>
      <c r="F1232" s="287">
        <v>9.22561036614691</v>
      </c>
      <c r="G1232" s="235">
        <v>0.0</v>
      </c>
      <c r="H1232" s="235">
        <v>130.76888174370953</v>
      </c>
      <c r="I1232" s="287">
        <v>0.0</v>
      </c>
      <c r="J1232" s="233">
        <v>42955.03804840952</v>
      </c>
    </row>
    <row r="1233">
      <c r="A1233" s="184">
        <v>42355.0</v>
      </c>
      <c r="B1233" s="279">
        <v>0.018612571648149372</v>
      </c>
      <c r="C1233" s="279">
        <v>0.0013447954341837991</v>
      </c>
      <c r="D1233" s="279">
        <v>0.01995736708233317</v>
      </c>
      <c r="E1233" s="282">
        <v>2.2299168197268066E-4</v>
      </c>
      <c r="F1233" s="287">
        <v>9.22561036614691</v>
      </c>
      <c r="G1233" s="235">
        <v>0.0</v>
      </c>
      <c r="H1233" s="235">
        <v>121.54327137756263</v>
      </c>
      <c r="I1233" s="287">
        <v>0.0</v>
      </c>
      <c r="J1233" s="233">
        <v>42945.81243804337</v>
      </c>
    </row>
    <row r="1234">
      <c r="A1234" s="184">
        <v>42354.0</v>
      </c>
      <c r="B1234" s="279">
        <v>0.01743478504026375</v>
      </c>
      <c r="C1234" s="279">
        <v>0.0013713060304322564</v>
      </c>
      <c r="D1234" s="279">
        <v>0.018806091070696005</v>
      </c>
      <c r="E1234" s="282">
        <v>2.2304141835370893E-4</v>
      </c>
      <c r="F1234" s="287">
        <v>9.22561036614691</v>
      </c>
      <c r="G1234" s="235">
        <v>0.0</v>
      </c>
      <c r="H1234" s="235">
        <v>112.31766101141572</v>
      </c>
      <c r="I1234" s="287">
        <v>0.0</v>
      </c>
      <c r="J1234" s="233">
        <v>42936.58682767722</v>
      </c>
    </row>
    <row r="1235">
      <c r="A1235" s="184">
        <v>42353.0</v>
      </c>
      <c r="B1235" s="279">
        <v>0.016209557157298774</v>
      </c>
      <c r="C1235" s="279">
        <v>0.0013988767599395946</v>
      </c>
      <c r="D1235" s="279">
        <v>0.01760843391723837</v>
      </c>
      <c r="E1235" s="282">
        <v>2.2309117692623277E-4</v>
      </c>
      <c r="F1235" s="287">
        <v>9.22561036614691</v>
      </c>
      <c r="G1235" s="235">
        <v>0.0</v>
      </c>
      <c r="H1235" s="235">
        <v>103.09205064526881</v>
      </c>
      <c r="I1235" s="287">
        <v>0.0</v>
      </c>
      <c r="J1235" s="233">
        <v>42927.361217311074</v>
      </c>
    </row>
    <row r="1236">
      <c r="A1236" s="184">
        <v>42352.0</v>
      </c>
      <c r="B1236" s="279">
        <v>0.014933984146152083</v>
      </c>
      <c r="C1236" s="279">
        <v>0.0014275725013611535</v>
      </c>
      <c r="D1236" s="279">
        <v>0.016361556647513237</v>
      </c>
      <c r="E1236" s="282">
        <v>2.2314095770510766E-4</v>
      </c>
      <c r="F1236" s="287">
        <v>9.22561036614691</v>
      </c>
      <c r="G1236" s="235">
        <v>0.0</v>
      </c>
      <c r="H1236" s="235">
        <v>93.8664402791219</v>
      </c>
      <c r="I1236" s="287">
        <v>0.0</v>
      </c>
      <c r="J1236" s="233">
        <v>42918.135606944925</v>
      </c>
    </row>
    <row r="1237">
      <c r="A1237" s="184">
        <v>42349.0</v>
      </c>
      <c r="B1237" s="279">
        <v>0.014196438534643955</v>
      </c>
      <c r="C1237" s="279">
        <v>0.0015208315165588702</v>
      </c>
      <c r="D1237" s="279">
        <v>0.015717270051202825</v>
      </c>
      <c r="E1237" s="282">
        <v>2.2319076070520237E-4</v>
      </c>
      <c r="F1237" s="287">
        <v>9.22561036614691</v>
      </c>
      <c r="G1237" s="235">
        <v>0.0</v>
      </c>
      <c r="H1237" s="235">
        <v>84.640829912975</v>
      </c>
      <c r="I1237" s="287">
        <v>0.0</v>
      </c>
      <c r="J1237" s="233">
        <v>42908.909996578775</v>
      </c>
    </row>
    <row r="1238">
      <c r="A1238" s="184">
        <v>42348.0</v>
      </c>
      <c r="B1238" s="279">
        <v>0.01276201669156015</v>
      </c>
      <c r="C1238" s="279">
        <v>0.0015547872868019409</v>
      </c>
      <c r="D1238" s="279">
        <v>0.014316803978362092</v>
      </c>
      <c r="E1238" s="282">
        <v>1.4640761630498782E-4</v>
      </c>
      <c r="F1238" s="287">
        <v>6.050421418535052</v>
      </c>
      <c r="G1238" s="235">
        <v>0.0</v>
      </c>
      <c r="H1238" s="235">
        <v>75.41521954682808</v>
      </c>
      <c r="I1238" s="287">
        <v>0.0</v>
      </c>
      <c r="J1238" s="233">
        <v>42899.684386212626</v>
      </c>
    </row>
    <row r="1239">
      <c r="A1239" s="184">
        <v>42347.0</v>
      </c>
      <c r="B1239" s="279">
        <v>0.011878562463303592</v>
      </c>
      <c r="C1239" s="279">
        <v>0.0015902860254713683</v>
      </c>
      <c r="D1239" s="279">
        <v>0.01346884848877496</v>
      </c>
      <c r="E1239" s="282">
        <v>1.518466452997405E-4</v>
      </c>
      <c r="F1239" s="287">
        <v>6.050421418535024</v>
      </c>
      <c r="G1239" s="235">
        <v>0.0</v>
      </c>
      <c r="H1239" s="235">
        <v>69.36479812829303</v>
      </c>
      <c r="I1239" s="287">
        <v>0.0</v>
      </c>
      <c r="J1239" s="233">
        <v>42893.63396479409</v>
      </c>
    </row>
    <row r="1240">
      <c r="A1240" s="184">
        <v>42346.0</v>
      </c>
      <c r="B1240" s="279">
        <v>0.011768506339931687</v>
      </c>
      <c r="C1240" s="279">
        <v>8.127260024399718E-4</v>
      </c>
      <c r="D1240" s="279">
        <v>0.012581232342371658</v>
      </c>
      <c r="E1240" s="282">
        <v>1.518540784770923E-4</v>
      </c>
      <c r="F1240" s="287">
        <v>6.050421418535024</v>
      </c>
      <c r="G1240" s="235">
        <v>0.0</v>
      </c>
      <c r="H1240" s="235">
        <v>63.31437670975801</v>
      </c>
      <c r="I1240" s="287">
        <v>0.0</v>
      </c>
      <c r="J1240" s="233">
        <v>42887.58354337556</v>
      </c>
    </row>
    <row r="1241">
      <c r="A1241" s="184">
        <v>42345.0</v>
      </c>
      <c r="B1241" s="279">
        <v>0.010818952319360317</v>
      </c>
      <c r="C1241" s="279">
        <v>8.32165197112723E-4</v>
      </c>
      <c r="D1241" s="279">
        <v>0.01165111751647304</v>
      </c>
      <c r="E1241" s="282">
        <v>1.5187714164047785E-4</v>
      </c>
      <c r="F1241" s="287">
        <v>6.050421418535024</v>
      </c>
      <c r="G1241" s="235">
        <v>0.0</v>
      </c>
      <c r="H1241" s="235">
        <v>57.263955291222985</v>
      </c>
      <c r="I1241" s="287">
        <v>0.0</v>
      </c>
      <c r="J1241" s="233">
        <v>42881.53312195702</v>
      </c>
    </row>
    <row r="1242">
      <c r="A1242" s="184">
        <v>42342.0</v>
      </c>
      <c r="B1242" s="279">
        <v>0.01032656878356971</v>
      </c>
      <c r="C1242" s="279">
        <v>8.962754457020725E-4</v>
      </c>
      <c r="D1242" s="279">
        <v>0.011222844229271783</v>
      </c>
      <c r="E1242" s="282">
        <v>1.519002118104622E-4</v>
      </c>
      <c r="F1242" s="287">
        <v>6.050421418535024</v>
      </c>
      <c r="G1242" s="235">
        <v>0.0</v>
      </c>
      <c r="H1242" s="235">
        <v>51.21353387268796</v>
      </c>
      <c r="I1242" s="287">
        <v>0.0</v>
      </c>
      <c r="J1242" s="233">
        <v>42875.48270053849</v>
      </c>
    </row>
    <row r="1243">
      <c r="A1243" s="184">
        <v>42341.0</v>
      </c>
      <c r="B1243" s="279">
        <v>0.00923858006615195</v>
      </c>
      <c r="C1243" s="279">
        <v>9.199641861263651E-4</v>
      </c>
      <c r="D1243" s="279">
        <v>0.010158544252278315</v>
      </c>
      <c r="E1243" s="282">
        <v>1.5192328899023876E-4</v>
      </c>
      <c r="F1243" s="287">
        <v>6.050421418535024</v>
      </c>
      <c r="G1243" s="235">
        <v>0.0</v>
      </c>
      <c r="H1243" s="235">
        <v>45.16311245415294</v>
      </c>
      <c r="I1243" s="287">
        <v>0.0</v>
      </c>
      <c r="J1243" s="233">
        <v>42869.43227911995</v>
      </c>
    </row>
    <row r="1244">
      <c r="A1244" s="184">
        <v>42340.0</v>
      </c>
      <c r="B1244" s="279">
        <v>0.008091493273322141</v>
      </c>
      <c r="C1244" s="279">
        <v>9.449361687892829E-4</v>
      </c>
      <c r="D1244" s="279">
        <v>0.009036429442111424</v>
      </c>
      <c r="E1244" s="282">
        <v>1.5194637318300286E-4</v>
      </c>
      <c r="F1244" s="287">
        <v>6.050421418535024</v>
      </c>
      <c r="G1244" s="235">
        <v>0.0</v>
      </c>
      <c r="H1244" s="235">
        <v>39.112691035617914</v>
      </c>
      <c r="I1244" s="287">
        <v>0.0</v>
      </c>
      <c r="J1244" s="233">
        <v>42863.38185770142</v>
      </c>
    </row>
    <row r="1245">
      <c r="A1245" s="184">
        <v>42339.0</v>
      </c>
      <c r="B1245" s="279">
        <v>0.006781476633483412</v>
      </c>
      <c r="C1245" s="279">
        <v>9.573374746793418E-4</v>
      </c>
      <c r="D1245" s="279">
        <v>0.007738814108162754</v>
      </c>
      <c r="E1245" s="282">
        <v>1.5196946439195177E-4</v>
      </c>
      <c r="F1245" s="287">
        <v>6.050421418535024</v>
      </c>
      <c r="G1245" s="235">
        <v>0.0</v>
      </c>
      <c r="H1245" s="235">
        <v>33.06226961708289</v>
      </c>
      <c r="I1245" s="287">
        <v>0.0</v>
      </c>
      <c r="J1245" s="233">
        <v>42857.33143628288</v>
      </c>
    </row>
    <row r="1246">
      <c r="A1246" s="184">
        <v>42338.0</v>
      </c>
      <c r="B1246" s="279">
        <v>0.0053659181257333325</v>
      </c>
      <c r="C1246" s="279">
        <v>9.574535588993073E-4</v>
      </c>
      <c r="D1246" s="279">
        <v>0.00632337168463264</v>
      </c>
      <c r="E1246" s="282">
        <v>1.5199256262028482E-4</v>
      </c>
      <c r="F1246" s="287">
        <v>6.050421418535027</v>
      </c>
      <c r="G1246" s="235">
        <v>0.0</v>
      </c>
      <c r="H1246" s="235">
        <v>27.011848198547867</v>
      </c>
      <c r="I1246" s="287">
        <v>0.0</v>
      </c>
      <c r="J1246" s="233">
        <v>42851.28101486435</v>
      </c>
    </row>
    <row r="1247">
      <c r="A1247" s="184">
        <v>42335.0</v>
      </c>
      <c r="B1247" s="279">
        <v>0.003950032223134473</v>
      </c>
      <c r="C1247" s="279">
        <v>9.575735356158005E-4</v>
      </c>
      <c r="D1247" s="279">
        <v>0.004907605758750273</v>
      </c>
      <c r="E1247" s="282">
        <v>1.5201566787120295E-4</v>
      </c>
      <c r="F1247" s="287">
        <v>6.050421418535025</v>
      </c>
      <c r="G1247" s="235">
        <v>0.0</v>
      </c>
      <c r="H1247" s="235">
        <v>20.96142678001284</v>
      </c>
      <c r="I1247" s="287">
        <v>0.0</v>
      </c>
      <c r="J1247" s="233">
        <v>42845.23059344581</v>
      </c>
    </row>
    <row r="1248">
      <c r="A1248" s="184">
        <v>42334.0</v>
      </c>
      <c r="B1248" s="279">
        <v>0.002533802936984131</v>
      </c>
      <c r="C1248" s="279">
        <v>9.576978909148045E-4</v>
      </c>
      <c r="D1248" s="279">
        <v>0.0034915008278989354</v>
      </c>
      <c r="E1248" s="282">
        <v>1.5203878014790947E-4</v>
      </c>
      <c r="F1248" s="287">
        <v>6.050421418535025</v>
      </c>
      <c r="G1248" s="235">
        <v>0.0</v>
      </c>
      <c r="H1248" s="235">
        <v>14.911005361477814</v>
      </c>
      <c r="I1248" s="287">
        <v>0.0</v>
      </c>
      <c r="J1248" s="233">
        <v>42839.18017202728</v>
      </c>
    </row>
    <row r="1249">
      <c r="A1249" s="184">
        <v>42333.0</v>
      </c>
      <c r="B1249" s="279">
        <v>0.0011172115010269444</v>
      </c>
      <c r="C1249" s="279">
        <v>9.578271955490464E-4</v>
      </c>
      <c r="D1249" s="279">
        <v>0.002075038696575991</v>
      </c>
      <c r="E1249" s="282">
        <v>1.5206189945360938E-4</v>
      </c>
      <c r="F1249" s="287">
        <v>6.050421418535025</v>
      </c>
      <c r="G1249" s="235">
        <v>0.0</v>
      </c>
      <c r="H1249" s="235">
        <v>8.860583942942789</v>
      </c>
      <c r="I1249" s="287">
        <v>0.0</v>
      </c>
      <c r="J1249" s="233">
        <v>42833.12975060874</v>
      </c>
    </row>
    <row r="1250">
      <c r="A1250" s="184">
        <v>42332.0</v>
      </c>
      <c r="B1250" s="279">
        <v>-2.997642608224422E-4</v>
      </c>
      <c r="C1250" s="279">
        <v>9.579621242114732E-4</v>
      </c>
      <c r="D1250" s="279">
        <v>6.58197863389031E-4</v>
      </c>
      <c r="E1250" s="282">
        <v>1.5208502579150968E-4</v>
      </c>
      <c r="F1250" s="287">
        <v>6.050421418535025</v>
      </c>
      <c r="G1250" s="235">
        <v>0.0</v>
      </c>
      <c r="H1250" s="235">
        <v>2.8101625244077635</v>
      </c>
      <c r="I1250" s="287">
        <v>0.0</v>
      </c>
      <c r="J1250" s="233">
        <v>42827.07932919021</v>
      </c>
    </row>
    <row r="1251">
      <c r="A1251" s="184">
        <v>42331.0</v>
      </c>
      <c r="B1251" s="279">
        <v>-0.0017171507477126435</v>
      </c>
      <c r="C1251" s="279">
        <v>9.581034803247403E-4</v>
      </c>
      <c r="D1251" s="279">
        <v>-7.590472673879032E-4</v>
      </c>
      <c r="E1251" s="282">
        <v>1.5210815916481935E-4</v>
      </c>
      <c r="F1251" s="287">
        <v>6.050421418535025</v>
      </c>
      <c r="G1251" s="235">
        <v>0.0</v>
      </c>
      <c r="H1251" s="235">
        <v>-3.240258894127262</v>
      </c>
      <c r="I1251" s="287">
        <v>0.0</v>
      </c>
      <c r="J1251" s="233">
        <v>42821.02890777167</v>
      </c>
    </row>
    <row r="1252">
      <c r="A1252" s="184">
        <v>42328.0</v>
      </c>
      <c r="B1252" s="279">
        <v>-0.0031349796394916597</v>
      </c>
      <c r="C1252" s="279">
        <v>9.582522282807417E-4</v>
      </c>
      <c r="D1252" s="279">
        <v>-0.002176727411210918</v>
      </c>
      <c r="E1252" s="282">
        <v>1.5213129957674932E-4</v>
      </c>
      <c r="F1252" s="287">
        <v>6.050421418535025</v>
      </c>
      <c r="G1252" s="235">
        <v>0.0</v>
      </c>
      <c r="H1252" s="235">
        <v>-9.290680312662287</v>
      </c>
      <c r="I1252" s="287">
        <v>0.0</v>
      </c>
      <c r="J1252" s="233">
        <v>42814.97848635314</v>
      </c>
    </row>
    <row r="1253">
      <c r="A1253" s="184">
        <v>42327.0</v>
      </c>
      <c r="B1253" s="279">
        <v>-0.004553289288957237</v>
      </c>
      <c r="C1253" s="279">
        <v>9.584095358800628E-4</v>
      </c>
      <c r="D1253" s="279">
        <v>-0.0035948797530771744</v>
      </c>
      <c r="E1253" s="282">
        <v>1.521544470305124E-4</v>
      </c>
      <c r="F1253" s="287">
        <v>6.050421418535024</v>
      </c>
      <c r="G1253" s="235">
        <v>0.0</v>
      </c>
      <c r="H1253" s="235">
        <v>-15.341101731197313</v>
      </c>
      <c r="I1253" s="287">
        <v>0.0</v>
      </c>
      <c r="J1253" s="233">
        <v>42808.928064934604</v>
      </c>
    </row>
    <row r="1254">
      <c r="A1254" s="184">
        <v>42326.0</v>
      </c>
      <c r="B1254" s="279">
        <v>-0.005972126579105814</v>
      </c>
      <c r="C1254" s="279">
        <v>9.585768309458125E-4</v>
      </c>
      <c r="D1254" s="279">
        <v>-0.005013549748160002</v>
      </c>
      <c r="E1254" s="282">
        <v>1.5217760152932353E-4</v>
      </c>
      <c r="F1254" s="287">
        <v>6.050421418535024</v>
      </c>
      <c r="G1254" s="235">
        <v>0.0</v>
      </c>
      <c r="H1254" s="235">
        <v>-21.391523149732336</v>
      </c>
      <c r="I1254" s="287">
        <v>0.0</v>
      </c>
      <c r="J1254" s="233">
        <v>42802.87764351607</v>
      </c>
    </row>
    <row r="1255">
      <c r="A1255" s="184">
        <v>42325.0</v>
      </c>
      <c r="B1255" s="279">
        <v>-0.0073915494372498655</v>
      </c>
      <c r="C1255" s="279">
        <v>9.587558779605304E-4</v>
      </c>
      <c r="D1255" s="279">
        <v>-0.006432793559289335</v>
      </c>
      <c r="E1255" s="282">
        <v>1.5220076307639944E-4</v>
      </c>
      <c r="F1255" s="287">
        <v>6.050421418535024</v>
      </c>
      <c r="G1255" s="235">
        <v>0.0</v>
      </c>
      <c r="H1255" s="235">
        <v>-27.44194456826736</v>
      </c>
      <c r="I1255" s="287">
        <v>0.0</v>
      </c>
      <c r="J1255" s="233">
        <v>42796.827222097534</v>
      </c>
    </row>
    <row r="1256">
      <c r="A1256" s="184">
        <v>42324.0</v>
      </c>
      <c r="B1256" s="279">
        <v>-0.008811630294021284</v>
      </c>
      <c r="C1256" s="279">
        <v>9.589488835057081E-4</v>
      </c>
      <c r="D1256" s="279">
        <v>-0.007852681410515575</v>
      </c>
      <c r="E1256" s="282">
        <v>1.5222393167495886E-4</v>
      </c>
      <c r="F1256" s="287">
        <v>6.050421418535024</v>
      </c>
      <c r="G1256" s="235">
        <v>0.0</v>
      </c>
      <c r="H1256" s="235">
        <v>-33.49236598680238</v>
      </c>
      <c r="I1256" s="287">
        <v>0.0</v>
      </c>
      <c r="J1256" s="233">
        <v>42790.776800679</v>
      </c>
    </row>
    <row r="1257">
      <c r="A1257" s="184">
        <v>42321.0</v>
      </c>
      <c r="B1257" s="279">
        <v>-0.010232460929251376</v>
      </c>
      <c r="C1257" s="279">
        <v>9.591586439769537E-4</v>
      </c>
      <c r="D1257" s="279">
        <v>-0.009273302285274423</v>
      </c>
      <c r="E1257" s="282">
        <v>1.522471073282225E-4</v>
      </c>
      <c r="F1257" s="287">
        <v>6.050421418535024</v>
      </c>
      <c r="G1257" s="235">
        <v>0.0</v>
      </c>
      <c r="H1257" s="235">
        <v>-39.54278740533741</v>
      </c>
      <c r="I1257" s="287">
        <v>0.0</v>
      </c>
      <c r="J1257" s="233">
        <v>42784.726379260464</v>
      </c>
    </row>
    <row r="1258">
      <c r="A1258" s="184">
        <v>42320.0</v>
      </c>
      <c r="B1258" s="279">
        <v>-0.011654159399924965</v>
      </c>
      <c r="C1258" s="279">
        <v>9.593887567662531E-4</v>
      </c>
      <c r="D1258" s="279">
        <v>-0.010694770643158713</v>
      </c>
      <c r="E1258" s="282">
        <v>1.52270290039413E-4</v>
      </c>
      <c r="F1258" s="287">
        <v>6.050421418535024</v>
      </c>
      <c r="G1258" s="235">
        <v>0.0</v>
      </c>
      <c r="H1258" s="235">
        <v>-45.59320882387243</v>
      </c>
      <c r="I1258" s="287">
        <v>0.0</v>
      </c>
      <c r="J1258" s="233">
        <v>42778.67595784193</v>
      </c>
    </row>
    <row r="1259">
      <c r="A1259" s="184">
        <v>42319.0</v>
      </c>
      <c r="B1259" s="279">
        <v>-0.013076880174388636</v>
      </c>
      <c r="C1259" s="279">
        <v>9.596439291792888E-4</v>
      </c>
      <c r="D1259" s="279">
        <v>-0.012117236245209348</v>
      </c>
      <c r="E1259" s="282">
        <v>1.5229347981175507E-4</v>
      </c>
      <c r="F1259" s="287">
        <v>6.050421418535024</v>
      </c>
      <c r="G1259" s="235">
        <v>0.0</v>
      </c>
      <c r="H1259" s="235">
        <v>-51.643630242407454</v>
      </c>
      <c r="I1259" s="287">
        <v>0.0</v>
      </c>
      <c r="J1259" s="233">
        <v>42772.625536423395</v>
      </c>
    </row>
    <row r="1260">
      <c r="A1260" s="184">
        <v>42318.0</v>
      </c>
      <c r="B1260" s="279">
        <v>-0.014500829348665803</v>
      </c>
      <c r="C1260" s="279">
        <v>9.599304422687391E-4</v>
      </c>
      <c r="D1260" s="279">
        <v>-0.013540898906397064</v>
      </c>
      <c r="E1260" s="282">
        <v>1.5231667664847523E-4</v>
      </c>
      <c r="F1260" s="287">
        <v>6.050421418535024</v>
      </c>
      <c r="G1260" s="235">
        <v>0.0</v>
      </c>
      <c r="H1260" s="235">
        <v>-57.69405166094248</v>
      </c>
      <c r="I1260" s="287">
        <v>0.0</v>
      </c>
      <c r="J1260" s="233">
        <v>42766.57511500486</v>
      </c>
    </row>
    <row r="1261">
      <c r="A1261" s="184">
        <v>42317.0</v>
      </c>
      <c r="B1261" s="279">
        <v>-0.014966031320910192</v>
      </c>
      <c r="C1261" s="279">
        <v>0.0</v>
      </c>
      <c r="D1261" s="279">
        <v>-0.014966031320910192</v>
      </c>
      <c r="E1261" s="282">
        <v>1.5232419426483405E-4</v>
      </c>
      <c r="F1261" s="287">
        <v>6.050421418535024</v>
      </c>
      <c r="G1261" s="235">
        <v>0.0</v>
      </c>
      <c r="H1261" s="235">
        <v>-63.7444730794775</v>
      </c>
      <c r="I1261" s="287">
        <v>0.0</v>
      </c>
      <c r="J1261" s="233">
        <v>42760.524693586325</v>
      </c>
    </row>
    <row r="1262">
      <c r="A1262" s="184">
        <v>42314.0</v>
      </c>
      <c r="B1262" s="279">
        <v>-0.016393015631302195</v>
      </c>
      <c r="C1262" s="279">
        <v>0.0</v>
      </c>
      <c r="D1262" s="279">
        <v>-0.016393015631302195</v>
      </c>
      <c r="E1262" s="282">
        <v>1.5234740045985744E-4</v>
      </c>
      <c r="F1262" s="287">
        <v>6.050421418535024</v>
      </c>
      <c r="G1262" s="235">
        <v>0.0</v>
      </c>
      <c r="H1262" s="235">
        <v>-69.79489449801252</v>
      </c>
      <c r="I1262" s="287">
        <v>0.0</v>
      </c>
      <c r="J1262" s="233">
        <v>42754.47427216779</v>
      </c>
    </row>
    <row r="1263">
      <c r="A1263" s="184">
        <v>42313.0</v>
      </c>
      <c r="B1263" s="279">
        <v>-0.0178224044734091</v>
      </c>
      <c r="C1263" s="279">
        <v>0.0</v>
      </c>
      <c r="D1263" s="279">
        <v>-0.0178224044734091</v>
      </c>
      <c r="E1263" s="282">
        <v>1.603944173695922E-4</v>
      </c>
      <c r="F1263" s="287">
        <v>6.050421418535024</v>
      </c>
      <c r="G1263" s="235">
        <v>0.0</v>
      </c>
      <c r="H1263" s="235">
        <v>-75.84531591654755</v>
      </c>
      <c r="I1263" s="287">
        <v>0.0</v>
      </c>
      <c r="J1263" s="233">
        <v>42748.423850749256</v>
      </c>
    </row>
    <row r="1264">
      <c r="A1264" s="184">
        <v>42312.0</v>
      </c>
      <c r="B1264" s="174">
        <v>-0.01925502800859039</v>
      </c>
      <c r="C1264" s="174">
        <v>0.0</v>
      </c>
      <c r="D1264" s="174">
        <v>-0.01925502800859039</v>
      </c>
      <c r="E1264" s="282">
        <v>0.007352045278671571</v>
      </c>
      <c r="F1264" s="287">
        <v>277.29043275375744</v>
      </c>
      <c r="G1264" s="235">
        <v>0.0</v>
      </c>
      <c r="H1264" s="235">
        <v>-81.89573733508257</v>
      </c>
      <c r="I1264" s="287">
        <v>0.0</v>
      </c>
      <c r="J1264" s="233">
        <v>42742.37342933072</v>
      </c>
    </row>
    <row r="1265">
      <c r="A1265" s="184">
        <v>42311.0</v>
      </c>
      <c r="B1265" s="279">
        <v>-0.08451022442408837</v>
      </c>
      <c r="C1265" s="279">
        <v>0.0</v>
      </c>
      <c r="D1265" s="279">
        <v>-0.08451022442408837</v>
      </c>
      <c r="E1265" s="282">
        <v>0.007406498188711376</v>
      </c>
      <c r="F1265" s="287">
        <v>277.29043275375744</v>
      </c>
      <c r="G1265" s="235">
        <v>0.0</v>
      </c>
      <c r="H1265" s="235">
        <v>-359.18617008884</v>
      </c>
      <c r="I1265" s="287">
        <v>0.0</v>
      </c>
      <c r="J1265" s="233">
        <v>42465.082996576966</v>
      </c>
    </row>
    <row r="1266">
      <c r="A1266" s="184">
        <v>42310.0</v>
      </c>
      <c r="B1266" s="174">
        <v>-0.14973008172538002</v>
      </c>
      <c r="C1266" s="174">
        <v>0.0</v>
      </c>
      <c r="D1266" s="174">
        <v>-0.14973008172538002</v>
      </c>
      <c r="E1266" s="282">
        <v>-0.003461549117420455</v>
      </c>
      <c r="F1266" s="287">
        <v>-128.6364039019386</v>
      </c>
      <c r="G1266" s="235">
        <v>0.0</v>
      </c>
      <c r="H1266" s="235">
        <v>-636.4766028425975</v>
      </c>
      <c r="I1266" s="287">
        <v>0.0</v>
      </c>
      <c r="J1266" s="233">
        <v>42187.79256382321</v>
      </c>
    </row>
    <row r="1267">
      <c r="A1267" s="184">
        <v>42307.0</v>
      </c>
      <c r="B1267" s="279">
        <v>-0.11928871258683904</v>
      </c>
      <c r="C1267" s="279">
        <v>0.0</v>
      </c>
      <c r="D1267" s="279">
        <v>-0.11928871258683904</v>
      </c>
      <c r="E1267" s="282">
        <v>-0.0034496081294445283</v>
      </c>
      <c r="F1267" s="287">
        <v>-128.63640390193854</v>
      </c>
      <c r="G1267" s="235">
        <v>0.0</v>
      </c>
      <c r="H1267" s="235">
        <v>-507.8401989406589</v>
      </c>
      <c r="I1267" s="287">
        <v>0.0</v>
      </c>
      <c r="J1267" s="233">
        <v>42316.42896772515</v>
      </c>
    </row>
    <row r="1268">
      <c r="A1268" s="184">
        <v>42306.0</v>
      </c>
      <c r="B1268" s="279">
        <v>-0.08893910054292561</v>
      </c>
      <c r="C1268" s="279">
        <v>0.0</v>
      </c>
      <c r="D1268" s="279">
        <v>-0.08893910054292561</v>
      </c>
      <c r="E1268" s="282">
        <v>-0.003437749241713322</v>
      </c>
      <c r="F1268" s="287">
        <v>-128.63640390193854</v>
      </c>
      <c r="G1268" s="235">
        <v>0.0</v>
      </c>
      <c r="H1268" s="235">
        <v>-379.2037950387204</v>
      </c>
      <c r="I1268" s="287">
        <v>0.0</v>
      </c>
      <c r="J1268" s="233">
        <v>42445.06537162709</v>
      </c>
    </row>
    <row r="1269">
      <c r="A1269" s="184">
        <v>42305.0</v>
      </c>
      <c r="B1269" s="279">
        <v>-0.05868074834948109</v>
      </c>
      <c r="C1269" s="279">
        <v>0.0</v>
      </c>
      <c r="D1269" s="279">
        <v>-0.05868074834948109</v>
      </c>
      <c r="E1269" s="282">
        <v>-0.008505947458203135</v>
      </c>
      <c r="F1269" s="287">
        <v>-319.376403901939</v>
      </c>
      <c r="G1269" s="235">
        <v>0.0</v>
      </c>
      <c r="H1269" s="235">
        <v>-250.56739113678185</v>
      </c>
      <c r="I1269" s="287">
        <v>0.0</v>
      </c>
      <c r="J1269" s="233">
        <v>42573.70177552903</v>
      </c>
    </row>
    <row r="1270">
      <c r="A1270" s="184">
        <v>42304.0</v>
      </c>
      <c r="B1270" s="279">
        <v>0.016090668994773835</v>
      </c>
      <c r="C1270" s="279">
        <v>0.0</v>
      </c>
      <c r="D1270" s="279">
        <v>0.016090668994773835</v>
      </c>
      <c r="E1270" s="282">
        <v>0.006854384391206759</v>
      </c>
      <c r="F1270" s="287">
        <v>259.553596098061</v>
      </c>
      <c r="G1270" s="235">
        <v>0.0</v>
      </c>
      <c r="H1270" s="235">
        <v>68.80901276515715</v>
      </c>
      <c r="I1270" s="287">
        <v>0.0</v>
      </c>
      <c r="J1270" s="233">
        <v>42893.078179430966</v>
      </c>
    </row>
    <row r="1271">
      <c r="A1271" s="184">
        <v>42303.0</v>
      </c>
      <c r="B1271" s="279">
        <v>-0.044740514699897295</v>
      </c>
      <c r="C1271" s="279">
        <v>0.0</v>
      </c>
      <c r="D1271" s="279">
        <v>-0.044740514699897295</v>
      </c>
      <c r="E1271" s="282">
        <v>-0.005072016873864632</v>
      </c>
      <c r="F1271" s="287">
        <v>-190.74458333290386</v>
      </c>
      <c r="G1271" s="235">
        <v>0.0</v>
      </c>
      <c r="H1271" s="235">
        <v>-190.74458333290386</v>
      </c>
      <c r="I1271" s="287">
        <v>0.0</v>
      </c>
      <c r="J1271" s="233">
        <v>42633.5245833329</v>
      </c>
    </row>
  </sheetData>
  <conditionalFormatting sqref="E2:E1271">
    <cfRule type="cellIs" dxfId="13" priority="1" operator="greaterThanOrEqual">
      <formula>0</formula>
    </cfRule>
  </conditionalFormatting>
  <conditionalFormatting sqref="E2:E1271">
    <cfRule type="cellIs" dxfId="14" priority="2" operator="lessThan">
      <formula>0</formula>
    </cfRule>
  </conditionalFormatting>
  <conditionalFormatting sqref="H1:J1271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89" t="s">
        <v>1286</v>
      </c>
    </row>
    <row r="2">
      <c r="A2" s="290" t="s">
        <v>42</v>
      </c>
      <c r="B2" s="291">
        <f>Dashboard!$B35</f>
        <v>1197415.072</v>
      </c>
    </row>
    <row r="3">
      <c r="A3" s="290" t="s">
        <v>1287</v>
      </c>
      <c r="B3" s="18">
        <f>Dashboard!$B36</f>
        <v>-810600.97</v>
      </c>
    </row>
    <row r="4">
      <c r="A4" s="290" t="s">
        <v>1288</v>
      </c>
      <c r="B4" s="291">
        <f>B2+B3</f>
        <v>386814.102</v>
      </c>
    </row>
    <row r="5">
      <c r="A5" s="290" t="s">
        <v>1289</v>
      </c>
      <c r="B5" s="18">
        <f>B2*0.3</f>
        <v>359224.5216</v>
      </c>
    </row>
    <row r="6">
      <c r="A6" s="292" t="s">
        <v>1286</v>
      </c>
      <c r="B6" s="293">
        <f>B4-B5</f>
        <v>27589.5804</v>
      </c>
    </row>
    <row r="7">
      <c r="A7" s="294" t="s">
        <v>1290</v>
      </c>
      <c r="B7" s="219"/>
    </row>
    <row r="8">
      <c r="A8" s="290" t="s">
        <v>1291</v>
      </c>
      <c r="B8" s="291">
        <f>B2*0.7</f>
        <v>838190.5504</v>
      </c>
    </row>
    <row r="9">
      <c r="A9" s="290" t="s">
        <v>1287</v>
      </c>
      <c r="B9" s="18">
        <f>B3</f>
        <v>-810600.97</v>
      </c>
    </row>
    <row r="10">
      <c r="A10" s="292" t="s">
        <v>1290</v>
      </c>
      <c r="B10" s="293">
        <f>B8+B9</f>
        <v>27589.5804</v>
      </c>
    </row>
    <row r="11">
      <c r="A11" s="295" t="s">
        <v>1292</v>
      </c>
      <c r="B11" s="296">
        <f>B10</f>
        <v>27589.5804</v>
      </c>
    </row>
    <row r="12">
      <c r="A12" s="292" t="s">
        <v>1293</v>
      </c>
      <c r="B12" s="297">
        <v>556000.0</v>
      </c>
    </row>
    <row r="13">
      <c r="A13" s="292" t="s">
        <v>1294</v>
      </c>
      <c r="B13" s="298">
        <f>ROUNDUP((MIN(-B3,$B$15*2.3)-Investment!$T$7-Investment!$AU$7-Dashboard!$B$20-Dashboard!$B$57)/1000)*1000</f>
        <v>892000</v>
      </c>
    </row>
    <row r="14">
      <c r="A14" s="292" t="s">
        <v>1295</v>
      </c>
      <c r="B14" s="297"/>
    </row>
    <row r="15">
      <c r="A15" s="299" t="s">
        <v>1296</v>
      </c>
      <c r="B15" s="300">
        <f>Dashboard!$B$47+AVERAGEIFS(Evolution!$H:$H,Evolution!$A:$A,"&gt;="&amp;DATE(DateTime!$B$4,DateTime!$B$5-1,DateTime!$B$6))</f>
        <v>379963.4336</v>
      </c>
    </row>
    <row r="16">
      <c r="A16" s="290" t="s">
        <v>1297</v>
      </c>
      <c r="B16" s="15">
        <f>$B$15-Dashboard!$B$47</f>
        <v>206954.9036</v>
      </c>
    </row>
    <row r="17">
      <c r="A17" s="290" t="s">
        <v>1298</v>
      </c>
      <c r="B17" s="15">
        <f>$B$4+$B$15*2.3</f>
        <v>1260729.999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1" t="s">
        <v>46</v>
      </c>
      <c r="B1" s="9" t="s">
        <v>18</v>
      </c>
      <c r="C1" s="51" t="s">
        <v>1299</v>
      </c>
      <c r="D1" s="9" t="s">
        <v>1300</v>
      </c>
      <c r="E1" s="9" t="s">
        <v>1301</v>
      </c>
      <c r="F1" s="9" t="s">
        <v>281</v>
      </c>
      <c r="G1" s="9" t="s">
        <v>1302</v>
      </c>
      <c r="H1" s="9" t="s">
        <v>1282</v>
      </c>
      <c r="I1" s="9" t="s">
        <v>1302</v>
      </c>
      <c r="J1" s="301" t="s">
        <v>1303</v>
      </c>
      <c r="K1" s="9" t="s">
        <v>1302</v>
      </c>
      <c r="L1" s="9" t="s">
        <v>1304</v>
      </c>
      <c r="M1" s="9" t="s">
        <v>280</v>
      </c>
      <c r="N1" s="9" t="s">
        <v>1305</v>
      </c>
      <c r="O1" s="9" t="s">
        <v>1282</v>
      </c>
      <c r="P1" s="9" t="s">
        <v>1302</v>
      </c>
    </row>
    <row r="2">
      <c r="A2" s="184">
        <v>44105.0</v>
      </c>
      <c r="B2" s="233">
        <v>380129.26</v>
      </c>
      <c r="C2" s="233">
        <v>556000.0</v>
      </c>
      <c r="D2" s="233">
        <f>IF(C2,-SUMIFS(Historic!G:G,Historic!A:A,"&lt;="&amp;EOMONTH($A2,0)),0)</f>
        <v>810600.97</v>
      </c>
      <c r="E2" s="281">
        <f t="shared" ref="E2:E3" si="1">IF(C2,D2/C2,0)</f>
        <v>1.457915414</v>
      </c>
      <c r="F2" s="233">
        <f t="shared" ref="F2:F3" si="2">B2+D2</f>
        <v>1190730.23</v>
      </c>
      <c r="G2" s="281">
        <f t="shared" ref="G2:G3" si="3">B2/(B2+C2)</f>
        <v>0.4060649274</v>
      </c>
      <c r="H2" s="233">
        <f>B2-B3-SUMIFS(Historic!$G:$G,Historic!$A:$A,"&lt;"&amp;$A2,Historic!$A:$A,"&gt;="&amp;EOMONTH($A2,-2)+1,Historic!$D:$D,"APPROVISIONNEMENT")</f>
        <v>-1043.35</v>
      </c>
      <c r="I2" s="281">
        <f t="shared" ref="I2:I3" si="4">H2/IF(B3,B3,B2)</f>
        <v>-0.003035883482</v>
      </c>
      <c r="J2" s="302">
        <f>IF(AND(MONTH($A2)=MONTH(DateTime!$B$2),YEAR($A2)=YEAR(DateTime!$B$2)),Dashboard!$B$57,IF($C2&lt;&gt;0,MIN(MINIFS(Historic!$G:$G,Historic!$D:$D,"COST",Historic!$B:$B,"",Historic!$A:$A,"&gt;="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-1298.62</v>
      </c>
      <c r="K2" s="16">
        <f t="shared" ref="K2:K3" si="5">IF(C2&lt;&gt;0,-J2/C2,0)</f>
        <v>0.002335647482</v>
      </c>
      <c r="L2" s="233">
        <f t="shared" ref="L2:L3" si="6">$J2*ABS(1-$E2)</f>
        <v>-594.6581145</v>
      </c>
      <c r="M2" s="233">
        <f>SUMIFS(Historic!G:G,Historic!D:D,"=DIVIDEND",Historic!B:B,"&lt;&gt;",Historic!A:A,"&gt;=" &amp; $A2,Historic!A:A,"&lt;=" &amp; EOMONTH($A2,0))</f>
        <v>1424.14</v>
      </c>
      <c r="N2" s="303">
        <f t="shared" ref="N2:N3" si="7">(SUM(OFFSET($M2,0,0,12,1))+SUM(OFFSET($J2,0,0,12,1)))/AVERAGE(OFFSET($B2,0,0,12,1))*$B2/MIN(ROWS(N:N)-ROW()+1,12)</f>
        <v>510.9873338</v>
      </c>
      <c r="O2" s="233">
        <f t="shared" ref="O2:O3" si="8">N2-N3</f>
        <v>22.0464065</v>
      </c>
      <c r="P2" s="281">
        <f t="shared" ref="P2:P3" si="9">N2/B2*12</f>
        <v>0.01613095505</v>
      </c>
    </row>
    <row r="3">
      <c r="A3" s="184">
        <v>44075.0</v>
      </c>
      <c r="B3" s="233">
        <v>343672.61</v>
      </c>
      <c r="C3" s="233">
        <v>700000.0</v>
      </c>
      <c r="D3" s="233">
        <f>IF(C3,-SUMIFS(Historic!G:G,Historic!A:A,"&lt;="&amp;EOMONTH($A3,0)),0)</f>
        <v>556051.47</v>
      </c>
      <c r="E3" s="281">
        <f t="shared" si="1"/>
        <v>0.7943592429</v>
      </c>
      <c r="F3" s="233">
        <f t="shared" si="2"/>
        <v>899724.08</v>
      </c>
      <c r="G3" s="281">
        <f t="shared" si="3"/>
        <v>0.3292915869</v>
      </c>
      <c r="H3" s="233">
        <f>B3-B4-SUMIFS(Historic!$G:$G,Historic!$A:$A,"&lt;"&amp;$A3,Historic!$A:$A,"&gt;="&amp;EOMONTH($A3,-2)+1,Historic!$D:$D,"APPROVISIONNEMENT")</f>
        <v>22333.44</v>
      </c>
      <c r="I3" s="281">
        <f t="shared" si="4"/>
        <v>0.06950114423</v>
      </c>
      <c r="J3" s="302">
        <f>IF(AND(MONTH($A3)=MONTH(DateTime!$B$2),YEAR($A3)=YEAR(DateTime!$B$2)),Dashboard!$B$57,IF($C3&lt;&gt;0,MIN(MINIFS(Historic!$G:$G,Historic!$D:$D,"COST",Historic!$B:$B,"",Historic!$A:$A,"&gt;="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-729.38</v>
      </c>
      <c r="K3" s="16">
        <f t="shared" si="5"/>
        <v>0.001041971429</v>
      </c>
      <c r="L3" s="233">
        <f t="shared" si="6"/>
        <v>-149.9902554</v>
      </c>
      <c r="M3" s="233">
        <f>SUMIFS(Historic!G:G,Historic!D:D,"=DIVIDEND",Historic!B:B,"&lt;&gt;",Historic!A:A,"&gt;=" &amp; $A3,Historic!A:A,"&lt;=" &amp; EOMONTH($A3,0))</f>
        <v>0</v>
      </c>
      <c r="N3" s="303">
        <f t="shared" si="7"/>
        <v>488.9409273</v>
      </c>
      <c r="O3" s="233">
        <f t="shared" si="8"/>
        <v>8.779900463</v>
      </c>
      <c r="P3" s="281">
        <f t="shared" si="9"/>
        <v>0.01707232685</v>
      </c>
    </row>
    <row r="4">
      <c r="A4" s="184">
        <v>44044.0</v>
      </c>
      <c r="B4" s="233">
        <v>321339.17</v>
      </c>
      <c r="C4" s="233">
        <v>604000.0</v>
      </c>
      <c r="D4" s="233">
        <v>699301.4200000005</v>
      </c>
      <c r="E4" s="281">
        <v>1.1577838079470206</v>
      </c>
      <c r="F4" s="233">
        <v>1020640.5900000005</v>
      </c>
      <c r="G4" s="281">
        <v>0.34726636504537034</v>
      </c>
      <c r="H4" s="233">
        <v>-381.29000000003725</v>
      </c>
      <c r="I4" s="281">
        <v>-0.0011851593150153932</v>
      </c>
      <c r="J4" s="302">
        <v>-680.17</v>
      </c>
      <c r="K4" s="16">
        <v>0.0011261092715231786</v>
      </c>
      <c r="L4" s="233">
        <v>-107.31981265132501</v>
      </c>
      <c r="M4" s="233">
        <v>0.0</v>
      </c>
      <c r="N4" s="303">
        <v>480.16102684026265</v>
      </c>
      <c r="O4" s="233">
        <v>-14.910050651048437</v>
      </c>
      <c r="P4" s="281">
        <v>0.01793099895690635</v>
      </c>
    </row>
    <row r="5">
      <c r="A5" s="184">
        <v>44013.0</v>
      </c>
      <c r="B5" s="233">
        <v>321720.46</v>
      </c>
      <c r="C5" s="233">
        <v>603000.0</v>
      </c>
      <c r="D5" s="233">
        <v>603161.5100000001</v>
      </c>
      <c r="E5" s="281">
        <v>1.0002678441127697</v>
      </c>
      <c r="F5" s="233">
        <v>924881.9700000002</v>
      </c>
      <c r="G5" s="281">
        <v>0.3479110433005884</v>
      </c>
      <c r="H5" s="233">
        <v>6936.050000000047</v>
      </c>
      <c r="I5" s="281">
        <v>0.01670595001387467</v>
      </c>
      <c r="J5" s="302">
        <v>-690.94</v>
      </c>
      <c r="K5" s="16">
        <v>0.001145837479270315</v>
      </c>
      <c r="L5" s="233">
        <v>-0.1850642112770962</v>
      </c>
      <c r="M5" s="233">
        <v>0.0</v>
      </c>
      <c r="N5" s="303">
        <v>495.0710774913111</v>
      </c>
      <c r="O5" s="233">
        <v>-247.18671722251503</v>
      </c>
      <c r="P5" s="281">
        <v>0.018465884730786884</v>
      </c>
    </row>
    <row r="6">
      <c r="A6" s="184">
        <v>43983.0</v>
      </c>
      <c r="B6" s="233">
        <v>415184.41</v>
      </c>
      <c r="C6" s="233">
        <v>606000.0</v>
      </c>
      <c r="D6" s="233">
        <v>602470.5700000002</v>
      </c>
      <c r="E6" s="281">
        <v>0.9941758580858089</v>
      </c>
      <c r="F6" s="233">
        <v>1017654.9800000002</v>
      </c>
      <c r="G6" s="281">
        <v>0.4065714340468633</v>
      </c>
      <c r="H6" s="233">
        <v>-2758.5</v>
      </c>
      <c r="I6" s="281">
        <v>-0.00659387295460559</v>
      </c>
      <c r="J6" s="302">
        <v>-631.25</v>
      </c>
      <c r="K6" s="16">
        <v>0.0010416666666666667</v>
      </c>
      <c r="L6" s="233">
        <v>-3.6764895833331424</v>
      </c>
      <c r="M6" s="233">
        <v>3433.24</v>
      </c>
      <c r="N6" s="303">
        <v>742.2577947138261</v>
      </c>
      <c r="O6" s="233">
        <v>-32.07354377580566</v>
      </c>
      <c r="P6" s="281">
        <v>0.021453342953233513</v>
      </c>
    </row>
    <row r="7">
      <c r="A7" s="184">
        <v>43952.0</v>
      </c>
      <c r="B7" s="233">
        <v>418342.91</v>
      </c>
      <c r="C7" s="233">
        <v>506000.0</v>
      </c>
      <c r="D7" s="233">
        <v>504872.56</v>
      </c>
      <c r="E7" s="281">
        <v>0.9977718577075099</v>
      </c>
      <c r="F7" s="233">
        <v>923215.47</v>
      </c>
      <c r="G7" s="281">
        <v>0.4525841064762427</v>
      </c>
      <c r="H7" s="233">
        <v>61341.109999999986</v>
      </c>
      <c r="I7" s="281">
        <v>0.17167870410952307</v>
      </c>
      <c r="J7" s="302">
        <v>-544.65</v>
      </c>
      <c r="K7" s="16">
        <v>0.0010763833992094862</v>
      </c>
      <c r="L7" s="233">
        <v>-1.2135576996047501</v>
      </c>
      <c r="M7" s="233">
        <v>793.6</v>
      </c>
      <c r="N7" s="303">
        <v>774.3313384896318</v>
      </c>
      <c r="O7" s="233">
        <v>25.868890928136125</v>
      </c>
      <c r="P7" s="281">
        <v>0.022211386496010132</v>
      </c>
    </row>
    <row r="8">
      <c r="A8" s="184">
        <v>43922.0</v>
      </c>
      <c r="B8" s="233">
        <v>357301.8</v>
      </c>
      <c r="C8" s="233">
        <v>676000.0</v>
      </c>
      <c r="D8" s="235">
        <v>504721.50999999995</v>
      </c>
      <c r="E8" s="279">
        <v>0.7466294526627218</v>
      </c>
      <c r="F8" s="235">
        <v>862023.3099999999</v>
      </c>
      <c r="G8" s="279">
        <v>0.3457864875489426</v>
      </c>
      <c r="H8" s="235">
        <v>-35545.100000000035</v>
      </c>
      <c r="I8" s="279">
        <v>-0.09031985768405248</v>
      </c>
      <c r="J8" s="304">
        <v>-704.17</v>
      </c>
      <c r="K8" s="174">
        <v>0.001041671597633136</v>
      </c>
      <c r="L8" s="235">
        <v>-178.41593831849116</v>
      </c>
      <c r="M8" s="235">
        <v>2940.04</v>
      </c>
      <c r="N8" s="305">
        <v>748.4624475614957</v>
      </c>
      <c r="O8" s="235">
        <v>80.86954384236776</v>
      </c>
      <c r="P8" s="279">
        <v>0.025137151200296075</v>
      </c>
    </row>
    <row r="9">
      <c r="A9" s="184">
        <v>43891.0</v>
      </c>
      <c r="B9" s="233">
        <v>393546.9</v>
      </c>
      <c r="C9" s="233">
        <v>606000.0</v>
      </c>
      <c r="D9" s="235">
        <v>677862.3600000005</v>
      </c>
      <c r="E9" s="279">
        <v>1.1185847524752484</v>
      </c>
      <c r="F9" s="235">
        <v>1071409.2600000005</v>
      </c>
      <c r="G9" s="279">
        <v>0.39372529693203995</v>
      </c>
      <c r="H9" s="235">
        <v>-275.38000000000466</v>
      </c>
      <c r="I9" s="279">
        <v>-6.988944889106389E-4</v>
      </c>
      <c r="J9" s="304">
        <v>-806.35</v>
      </c>
      <c r="K9" s="174">
        <v>0.0013306105610561057</v>
      </c>
      <c r="L9" s="235">
        <v>-95.62081515841652</v>
      </c>
      <c r="M9" s="235">
        <v>0.0</v>
      </c>
      <c r="N9" s="305">
        <v>667.5929037191279</v>
      </c>
      <c r="O9" s="235">
        <v>-43.43102254714279</v>
      </c>
      <c r="P9" s="279">
        <v>0.020356188410147646</v>
      </c>
    </row>
    <row r="10">
      <c r="A10" s="184">
        <v>43862.0</v>
      </c>
      <c r="B10" s="233">
        <v>394022.28</v>
      </c>
      <c r="C10" s="233">
        <v>395000.0</v>
      </c>
      <c r="D10" s="235">
        <v>605265.6500000004</v>
      </c>
      <c r="E10" s="279">
        <v>1.5323181012658238</v>
      </c>
      <c r="F10" s="235">
        <v>999287.9300000004</v>
      </c>
      <c r="G10" s="279">
        <v>0.49938042307246383</v>
      </c>
      <c r="H10" s="235">
        <v>-5440.299999999988</v>
      </c>
      <c r="I10" s="279">
        <v>-0.013571483773815925</v>
      </c>
      <c r="J10" s="304">
        <v>-453.97</v>
      </c>
      <c r="K10" s="174">
        <v>0.0011492911392405065</v>
      </c>
      <c r="L10" s="235">
        <v>-241.65644843164606</v>
      </c>
      <c r="M10" s="235">
        <v>0.0</v>
      </c>
      <c r="N10" s="305">
        <v>711.0239262662707</v>
      </c>
      <c r="O10" s="235">
        <v>-32.51042652237925</v>
      </c>
      <c r="P10" s="279">
        <v>0.021654326540101354</v>
      </c>
    </row>
    <row r="11">
      <c r="A11" s="184">
        <v>43831.0</v>
      </c>
      <c r="B11" s="233">
        <v>400862.58</v>
      </c>
      <c r="C11" s="233">
        <v>322000.0</v>
      </c>
      <c r="D11" s="235">
        <v>304943.3000000002</v>
      </c>
      <c r="E11" s="279">
        <v>0.9470288819875783</v>
      </c>
      <c r="F11" s="235">
        <v>705805.8800000002</v>
      </c>
      <c r="G11" s="279">
        <v>0.5545488051131378</v>
      </c>
      <c r="H11" s="235">
        <v>24230.42000000002</v>
      </c>
      <c r="I11" s="279">
        <v>0.06953970791992178</v>
      </c>
      <c r="J11" s="304">
        <v>-342.44</v>
      </c>
      <c r="K11" s="174">
        <v>0.0010634782608695652</v>
      </c>
      <c r="L11" s="235">
        <v>-18.139429652173693</v>
      </c>
      <c r="M11" s="235">
        <v>0.0</v>
      </c>
      <c r="N11" s="305">
        <v>743.5343527886499</v>
      </c>
      <c r="O11" s="235">
        <v>-5.921042519023558</v>
      </c>
      <c r="P11" s="279">
        <v>0.022258032250013954</v>
      </c>
    </row>
    <row r="12">
      <c r="A12" s="184">
        <v>43800.0</v>
      </c>
      <c r="B12" s="233">
        <v>348440.06</v>
      </c>
      <c r="C12" s="233">
        <v>335000.0</v>
      </c>
      <c r="D12" s="235">
        <v>291229.59000000026</v>
      </c>
      <c r="E12" s="279">
        <v>0.8693420597014934</v>
      </c>
      <c r="F12" s="235">
        <v>639669.6500000003</v>
      </c>
      <c r="G12" s="279">
        <v>0.5098326545271578</v>
      </c>
      <c r="H12" s="235">
        <v>9741.995500000136</v>
      </c>
      <c r="I12" s="279">
        <v>0.02764486097227171</v>
      </c>
      <c r="J12" s="304">
        <v>-348.96</v>
      </c>
      <c r="K12" s="174">
        <v>0.0010416716417910447</v>
      </c>
      <c r="L12" s="235">
        <v>-45.59439484656687</v>
      </c>
      <c r="M12" s="235">
        <v>3781.68</v>
      </c>
      <c r="N12" s="305">
        <v>749.4553953076735</v>
      </c>
      <c r="O12" s="235">
        <v>-59.18372828237921</v>
      </c>
      <c r="P12" s="279">
        <v>0.025810650886961974</v>
      </c>
    </row>
    <row r="13">
      <c r="A13" s="184">
        <v>43770.0</v>
      </c>
      <c r="B13" s="233">
        <v>352398.06449999986</v>
      </c>
      <c r="C13" s="233">
        <v>355000.0</v>
      </c>
      <c r="D13" s="235">
        <v>334133.37000000017</v>
      </c>
      <c r="E13" s="279">
        <v>0.9412207605633808</v>
      </c>
      <c r="F13" s="235">
        <v>686531.4345</v>
      </c>
      <c r="G13" s="279">
        <v>0.4981609113520552</v>
      </c>
      <c r="H13" s="235">
        <v>-11369.827499999665</v>
      </c>
      <c r="I13" s="279">
        <v>-0.031204251937763165</v>
      </c>
      <c r="J13" s="304">
        <v>-382.12</v>
      </c>
      <c r="K13" s="174">
        <v>0.001076394366197183</v>
      </c>
      <c r="L13" s="235">
        <v>-22.460722973520937</v>
      </c>
      <c r="M13" s="235">
        <v>1218.13</v>
      </c>
      <c r="N13" s="305">
        <v>808.6391235900527</v>
      </c>
      <c r="O13" s="235">
        <v>-62.24789711138885</v>
      </c>
      <c r="P13" s="279">
        <v>0.027536103232714083</v>
      </c>
    </row>
    <row r="14">
      <c r="A14" s="184">
        <v>43739.0</v>
      </c>
      <c r="B14" s="233">
        <v>364367.8919999995</v>
      </c>
      <c r="C14" s="233">
        <v>343000.0</v>
      </c>
      <c r="D14" s="235">
        <v>340820.69000000035</v>
      </c>
      <c r="E14" s="279">
        <v>0.9936463265306132</v>
      </c>
      <c r="F14" s="235">
        <v>705188.5819999999</v>
      </c>
      <c r="G14" s="279">
        <v>0.5151038040047198</v>
      </c>
      <c r="H14" s="235">
        <v>-642.4810000001453</v>
      </c>
      <c r="I14" s="279">
        <v>-0.0017577640676155197</v>
      </c>
      <c r="J14" s="304">
        <v>-369.69</v>
      </c>
      <c r="K14" s="174">
        <v>0.0010778134110787172</v>
      </c>
      <c r="L14" s="235">
        <v>-2.34888954489759</v>
      </c>
      <c r="M14" s="235">
        <v>821.64</v>
      </c>
      <c r="N14" s="305">
        <v>870.8870207014415</v>
      </c>
      <c r="O14" s="235">
        <v>-23.10377528510469</v>
      </c>
      <c r="P14" s="279">
        <v>0.028681572876946337</v>
      </c>
    </row>
    <row r="15">
      <c r="A15" s="184">
        <v>43709.0</v>
      </c>
      <c r="B15" s="233">
        <v>365510.3729999997</v>
      </c>
      <c r="C15" s="233">
        <v>366000.0</v>
      </c>
      <c r="D15" s="235">
        <v>343109.5900000004</v>
      </c>
      <c r="E15" s="279">
        <v>0.9374578961748644</v>
      </c>
      <c r="F15" s="235">
        <v>708619.963</v>
      </c>
      <c r="G15" s="279">
        <v>0.49966533147165615</v>
      </c>
      <c r="H15" s="235">
        <v>32333.065999999584</v>
      </c>
      <c r="I15" s="279">
        <v>0.09663855056374034</v>
      </c>
      <c r="J15" s="304">
        <v>-369.3</v>
      </c>
      <c r="K15" s="174">
        <v>0.001009016393442623</v>
      </c>
      <c r="L15" s="235">
        <v>-23.096798942622573</v>
      </c>
      <c r="M15" s="235">
        <v>-10.37</v>
      </c>
      <c r="N15" s="305">
        <v>893.9907959865462</v>
      </c>
      <c r="O15" s="235">
        <v>58.84312693317543</v>
      </c>
      <c r="P15" s="279">
        <v>0.029350438029397775</v>
      </c>
    </row>
    <row r="16">
      <c r="A16" s="184">
        <v>43678.0</v>
      </c>
      <c r="B16" s="233">
        <v>334577.3070000001</v>
      </c>
      <c r="C16" s="233">
        <v>415000.0</v>
      </c>
      <c r="D16" s="235">
        <v>364782.5900000004</v>
      </c>
      <c r="E16" s="279">
        <v>0.8789941927710853</v>
      </c>
      <c r="F16" s="235">
        <v>699359.8970000005</v>
      </c>
      <c r="G16" s="279">
        <v>0.44635463730761005</v>
      </c>
      <c r="H16" s="235">
        <v>24259.114400000137</v>
      </c>
      <c r="I16" s="279">
        <v>0.07804921004485675</v>
      </c>
      <c r="J16" s="304">
        <v>-461.31</v>
      </c>
      <c r="K16" s="174">
        <v>0.0011115903614457832</v>
      </c>
      <c r="L16" s="235">
        <v>-55.82118893277066</v>
      </c>
      <c r="M16" s="235">
        <v>0.0</v>
      </c>
      <c r="N16" s="305">
        <v>835.1476690533708</v>
      </c>
      <c r="O16" s="235">
        <v>43.04856932537302</v>
      </c>
      <c r="P16" s="279">
        <v>0.029953531871306643</v>
      </c>
    </row>
    <row r="17">
      <c r="A17" s="184">
        <v>43647.0</v>
      </c>
      <c r="B17" s="233">
        <v>310818.19259999995</v>
      </c>
      <c r="C17" s="233">
        <v>418000.0</v>
      </c>
      <c r="D17" s="235">
        <v>414031.01999999996</v>
      </c>
      <c r="E17" s="279">
        <v>0.9905048325358851</v>
      </c>
      <c r="F17" s="235">
        <v>724849.2126</v>
      </c>
      <c r="G17" s="279">
        <v>0.42646876238253767</v>
      </c>
      <c r="H17" s="235">
        <v>16301.842850000015</v>
      </c>
      <c r="I17" s="279">
        <v>0.05571063566313939</v>
      </c>
      <c r="J17" s="304">
        <v>-450.16</v>
      </c>
      <c r="K17" s="174">
        <v>0.0010769377990430622</v>
      </c>
      <c r="L17" s="235">
        <v>-4.274344585645982</v>
      </c>
      <c r="M17" s="235">
        <v>851.63</v>
      </c>
      <c r="N17" s="305">
        <v>792.0990997279978</v>
      </c>
      <c r="O17" s="235">
        <v>41.77439475846211</v>
      </c>
      <c r="P17" s="279">
        <v>0.030581186761382564</v>
      </c>
    </row>
    <row r="18">
      <c r="A18" s="184">
        <v>43617.0</v>
      </c>
      <c r="B18" s="233">
        <v>292616.34974999994</v>
      </c>
      <c r="C18" s="233">
        <v>510000.0</v>
      </c>
      <c r="D18" s="235">
        <v>417979.41</v>
      </c>
      <c r="E18" s="279">
        <v>0.8195674705882352</v>
      </c>
      <c r="F18" s="235">
        <v>710595.75975</v>
      </c>
      <c r="G18" s="279">
        <v>0.36457810738735197</v>
      </c>
      <c r="H18" s="235">
        <v>11292.317166666733</v>
      </c>
      <c r="I18" s="279">
        <v>0.03999771844904346</v>
      </c>
      <c r="J18" s="304">
        <v>-495.83</v>
      </c>
      <c r="K18" s="174">
        <v>9.722156862745098E-4</v>
      </c>
      <c r="L18" s="235">
        <v>-89.46386105823534</v>
      </c>
      <c r="M18" s="235">
        <v>3352.4</v>
      </c>
      <c r="N18" s="305">
        <v>750.3247049695357</v>
      </c>
      <c r="O18" s="235">
        <v>83.03989249363372</v>
      </c>
      <c r="P18" s="279">
        <v>0.030770312278609886</v>
      </c>
    </row>
    <row r="19">
      <c r="A19" s="184">
        <v>43586.0</v>
      </c>
      <c r="B19" s="233">
        <v>282324.0325833332</v>
      </c>
      <c r="C19" s="233">
        <v>497000.0</v>
      </c>
      <c r="D19" s="235">
        <v>419824.9599999999</v>
      </c>
      <c r="E19" s="279">
        <v>0.8447182293762574</v>
      </c>
      <c r="F19" s="235">
        <v>702148.992583333</v>
      </c>
      <c r="G19" s="279">
        <v>0.36226783825397335</v>
      </c>
      <c r="H19" s="235">
        <v>7229.233333333221</v>
      </c>
      <c r="I19" s="279">
        <v>0.026231385182183264</v>
      </c>
      <c r="J19" s="304">
        <v>-569.48</v>
      </c>
      <c r="K19" s="174">
        <v>0.0011458350100603623</v>
      </c>
      <c r="L19" s="235">
        <v>-88.42986273480894</v>
      </c>
      <c r="M19" s="235">
        <v>1589.9</v>
      </c>
      <c r="N19" s="305">
        <v>667.284812475902</v>
      </c>
      <c r="O19" s="235">
        <v>45.501133096730655</v>
      </c>
      <c r="P19" s="279">
        <v>0.028362508414324538</v>
      </c>
    </row>
    <row r="20">
      <c r="A20" s="184">
        <v>43556.0</v>
      </c>
      <c r="B20" s="233">
        <v>275594.79925</v>
      </c>
      <c r="C20" s="233">
        <v>526000.0</v>
      </c>
      <c r="D20" s="235">
        <v>451580.36999999994</v>
      </c>
      <c r="E20" s="279">
        <v>0.8585178136882128</v>
      </c>
      <c r="F20" s="235">
        <v>727175.1692499999</v>
      </c>
      <c r="G20" s="279">
        <v>0.3438081179017829</v>
      </c>
      <c r="H20" s="235">
        <v>25572.970819316688</v>
      </c>
      <c r="I20" s="279">
        <v>0.10199738482836891</v>
      </c>
      <c r="J20" s="304">
        <v>-547.92</v>
      </c>
      <c r="K20" s="174">
        <v>0.0010416730038022813</v>
      </c>
      <c r="L20" s="235">
        <v>-77.52091952395445</v>
      </c>
      <c r="M20" s="235">
        <v>973.13</v>
      </c>
      <c r="N20" s="305">
        <v>621.7836793791713</v>
      </c>
      <c r="O20" s="235">
        <v>26.933924188944047</v>
      </c>
      <c r="P20" s="279">
        <v>0.027073820597686975</v>
      </c>
    </row>
    <row r="21">
      <c r="A21" s="184">
        <v>43525.0</v>
      </c>
      <c r="B21" s="233">
        <v>250721.8284306833</v>
      </c>
      <c r="C21" s="233">
        <v>575000.0</v>
      </c>
      <c r="D21" s="235">
        <v>181420.06999999972</v>
      </c>
      <c r="E21" s="279">
        <v>0.3155131652173908</v>
      </c>
      <c r="F21" s="235">
        <v>432141.898430683</v>
      </c>
      <c r="G21" s="279">
        <v>0.30363957909068473</v>
      </c>
      <c r="H21" s="235">
        <v>8374.029381119384</v>
      </c>
      <c r="I21" s="279">
        <v>0.03449682927674902</v>
      </c>
      <c r="J21" s="304">
        <v>-618.92</v>
      </c>
      <c r="K21" s="174">
        <v>0.0010763826086956521</v>
      </c>
      <c r="L21" s="235">
        <v>-423.64259178365245</v>
      </c>
      <c r="M21" s="235">
        <v>0.0</v>
      </c>
      <c r="N21" s="305">
        <v>594.8497551902273</v>
      </c>
      <c r="O21" s="235">
        <v>-139.0485483165503</v>
      </c>
      <c r="P21" s="279">
        <v>0.02847058473911941</v>
      </c>
    </row>
    <row r="22">
      <c r="A22" s="184">
        <v>43497.0</v>
      </c>
      <c r="B22" s="233">
        <v>242747.7990495639</v>
      </c>
      <c r="C22" s="233">
        <v>550000.0</v>
      </c>
      <c r="D22" s="235">
        <v>490407.22999999986</v>
      </c>
      <c r="E22" s="279">
        <v>0.8916495090909089</v>
      </c>
      <c r="F22" s="235">
        <v>733155.0290495638</v>
      </c>
      <c r="G22" s="279">
        <v>0.3062106250444309</v>
      </c>
      <c r="H22" s="235">
        <v>9636.051459360955</v>
      </c>
      <c r="I22" s="279">
        <v>0.04107233145116107</v>
      </c>
      <c r="J22" s="304">
        <v>-534.72</v>
      </c>
      <c r="K22" s="174">
        <v>9.722181818181819E-4</v>
      </c>
      <c r="L22" s="235">
        <v>-57.937174498909194</v>
      </c>
      <c r="M22" s="235">
        <v>0.0</v>
      </c>
      <c r="N22" s="305">
        <v>733.8983035067776</v>
      </c>
      <c r="O22" s="235">
        <v>-81.29741182830253</v>
      </c>
      <c r="P22" s="279">
        <v>0.03627954476441278</v>
      </c>
    </row>
    <row r="23">
      <c r="A23" s="184">
        <v>43466.0</v>
      </c>
      <c r="B23" s="233">
        <v>234611.74759020295</v>
      </c>
      <c r="C23" s="233">
        <v>525000.0</v>
      </c>
      <c r="D23" s="235">
        <v>510286.2900000002</v>
      </c>
      <c r="E23" s="279">
        <v>0.9719738857142861</v>
      </c>
      <c r="F23" s="235">
        <v>744898.0375902031</v>
      </c>
      <c r="G23" s="279">
        <v>0.3088574503152258</v>
      </c>
      <c r="H23" s="235">
        <v>-5884.065558971575</v>
      </c>
      <c r="I23" s="279">
        <v>-0.024314741161841652</v>
      </c>
      <c r="J23" s="304">
        <v>-565.1</v>
      </c>
      <c r="K23" s="174">
        <v>0.0010763809523809524</v>
      </c>
      <c r="L23" s="235">
        <v>-15.83755718285692</v>
      </c>
      <c r="M23" s="235">
        <v>996.28</v>
      </c>
      <c r="N23" s="305">
        <v>815.1957153350801</v>
      </c>
      <c r="O23" s="235">
        <v>-34.18552044410467</v>
      </c>
      <c r="P23" s="279">
        <v>0.0416959026327523</v>
      </c>
    </row>
    <row r="24">
      <c r="A24" s="184">
        <v>43435.0</v>
      </c>
      <c r="B24" s="233">
        <v>241995.81314917453</v>
      </c>
      <c r="C24" s="233">
        <v>531000.0</v>
      </c>
      <c r="D24" s="235">
        <v>500405.86999999994</v>
      </c>
      <c r="E24" s="279">
        <v>0.942383935969868</v>
      </c>
      <c r="F24" s="235">
        <v>742401.6831491744</v>
      </c>
      <c r="G24" s="279">
        <v>0.31306225600794246</v>
      </c>
      <c r="H24" s="235">
        <v>13537.126941522001</v>
      </c>
      <c r="I24" s="279">
        <v>0.059176449934818486</v>
      </c>
      <c r="J24" s="304">
        <v>-534.69</v>
      </c>
      <c r="K24" s="174">
        <v>0.001006949152542373</v>
      </c>
      <c r="L24" s="235">
        <v>-30.80673327627127</v>
      </c>
      <c r="M24" s="235">
        <v>4248.66</v>
      </c>
      <c r="N24" s="305">
        <v>849.3812357791847</v>
      </c>
      <c r="O24" s="235">
        <v>377.329257568778</v>
      </c>
      <c r="P24" s="279">
        <v>0.04211880650623969</v>
      </c>
    </row>
    <row r="25">
      <c r="A25" s="184">
        <v>43405.0</v>
      </c>
      <c r="B25" s="233">
        <v>228758.68620765253</v>
      </c>
      <c r="C25" s="233">
        <v>521000.0</v>
      </c>
      <c r="D25" s="235">
        <v>511442.66000000003</v>
      </c>
      <c r="E25" s="279">
        <v>0.9816557773512476</v>
      </c>
      <c r="F25" s="235">
        <v>740201.3462076526</v>
      </c>
      <c r="G25" s="279">
        <v>0.3051097511983952</v>
      </c>
      <c r="H25" s="235">
        <v>-15257.955087552808</v>
      </c>
      <c r="I25" s="279">
        <v>-0.06412073646906129</v>
      </c>
      <c r="J25" s="304">
        <v>-579.07</v>
      </c>
      <c r="K25" s="174">
        <v>0.0011114587332053743</v>
      </c>
      <c r="L25" s="235">
        <v>-10.622589009213025</v>
      </c>
      <c r="M25" s="235">
        <v>1458.27</v>
      </c>
      <c r="N25" s="305">
        <v>472.05197821040673</v>
      </c>
      <c r="O25" s="235">
        <v>80.32360235939382</v>
      </c>
      <c r="P25" s="279">
        <v>0.024762442171847837</v>
      </c>
    </row>
    <row r="26">
      <c r="A26" s="184">
        <v>43374.0</v>
      </c>
      <c r="B26" s="233">
        <v>237956.64129520534</v>
      </c>
      <c r="C26" s="233">
        <v>515000.0</v>
      </c>
      <c r="D26" s="235">
        <v>490549.2599999999</v>
      </c>
      <c r="E26" s="279">
        <v>0.9525228349514561</v>
      </c>
      <c r="F26" s="235">
        <v>728505.9012952052</v>
      </c>
      <c r="G26" s="279">
        <v>0.31602967321714837</v>
      </c>
      <c r="H26" s="235">
        <v>-7082.410239149991</v>
      </c>
      <c r="I26" s="279">
        <v>-0.028896114427261484</v>
      </c>
      <c r="J26" s="304">
        <v>-555.0</v>
      </c>
      <c r="K26" s="174">
        <v>0.0010776699029126213</v>
      </c>
      <c r="L26" s="235">
        <v>-26.349826601941885</v>
      </c>
      <c r="M26" s="235">
        <v>888.6500000000001</v>
      </c>
      <c r="N26" s="305">
        <v>391.7283758510129</v>
      </c>
      <c r="O26" s="235">
        <v>-85.02477644121836</v>
      </c>
      <c r="P26" s="279">
        <v>0.019754609430633577</v>
      </c>
    </row>
    <row r="27">
      <c r="A27" s="184">
        <v>43344.0</v>
      </c>
      <c r="B27" s="233">
        <v>245099.05153435533</v>
      </c>
      <c r="C27" s="233">
        <v>515000.0</v>
      </c>
      <c r="D27" s="235">
        <v>510461.7700000002</v>
      </c>
      <c r="E27" s="279">
        <v>0.9911879029126217</v>
      </c>
      <c r="F27" s="235">
        <v>755560.8215343555</v>
      </c>
      <c r="G27" s="279">
        <v>0.3224567259222231</v>
      </c>
      <c r="H27" s="235">
        <v>19959.4749971806</v>
      </c>
      <c r="I27" s="279">
        <v>0.08865378226331043</v>
      </c>
      <c r="J27" s="304">
        <v>-501.62</v>
      </c>
      <c r="K27" s="174">
        <v>9.740194174757282E-4</v>
      </c>
      <c r="L27" s="235">
        <v>-4.420324140970698</v>
      </c>
      <c r="M27" s="235">
        <v>-12.85</v>
      </c>
      <c r="N27" s="305">
        <v>476.7531522922313</v>
      </c>
      <c r="O27" s="235">
        <v>-146.60171188124576</v>
      </c>
      <c r="P27" s="279">
        <v>0.02334173792877718</v>
      </c>
    </row>
    <row r="28">
      <c r="A28" s="184">
        <v>43313.0</v>
      </c>
      <c r="B28" s="233">
        <v>225139.57653717473</v>
      </c>
      <c r="C28" s="233">
        <v>481000.0</v>
      </c>
      <c r="D28" s="235">
        <v>513501.00000000023</v>
      </c>
      <c r="E28" s="279">
        <v>1.0675696465696471</v>
      </c>
      <c r="F28" s="235">
        <v>738640.576537175</v>
      </c>
      <c r="G28" s="279">
        <v>0.3188315511803384</v>
      </c>
      <c r="H28" s="235">
        <v>-2940.55153253155</v>
      </c>
      <c r="I28" s="279">
        <v>-0.02448824447309521</v>
      </c>
      <c r="J28" s="304">
        <v>-573.99</v>
      </c>
      <c r="K28" s="174">
        <v>0.0011933264033264033</v>
      </c>
      <c r="L28" s="235">
        <v>-38.78430143451177</v>
      </c>
      <c r="M28" s="235">
        <v>0.0</v>
      </c>
      <c r="N28" s="305">
        <v>623.354864173477</v>
      </c>
      <c r="O28" s="235">
        <v>141.43898923363383</v>
      </c>
      <c r="P28" s="279">
        <v>0.03322498196511707</v>
      </c>
    </row>
    <row r="29">
      <c r="A29" s="184">
        <v>43282.0</v>
      </c>
      <c r="B29" s="233">
        <v>120080.12806970628</v>
      </c>
      <c r="C29" s="233">
        <v>445000.0</v>
      </c>
      <c r="D29" s="235">
        <v>481315.0199999999</v>
      </c>
      <c r="E29" s="279">
        <v>1.0816067865168537</v>
      </c>
      <c r="F29" s="235">
        <v>601395.1480697062</v>
      </c>
      <c r="G29" s="279">
        <v>0.21250106330919077</v>
      </c>
      <c r="H29" s="235">
        <v>1021.3835595501732</v>
      </c>
      <c r="I29" s="279">
        <v>0.010858996309905966</v>
      </c>
      <c r="J29" s="304">
        <v>-467.55</v>
      </c>
      <c r="K29" s="174">
        <v>0.0010506741573033708</v>
      </c>
      <c r="L29" s="235">
        <v>-38.155253035954956</v>
      </c>
      <c r="M29" s="235">
        <v>428.28999999999996</v>
      </c>
      <c r="N29" s="305">
        <v>481.9158749398432</v>
      </c>
      <c r="O29" s="235">
        <v>40.22889174120115</v>
      </c>
      <c r="P29" s="279">
        <v>0.048159429809411125</v>
      </c>
    </row>
    <row r="30">
      <c r="A30" s="184">
        <v>43252.0</v>
      </c>
      <c r="B30" s="233">
        <v>94058.7445101561</v>
      </c>
      <c r="C30" s="233">
        <v>255000.0</v>
      </c>
      <c r="D30" s="235">
        <v>253749.47</v>
      </c>
      <c r="E30" s="279">
        <v>0.9950959607843137</v>
      </c>
      <c r="F30" s="235">
        <v>347808.2145101561</v>
      </c>
      <c r="G30" s="279">
        <v>0.2694639397793955</v>
      </c>
      <c r="H30" s="235">
        <v>10560.393813984076</v>
      </c>
      <c r="I30" s="279">
        <v>0.12647428034130279</v>
      </c>
      <c r="J30" s="304">
        <v>-276.19</v>
      </c>
      <c r="K30" s="174">
        <v>0.0010830980392156863</v>
      </c>
      <c r="L30" s="235">
        <v>-1.3544465909803918</v>
      </c>
      <c r="M30" s="235">
        <v>2086.06</v>
      </c>
      <c r="N30" s="305">
        <v>441.68698319864205</v>
      </c>
      <c r="O30" s="235">
        <v>228.24982699843218</v>
      </c>
      <c r="P30" s="279">
        <v>0.056350356641337106</v>
      </c>
    </row>
    <row r="31">
      <c r="A31" s="184">
        <v>43221.0</v>
      </c>
      <c r="B31" s="233">
        <v>83498.35069617203</v>
      </c>
      <c r="C31" s="233">
        <v>150000.0</v>
      </c>
      <c r="D31" s="235">
        <v>149093.2799999999</v>
      </c>
      <c r="E31" s="279">
        <v>0.9939551999999994</v>
      </c>
      <c r="F31" s="235">
        <v>232591.63069617195</v>
      </c>
      <c r="G31" s="279">
        <v>0.3575971755141862</v>
      </c>
      <c r="H31" s="235">
        <v>5941.726766272768</v>
      </c>
      <c r="I31" s="279">
        <v>0.07661146740532812</v>
      </c>
      <c r="J31" s="304">
        <v>-161.46</v>
      </c>
      <c r="K31" s="174">
        <v>0.0010764000000000001</v>
      </c>
      <c r="L31" s="235">
        <v>-0.9759934080001014</v>
      </c>
      <c r="M31" s="235">
        <v>445.59000000000003</v>
      </c>
      <c r="N31" s="305">
        <v>213.43715620020987</v>
      </c>
      <c r="O31" s="235">
        <v>41.315751243332784</v>
      </c>
      <c r="P31" s="279">
        <v>0.03067420916758226</v>
      </c>
    </row>
    <row r="32">
      <c r="A32" s="184">
        <v>43191.0</v>
      </c>
      <c r="B32" s="233">
        <v>77556.62392989926</v>
      </c>
      <c r="C32" s="233">
        <v>140000.0</v>
      </c>
      <c r="D32" s="235">
        <v>106128.29999999997</v>
      </c>
      <c r="E32" s="279">
        <v>0.7580592857142855</v>
      </c>
      <c r="F32" s="235">
        <v>183684.92392989923</v>
      </c>
      <c r="G32" s="279">
        <v>0.356489370578252</v>
      </c>
      <c r="H32" s="235">
        <v>-3185.019702731166</v>
      </c>
      <c r="I32" s="279">
        <v>-0.0394470506102503</v>
      </c>
      <c r="J32" s="304">
        <v>-140.97</v>
      </c>
      <c r="K32" s="174">
        <v>0.0010069285714285714</v>
      </c>
      <c r="L32" s="235">
        <v>-34.10638249285717</v>
      </c>
      <c r="M32" s="235">
        <v>385.02</v>
      </c>
      <c r="N32" s="305">
        <v>172.1214049568771</v>
      </c>
      <c r="O32" s="235">
        <v>3.952240281242041</v>
      </c>
      <c r="P32" s="279">
        <v>0.02663159837062299</v>
      </c>
    </row>
    <row r="33">
      <c r="A33" s="184">
        <v>43160.0</v>
      </c>
      <c r="B33" s="233">
        <v>80741.64363263042</v>
      </c>
      <c r="C33" s="233">
        <v>140000.0</v>
      </c>
      <c r="D33" s="235">
        <v>139322.5199999999</v>
      </c>
      <c r="E33" s="279">
        <v>0.9951608571428564</v>
      </c>
      <c r="F33" s="235">
        <v>220064.1636326303</v>
      </c>
      <c r="G33" s="279">
        <v>0.3657744062420991</v>
      </c>
      <c r="H33" s="235">
        <v>-4442.621325927583</v>
      </c>
      <c r="I33" s="279">
        <v>-0.052153074609364886</v>
      </c>
      <c r="J33" s="304">
        <v>-155.56</v>
      </c>
      <c r="K33" s="174">
        <v>0.0011111428571428572</v>
      </c>
      <c r="L33" s="235">
        <v>-0.752777062857258</v>
      </c>
      <c r="M33" s="235">
        <v>507.89</v>
      </c>
      <c r="N33" s="305">
        <v>168.16916467563505</v>
      </c>
      <c r="O33" s="235">
        <v>29.44353063350485</v>
      </c>
      <c r="P33" s="279">
        <v>0.024993669751008966</v>
      </c>
    </row>
    <row r="34">
      <c r="A34" s="184">
        <v>43132.0</v>
      </c>
      <c r="B34" s="233">
        <v>85184.26495855801</v>
      </c>
      <c r="C34" s="233">
        <v>171000.0</v>
      </c>
      <c r="D34" s="235">
        <v>139674.8799999999</v>
      </c>
      <c r="E34" s="279">
        <v>0.8168121637426894</v>
      </c>
      <c r="F34" s="235">
        <v>224859.1449585579</v>
      </c>
      <c r="G34" s="279">
        <v>0.33251169806364944</v>
      </c>
      <c r="H34" s="235">
        <v>-6018.906101184475</v>
      </c>
      <c r="I34" s="279">
        <v>-0.09834304329279307</v>
      </c>
      <c r="J34" s="304">
        <v>-166.36</v>
      </c>
      <c r="K34" s="174">
        <v>9.728654970760235E-4</v>
      </c>
      <c r="L34" s="235">
        <v>-30.475128439766195</v>
      </c>
      <c r="M34" s="235">
        <v>37.550000000000004</v>
      </c>
      <c r="N34" s="305">
        <v>138.7256340421302</v>
      </c>
      <c r="O34" s="235">
        <v>18.889475502555214</v>
      </c>
      <c r="P34" s="279">
        <v>0.019542430862265932</v>
      </c>
    </row>
    <row r="35">
      <c r="A35" s="184">
        <v>43101.0</v>
      </c>
      <c r="B35" s="233">
        <v>61203.17105974248</v>
      </c>
      <c r="C35" s="233">
        <v>180000.0</v>
      </c>
      <c r="D35" s="235">
        <v>171150.3999999999</v>
      </c>
      <c r="E35" s="279">
        <v>0.950835555555555</v>
      </c>
      <c r="F35" s="235">
        <v>232353.5710597424</v>
      </c>
      <c r="G35" s="279">
        <v>0.25374115435896716</v>
      </c>
      <c r="H35" s="235">
        <v>528.0081696281486</v>
      </c>
      <c r="I35" s="279">
        <v>0.008702212643160052</v>
      </c>
      <c r="J35" s="304">
        <v>-193.75</v>
      </c>
      <c r="K35" s="174">
        <v>0.0010763888888888889</v>
      </c>
      <c r="L35" s="235">
        <v>-9.525611111111221</v>
      </c>
      <c r="M35" s="235">
        <v>85.16999999999999</v>
      </c>
      <c r="N35" s="305">
        <v>119.83615853957498</v>
      </c>
      <c r="O35" s="235">
        <v>-38.44068191638077</v>
      </c>
      <c r="P35" s="279">
        <v>0.0234960685463697</v>
      </c>
    </row>
    <row r="36">
      <c r="A36" s="184">
        <v>43070.0</v>
      </c>
      <c r="B36" s="233">
        <v>60675.162890114334</v>
      </c>
      <c r="C36" s="233">
        <v>118000.0</v>
      </c>
      <c r="D36" s="235">
        <v>117273.77000000005</v>
      </c>
      <c r="E36" s="279">
        <v>0.9938455084745766</v>
      </c>
      <c r="F36" s="235">
        <v>177948.93289011437</v>
      </c>
      <c r="G36" s="279">
        <v>0.33958364390818946</v>
      </c>
      <c r="H36" s="235">
        <v>-3542.3274643067707</v>
      </c>
      <c r="I36" s="279">
        <v>-0.06656321898525017</v>
      </c>
      <c r="J36" s="304">
        <v>-127.19</v>
      </c>
      <c r="K36" s="174">
        <v>0.0010778813559322034</v>
      </c>
      <c r="L36" s="235">
        <v>-0.7827897771185965</v>
      </c>
      <c r="M36" s="235">
        <v>890.63</v>
      </c>
      <c r="N36" s="305">
        <v>158.27684045595575</v>
      </c>
      <c r="O36" s="235">
        <v>77.12411598741933</v>
      </c>
      <c r="P36" s="279">
        <v>0.03130312297490216</v>
      </c>
    </row>
    <row r="37">
      <c r="A37" s="184">
        <v>43040.0</v>
      </c>
      <c r="B37" s="233">
        <v>53217.490354421105</v>
      </c>
      <c r="C37" s="233">
        <v>98000.0</v>
      </c>
      <c r="D37" s="235">
        <v>88088.05999999998</v>
      </c>
      <c r="E37" s="279">
        <v>0.8988577551020407</v>
      </c>
      <c r="F37" s="235">
        <v>141305.55035442108</v>
      </c>
      <c r="G37" s="279">
        <v>0.3519268189790137</v>
      </c>
      <c r="H37" s="235">
        <v>7583.641849856773</v>
      </c>
      <c r="I37" s="279">
        <v>0.15920699435255792</v>
      </c>
      <c r="J37" s="304">
        <v>-102.08</v>
      </c>
      <c r="K37" s="174">
        <v>0.0010416326530612245</v>
      </c>
      <c r="L37" s="235">
        <v>-10.324600359183686</v>
      </c>
      <c r="M37" s="235">
        <v>24.61</v>
      </c>
      <c r="N37" s="305">
        <v>81.15272446853642</v>
      </c>
      <c r="O37" s="235">
        <v>0.6087805962586827</v>
      </c>
      <c r="P37" s="279">
        <v>0.018299109693765084</v>
      </c>
    </row>
    <row r="38">
      <c r="A38" s="184">
        <v>43009.0</v>
      </c>
      <c r="B38" s="233">
        <v>47633.84850456433</v>
      </c>
      <c r="C38" s="233">
        <v>90000.0</v>
      </c>
      <c r="D38" s="235">
        <v>89894.67999999998</v>
      </c>
      <c r="E38" s="279">
        <v>0.9988297777777775</v>
      </c>
      <c r="F38" s="235">
        <v>137528.5285045643</v>
      </c>
      <c r="G38" s="279">
        <v>0.34609108894448054</v>
      </c>
      <c r="H38" s="235">
        <v>-589.9169544161705</v>
      </c>
      <c r="I38" s="279">
        <v>-0.014839272396092139</v>
      </c>
      <c r="J38" s="304">
        <v>-93.75</v>
      </c>
      <c r="K38" s="174">
        <v>0.0010416666666666667</v>
      </c>
      <c r="L38" s="235">
        <v>-0.10970833333336094</v>
      </c>
      <c r="M38" s="235">
        <v>482.99</v>
      </c>
      <c r="N38" s="305">
        <v>80.54394387227774</v>
      </c>
      <c r="O38" s="235">
        <v>40.90993698486253</v>
      </c>
      <c r="P38" s="279">
        <v>0.02029076710807272</v>
      </c>
    </row>
    <row r="39">
      <c r="A39" s="184">
        <v>42979.0</v>
      </c>
      <c r="B39" s="233">
        <v>39753.7654589805</v>
      </c>
      <c r="C39" s="233">
        <v>80000.0</v>
      </c>
      <c r="D39" s="235">
        <v>79910.20000000003</v>
      </c>
      <c r="E39" s="279">
        <v>0.9988775000000003</v>
      </c>
      <c r="F39" s="235">
        <v>119663.96545898053</v>
      </c>
      <c r="G39" s="279">
        <v>0.33196255087776294</v>
      </c>
      <c r="H39" s="235">
        <v>5841.229798279121</v>
      </c>
      <c r="I39" s="279">
        <v>0.17224397068745498</v>
      </c>
      <c r="J39" s="304">
        <v>-86.11</v>
      </c>
      <c r="K39" s="174">
        <v>0.001076375</v>
      </c>
      <c r="L39" s="235">
        <v>-0.09665847499997358</v>
      </c>
      <c r="M39" s="235">
        <v>19.49</v>
      </c>
      <c r="N39" s="305">
        <v>39.634006887415204</v>
      </c>
      <c r="O39" s="235">
        <v>-5.074951764482655</v>
      </c>
      <c r="P39" s="279">
        <v>0.011963849893407798</v>
      </c>
    </row>
    <row r="40">
      <c r="A40" s="184">
        <v>42948.0</v>
      </c>
      <c r="B40" s="233">
        <v>33912.53566070138</v>
      </c>
      <c r="C40" s="233">
        <v>73300.0</v>
      </c>
      <c r="D40" s="235">
        <v>73187.72000000002</v>
      </c>
      <c r="E40" s="279">
        <v>0.9984682128240111</v>
      </c>
      <c r="F40" s="235">
        <v>107100.2556607014</v>
      </c>
      <c r="G40" s="279">
        <v>0.3163112918812532</v>
      </c>
      <c r="H40" s="235">
        <v>-9766.477680093514</v>
      </c>
      <c r="I40" s="279">
        <v>-0.22359657265819957</v>
      </c>
      <c r="J40" s="304">
        <v>-78.9</v>
      </c>
      <c r="K40" s="174">
        <v>0.0010763983628922238</v>
      </c>
      <c r="L40" s="235">
        <v>-0.12085800818552396</v>
      </c>
      <c r="M40" s="235">
        <v>17.77</v>
      </c>
      <c r="N40" s="305">
        <v>44.70895865189786</v>
      </c>
      <c r="O40" s="235">
        <v>-16.671469456679723</v>
      </c>
      <c r="P40" s="279">
        <v>0.015820329956762608</v>
      </c>
    </row>
    <row r="41">
      <c r="A41" s="184">
        <v>42917.0</v>
      </c>
      <c r="B41" s="233">
        <v>43679.013340794896</v>
      </c>
      <c r="C41" s="233">
        <v>66200.0</v>
      </c>
      <c r="D41" s="235">
        <v>66214.44000000002</v>
      </c>
      <c r="E41" s="279">
        <v>1.0002181268882178</v>
      </c>
      <c r="F41" s="235">
        <v>109893.45334079492</v>
      </c>
      <c r="G41" s="279">
        <v>0.3975191623292284</v>
      </c>
      <c r="H41" s="235">
        <v>-5277.707728255045</v>
      </c>
      <c r="I41" s="279">
        <v>-0.10780353775758833</v>
      </c>
      <c r="J41" s="304">
        <v>-66.68</v>
      </c>
      <c r="K41" s="174">
        <v>0.0010072507552870093</v>
      </c>
      <c r="L41" s="235">
        <v>-0.01454470090636039</v>
      </c>
      <c r="M41" s="235">
        <v>240.32</v>
      </c>
      <c r="N41" s="305">
        <v>61.38042810857758</v>
      </c>
      <c r="O41" s="235">
        <v>7.253762588484456</v>
      </c>
      <c r="P41" s="279">
        <v>0.016863135885329193</v>
      </c>
    </row>
    <row r="42">
      <c r="A42" s="184">
        <v>42887.0</v>
      </c>
      <c r="B42" s="233">
        <v>48956.72106904994</v>
      </c>
      <c r="C42" s="233">
        <v>49800.0</v>
      </c>
      <c r="D42" s="235">
        <v>49486.679999999935</v>
      </c>
      <c r="E42" s="279">
        <v>0.9937084337349384</v>
      </c>
      <c r="F42" s="235">
        <v>98443.40106904987</v>
      </c>
      <c r="G42" s="279">
        <v>0.4957305238477873</v>
      </c>
      <c r="H42" s="235">
        <v>-2409.528189281533</v>
      </c>
      <c r="I42" s="279">
        <v>-0.04786864783896699</v>
      </c>
      <c r="J42" s="304">
        <v>-55.33</v>
      </c>
      <c r="K42" s="174">
        <v>0.0011110441767068272</v>
      </c>
      <c r="L42" s="235">
        <v>-0.3481123614458558</v>
      </c>
      <c r="M42" s="235">
        <v>121.37</v>
      </c>
      <c r="N42" s="305">
        <v>54.12666552009313</v>
      </c>
      <c r="O42" s="235">
        <v>-3.8594588751474745</v>
      </c>
      <c r="P42" s="279">
        <v>0.013267228116135805</v>
      </c>
    </row>
    <row r="43">
      <c r="A43" s="184">
        <v>42856.0</v>
      </c>
      <c r="B43" s="233">
        <v>50336.249258331474</v>
      </c>
      <c r="C43" s="233">
        <v>28500.0</v>
      </c>
      <c r="D43" s="235">
        <v>28468.139999999952</v>
      </c>
      <c r="E43" s="279">
        <v>0.9988821052631562</v>
      </c>
      <c r="F43" s="235">
        <v>78804.38925833143</v>
      </c>
      <c r="G43" s="279">
        <v>0.6384911729297155</v>
      </c>
      <c r="H43" s="235">
        <v>3906.8596020119667</v>
      </c>
      <c r="I43" s="279">
        <v>0.0798468901707907</v>
      </c>
      <c r="J43" s="304">
        <v>-30.68</v>
      </c>
      <c r="K43" s="174">
        <v>0.0010764912280701753</v>
      </c>
      <c r="L43" s="235">
        <v>-0.034297010526366585</v>
      </c>
      <c r="M43" s="235">
        <v>0.0</v>
      </c>
      <c r="N43" s="305">
        <v>57.9861243952406</v>
      </c>
      <c r="O43" s="235">
        <v>-1.9031809616698752</v>
      </c>
      <c r="P43" s="279">
        <v>0.01382370563948436</v>
      </c>
    </row>
    <row r="44">
      <c r="A44" s="184">
        <v>42826.0</v>
      </c>
      <c r="B44" s="233">
        <v>48929.38965631951</v>
      </c>
      <c r="C44" s="233">
        <v>0.0</v>
      </c>
      <c r="D44" s="235">
        <v>0.0</v>
      </c>
      <c r="E44" s="279">
        <v>0.0</v>
      </c>
      <c r="F44" s="235">
        <v>48929.38965631951</v>
      </c>
      <c r="G44" s="279">
        <v>1.0</v>
      </c>
      <c r="H44" s="235">
        <v>-719.2568919399273</v>
      </c>
      <c r="I44" s="279">
        <v>-0.01448693855613558</v>
      </c>
      <c r="J44" s="304">
        <v>0.0</v>
      </c>
      <c r="K44" s="174">
        <v>0.0</v>
      </c>
      <c r="L44" s="235">
        <v>0.0</v>
      </c>
      <c r="M44" s="235">
        <v>91.22</v>
      </c>
      <c r="N44" s="305">
        <v>59.88930535691048</v>
      </c>
      <c r="O44" s="235">
        <v>6.511304666168954</v>
      </c>
      <c r="P44" s="279">
        <v>0.014687934375042937</v>
      </c>
    </row>
    <row r="45">
      <c r="A45" s="184">
        <v>42795.0</v>
      </c>
      <c r="B45" s="233">
        <v>49648.646548259436</v>
      </c>
      <c r="C45" s="233">
        <v>0.0</v>
      </c>
      <c r="D45" s="235">
        <v>0.0</v>
      </c>
      <c r="E45" s="279">
        <v>0.0</v>
      </c>
      <c r="F45" s="235">
        <v>49648.646548259436</v>
      </c>
      <c r="G45" s="279">
        <v>1.0</v>
      </c>
      <c r="H45" s="235">
        <v>1043.746832957404</v>
      </c>
      <c r="I45" s="279">
        <v>0.021474107323974305</v>
      </c>
      <c r="J45" s="304">
        <v>0.0</v>
      </c>
      <c r="K45" s="174">
        <v>0.0</v>
      </c>
      <c r="L45" s="235">
        <v>0.0</v>
      </c>
      <c r="M45" s="235">
        <v>4.5</v>
      </c>
      <c r="N45" s="305">
        <v>53.37800069074152</v>
      </c>
      <c r="O45" s="235">
        <v>-4.848531320322294</v>
      </c>
      <c r="P45" s="279">
        <v>0.0129013790469854</v>
      </c>
    </row>
    <row r="46">
      <c r="A46" s="184">
        <v>42767.0</v>
      </c>
      <c r="B46" s="233">
        <v>48604.89971530203</v>
      </c>
      <c r="C46" s="233">
        <v>0.0</v>
      </c>
      <c r="D46" s="235">
        <v>0.0</v>
      </c>
      <c r="E46" s="279">
        <v>0.0</v>
      </c>
      <c r="F46" s="235">
        <v>48604.89971530203</v>
      </c>
      <c r="G46" s="279">
        <v>1.0</v>
      </c>
      <c r="H46" s="235">
        <v>881.3661705323466</v>
      </c>
      <c r="I46" s="279">
        <v>0.018468166647918737</v>
      </c>
      <c r="J46" s="304">
        <v>0.0</v>
      </c>
      <c r="K46" s="174">
        <v>0.0</v>
      </c>
      <c r="L46" s="235">
        <v>0.0</v>
      </c>
      <c r="M46" s="235">
        <v>4.87</v>
      </c>
      <c r="N46" s="305">
        <v>58.22653201106382</v>
      </c>
      <c r="O46" s="235">
        <v>0.6226931846936381</v>
      </c>
      <c r="P46" s="279">
        <v>0.014375472189541251</v>
      </c>
    </row>
    <row r="47">
      <c r="A47" s="184">
        <v>42736.0</v>
      </c>
      <c r="B47" s="233">
        <v>47723.533544769685</v>
      </c>
      <c r="C47" s="233">
        <v>0.0</v>
      </c>
      <c r="D47" s="235">
        <v>0.0</v>
      </c>
      <c r="E47" s="279">
        <v>0.0</v>
      </c>
      <c r="F47" s="235">
        <v>47723.533544769685</v>
      </c>
      <c r="G47" s="279">
        <v>1.0</v>
      </c>
      <c r="H47" s="235">
        <v>551.4197129031963</v>
      </c>
      <c r="I47" s="279">
        <v>0.011689527309897488</v>
      </c>
      <c r="J47" s="304">
        <v>0.0</v>
      </c>
      <c r="K47" s="174">
        <v>0.0</v>
      </c>
      <c r="L47" s="235">
        <v>0.0</v>
      </c>
      <c r="M47" s="235">
        <v>237.85999999999999</v>
      </c>
      <c r="N47" s="305">
        <v>57.60383882637018</v>
      </c>
      <c r="O47" s="235">
        <v>4.680109779523406</v>
      </c>
      <c r="P47" s="279">
        <v>0.014484385680871278</v>
      </c>
    </row>
    <row r="48">
      <c r="A48" s="184">
        <v>42705.0</v>
      </c>
      <c r="B48" s="233">
        <v>47172.11383186649</v>
      </c>
      <c r="C48" s="233">
        <v>0.0</v>
      </c>
      <c r="D48" s="235">
        <v>0.0</v>
      </c>
      <c r="E48" s="279">
        <v>0.0</v>
      </c>
      <c r="F48" s="235">
        <v>47172.11383186649</v>
      </c>
      <c r="G48" s="279">
        <v>1.0</v>
      </c>
      <c r="H48" s="235">
        <v>360.89523036795435</v>
      </c>
      <c r="I48" s="279">
        <v>0.007709588452294666</v>
      </c>
      <c r="J48" s="304">
        <v>0.0</v>
      </c>
      <c r="K48" s="174">
        <v>0.0</v>
      </c>
      <c r="L48" s="235">
        <v>0.0</v>
      </c>
      <c r="M48" s="235">
        <v>121.82999999999998</v>
      </c>
      <c r="N48" s="305">
        <v>52.92372904684677</v>
      </c>
      <c r="O48" s="235">
        <v>10.082967073676734</v>
      </c>
      <c r="P48" s="279">
        <v>0.013463139490118382</v>
      </c>
    </row>
    <row r="49">
      <c r="A49" s="184">
        <v>42675.0</v>
      </c>
      <c r="B49" s="233">
        <v>46811.218601498535</v>
      </c>
      <c r="C49" s="233">
        <v>0.0</v>
      </c>
      <c r="D49" s="235">
        <v>0.0</v>
      </c>
      <c r="E49" s="279">
        <v>0.0</v>
      </c>
      <c r="F49" s="235">
        <v>46811.218601498535</v>
      </c>
      <c r="G49" s="279">
        <v>1.0</v>
      </c>
      <c r="H49" s="235">
        <v>175.90814879977552</v>
      </c>
      <c r="I49" s="279">
        <v>0.0037719948059141916</v>
      </c>
      <c r="J49" s="304">
        <v>0.0</v>
      </c>
      <c r="K49" s="174">
        <v>0.0</v>
      </c>
      <c r="L49" s="235">
        <v>0.0</v>
      </c>
      <c r="M49" s="235">
        <v>4.57</v>
      </c>
      <c r="N49" s="305">
        <v>42.84076197317004</v>
      </c>
      <c r="O49" s="235">
        <v>-0.20102192296957355</v>
      </c>
      <c r="P49" s="279">
        <v>0.010982178183705376</v>
      </c>
    </row>
    <row r="50">
      <c r="A50" s="184">
        <v>42644.0</v>
      </c>
      <c r="B50" s="233">
        <v>46635.31045269876</v>
      </c>
      <c r="C50" s="233">
        <v>0.0</v>
      </c>
      <c r="D50" s="235">
        <v>0.0</v>
      </c>
      <c r="E50" s="279">
        <v>0.0</v>
      </c>
      <c r="F50" s="235">
        <v>46635.31045269876</v>
      </c>
      <c r="G50" s="279">
        <v>1.0</v>
      </c>
      <c r="H50" s="235">
        <v>184.28472731405054</v>
      </c>
      <c r="I50" s="279">
        <v>0.003967290806526626</v>
      </c>
      <c r="J50" s="304">
        <v>0.0</v>
      </c>
      <c r="K50" s="174">
        <v>0.0</v>
      </c>
      <c r="L50" s="235">
        <v>0.0</v>
      </c>
      <c r="M50" s="235">
        <v>4.4</v>
      </c>
      <c r="N50" s="305">
        <v>43.04178389613961</v>
      </c>
      <c r="O50" s="235">
        <v>-3.4799594667247646</v>
      </c>
      <c r="P50" s="279">
        <v>0.011075329010140335</v>
      </c>
    </row>
    <row r="51">
      <c r="A51" s="184">
        <v>42614.0</v>
      </c>
      <c r="B51" s="233">
        <v>46451.02572538471</v>
      </c>
      <c r="C51" s="233">
        <v>0.0</v>
      </c>
      <c r="D51" s="235">
        <v>0.0</v>
      </c>
      <c r="E51" s="279">
        <v>0.0</v>
      </c>
      <c r="F51" s="235">
        <v>46451.02572538471</v>
      </c>
      <c r="G51" s="279">
        <v>1.0</v>
      </c>
      <c r="H51" s="235">
        <v>252.709138508435</v>
      </c>
      <c r="I51" s="279">
        <v>0.005470094089537085</v>
      </c>
      <c r="J51" s="304">
        <v>0.0</v>
      </c>
      <c r="K51" s="174">
        <v>0.0</v>
      </c>
      <c r="L51" s="235">
        <v>0.0</v>
      </c>
      <c r="M51" s="235">
        <v>119.66</v>
      </c>
      <c r="N51" s="305">
        <v>46.52174336286438</v>
      </c>
      <c r="O51" s="235">
        <v>7.840756345556976</v>
      </c>
      <c r="P51" s="279">
        <v>0.012018268953946743</v>
      </c>
    </row>
    <row r="52">
      <c r="A52" s="184">
        <v>42583.0</v>
      </c>
      <c r="B52" s="233">
        <v>46198.31658687627</v>
      </c>
      <c r="C52" s="233">
        <v>0.0</v>
      </c>
      <c r="D52" s="235">
        <v>0.0</v>
      </c>
      <c r="E52" s="279">
        <v>0.0</v>
      </c>
      <c r="F52" s="235">
        <v>46198.31658687627</v>
      </c>
      <c r="G52" s="279">
        <v>1.0</v>
      </c>
      <c r="H52" s="235">
        <v>530.1978571400687</v>
      </c>
      <c r="I52" s="279">
        <v>0.011609802897241686</v>
      </c>
      <c r="J52" s="304">
        <v>0.0</v>
      </c>
      <c r="K52" s="174">
        <v>0.0</v>
      </c>
      <c r="L52" s="235">
        <v>0.0</v>
      </c>
      <c r="M52" s="235">
        <v>4.7</v>
      </c>
      <c r="N52" s="305">
        <v>38.6809870173074</v>
      </c>
      <c r="O52" s="235">
        <v>-3.444326595023618</v>
      </c>
      <c r="P52" s="279">
        <v>0.010047375716273347</v>
      </c>
    </row>
    <row r="53">
      <c r="A53" s="184">
        <v>42552.0</v>
      </c>
      <c r="B53" s="233">
        <v>45668.118729736205</v>
      </c>
      <c r="C53" s="233">
        <v>0.0</v>
      </c>
      <c r="D53" s="235">
        <v>0.0</v>
      </c>
      <c r="E53" s="279">
        <v>0.0</v>
      </c>
      <c r="F53" s="235">
        <v>45668.118729736205</v>
      </c>
      <c r="G53" s="279">
        <v>1.0</v>
      </c>
      <c r="H53" s="235">
        <v>390.3712469814491</v>
      </c>
      <c r="I53" s="279">
        <v>0.008621702021067467</v>
      </c>
      <c r="J53" s="304">
        <v>0.0</v>
      </c>
      <c r="K53" s="174">
        <v>0.0</v>
      </c>
      <c r="L53" s="235">
        <v>0.0</v>
      </c>
      <c r="M53" s="235">
        <v>4.69</v>
      </c>
      <c r="N53" s="305">
        <v>42.12531361233102</v>
      </c>
      <c r="O53" s="235">
        <v>-4.435544433915922</v>
      </c>
      <c r="P53" s="279">
        <v>0.011069073511425817</v>
      </c>
    </row>
    <row r="54">
      <c r="A54" s="184">
        <v>42522.0</v>
      </c>
      <c r="B54" s="233">
        <v>45277.747482754756</v>
      </c>
      <c r="C54" s="233">
        <v>0.0</v>
      </c>
      <c r="D54" s="235">
        <v>0.0</v>
      </c>
      <c r="E54" s="279">
        <v>0.0</v>
      </c>
      <c r="F54" s="235">
        <v>45277.747482754756</v>
      </c>
      <c r="G54" s="279">
        <v>1.0</v>
      </c>
      <c r="H54" s="235">
        <v>-416.54669725683925</v>
      </c>
      <c r="I54" s="279">
        <v>-0.009115945540505852</v>
      </c>
      <c r="J54" s="304">
        <v>0.0</v>
      </c>
      <c r="K54" s="174">
        <v>0.0</v>
      </c>
      <c r="L54" s="235">
        <v>0.0</v>
      </c>
      <c r="M54" s="235">
        <v>88.38</v>
      </c>
      <c r="N54" s="305">
        <v>46.56085804624694</v>
      </c>
      <c r="O54" s="235">
        <v>5.772512693317296</v>
      </c>
      <c r="P54" s="279">
        <v>0.012340063886079375</v>
      </c>
    </row>
    <row r="55">
      <c r="A55" s="184">
        <v>42491.0</v>
      </c>
      <c r="B55" s="233">
        <v>45694.294180011595</v>
      </c>
      <c r="C55" s="233">
        <v>0.0</v>
      </c>
      <c r="D55" s="235">
        <v>0.0</v>
      </c>
      <c r="E55" s="279">
        <v>0.0</v>
      </c>
      <c r="F55" s="235">
        <v>45694.294180011595</v>
      </c>
      <c r="G55" s="279">
        <v>1.0</v>
      </c>
      <c r="H55" s="235">
        <v>-397.61275647243747</v>
      </c>
      <c r="I55" s="279">
        <v>-0.00862651998799614</v>
      </c>
      <c r="J55" s="304">
        <v>0.0</v>
      </c>
      <c r="K55" s="174">
        <v>0.0</v>
      </c>
      <c r="L55" s="235">
        <v>0.0</v>
      </c>
      <c r="M55" s="235">
        <v>4.65</v>
      </c>
      <c r="N55" s="305">
        <v>40.788345352929646</v>
      </c>
      <c r="O55" s="235">
        <v>-6.701071798164918</v>
      </c>
      <c r="P55" s="279">
        <v>0.010711625007423006</v>
      </c>
    </row>
    <row r="56">
      <c r="A56" s="184">
        <v>42461.0</v>
      </c>
      <c r="B56" s="233">
        <v>46091.90693648403</v>
      </c>
      <c r="C56" s="233">
        <v>0.0</v>
      </c>
      <c r="D56" s="235">
        <v>0.0</v>
      </c>
      <c r="E56" s="279">
        <v>0.0</v>
      </c>
      <c r="F56" s="235">
        <v>46091.90693648403</v>
      </c>
      <c r="G56" s="279">
        <v>1.0</v>
      </c>
      <c r="H56" s="235">
        <v>10.909253803067259</v>
      </c>
      <c r="I56" s="279">
        <v>2.3674083356852712E-4</v>
      </c>
      <c r="J56" s="304">
        <v>0.0</v>
      </c>
      <c r="K56" s="174">
        <v>0.0</v>
      </c>
      <c r="L56" s="235">
        <v>0.0</v>
      </c>
      <c r="M56" s="235">
        <v>4.08</v>
      </c>
      <c r="N56" s="305">
        <v>47.489417151094564</v>
      </c>
      <c r="O56" s="235">
        <v>-9.233375605652391</v>
      </c>
      <c r="P56" s="279">
        <v>0.012363840936293568</v>
      </c>
    </row>
    <row r="57">
      <c r="A57" s="184">
        <v>42430.0</v>
      </c>
      <c r="B57" s="233">
        <v>46080.997682680965</v>
      </c>
      <c r="C57" s="233">
        <v>0.0</v>
      </c>
      <c r="D57" s="235">
        <v>0.0</v>
      </c>
      <c r="E57" s="279">
        <v>0.0</v>
      </c>
      <c r="F57" s="235">
        <v>46080.997682680965</v>
      </c>
      <c r="G57" s="279">
        <v>1.0</v>
      </c>
      <c r="H57" s="235">
        <v>2462.0413154561465</v>
      </c>
      <c r="I57" s="279">
        <v>0.05644429671192497</v>
      </c>
      <c r="J57" s="304">
        <v>0.0</v>
      </c>
      <c r="K57" s="174">
        <v>0.0</v>
      </c>
      <c r="L57" s="235">
        <v>0.0</v>
      </c>
      <c r="M57" s="235">
        <v>69.26</v>
      </c>
      <c r="N57" s="305">
        <v>56.722792756746955</v>
      </c>
      <c r="O57" s="235">
        <v>6.241793460454836</v>
      </c>
      <c r="P57" s="279">
        <v>0.014771240800126754</v>
      </c>
    </row>
    <row r="58">
      <c r="A58" s="184">
        <v>42401.0</v>
      </c>
      <c r="B58" s="233">
        <v>43618.95636722482</v>
      </c>
      <c r="C58" s="233">
        <v>0.0</v>
      </c>
      <c r="D58" s="235">
        <v>0.0</v>
      </c>
      <c r="E58" s="279">
        <v>0.0</v>
      </c>
      <c r="F58" s="235">
        <v>43618.95636722482</v>
      </c>
      <c r="G58" s="279">
        <v>1.0</v>
      </c>
      <c r="H58" s="235">
        <v>1048.6278255199431</v>
      </c>
      <c r="I58" s="279">
        <v>0.024632833746928543</v>
      </c>
      <c r="J58" s="304">
        <v>0.0</v>
      </c>
      <c r="K58" s="174">
        <v>0.0</v>
      </c>
      <c r="L58" s="235">
        <v>0.0</v>
      </c>
      <c r="M58" s="235">
        <v>3.92</v>
      </c>
      <c r="N58" s="305">
        <v>50.48099929629212</v>
      </c>
      <c r="O58" s="235">
        <v>-14.43305301522863</v>
      </c>
      <c r="P58" s="279">
        <v>0.013887814886159934</v>
      </c>
    </row>
    <row r="59">
      <c r="A59" s="184">
        <v>42370.0</v>
      </c>
      <c r="B59" s="233">
        <v>42570.328541704876</v>
      </c>
      <c r="C59" s="233">
        <v>0.0</v>
      </c>
      <c r="D59" s="235">
        <v>0.0</v>
      </c>
      <c r="E59" s="279">
        <v>0.0</v>
      </c>
      <c r="F59" s="235">
        <v>42570.328541704876</v>
      </c>
      <c r="G59" s="279">
        <v>1.0</v>
      </c>
      <c r="H59" s="235">
        <v>180.73710542198387</v>
      </c>
      <c r="I59" s="279">
        <v>0.004263714258573486</v>
      </c>
      <c r="J59" s="304">
        <v>0.0</v>
      </c>
      <c r="K59" s="174">
        <v>0.0</v>
      </c>
      <c r="L59" s="235">
        <v>0.0</v>
      </c>
      <c r="M59" s="235">
        <v>184.98</v>
      </c>
      <c r="N59" s="305">
        <v>64.91405231152075</v>
      </c>
      <c r="O59" s="235">
        <v>60.78645484050163</v>
      </c>
      <c r="P59" s="279">
        <v>0.01829839360941546</v>
      </c>
    </row>
    <row r="60">
      <c r="A60" s="184">
        <v>42339.0</v>
      </c>
      <c r="B60" s="233">
        <v>42389.59143628289</v>
      </c>
      <c r="C60" s="233">
        <v>0.0</v>
      </c>
      <c r="D60" s="235">
        <v>0.0</v>
      </c>
      <c r="E60" s="279">
        <v>0.0</v>
      </c>
      <c r="F60" s="235">
        <v>42389.59143628289</v>
      </c>
      <c r="G60" s="279">
        <v>1.0</v>
      </c>
      <c r="H60" s="235">
        <v>669.5388724596705</v>
      </c>
      <c r="I60" s="279">
        <v>0.016048370778905703</v>
      </c>
      <c r="J60" s="304">
        <v>0.0</v>
      </c>
      <c r="K60" s="174">
        <v>0.0</v>
      </c>
      <c r="L60" s="235">
        <v>0.0</v>
      </c>
      <c r="M60" s="235">
        <v>4.1</v>
      </c>
      <c r="N60" s="305">
        <v>4.127597471019125</v>
      </c>
      <c r="O60" s="235">
        <v>0.03759747101912492</v>
      </c>
      <c r="P60" s="279">
        <v>0.0011684748065260626</v>
      </c>
    </row>
    <row r="61">
      <c r="A61" s="184">
        <v>42309.0</v>
      </c>
      <c r="B61" s="233">
        <v>41720.05256382322</v>
      </c>
      <c r="C61" s="233">
        <v>0.0</v>
      </c>
      <c r="D61" s="235">
        <v>0.0</v>
      </c>
      <c r="E61" s="279">
        <v>0.0</v>
      </c>
      <c r="F61" s="235">
        <v>41720.05256382322</v>
      </c>
      <c r="G61" s="279">
        <v>1.0</v>
      </c>
      <c r="H61" s="235">
        <v>-636.4774361767777</v>
      </c>
      <c r="I61" s="279">
        <v>-0.015255911655506577</v>
      </c>
      <c r="J61" s="304">
        <v>0.0</v>
      </c>
      <c r="K61" s="174">
        <v>0.0</v>
      </c>
      <c r="L61" s="235">
        <v>0.0</v>
      </c>
      <c r="M61" s="235">
        <v>4.09</v>
      </c>
      <c r="N61" s="305">
        <v>4.09</v>
      </c>
      <c r="O61" s="235">
        <v>4.09</v>
      </c>
      <c r="P61" s="279">
        <v>0.0011764127076522148</v>
      </c>
    </row>
  </sheetData>
  <conditionalFormatting sqref="L1:L61">
    <cfRule type="expression" dxfId="16" priority="1">
      <formula>L1=""</formula>
    </cfRule>
  </conditionalFormatting>
  <conditionalFormatting sqref="J1:J61">
    <cfRule type="expression" dxfId="16" priority="2">
      <formula>K1=""</formula>
    </cfRule>
  </conditionalFormatting>
  <conditionalFormatting sqref="B1:D61 F1:F61 M1:N61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6" t="s">
        <v>46</v>
      </c>
      <c r="B1" s="306" t="s">
        <v>6</v>
      </c>
    </row>
    <row r="2" ht="14.25" customHeight="1">
      <c r="A2" s="307">
        <v>44105.0</v>
      </c>
      <c r="B2" s="308">
        <f>SUMIFS(ExpensesHistoric!$C:$C,ExpensesHistoric!$D:$D,"X",ExpensesHistoric!A:A,"&gt;="&amp;EOMONTH(A2,-1)+1,ExpensesHistoric!A:A,"&lt;="&amp;EOMONTH(A2,0))</f>
        <v>-1019.21</v>
      </c>
    </row>
    <row r="3" ht="14.25" customHeight="1">
      <c r="A3" s="307">
        <v>44075.0</v>
      </c>
      <c r="B3" s="308">
        <f>SUMIFS(ExpensesHistoric!$C:$C,ExpensesHistoric!$D:$D,"X",ExpensesHistoric!A:A,"&gt;="&amp;EOMONTH(A3,-1)+1,ExpensesHistoric!A:A,"&lt;="&amp;EOMONTH(A3,0))</f>
        <v>-5646.9</v>
      </c>
    </row>
    <row r="4" ht="14.25" customHeight="1">
      <c r="A4" s="307">
        <v>44044.0</v>
      </c>
      <c r="B4" s="308">
        <v>-92718.19</v>
      </c>
    </row>
    <row r="5" ht="14.25" customHeight="1">
      <c r="A5" s="307">
        <v>44013.0</v>
      </c>
      <c r="B5" s="308">
        <v>-37.760000000000005</v>
      </c>
    </row>
    <row r="6" ht="14.25" customHeight="1">
      <c r="A6" s="307">
        <v>43983.0</v>
      </c>
      <c r="B6" s="308">
        <v>-62.690000000000005</v>
      </c>
    </row>
    <row r="7" ht="14.25" customHeight="1">
      <c r="A7" s="307">
        <v>43952.0</v>
      </c>
      <c r="B7" s="308">
        <v>0.0</v>
      </c>
    </row>
    <row r="8" ht="14.25" customHeight="1">
      <c r="A8" s="307">
        <v>43922.0</v>
      </c>
      <c r="B8" s="308">
        <v>-9.889999999999999</v>
      </c>
    </row>
    <row r="9" ht="14.25" customHeight="1">
      <c r="A9" s="307">
        <v>43891.0</v>
      </c>
      <c r="B9" s="308">
        <v>-74.6</v>
      </c>
    </row>
    <row r="10" ht="14.25" customHeight="1">
      <c r="A10" s="307">
        <v>43862.0</v>
      </c>
      <c r="B10" s="308">
        <v>-271.35</v>
      </c>
    </row>
    <row r="11" ht="14.25" customHeight="1">
      <c r="A11" s="307">
        <v>43831.0</v>
      </c>
      <c r="B11" s="308">
        <v>-481.95000000000005</v>
      </c>
    </row>
    <row r="12" ht="14.25" customHeight="1">
      <c r="A12" s="307">
        <v>43800.0</v>
      </c>
      <c r="B12" s="308">
        <v>-196.32</v>
      </c>
    </row>
    <row r="13" ht="14.25" customHeight="1">
      <c r="A13" s="307">
        <v>43770.0</v>
      </c>
      <c r="B13" s="308">
        <v>-42.16</v>
      </c>
    </row>
    <row r="14" ht="14.25" customHeight="1">
      <c r="A14" s="307">
        <v>43739.0</v>
      </c>
      <c r="B14" s="308">
        <v>-294.39</v>
      </c>
    </row>
    <row r="15" ht="14.25" customHeight="1">
      <c r="A15" s="307">
        <v>43709.0</v>
      </c>
      <c r="B15" s="308">
        <v>-90.1</v>
      </c>
    </row>
    <row r="16" ht="14.25" customHeight="1">
      <c r="A16" s="307">
        <v>43678.0</v>
      </c>
      <c r="B16" s="308">
        <v>-121.03</v>
      </c>
    </row>
    <row r="17" ht="14.25" customHeight="1">
      <c r="A17" s="307">
        <v>43647.0</v>
      </c>
      <c r="B17" s="308">
        <v>-170.76000000000002</v>
      </c>
    </row>
    <row r="18" ht="14.25" customHeight="1">
      <c r="A18" s="307">
        <v>43617.0</v>
      </c>
      <c r="B18" s="308">
        <v>-208.07</v>
      </c>
    </row>
    <row r="19" ht="14.25" customHeight="1">
      <c r="A19" s="307">
        <v>43586.0</v>
      </c>
      <c r="B19" s="308">
        <v>-86.88</v>
      </c>
    </row>
    <row r="20" ht="14.25" customHeight="1">
      <c r="A20" s="307">
        <v>43556.0</v>
      </c>
      <c r="B20" s="308">
        <v>-160.21</v>
      </c>
    </row>
    <row r="21" ht="14.25" customHeight="1">
      <c r="A21" s="307">
        <v>43525.0</v>
      </c>
      <c r="B21" s="308">
        <v>-117.82</v>
      </c>
    </row>
    <row r="22" ht="14.25" customHeight="1">
      <c r="A22" s="307">
        <v>43497.0</v>
      </c>
      <c r="B22" s="308">
        <v>-55.1</v>
      </c>
    </row>
    <row r="23" ht="14.25" customHeight="1">
      <c r="A23" s="307">
        <v>43466.0</v>
      </c>
      <c r="B23" s="308">
        <v>-36.76</v>
      </c>
    </row>
    <row r="24" ht="14.25" customHeight="1">
      <c r="A24" s="307">
        <v>43435.0</v>
      </c>
      <c r="B24" s="308">
        <v>-325.25</v>
      </c>
    </row>
    <row r="25" ht="14.25" customHeight="1">
      <c r="A25" s="307">
        <v>43405.0</v>
      </c>
      <c r="B25" s="308">
        <v>-133.55</v>
      </c>
    </row>
    <row r="26" ht="14.25" customHeight="1">
      <c r="A26" s="307">
        <v>43374.0</v>
      </c>
      <c r="B26" s="308">
        <v>-141.35</v>
      </c>
    </row>
    <row r="27" ht="14.25" customHeight="1">
      <c r="A27" s="307">
        <v>43344.0</v>
      </c>
      <c r="B27" s="308">
        <v>-71.35</v>
      </c>
    </row>
    <row r="28" ht="14.25" customHeight="1">
      <c r="A28" s="307">
        <v>43313.0</v>
      </c>
      <c r="B28" s="308">
        <v>-707.3299999999995</v>
      </c>
    </row>
    <row r="29" ht="14.25" customHeight="1">
      <c r="A29" s="307">
        <v>43282.0</v>
      </c>
      <c r="B29" s="308">
        <v>0.0</v>
      </c>
    </row>
    <row r="30" ht="14.25" customHeight="1">
      <c r="A30" s="307">
        <v>43252.0</v>
      </c>
      <c r="B30" s="308">
        <v>-894.53</v>
      </c>
    </row>
    <row r="31" ht="14.25" customHeight="1">
      <c r="A31" s="307">
        <v>43221.0</v>
      </c>
      <c r="B31" s="308">
        <v>-119.68</v>
      </c>
    </row>
    <row r="32" ht="14.25" customHeight="1">
      <c r="A32" s="307">
        <v>43191.0</v>
      </c>
      <c r="B32" s="308">
        <v>-5.2</v>
      </c>
    </row>
    <row r="33" ht="14.25" customHeight="1">
      <c r="A33" s="307">
        <v>43160.0</v>
      </c>
      <c r="B33" s="308">
        <v>-119.54</v>
      </c>
    </row>
    <row r="34" ht="14.25" customHeight="1">
      <c r="A34" s="307">
        <v>43132.0</v>
      </c>
      <c r="B34" s="308">
        <v>-11.649999999999999</v>
      </c>
    </row>
    <row r="35" ht="14.25" customHeight="1">
      <c r="A35" s="307">
        <v>43102.0</v>
      </c>
      <c r="B35" s="308">
        <v>-110.64999999999999</v>
      </c>
    </row>
    <row r="36" ht="14.25" customHeight="1">
      <c r="A36" s="307">
        <v>43070.0</v>
      </c>
      <c r="B36" s="308">
        <v>-155.72</v>
      </c>
    </row>
    <row r="37" ht="14.25" customHeight="1">
      <c r="A37" s="307">
        <v>43040.0</v>
      </c>
      <c r="B37" s="308">
        <v>-130.35</v>
      </c>
    </row>
    <row r="38" ht="14.25" customHeight="1">
      <c r="A38" s="307">
        <v>43009.0</v>
      </c>
      <c r="B38" s="308">
        <v>-289.12</v>
      </c>
    </row>
    <row r="39" ht="14.25" customHeight="1">
      <c r="A39" s="307">
        <v>42979.0</v>
      </c>
      <c r="B39" s="308">
        <v>-215.58</v>
      </c>
    </row>
    <row r="40" ht="14.25" customHeight="1">
      <c r="A40" s="307">
        <v>42948.0</v>
      </c>
      <c r="B40" s="308">
        <v>-170.27</v>
      </c>
    </row>
    <row r="41" ht="14.25" customHeight="1">
      <c r="A41" s="307">
        <v>42917.0</v>
      </c>
      <c r="B41" s="308">
        <v>-464.82</v>
      </c>
    </row>
    <row r="42" ht="14.25" customHeight="1">
      <c r="A42" s="307">
        <v>42887.0</v>
      </c>
      <c r="B42" s="308">
        <v>-168.35</v>
      </c>
    </row>
    <row r="43" ht="14.25" customHeight="1">
      <c r="A43" s="307">
        <v>42856.0</v>
      </c>
      <c r="B43" s="308">
        <v>-886.75</v>
      </c>
    </row>
    <row r="44" ht="14.25" customHeight="1">
      <c r="A44" s="307">
        <v>42826.0</v>
      </c>
      <c r="B44" s="308">
        <v>-373.54</v>
      </c>
    </row>
    <row r="45" ht="14.25" customHeight="1">
      <c r="A45" s="307">
        <v>42795.0</v>
      </c>
      <c r="B45" s="308">
        <v>-55.23</v>
      </c>
    </row>
    <row r="46" ht="14.25" customHeight="1">
      <c r="A46" s="307">
        <v>42767.0</v>
      </c>
      <c r="B46" s="308">
        <v>-82.39</v>
      </c>
    </row>
    <row r="47" ht="14.25" customHeight="1">
      <c r="A47" s="307">
        <v>42736.0</v>
      </c>
      <c r="B47" s="308">
        <v>-426.11</v>
      </c>
    </row>
    <row r="48" ht="14.25" customHeight="1">
      <c r="A48" s="307">
        <v>42705.0</v>
      </c>
      <c r="B48" s="308">
        <v>-388.92</v>
      </c>
    </row>
    <row r="49" ht="14.25" customHeight="1">
      <c r="A49" s="307">
        <v>42675.0</v>
      </c>
      <c r="B49" s="308">
        <v>-1063.55</v>
      </c>
    </row>
    <row r="50" ht="14.25" customHeight="1">
      <c r="A50" s="307">
        <v>42644.0</v>
      </c>
      <c r="B50" s="308">
        <v>0.0</v>
      </c>
    </row>
    <row r="51" ht="14.25" customHeight="1">
      <c r="A51" s="307">
        <v>42614.0</v>
      </c>
      <c r="B51" s="308">
        <v>-47.18</v>
      </c>
    </row>
    <row r="52" ht="14.25" customHeight="1">
      <c r="A52" s="307">
        <v>42583.0</v>
      </c>
      <c r="B52" s="308">
        <v>-1438.72</v>
      </c>
    </row>
    <row r="53" ht="14.25" customHeight="1">
      <c r="A53" s="307">
        <v>42552.0</v>
      </c>
      <c r="B53" s="308">
        <v>-208.78</v>
      </c>
    </row>
    <row r="54" ht="14.25" customHeight="1">
      <c r="A54" s="307">
        <v>42522.0</v>
      </c>
      <c r="B54" s="308">
        <v>-83.03</v>
      </c>
    </row>
    <row r="55" ht="14.25" customHeight="1">
      <c r="A55" s="307">
        <v>42491.0</v>
      </c>
      <c r="B55" s="308">
        <v>-20.0</v>
      </c>
    </row>
    <row r="56" ht="14.25" customHeight="1">
      <c r="A56" s="307">
        <v>42461.0</v>
      </c>
      <c r="B56" s="308">
        <v>0.0</v>
      </c>
    </row>
    <row r="57" ht="14.25" customHeight="1">
      <c r="A57" s="307">
        <v>42430.0</v>
      </c>
      <c r="B57" s="308">
        <v>0.0</v>
      </c>
    </row>
    <row r="58" ht="14.25" customHeight="1">
      <c r="A58" s="307">
        <v>42401.0</v>
      </c>
      <c r="B58" s="308">
        <v>-138.03</v>
      </c>
    </row>
    <row r="59" ht="14.25" customHeight="1">
      <c r="A59" s="307">
        <v>42370.0</v>
      </c>
      <c r="B59" s="308">
        <v>-101.8</v>
      </c>
    </row>
    <row r="60" ht="14.25" customHeight="1">
      <c r="A60" s="307">
        <v>42339.0</v>
      </c>
      <c r="B60" s="308">
        <v>-265.03</v>
      </c>
    </row>
    <row r="61" ht="14.25" customHeight="1">
      <c r="A61" s="307">
        <v>42309.0</v>
      </c>
      <c r="B61" s="308">
        <v>-28.97</v>
      </c>
    </row>
    <row r="62" ht="14.25" customHeight="1">
      <c r="A62" s="307">
        <v>42278.0</v>
      </c>
      <c r="B62" s="308">
        <v>-160.67</v>
      </c>
    </row>
    <row r="63" ht="14.25" customHeight="1">
      <c r="A63" s="307">
        <v>42248.0</v>
      </c>
      <c r="B63" s="308">
        <v>-1401.46</v>
      </c>
    </row>
    <row r="64" ht="14.25" customHeight="1">
      <c r="A64" s="307">
        <v>42217.0</v>
      </c>
      <c r="B64" s="308">
        <v>-529.05</v>
      </c>
    </row>
    <row r="65" ht="14.25" customHeight="1">
      <c r="A65" s="307">
        <v>42186.0</v>
      </c>
      <c r="B65" s="308">
        <v>-0.12</v>
      </c>
    </row>
    <row r="66" ht="14.25" customHeight="1">
      <c r="A66" s="307">
        <v>42156.0</v>
      </c>
      <c r="B66" s="308">
        <v>-175.55</v>
      </c>
    </row>
    <row r="67" ht="14.25" customHeight="1">
      <c r="A67" s="307">
        <v>42125.0</v>
      </c>
      <c r="B67" s="308">
        <v>0.0</v>
      </c>
    </row>
    <row r="68" ht="14.25" customHeight="1">
      <c r="A68" s="307">
        <v>42095.0</v>
      </c>
      <c r="B68" s="308">
        <v>-10.14</v>
      </c>
    </row>
    <row r="69" ht="14.25" customHeight="1">
      <c r="A69" s="307">
        <v>42064.0</v>
      </c>
      <c r="B69" s="308">
        <v>-10.35</v>
      </c>
    </row>
    <row r="70" ht="14.25" customHeight="1">
      <c r="A70" s="307">
        <v>42036.0</v>
      </c>
      <c r="B70" s="308">
        <v>-751.92</v>
      </c>
    </row>
    <row r="71" ht="14.25" customHeight="1">
      <c r="A71" s="307">
        <v>42005.0</v>
      </c>
      <c r="B71" s="308">
        <v>-104.37</v>
      </c>
    </row>
    <row r="72" ht="14.25" customHeight="1">
      <c r="A72" s="307">
        <v>41974.0</v>
      </c>
      <c r="B72" s="308">
        <v>-206.93</v>
      </c>
    </row>
    <row r="73" ht="14.25" customHeight="1">
      <c r="A73" s="307">
        <v>41944.0</v>
      </c>
      <c r="B73" s="308">
        <v>-54.97</v>
      </c>
    </row>
    <row r="74" ht="14.25" customHeight="1">
      <c r="A74" s="307">
        <v>41913.0</v>
      </c>
      <c r="B74" s="308">
        <v>-294.43</v>
      </c>
    </row>
    <row r="75" ht="14.25" customHeight="1">
      <c r="A75" s="307">
        <v>41883.0</v>
      </c>
      <c r="B75" s="308">
        <v>-139.02</v>
      </c>
    </row>
    <row r="76" ht="14.25" customHeight="1">
      <c r="A76" s="307">
        <v>41852.0</v>
      </c>
      <c r="B76" s="308">
        <v>-355.78</v>
      </c>
    </row>
    <row r="77" ht="14.25" customHeight="1">
      <c r="A77" s="307">
        <v>41821.0</v>
      </c>
      <c r="B77" s="308">
        <v>-790.07</v>
      </c>
    </row>
    <row r="78" ht="14.25" customHeight="1">
      <c r="A78" s="307">
        <v>41791.0</v>
      </c>
      <c r="B78" s="308">
        <v>0.0</v>
      </c>
    </row>
    <row r="79" ht="14.25" customHeight="1">
      <c r="A79" s="307">
        <v>41760.0</v>
      </c>
      <c r="B79" s="308">
        <v>-91.39</v>
      </c>
    </row>
    <row r="80" ht="14.25" customHeight="1">
      <c r="A80" s="307">
        <v>41730.0</v>
      </c>
      <c r="B80" s="308">
        <v>-92.22</v>
      </c>
    </row>
    <row r="81" ht="14.25" customHeight="1">
      <c r="A81" s="307">
        <v>41699.0</v>
      </c>
      <c r="B81" s="308">
        <v>-1004.53</v>
      </c>
    </row>
    <row r="82" ht="14.25" customHeight="1">
      <c r="A82" s="307">
        <v>41671.0</v>
      </c>
      <c r="B82" s="308">
        <v>-319.47</v>
      </c>
    </row>
    <row r="83" ht="14.25" customHeight="1">
      <c r="A83" s="307">
        <v>41640.0</v>
      </c>
      <c r="B83" s="308">
        <v>-391.4</v>
      </c>
    </row>
    <row r="84" ht="14.25" customHeight="1">
      <c r="A84" s="307">
        <v>41609.0</v>
      </c>
      <c r="B84" s="308">
        <v>-779.28</v>
      </c>
    </row>
    <row r="85" ht="14.25" customHeight="1">
      <c r="A85" s="307">
        <v>41579.0</v>
      </c>
      <c r="B85" s="308">
        <v>-1480.97</v>
      </c>
    </row>
    <row r="86" ht="14.25" customHeight="1">
      <c r="A86" s="307">
        <v>41548.0</v>
      </c>
      <c r="B86" s="308">
        <v>-1153.18</v>
      </c>
    </row>
    <row r="87" ht="14.25" customHeight="1">
      <c r="A87" s="307">
        <v>41518.0</v>
      </c>
      <c r="B87" s="308">
        <v>-763.3</v>
      </c>
    </row>
    <row r="88" ht="14.25" customHeight="1">
      <c r="A88" s="307">
        <v>41487.0</v>
      </c>
      <c r="B88" s="308">
        <v>-196.0</v>
      </c>
    </row>
    <row r="89" ht="14.25" customHeight="1">
      <c r="A89" s="307">
        <v>41456.0</v>
      </c>
      <c r="B89" s="308">
        <v>-11.08</v>
      </c>
    </row>
    <row r="90" ht="14.25" customHeight="1">
      <c r="A90" s="307">
        <v>41426.0</v>
      </c>
      <c r="B90" s="308">
        <v>-4.0</v>
      </c>
    </row>
    <row r="91" ht="14.25" customHeight="1">
      <c r="A91" s="307">
        <v>41395.0</v>
      </c>
      <c r="B91" s="308">
        <v>-656.55</v>
      </c>
    </row>
    <row r="92" ht="14.25" customHeight="1">
      <c r="A92" s="307">
        <v>41365.0</v>
      </c>
      <c r="B92" s="308">
        <v>-3.82</v>
      </c>
    </row>
    <row r="93" ht="14.25" customHeight="1">
      <c r="A93" s="307">
        <v>41334.0</v>
      </c>
      <c r="B93" s="308">
        <v>-368.45</v>
      </c>
    </row>
    <row r="94" ht="14.25" customHeight="1">
      <c r="A94" s="307">
        <v>41306.0</v>
      </c>
      <c r="B94" s="308">
        <v>-39.94</v>
      </c>
    </row>
    <row r="95" ht="14.25" customHeight="1">
      <c r="A95" s="307">
        <v>41275.0</v>
      </c>
      <c r="B95" s="308">
        <v>-218.99</v>
      </c>
    </row>
    <row r="96" ht="14.25" customHeight="1">
      <c r="A96" s="307">
        <v>41244.0</v>
      </c>
      <c r="B96" s="308">
        <v>-253.57</v>
      </c>
    </row>
    <row r="97" ht="14.25" customHeight="1">
      <c r="A97" s="307">
        <v>41214.0</v>
      </c>
      <c r="B97" s="308">
        <v>-107.54</v>
      </c>
    </row>
    <row r="98" ht="14.25" customHeight="1">
      <c r="A98" s="307">
        <v>41183.0</v>
      </c>
      <c r="B98" s="308">
        <v>-251.19</v>
      </c>
    </row>
    <row r="99" ht="14.25" customHeight="1">
      <c r="A99" s="307">
        <v>41153.0</v>
      </c>
      <c r="B99" s="308">
        <v>-4682.23</v>
      </c>
    </row>
    <row r="100" ht="14.25" customHeight="1">
      <c r="A100" s="307">
        <v>41122.0</v>
      </c>
      <c r="B100" s="308">
        <v>-1634.47</v>
      </c>
    </row>
    <row r="101" ht="14.25" customHeight="1">
      <c r="A101" s="307">
        <v>41091.0</v>
      </c>
      <c r="B101" s="308">
        <v>-821.51</v>
      </c>
    </row>
    <row r="102" ht="14.25" customHeight="1">
      <c r="A102" s="307">
        <v>41061.0</v>
      </c>
      <c r="B102" s="308">
        <v>-820.3</v>
      </c>
    </row>
    <row r="103" ht="14.25" customHeight="1">
      <c r="A103" s="307">
        <v>41030.0</v>
      </c>
      <c r="B103" s="308">
        <v>-828.56</v>
      </c>
    </row>
    <row r="104" ht="14.25" customHeight="1">
      <c r="A104" s="307">
        <v>41000.0</v>
      </c>
      <c r="B104" s="308">
        <v>-1189.53</v>
      </c>
    </row>
    <row r="105" ht="14.25" customHeight="1">
      <c r="A105" s="307">
        <v>40969.0</v>
      </c>
      <c r="B105" s="308">
        <v>-1202.78</v>
      </c>
    </row>
    <row r="106" ht="14.25" customHeight="1">
      <c r="A106" s="307">
        <v>40940.0</v>
      </c>
      <c r="B106" s="308">
        <v>-394.05</v>
      </c>
    </row>
    <row r="107" ht="14.25" customHeight="1">
      <c r="A107" s="307">
        <v>40909.0</v>
      </c>
      <c r="B107" s="308">
        <v>-711.03</v>
      </c>
    </row>
    <row r="108" ht="14.25" customHeight="1">
      <c r="A108" s="307">
        <v>40878.0</v>
      </c>
      <c r="B108" s="308">
        <v>-689.47</v>
      </c>
    </row>
    <row r="109" ht="14.25" customHeight="1">
      <c r="A109" s="307">
        <v>40848.0</v>
      </c>
      <c r="B109" s="308">
        <v>-727.7</v>
      </c>
    </row>
    <row r="110" ht="14.25" customHeight="1">
      <c r="A110" s="307">
        <v>40817.0</v>
      </c>
      <c r="B110" s="308">
        <v>-702.17</v>
      </c>
    </row>
    <row r="111" ht="14.25" customHeight="1">
      <c r="A111" s="307">
        <v>40787.0</v>
      </c>
      <c r="B111" s="308">
        <v>-1013.39</v>
      </c>
    </row>
    <row r="112" ht="14.25" customHeight="1">
      <c r="A112" s="307">
        <v>40756.0</v>
      </c>
      <c r="B112" s="308">
        <v>-661.63</v>
      </c>
    </row>
    <row r="113" ht="14.25" customHeight="1">
      <c r="A113" s="307">
        <v>40725.0</v>
      </c>
      <c r="B113" s="308">
        <v>-287.66</v>
      </c>
    </row>
    <row r="114" ht="14.25" customHeight="1">
      <c r="A114" s="307">
        <v>40695.0</v>
      </c>
      <c r="B114" s="308">
        <v>-579.82</v>
      </c>
    </row>
    <row r="115" ht="14.25" customHeight="1">
      <c r="A115" s="307">
        <v>40664.0</v>
      </c>
      <c r="B115" s="308">
        <v>-754.81</v>
      </c>
    </row>
    <row r="116" ht="14.25" customHeight="1">
      <c r="A116" s="307">
        <v>40634.0</v>
      </c>
      <c r="B116" s="308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6" t="s">
        <v>46</v>
      </c>
      <c r="B1" s="306" t="s">
        <v>66</v>
      </c>
      <c r="C1" s="309" t="s">
        <v>70</v>
      </c>
      <c r="D1" s="306" t="s">
        <v>1306</v>
      </c>
    </row>
    <row r="2">
      <c r="A2" s="310">
        <v>44111.0</v>
      </c>
      <c r="B2" s="311" t="s">
        <v>1307</v>
      </c>
      <c r="C2" s="312">
        <v>-0.33</v>
      </c>
      <c r="D2" s="233" t="str">
        <f t="shared" ref="D2:D9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10">
        <v>44110.0</v>
      </c>
      <c r="B3" s="311" t="s">
        <v>1308</v>
      </c>
      <c r="C3" s="312">
        <v>-20.52</v>
      </c>
      <c r="D3" s="233" t="str">
        <f t="shared" si="1"/>
        <v>X</v>
      </c>
    </row>
    <row r="4">
      <c r="A4" s="310">
        <v>44110.0</v>
      </c>
      <c r="B4" s="311" t="s">
        <v>1309</v>
      </c>
      <c r="C4" s="312">
        <v>-0.39</v>
      </c>
      <c r="D4" s="233" t="str">
        <f t="shared" si="1"/>
        <v>X</v>
      </c>
    </row>
    <row r="5">
      <c r="A5" s="310">
        <v>44110.0</v>
      </c>
      <c r="B5" s="311" t="s">
        <v>1310</v>
      </c>
      <c r="C5" s="312">
        <v>1000.0</v>
      </c>
      <c r="D5" s="233" t="str">
        <f t="shared" si="1"/>
        <v/>
      </c>
    </row>
    <row r="6">
      <c r="A6" s="310">
        <v>44110.0</v>
      </c>
      <c r="B6" s="311" t="s">
        <v>1311</v>
      </c>
      <c r="C6" s="312">
        <v>100.0</v>
      </c>
      <c r="D6" s="233" t="str">
        <f t="shared" si="1"/>
        <v/>
      </c>
    </row>
    <row r="7">
      <c r="A7" s="310">
        <v>44109.0</v>
      </c>
      <c r="B7" s="311" t="s">
        <v>1312</v>
      </c>
      <c r="C7" s="312">
        <v>-67.0</v>
      </c>
      <c r="D7" s="233" t="str">
        <f t="shared" si="1"/>
        <v>X</v>
      </c>
    </row>
    <row r="8">
      <c r="A8" s="310">
        <v>44106.0</v>
      </c>
      <c r="B8" s="311" t="s">
        <v>1313</v>
      </c>
      <c r="C8" s="312">
        <v>-930.97</v>
      </c>
      <c r="D8" s="233" t="str">
        <f t="shared" si="1"/>
        <v>X</v>
      </c>
    </row>
    <row r="9">
      <c r="A9" s="310">
        <v>44102.0</v>
      </c>
      <c r="B9" s="311" t="s">
        <v>1314</v>
      </c>
      <c r="C9" s="312">
        <v>-6.36</v>
      </c>
      <c r="D9" s="233" t="str">
        <f t="shared" si="1"/>
        <v>X</v>
      </c>
    </row>
    <row r="10">
      <c r="A10" s="310">
        <v>44098.0</v>
      </c>
      <c r="B10" s="311" t="s">
        <v>1315</v>
      </c>
      <c r="C10" s="312">
        <v>-31.94</v>
      </c>
      <c r="D10" s="233" t="s">
        <v>312</v>
      </c>
    </row>
    <row r="11">
      <c r="A11" s="310">
        <v>44095.0</v>
      </c>
      <c r="B11" s="311" t="s">
        <v>1316</v>
      </c>
      <c r="C11" s="312">
        <v>-40000.0</v>
      </c>
      <c r="D11" s="233"/>
    </row>
    <row r="12">
      <c r="A12" s="310">
        <v>44092.0</v>
      </c>
      <c r="B12" s="311" t="s">
        <v>1317</v>
      </c>
      <c r="C12" s="312">
        <v>40000.0</v>
      </c>
      <c r="D12" s="233"/>
    </row>
    <row r="13">
      <c r="A13" s="310">
        <v>44091.0</v>
      </c>
      <c r="B13" s="311" t="s">
        <v>1318</v>
      </c>
      <c r="C13" s="312">
        <v>100.0</v>
      </c>
      <c r="D13" s="233"/>
    </row>
    <row r="14">
      <c r="A14" s="310">
        <v>44091.0</v>
      </c>
      <c r="B14" s="311" t="s">
        <v>1319</v>
      </c>
      <c r="C14" s="312">
        <v>-700.0</v>
      </c>
      <c r="D14" s="233"/>
    </row>
    <row r="15">
      <c r="A15" s="310">
        <v>44091.0</v>
      </c>
      <c r="B15" s="311" t="s">
        <v>1320</v>
      </c>
      <c r="C15" s="312">
        <v>-150.0</v>
      </c>
      <c r="D15" s="233" t="s">
        <v>312</v>
      </c>
    </row>
    <row r="16">
      <c r="A16" s="310">
        <v>44090.0</v>
      </c>
      <c r="B16" s="311" t="s">
        <v>1321</v>
      </c>
      <c r="C16" s="312">
        <v>-117.79</v>
      </c>
      <c r="D16" s="233" t="s">
        <v>312</v>
      </c>
    </row>
    <row r="17">
      <c r="A17" s="310">
        <v>44090.0</v>
      </c>
      <c r="B17" s="311" t="s">
        <v>1310</v>
      </c>
      <c r="C17" s="312">
        <v>1500.0</v>
      </c>
      <c r="D17" s="233"/>
    </row>
    <row r="18">
      <c r="A18" s="310">
        <v>44089.0</v>
      </c>
      <c r="B18" s="311" t="s">
        <v>1322</v>
      </c>
      <c r="C18" s="312">
        <v>-27.62</v>
      </c>
      <c r="D18" s="233" t="s">
        <v>312</v>
      </c>
    </row>
    <row r="19">
      <c r="A19" s="310">
        <v>44088.0</v>
      </c>
      <c r="B19" s="311" t="s">
        <v>1323</v>
      </c>
      <c r="C19" s="312">
        <v>-26.98</v>
      </c>
      <c r="D19" s="233" t="s">
        <v>312</v>
      </c>
    </row>
    <row r="20">
      <c r="A20" s="310">
        <v>44085.0</v>
      </c>
      <c r="B20" s="311" t="s">
        <v>1310</v>
      </c>
      <c r="C20" s="312">
        <v>1000.0</v>
      </c>
      <c r="D20" s="233"/>
    </row>
    <row r="21">
      <c r="A21" s="310">
        <v>44083.0</v>
      </c>
      <c r="B21" s="311" t="s">
        <v>1324</v>
      </c>
      <c r="C21" s="312">
        <v>-190.05</v>
      </c>
      <c r="D21" s="233" t="s">
        <v>312</v>
      </c>
    </row>
    <row r="22">
      <c r="A22" s="310">
        <v>44083.0</v>
      </c>
      <c r="B22" s="311" t="s">
        <v>1325</v>
      </c>
      <c r="C22" s="312">
        <v>-32.23</v>
      </c>
      <c r="D22" s="233" t="s">
        <v>312</v>
      </c>
    </row>
    <row r="23">
      <c r="A23" s="310">
        <v>44082.0</v>
      </c>
      <c r="B23" s="311" t="s">
        <v>1326</v>
      </c>
      <c r="C23" s="312">
        <v>-218.93</v>
      </c>
      <c r="D23" s="233" t="s">
        <v>312</v>
      </c>
    </row>
    <row r="24">
      <c r="A24" s="310">
        <v>44082.0</v>
      </c>
      <c r="B24" s="311" t="s">
        <v>1311</v>
      </c>
      <c r="C24" s="312">
        <v>100.0</v>
      </c>
      <c r="D24" s="233"/>
    </row>
    <row r="25">
      <c r="A25" s="310">
        <v>44081.0</v>
      </c>
      <c r="B25" s="311" t="s">
        <v>1327</v>
      </c>
      <c r="C25" s="312">
        <v>-56.99</v>
      </c>
      <c r="D25" s="233" t="s">
        <v>312</v>
      </c>
    </row>
    <row r="26">
      <c r="A26" s="310">
        <v>44081.0</v>
      </c>
      <c r="B26" s="311" t="s">
        <v>1327</v>
      </c>
      <c r="C26" s="312">
        <v>-505.17</v>
      </c>
      <c r="D26" s="233" t="s">
        <v>312</v>
      </c>
    </row>
    <row r="27">
      <c r="A27" s="310">
        <v>44078.0</v>
      </c>
      <c r="B27" s="311" t="s">
        <v>1328</v>
      </c>
      <c r="C27" s="312">
        <v>-4126.9</v>
      </c>
      <c r="D27" s="233" t="s">
        <v>312</v>
      </c>
    </row>
    <row r="28">
      <c r="A28" s="310">
        <v>44076.0</v>
      </c>
      <c r="B28" s="311" t="s">
        <v>1329</v>
      </c>
      <c r="C28" s="312">
        <v>-32.33</v>
      </c>
      <c r="D28" s="233" t="s">
        <v>312</v>
      </c>
    </row>
    <row r="29">
      <c r="A29" s="310">
        <v>44075.0</v>
      </c>
      <c r="B29" s="311" t="s">
        <v>1330</v>
      </c>
      <c r="C29" s="312">
        <v>-123.61</v>
      </c>
      <c r="D29" s="233" t="s">
        <v>312</v>
      </c>
    </row>
    <row r="30">
      <c r="A30" s="310">
        <v>44075.0</v>
      </c>
      <c r="B30" s="311" t="s">
        <v>1331</v>
      </c>
      <c r="C30" s="312">
        <v>33.78</v>
      </c>
      <c r="D30" s="233"/>
    </row>
    <row r="31">
      <c r="A31" s="310">
        <v>44069.0</v>
      </c>
      <c r="B31" s="311" t="s">
        <v>1332</v>
      </c>
      <c r="C31" s="312">
        <v>-91758.33</v>
      </c>
      <c r="D31" s="233" t="s">
        <v>312</v>
      </c>
    </row>
    <row r="32">
      <c r="A32" s="310">
        <v>44069.0</v>
      </c>
      <c r="B32" s="313" t="s">
        <v>1333</v>
      </c>
      <c r="C32" s="312">
        <v>-1.0</v>
      </c>
      <c r="D32" s="233" t="s">
        <v>312</v>
      </c>
    </row>
    <row r="33">
      <c r="A33" s="310">
        <v>44055.0</v>
      </c>
      <c r="B33" s="313" t="s">
        <v>1334</v>
      </c>
      <c r="C33" s="312">
        <v>99.0</v>
      </c>
      <c r="D33" s="233"/>
    </row>
    <row r="34">
      <c r="A34" s="310">
        <v>44053.0</v>
      </c>
      <c r="B34" s="313" t="s">
        <v>1319</v>
      </c>
      <c r="C34" s="312">
        <v>-1000.0</v>
      </c>
      <c r="D34" s="233"/>
    </row>
    <row r="35">
      <c r="A35" s="310">
        <v>44049.0</v>
      </c>
      <c r="B35" s="313" t="s">
        <v>1311</v>
      </c>
      <c r="C35" s="312">
        <v>100.0</v>
      </c>
      <c r="D35" s="233"/>
    </row>
    <row r="36">
      <c r="A36" s="310">
        <v>44049.0</v>
      </c>
      <c r="B36" s="313" t="s">
        <v>1335</v>
      </c>
      <c r="C36" s="312">
        <v>-11.71</v>
      </c>
      <c r="D36" s="233" t="s">
        <v>312</v>
      </c>
    </row>
    <row r="37">
      <c r="A37" s="310">
        <v>44049.0</v>
      </c>
      <c r="B37" s="313" t="s">
        <v>1335</v>
      </c>
      <c r="C37" s="312">
        <v>-789.42</v>
      </c>
      <c r="D37" s="233" t="s">
        <v>312</v>
      </c>
    </row>
    <row r="38">
      <c r="A38" s="310">
        <v>44048.0</v>
      </c>
      <c r="B38" s="313" t="s">
        <v>1319</v>
      </c>
      <c r="C38" s="312">
        <v>-1500.0</v>
      </c>
      <c r="D38" s="233"/>
    </row>
    <row r="39">
      <c r="A39" s="310">
        <v>44047.0</v>
      </c>
      <c r="B39" s="313" t="s">
        <v>1336</v>
      </c>
      <c r="C39" s="312">
        <v>-157.73</v>
      </c>
      <c r="D39" s="233" t="s">
        <v>312</v>
      </c>
    </row>
    <row r="40">
      <c r="A40" s="310">
        <v>44046.0</v>
      </c>
      <c r="B40" s="313" t="s">
        <v>1319</v>
      </c>
      <c r="C40" s="312">
        <v>-2200.0</v>
      </c>
      <c r="D40" s="233"/>
    </row>
    <row r="41">
      <c r="A41" s="310">
        <v>44039.0</v>
      </c>
      <c r="B41" s="313" t="s">
        <v>1337</v>
      </c>
      <c r="C41" s="312">
        <v>-33.0</v>
      </c>
      <c r="D41" s="233" t="s">
        <v>312</v>
      </c>
    </row>
    <row r="42">
      <c r="A42" s="310">
        <v>44019.0</v>
      </c>
      <c r="B42" s="313" t="s">
        <v>1338</v>
      </c>
      <c r="C42" s="312">
        <v>-0.03</v>
      </c>
      <c r="D42" s="233" t="s">
        <v>312</v>
      </c>
    </row>
    <row r="43">
      <c r="A43" s="310">
        <v>44019.0</v>
      </c>
      <c r="B43" s="313" t="s">
        <v>1311</v>
      </c>
      <c r="C43" s="312">
        <v>100.0</v>
      </c>
      <c r="D43" s="233"/>
    </row>
    <row r="44">
      <c r="A44" s="310">
        <v>44018.0</v>
      </c>
      <c r="B44" s="313" t="s">
        <v>1339</v>
      </c>
      <c r="C44" s="312">
        <v>-4.73</v>
      </c>
      <c r="D44" s="233" t="s">
        <v>312</v>
      </c>
    </row>
    <row r="45">
      <c r="A45" s="310">
        <v>44018.0</v>
      </c>
      <c r="B45" s="313" t="s">
        <v>1340</v>
      </c>
      <c r="C45" s="312">
        <v>207.0</v>
      </c>
      <c r="D45" s="233"/>
    </row>
    <row r="46">
      <c r="A46" s="310">
        <v>44015.0</v>
      </c>
      <c r="B46" s="313" t="s">
        <v>1316</v>
      </c>
      <c r="C46" s="312">
        <v>-5.55</v>
      </c>
      <c r="D46" s="233"/>
    </row>
    <row r="47">
      <c r="A47" s="310">
        <v>44014.0</v>
      </c>
      <c r="B47" s="313" t="s">
        <v>1319</v>
      </c>
      <c r="C47" s="312">
        <v>-300.0</v>
      </c>
      <c r="D47" s="233"/>
    </row>
    <row r="48">
      <c r="A48" s="310">
        <v>44013.0</v>
      </c>
      <c r="B48" s="313" t="s">
        <v>1341</v>
      </c>
      <c r="C48" s="312">
        <v>506.7</v>
      </c>
      <c r="D48" s="233"/>
    </row>
    <row r="49">
      <c r="A49" s="310">
        <v>44012.0</v>
      </c>
      <c r="B49" s="313" t="s">
        <v>1342</v>
      </c>
      <c r="C49" s="312">
        <v>-1.15</v>
      </c>
      <c r="D49" s="233" t="s">
        <v>312</v>
      </c>
    </row>
    <row r="50">
      <c r="A50" s="310">
        <v>44008.0</v>
      </c>
      <c r="B50" s="313" t="s">
        <v>1343</v>
      </c>
      <c r="C50" s="312">
        <v>3000.0</v>
      </c>
      <c r="D50" s="233"/>
    </row>
    <row r="51">
      <c r="A51" s="310">
        <v>44007.0</v>
      </c>
      <c r="B51" s="313" t="s">
        <v>1344</v>
      </c>
      <c r="C51" s="312">
        <v>400.0</v>
      </c>
      <c r="D51" s="233"/>
    </row>
    <row r="52">
      <c r="A52" s="310">
        <v>43999.0</v>
      </c>
      <c r="B52" s="313" t="s">
        <v>1345</v>
      </c>
      <c r="C52" s="312">
        <v>-7.34</v>
      </c>
      <c r="D52" s="233" t="s">
        <v>312</v>
      </c>
    </row>
    <row r="53">
      <c r="A53" s="310">
        <v>43997.0</v>
      </c>
      <c r="B53" s="313" t="s">
        <v>1346</v>
      </c>
      <c r="C53" s="312">
        <v>-54.2</v>
      </c>
      <c r="D53" s="233" t="s">
        <v>312</v>
      </c>
    </row>
    <row r="54">
      <c r="A54" s="310">
        <v>43990.0</v>
      </c>
      <c r="B54" s="313" t="s">
        <v>1347</v>
      </c>
      <c r="C54" s="312">
        <v>100000.0</v>
      </c>
      <c r="D54" s="233"/>
    </row>
    <row r="55">
      <c r="A55" s="310">
        <v>43990.0</v>
      </c>
      <c r="B55" s="313" t="s">
        <v>1311</v>
      </c>
      <c r="C55" s="312">
        <v>100.0</v>
      </c>
      <c r="D55" s="233"/>
    </row>
    <row r="56">
      <c r="A56" s="310">
        <v>43990.0</v>
      </c>
      <c r="B56" s="313" t="s">
        <v>1319</v>
      </c>
      <c r="C56" s="312">
        <v>-300.0</v>
      </c>
      <c r="D56" s="233"/>
    </row>
    <row r="57">
      <c r="A57" s="310">
        <v>43987.0</v>
      </c>
      <c r="B57" s="313" t="s">
        <v>1348</v>
      </c>
      <c r="C57" s="312">
        <v>-913.86</v>
      </c>
      <c r="D57" s="233"/>
    </row>
    <row r="58">
      <c r="A58" s="310">
        <v>43987.0</v>
      </c>
      <c r="B58" s="313" t="s">
        <v>1340</v>
      </c>
      <c r="C58" s="312">
        <v>207.0</v>
      </c>
      <c r="D58" s="233"/>
    </row>
    <row r="59">
      <c r="A59" s="310">
        <v>43986.0</v>
      </c>
      <c r="B59" s="313" t="s">
        <v>1347</v>
      </c>
      <c r="C59" s="312">
        <v>400.0</v>
      </c>
      <c r="D59" s="233"/>
    </row>
    <row r="60">
      <c r="A60" s="310">
        <v>43985.0</v>
      </c>
      <c r="B60" s="313" t="s">
        <v>1341</v>
      </c>
      <c r="C60" s="312">
        <v>523.59</v>
      </c>
      <c r="D60" s="233"/>
    </row>
    <row r="61">
      <c r="A61" s="310">
        <v>43959.0</v>
      </c>
      <c r="B61" s="313" t="s">
        <v>1319</v>
      </c>
      <c r="C61" s="312">
        <v>-300.0</v>
      </c>
      <c r="D61" s="233"/>
    </row>
    <row r="62">
      <c r="A62" s="310">
        <v>43958.0</v>
      </c>
      <c r="B62" s="313" t="s">
        <v>1347</v>
      </c>
      <c r="C62" s="312">
        <v>400.0</v>
      </c>
      <c r="D62" s="233"/>
    </row>
    <row r="63">
      <c r="A63" s="310">
        <v>43956.0</v>
      </c>
      <c r="B63" s="313" t="s">
        <v>1348</v>
      </c>
      <c r="C63" s="312">
        <v>-913.86</v>
      </c>
      <c r="D63" s="233"/>
    </row>
    <row r="64">
      <c r="A64" s="310">
        <v>43957.0</v>
      </c>
      <c r="B64" s="313" t="s">
        <v>1311</v>
      </c>
      <c r="C64" s="312">
        <v>100.0</v>
      </c>
      <c r="D64" s="233"/>
    </row>
    <row r="65">
      <c r="A65" s="310">
        <v>43937.0</v>
      </c>
      <c r="B65" s="313" t="s">
        <v>1349</v>
      </c>
      <c r="C65" s="312">
        <v>-4.78</v>
      </c>
      <c r="D65" s="233" t="s">
        <v>312</v>
      </c>
    </row>
    <row r="66">
      <c r="A66" s="310">
        <v>43936.0</v>
      </c>
      <c r="B66" s="313" t="s">
        <v>1350</v>
      </c>
      <c r="C66" s="312">
        <v>-4.99</v>
      </c>
      <c r="D66" s="233" t="s">
        <v>312</v>
      </c>
    </row>
    <row r="67">
      <c r="A67" s="310">
        <v>43936.0</v>
      </c>
      <c r="B67" s="313" t="s">
        <v>1347</v>
      </c>
      <c r="C67" s="312">
        <v>100.0</v>
      </c>
      <c r="D67" s="233"/>
    </row>
    <row r="68">
      <c r="A68" s="310">
        <v>43935.0</v>
      </c>
      <c r="B68" s="313" t="s">
        <v>1319</v>
      </c>
      <c r="C68" s="312">
        <v>-300.0</v>
      </c>
      <c r="D68" s="233"/>
    </row>
    <row r="69">
      <c r="A69" s="310">
        <v>43928.0</v>
      </c>
      <c r="B69" s="313" t="s">
        <v>1351</v>
      </c>
      <c r="C69" s="312">
        <v>-0.12</v>
      </c>
      <c r="D69" s="233" t="s">
        <v>312</v>
      </c>
    </row>
    <row r="70">
      <c r="A70" s="310">
        <v>43928.0</v>
      </c>
      <c r="B70" s="313" t="s">
        <v>1311</v>
      </c>
      <c r="C70" s="312">
        <v>100.0</v>
      </c>
      <c r="D70" s="233"/>
    </row>
    <row r="71">
      <c r="A71" s="310">
        <v>43927.0</v>
      </c>
      <c r="B71" s="313" t="s">
        <v>1348</v>
      </c>
      <c r="C71" s="312">
        <v>-913.86</v>
      </c>
      <c r="D71" s="233"/>
    </row>
    <row r="72">
      <c r="A72" s="310">
        <v>43924.0</v>
      </c>
      <c r="B72" s="313" t="s">
        <v>1347</v>
      </c>
      <c r="C72" s="312">
        <v>200.0</v>
      </c>
      <c r="D72" s="233"/>
    </row>
    <row r="73">
      <c r="A73" s="310">
        <v>43924.0</v>
      </c>
      <c r="B73" s="313" t="s">
        <v>1340</v>
      </c>
      <c r="C73" s="312">
        <v>207.0</v>
      </c>
      <c r="D73" s="233"/>
    </row>
    <row r="74">
      <c r="A74" s="310">
        <v>43922.0</v>
      </c>
      <c r="B74" s="313" t="s">
        <v>1341</v>
      </c>
      <c r="C74" s="312">
        <v>518.94</v>
      </c>
      <c r="D74" s="233"/>
    </row>
    <row r="75">
      <c r="A75" s="310">
        <v>43907.0</v>
      </c>
      <c r="B75" s="313" t="s">
        <v>1340</v>
      </c>
      <c r="C75" s="312">
        <v>207.0</v>
      </c>
      <c r="D75" s="233"/>
    </row>
    <row r="76">
      <c r="A76" s="310">
        <v>43906.0</v>
      </c>
      <c r="B76" s="313" t="s">
        <v>1352</v>
      </c>
      <c r="C76" s="312">
        <v>-12.5</v>
      </c>
      <c r="D76" s="233" t="s">
        <v>312</v>
      </c>
    </row>
    <row r="77">
      <c r="A77" s="310">
        <v>43906.0</v>
      </c>
      <c r="B77" s="313" t="s">
        <v>1353</v>
      </c>
      <c r="C77" s="312">
        <v>-22.5</v>
      </c>
      <c r="D77" s="233" t="s">
        <v>312</v>
      </c>
    </row>
    <row r="78">
      <c r="A78" s="310">
        <v>43900.0</v>
      </c>
      <c r="B78" s="313" t="s">
        <v>1354</v>
      </c>
      <c r="C78" s="312">
        <v>-20.0</v>
      </c>
      <c r="D78" s="233" t="s">
        <v>312</v>
      </c>
    </row>
    <row r="79">
      <c r="A79" s="310">
        <v>43899.0</v>
      </c>
      <c r="B79" s="313" t="s">
        <v>1316</v>
      </c>
      <c r="C79" s="312">
        <v>16.25</v>
      </c>
      <c r="D79" s="233"/>
    </row>
    <row r="80">
      <c r="A80" s="310">
        <v>43899.0</v>
      </c>
      <c r="B80" s="313" t="s">
        <v>1316</v>
      </c>
      <c r="C80" s="312">
        <v>-16.25</v>
      </c>
      <c r="D80" s="233"/>
    </row>
    <row r="81">
      <c r="A81" s="310">
        <v>43899.0</v>
      </c>
      <c r="B81" s="313" t="s">
        <v>1319</v>
      </c>
      <c r="C81" s="312">
        <v>-300.0</v>
      </c>
      <c r="D81" s="233"/>
    </row>
    <row r="82">
      <c r="A82" s="310">
        <v>43899.0</v>
      </c>
      <c r="B82" s="313" t="s">
        <v>1355</v>
      </c>
      <c r="C82" s="312">
        <v>-4.5</v>
      </c>
      <c r="D82" s="233" t="s">
        <v>312</v>
      </c>
    </row>
    <row r="83">
      <c r="A83" s="310">
        <v>43899.0</v>
      </c>
      <c r="B83" s="313" t="s">
        <v>1355</v>
      </c>
      <c r="C83" s="312">
        <v>-15.1</v>
      </c>
      <c r="D83" s="233" t="s">
        <v>312</v>
      </c>
    </row>
    <row r="84">
      <c r="A84" s="310">
        <v>43896.0</v>
      </c>
      <c r="B84" s="313" t="s">
        <v>1347</v>
      </c>
      <c r="C84" s="312">
        <v>300.0</v>
      </c>
      <c r="D84" s="233"/>
    </row>
    <row r="85">
      <c r="A85" s="310">
        <v>43896.0</v>
      </c>
      <c r="B85" s="313" t="s">
        <v>1311</v>
      </c>
      <c r="C85" s="312">
        <v>100.0</v>
      </c>
      <c r="D85" s="233"/>
    </row>
    <row r="86">
      <c r="A86" s="310">
        <v>43895.0</v>
      </c>
      <c r="B86" s="313" t="s">
        <v>1347</v>
      </c>
      <c r="C86" s="312">
        <v>400.0</v>
      </c>
      <c r="D86" s="233"/>
    </row>
    <row r="87">
      <c r="A87" s="310">
        <v>43895.0</v>
      </c>
      <c r="B87" s="313" t="s">
        <v>1348</v>
      </c>
      <c r="C87" s="312">
        <v>-913.86</v>
      </c>
      <c r="D87" s="233"/>
    </row>
    <row r="88">
      <c r="A88" s="310">
        <v>43893.0</v>
      </c>
      <c r="B88" s="313" t="s">
        <v>1341</v>
      </c>
      <c r="C88" s="312">
        <v>485.46</v>
      </c>
      <c r="D88" s="233"/>
    </row>
    <row r="89">
      <c r="A89" s="310">
        <v>43887.0</v>
      </c>
      <c r="B89" s="313" t="s">
        <v>1356</v>
      </c>
      <c r="C89" s="312">
        <v>-100.0</v>
      </c>
      <c r="D89" s="233" t="s">
        <v>312</v>
      </c>
    </row>
    <row r="90">
      <c r="A90" s="310">
        <v>43883.0</v>
      </c>
      <c r="B90" s="313" t="s">
        <v>1357</v>
      </c>
      <c r="C90" s="312">
        <v>-35.0</v>
      </c>
      <c r="D90" s="233" t="s">
        <v>312</v>
      </c>
    </row>
    <row r="91">
      <c r="A91" s="310">
        <v>43871.0</v>
      </c>
      <c r="B91" s="313" t="s">
        <v>1318</v>
      </c>
      <c r="C91" s="312">
        <v>100.0</v>
      </c>
      <c r="D91" s="233"/>
    </row>
    <row r="92">
      <c r="A92" s="310">
        <v>43868.0</v>
      </c>
      <c r="B92" s="313" t="s">
        <v>1316</v>
      </c>
      <c r="C92" s="312">
        <v>30.0</v>
      </c>
      <c r="D92" s="233"/>
    </row>
    <row r="93">
      <c r="A93" s="310">
        <v>43868.0</v>
      </c>
      <c r="B93" s="313" t="s">
        <v>1316</v>
      </c>
      <c r="C93" s="312">
        <v>-30.0</v>
      </c>
      <c r="D93" s="233"/>
    </row>
    <row r="94">
      <c r="A94" s="310">
        <v>43867.0</v>
      </c>
      <c r="B94" s="313" t="s">
        <v>1347</v>
      </c>
      <c r="C94" s="312">
        <v>200.0</v>
      </c>
      <c r="D94" s="233"/>
    </row>
    <row r="95">
      <c r="A95" s="310">
        <v>43867.0</v>
      </c>
      <c r="B95" s="313" t="s">
        <v>1311</v>
      </c>
      <c r="C95" s="312">
        <v>100.0</v>
      </c>
      <c r="D95" s="233"/>
    </row>
    <row r="96">
      <c r="A96" s="310">
        <v>43866.0</v>
      </c>
      <c r="B96" s="313" t="s">
        <v>1358</v>
      </c>
      <c r="C96" s="312">
        <v>-83.35</v>
      </c>
      <c r="D96" s="233" t="s">
        <v>312</v>
      </c>
    </row>
    <row r="97">
      <c r="A97" s="310">
        <v>43866.0</v>
      </c>
      <c r="B97" s="313" t="s">
        <v>1348</v>
      </c>
      <c r="C97" s="312">
        <v>-913.86</v>
      </c>
      <c r="D97" s="233"/>
    </row>
    <row r="98">
      <c r="A98" s="310">
        <v>43866.0</v>
      </c>
      <c r="B98" s="313" t="s">
        <v>1340</v>
      </c>
      <c r="C98" s="312">
        <v>207.0</v>
      </c>
      <c r="D98" s="233"/>
    </row>
    <row r="99">
      <c r="A99" s="310">
        <v>43864.0</v>
      </c>
      <c r="B99" s="313" t="s">
        <v>1359</v>
      </c>
      <c r="C99" s="312">
        <v>-53.0</v>
      </c>
      <c r="D99" s="233" t="s">
        <v>312</v>
      </c>
    </row>
    <row r="100">
      <c r="A100" s="310">
        <v>43864.0</v>
      </c>
      <c r="B100" s="313" t="s">
        <v>1341</v>
      </c>
      <c r="C100" s="312">
        <v>518.94</v>
      </c>
      <c r="D100" s="233"/>
    </row>
    <row r="101">
      <c r="A101" s="310">
        <v>43854.0</v>
      </c>
      <c r="B101" s="313" t="s">
        <v>1347</v>
      </c>
      <c r="C101" s="312">
        <v>100.0</v>
      </c>
      <c r="D101" s="233"/>
    </row>
    <row r="102">
      <c r="A102" s="310">
        <v>43850.0</v>
      </c>
      <c r="B102" s="313" t="s">
        <v>1360</v>
      </c>
      <c r="C102" s="312">
        <v>-45.5</v>
      </c>
      <c r="D102" s="233" t="s">
        <v>312</v>
      </c>
    </row>
    <row r="103">
      <c r="A103" s="310">
        <v>43850.0</v>
      </c>
      <c r="B103" s="313" t="s">
        <v>1319</v>
      </c>
      <c r="C103" s="312">
        <v>-1000.0</v>
      </c>
      <c r="D103" s="233"/>
    </row>
    <row r="104">
      <c r="A104" s="310">
        <v>43847.0</v>
      </c>
      <c r="B104" s="313" t="s">
        <v>1347</v>
      </c>
      <c r="C104" s="312">
        <v>1000.0</v>
      </c>
      <c r="D104" s="233"/>
    </row>
    <row r="105">
      <c r="A105" s="310">
        <v>43847.0</v>
      </c>
      <c r="B105" s="313" t="s">
        <v>1316</v>
      </c>
      <c r="C105" s="312">
        <v>-36.0</v>
      </c>
      <c r="D105" s="233"/>
    </row>
    <row r="106">
      <c r="A106" s="310">
        <v>43844.0</v>
      </c>
      <c r="B106" s="313" t="s">
        <v>1361</v>
      </c>
      <c r="C106" s="312">
        <v>-434.68</v>
      </c>
      <c r="D106" s="233" t="s">
        <v>312</v>
      </c>
    </row>
    <row r="107">
      <c r="A107" s="310">
        <v>43844.0</v>
      </c>
      <c r="B107" s="313" t="s">
        <v>1362</v>
      </c>
      <c r="C107" s="312">
        <v>-1.42</v>
      </c>
      <c r="D107" s="233" t="s">
        <v>312</v>
      </c>
    </row>
    <row r="108">
      <c r="A108" s="310">
        <v>43843.0</v>
      </c>
      <c r="B108" s="313" t="s">
        <v>1347</v>
      </c>
      <c r="C108" s="312">
        <v>300.0</v>
      </c>
      <c r="D108" s="233"/>
    </row>
    <row r="109">
      <c r="A109" s="310">
        <v>43838.0</v>
      </c>
      <c r="B109" s="313" t="s">
        <v>1363</v>
      </c>
      <c r="C109" s="312">
        <v>-0.35</v>
      </c>
      <c r="D109" s="233" t="s">
        <v>312</v>
      </c>
    </row>
    <row r="110">
      <c r="A110" s="310">
        <v>43837.0</v>
      </c>
      <c r="B110" s="313" t="s">
        <v>1311</v>
      </c>
      <c r="C110" s="312">
        <v>100.0</v>
      </c>
      <c r="D110" s="233"/>
    </row>
    <row r="111">
      <c r="A111" s="310">
        <v>43836.0</v>
      </c>
      <c r="B111" s="313" t="s">
        <v>1348</v>
      </c>
      <c r="C111" s="312">
        <v>-731.72</v>
      </c>
      <c r="D111" s="233"/>
    </row>
    <row r="112">
      <c r="A112" s="310">
        <v>43836.0</v>
      </c>
      <c r="B112" s="313" t="s">
        <v>1340</v>
      </c>
      <c r="C112" s="312">
        <v>207.0</v>
      </c>
      <c r="D112" s="233"/>
    </row>
    <row r="113">
      <c r="A113" s="310">
        <v>43832.0</v>
      </c>
      <c r="B113" s="313" t="s">
        <v>1341</v>
      </c>
      <c r="C113" s="312">
        <v>518.94</v>
      </c>
      <c r="D113" s="233"/>
    </row>
    <row r="114">
      <c r="A114" s="310">
        <v>43829.0</v>
      </c>
      <c r="B114" s="313" t="s">
        <v>1364</v>
      </c>
      <c r="C114" s="312">
        <v>-29900.0</v>
      </c>
      <c r="D114" s="233"/>
    </row>
    <row r="115">
      <c r="A115" s="310">
        <v>43826.0</v>
      </c>
      <c r="B115" s="313" t="s">
        <v>1365</v>
      </c>
      <c r="C115" s="312">
        <v>30000.0</v>
      </c>
      <c r="D115" s="233"/>
    </row>
    <row r="116">
      <c r="A116" s="310">
        <v>43822.0</v>
      </c>
      <c r="B116" s="313" t="s">
        <v>1366</v>
      </c>
      <c r="C116" s="312">
        <v>-109.99</v>
      </c>
      <c r="D116" s="233" t="s">
        <v>312</v>
      </c>
    </row>
    <row r="117">
      <c r="A117" s="310">
        <v>43817.0</v>
      </c>
      <c r="B117" s="313" t="s">
        <v>1341</v>
      </c>
      <c r="C117" s="312">
        <v>152.45</v>
      </c>
      <c r="D117" s="233"/>
    </row>
    <row r="118">
      <c r="A118" s="310">
        <v>43815.0</v>
      </c>
      <c r="B118" s="313" t="s">
        <v>1367</v>
      </c>
      <c r="C118" s="312">
        <v>-42.9</v>
      </c>
      <c r="D118" s="233" t="s">
        <v>312</v>
      </c>
    </row>
    <row r="119">
      <c r="A119" s="184">
        <v>43815.0</v>
      </c>
      <c r="B119" s="314" t="s">
        <v>1347</v>
      </c>
      <c r="C119" s="233">
        <v>100.0</v>
      </c>
      <c r="D119" s="233"/>
    </row>
    <row r="120">
      <c r="A120" s="184">
        <v>43809.0</v>
      </c>
      <c r="B120" s="314" t="s">
        <v>1347</v>
      </c>
      <c r="C120" s="233">
        <v>100.0</v>
      </c>
      <c r="D120" s="233"/>
    </row>
    <row r="121">
      <c r="A121" s="310">
        <v>43808.0</v>
      </c>
      <c r="B121" s="313" t="s">
        <v>1368</v>
      </c>
      <c r="C121" s="312">
        <v>-38.0</v>
      </c>
      <c r="D121" s="233" t="s">
        <v>312</v>
      </c>
    </row>
    <row r="122">
      <c r="A122" s="310">
        <v>43808.0</v>
      </c>
      <c r="B122" s="313" t="s">
        <v>1369</v>
      </c>
      <c r="C122" s="312">
        <v>-5.43</v>
      </c>
      <c r="D122" s="233" t="s">
        <v>312</v>
      </c>
    </row>
    <row r="123">
      <c r="A123" s="310">
        <v>43805.0</v>
      </c>
      <c r="B123" s="313" t="s">
        <v>1311</v>
      </c>
      <c r="C123" s="312">
        <v>100.0</v>
      </c>
      <c r="D123" s="233"/>
    </row>
    <row r="124">
      <c r="A124" s="310">
        <v>43804.0</v>
      </c>
      <c r="B124" s="313" t="s">
        <v>1348</v>
      </c>
      <c r="C124" s="312">
        <v>-913.86</v>
      </c>
      <c r="D124" s="233"/>
    </row>
    <row r="125">
      <c r="A125" s="310">
        <v>43804.0</v>
      </c>
      <c r="B125" s="313" t="s">
        <v>1340</v>
      </c>
      <c r="C125" s="312">
        <v>207.0</v>
      </c>
      <c r="D125" s="233"/>
    </row>
    <row r="126">
      <c r="A126" s="310">
        <v>43802.0</v>
      </c>
      <c r="B126" s="313" t="s">
        <v>1341</v>
      </c>
      <c r="C126" s="312">
        <v>502.2</v>
      </c>
      <c r="D126" s="233"/>
    </row>
    <row r="127">
      <c r="A127" s="310">
        <v>43795.0</v>
      </c>
      <c r="B127" s="313" t="s">
        <v>1370</v>
      </c>
      <c r="C127" s="312">
        <v>-2.16</v>
      </c>
      <c r="D127" s="233" t="s">
        <v>312</v>
      </c>
    </row>
    <row r="128">
      <c r="A128" s="310">
        <v>43794.0</v>
      </c>
      <c r="B128" s="313" t="s">
        <v>1371</v>
      </c>
      <c r="C128" s="312">
        <v>40.0</v>
      </c>
      <c r="D128" s="233"/>
    </row>
    <row r="129">
      <c r="A129" s="310">
        <v>43775.0</v>
      </c>
      <c r="B129" s="313" t="s">
        <v>1372</v>
      </c>
      <c r="C129" s="312">
        <v>-40.0</v>
      </c>
      <c r="D129" s="233" t="s">
        <v>312</v>
      </c>
    </row>
    <row r="130">
      <c r="A130" s="310">
        <v>43775.0</v>
      </c>
      <c r="B130" s="313" t="s">
        <v>1311</v>
      </c>
      <c r="C130" s="312">
        <v>100.0</v>
      </c>
      <c r="D130" s="233"/>
    </row>
    <row r="131">
      <c r="A131" s="310">
        <v>43775.0</v>
      </c>
      <c r="B131" s="313" t="s">
        <v>1319</v>
      </c>
      <c r="C131" s="312">
        <v>-13600.0</v>
      </c>
      <c r="D131" s="233"/>
    </row>
    <row r="132">
      <c r="A132" s="310">
        <v>43774.0</v>
      </c>
      <c r="B132" s="313" t="s">
        <v>1347</v>
      </c>
      <c r="C132" s="312">
        <v>13700.0</v>
      </c>
      <c r="D132" s="233"/>
    </row>
    <row r="133">
      <c r="A133" s="310">
        <v>43774.0</v>
      </c>
      <c r="B133" s="313" t="s">
        <v>1348</v>
      </c>
      <c r="C133" s="312">
        <v>-918.56</v>
      </c>
      <c r="D133" s="233"/>
    </row>
    <row r="134">
      <c r="A134" s="310">
        <v>43774.0</v>
      </c>
      <c r="B134" s="313" t="s">
        <v>1340</v>
      </c>
      <c r="C134" s="312">
        <v>207.0</v>
      </c>
      <c r="D134" s="233"/>
    </row>
    <row r="135">
      <c r="A135" s="310">
        <v>43773.0</v>
      </c>
      <c r="B135" s="313" t="s">
        <v>1341</v>
      </c>
      <c r="C135" s="312">
        <v>518.94</v>
      </c>
      <c r="D135" s="233"/>
    </row>
    <row r="136">
      <c r="A136" s="310">
        <v>43759.0</v>
      </c>
      <c r="B136" s="313" t="s">
        <v>1373</v>
      </c>
      <c r="C136" s="312">
        <v>-5.55</v>
      </c>
      <c r="D136" s="233" t="s">
        <v>312</v>
      </c>
    </row>
    <row r="137">
      <c r="A137" s="310">
        <v>43756.0</v>
      </c>
      <c r="B137" s="313" t="s">
        <v>1319</v>
      </c>
      <c r="C137" s="312">
        <v>-150.0</v>
      </c>
      <c r="D137" s="233"/>
    </row>
    <row r="138">
      <c r="A138" s="310">
        <v>43755.0</v>
      </c>
      <c r="B138" s="313" t="s">
        <v>1347</v>
      </c>
      <c r="C138" s="312">
        <v>200.0</v>
      </c>
      <c r="D138" s="233"/>
    </row>
    <row r="139">
      <c r="A139" s="310">
        <v>43753.0</v>
      </c>
      <c r="B139" s="313" t="s">
        <v>1374</v>
      </c>
      <c r="C139" s="312">
        <v>-50.0</v>
      </c>
      <c r="D139" s="233" t="s">
        <v>312</v>
      </c>
    </row>
    <row r="140">
      <c r="A140" s="310">
        <v>43748.0</v>
      </c>
      <c r="B140" s="313" t="s">
        <v>1314</v>
      </c>
      <c r="C140" s="312">
        <v>-144.89</v>
      </c>
      <c r="D140" s="233" t="s">
        <v>312</v>
      </c>
    </row>
    <row r="141">
      <c r="A141" s="310">
        <v>43747.0</v>
      </c>
      <c r="B141" s="313" t="s">
        <v>1341</v>
      </c>
      <c r="C141" s="312">
        <v>502.2</v>
      </c>
      <c r="D141" s="233"/>
    </row>
    <row r="142">
      <c r="A142" s="310">
        <v>43746.0</v>
      </c>
      <c r="B142" s="313" t="s">
        <v>1311</v>
      </c>
      <c r="C142" s="312">
        <v>100.0</v>
      </c>
      <c r="D142" s="233"/>
    </row>
    <row r="143">
      <c r="A143" s="310">
        <v>43745.0</v>
      </c>
      <c r="B143" s="313" t="s">
        <v>1375</v>
      </c>
      <c r="C143" s="312">
        <v>-20.0</v>
      </c>
      <c r="D143" s="233" t="s">
        <v>312</v>
      </c>
    </row>
    <row r="144">
      <c r="A144" s="310">
        <v>43745.0</v>
      </c>
      <c r="B144" s="313" t="s">
        <v>1376</v>
      </c>
      <c r="C144" s="312">
        <v>-25.0</v>
      </c>
      <c r="D144" s="233" t="s">
        <v>312</v>
      </c>
    </row>
    <row r="145">
      <c r="A145" s="310">
        <v>43745.0</v>
      </c>
      <c r="B145" s="313" t="s">
        <v>1377</v>
      </c>
      <c r="C145" s="312">
        <v>-23.0</v>
      </c>
      <c r="D145" s="233" t="s">
        <v>312</v>
      </c>
    </row>
    <row r="146">
      <c r="A146" s="310">
        <v>43745.0</v>
      </c>
      <c r="B146" s="313" t="s">
        <v>1378</v>
      </c>
      <c r="C146" s="312">
        <v>-25.8</v>
      </c>
      <c r="D146" s="233" t="s">
        <v>312</v>
      </c>
    </row>
    <row r="147">
      <c r="A147" s="310">
        <v>43745.0</v>
      </c>
      <c r="B147" s="313" t="s">
        <v>1347</v>
      </c>
      <c r="C147" s="312">
        <v>400.0</v>
      </c>
      <c r="D147" s="233"/>
    </row>
    <row r="148">
      <c r="A148" s="310">
        <v>43745.0</v>
      </c>
      <c r="B148" s="313" t="s">
        <v>1379</v>
      </c>
      <c r="C148" s="312">
        <v>-0.15</v>
      </c>
      <c r="D148" s="233" t="s">
        <v>312</v>
      </c>
    </row>
    <row r="149">
      <c r="A149" s="310">
        <v>43745.0</v>
      </c>
      <c r="B149" s="313" t="s">
        <v>1348</v>
      </c>
      <c r="C149" s="312">
        <v>-903.45</v>
      </c>
      <c r="D149" s="233"/>
    </row>
    <row r="150">
      <c r="A150" s="310">
        <v>43742.0</v>
      </c>
      <c r="B150" s="313" t="s">
        <v>1340</v>
      </c>
      <c r="C150" s="312">
        <v>207.0</v>
      </c>
      <c r="D150" s="233"/>
    </row>
    <row r="151">
      <c r="A151" s="310">
        <v>43738.0</v>
      </c>
      <c r="B151" s="313" t="s">
        <v>1380</v>
      </c>
      <c r="C151" s="312">
        <v>-35.0</v>
      </c>
      <c r="D151" s="233" t="s">
        <v>312</v>
      </c>
    </row>
    <row r="152">
      <c r="A152" s="310">
        <v>43720.0</v>
      </c>
      <c r="B152" s="313" t="s">
        <v>1381</v>
      </c>
      <c r="C152" s="312">
        <v>-55.0</v>
      </c>
      <c r="D152" s="233" t="s">
        <v>312</v>
      </c>
    </row>
    <row r="153">
      <c r="A153" s="184">
        <v>43719.0</v>
      </c>
      <c r="B153" s="314" t="s">
        <v>1347</v>
      </c>
      <c r="C153" s="233">
        <v>100.0</v>
      </c>
      <c r="D153" s="233"/>
    </row>
    <row r="154">
      <c r="A154" s="310">
        <v>43719.0</v>
      </c>
      <c r="B154" s="313" t="s">
        <v>1347</v>
      </c>
      <c r="C154" s="312">
        <v>300.0</v>
      </c>
      <c r="D154" s="233"/>
    </row>
    <row r="155">
      <c r="A155" s="310">
        <v>43719.0</v>
      </c>
      <c r="B155" s="313" t="s">
        <v>1347</v>
      </c>
      <c r="C155" s="312">
        <v>0.1</v>
      </c>
      <c r="D155" s="233"/>
    </row>
    <row r="156">
      <c r="A156" s="310">
        <v>43718.0</v>
      </c>
      <c r="B156" s="313" t="s">
        <v>1382</v>
      </c>
      <c r="C156" s="312">
        <v>-340.6</v>
      </c>
      <c r="D156" s="233"/>
    </row>
    <row r="157">
      <c r="A157" s="310">
        <v>43717.0</v>
      </c>
      <c r="B157" s="313" t="s">
        <v>1347</v>
      </c>
      <c r="C157" s="312">
        <v>100.0</v>
      </c>
      <c r="D157" s="233"/>
    </row>
    <row r="158">
      <c r="A158" s="310">
        <v>43713.0</v>
      </c>
      <c r="B158" s="313" t="s">
        <v>1348</v>
      </c>
      <c r="C158" s="312">
        <v>-903.45</v>
      </c>
      <c r="D158" s="233"/>
    </row>
    <row r="159">
      <c r="A159" s="310">
        <v>43713.0</v>
      </c>
      <c r="B159" s="313" t="s">
        <v>1340</v>
      </c>
      <c r="C159" s="312">
        <v>207.0</v>
      </c>
      <c r="D159" s="233"/>
    </row>
    <row r="160">
      <c r="A160" s="310">
        <v>43712.0</v>
      </c>
      <c r="B160" s="313" t="s">
        <v>1383</v>
      </c>
      <c r="C160" s="312">
        <v>-0.1</v>
      </c>
      <c r="D160" s="233" t="s">
        <v>312</v>
      </c>
    </row>
    <row r="161">
      <c r="A161" s="310">
        <v>43710.0</v>
      </c>
      <c r="B161" s="313" t="s">
        <v>1341</v>
      </c>
      <c r="C161" s="312">
        <v>518.94</v>
      </c>
      <c r="D161" s="233"/>
    </row>
    <row r="162">
      <c r="A162" s="310">
        <v>43706.0</v>
      </c>
      <c r="B162" s="313" t="s">
        <v>1319</v>
      </c>
      <c r="C162" s="312">
        <v>-1000.0</v>
      </c>
      <c r="D162" s="233"/>
    </row>
    <row r="163">
      <c r="A163" s="310">
        <v>43705.0</v>
      </c>
      <c r="B163" s="313" t="s">
        <v>1347</v>
      </c>
      <c r="C163" s="312">
        <v>1000.0</v>
      </c>
      <c r="D163" s="233"/>
    </row>
    <row r="164">
      <c r="A164" s="310">
        <v>43691.0</v>
      </c>
      <c r="B164" s="313" t="s">
        <v>1384</v>
      </c>
      <c r="C164" s="312">
        <v>-21.03</v>
      </c>
      <c r="D164" s="233" t="s">
        <v>312</v>
      </c>
    </row>
    <row r="165">
      <c r="A165" s="310">
        <v>43690.0</v>
      </c>
      <c r="B165" s="313" t="s">
        <v>1385</v>
      </c>
      <c r="C165" s="312">
        <v>25.0</v>
      </c>
      <c r="D165" s="233"/>
    </row>
    <row r="166">
      <c r="A166" s="310">
        <v>43689.0</v>
      </c>
      <c r="B166" s="313" t="s">
        <v>1316</v>
      </c>
      <c r="C166" s="312">
        <v>-25.0</v>
      </c>
      <c r="D166" s="233"/>
    </row>
    <row r="167">
      <c r="A167" s="310">
        <v>43689.0</v>
      </c>
      <c r="B167" s="313" t="s">
        <v>1382</v>
      </c>
      <c r="C167" s="312">
        <v>-340.6</v>
      </c>
      <c r="D167" s="233"/>
    </row>
    <row r="168">
      <c r="A168" s="310">
        <v>43686.0</v>
      </c>
      <c r="B168" s="313" t="s">
        <v>1386</v>
      </c>
      <c r="C168" s="312">
        <v>-100.0</v>
      </c>
      <c r="D168" s="233" t="s">
        <v>312</v>
      </c>
    </row>
    <row r="169">
      <c r="A169" s="310">
        <v>43684.0</v>
      </c>
      <c r="B169" s="313" t="s">
        <v>1347</v>
      </c>
      <c r="C169" s="312">
        <v>400.0</v>
      </c>
      <c r="D169" s="233"/>
    </row>
    <row r="170">
      <c r="A170" s="310">
        <v>43683.0</v>
      </c>
      <c r="B170" s="313" t="s">
        <v>1311</v>
      </c>
      <c r="C170" s="312">
        <v>100.0</v>
      </c>
      <c r="D170" s="233"/>
    </row>
    <row r="171">
      <c r="A171" s="310">
        <v>43682.0</v>
      </c>
      <c r="B171" s="313" t="s">
        <v>1348</v>
      </c>
      <c r="C171" s="312">
        <v>-903.45</v>
      </c>
      <c r="D171" s="233"/>
    </row>
    <row r="172">
      <c r="A172" s="310">
        <v>43682.0</v>
      </c>
      <c r="B172" s="313" t="s">
        <v>1340</v>
      </c>
      <c r="C172" s="312">
        <v>207.0</v>
      </c>
      <c r="D172" s="233"/>
    </row>
    <row r="173">
      <c r="A173" s="310">
        <v>43678.0</v>
      </c>
      <c r="B173" s="313" t="s">
        <v>1341</v>
      </c>
      <c r="C173" s="312">
        <v>518.94</v>
      </c>
      <c r="D173" s="233"/>
    </row>
    <row r="174">
      <c r="A174" s="310">
        <v>43675.0</v>
      </c>
      <c r="B174" s="313" t="s">
        <v>1387</v>
      </c>
      <c r="C174" s="312">
        <v>-52.87</v>
      </c>
      <c r="D174" s="233" t="s">
        <v>312</v>
      </c>
    </row>
    <row r="175">
      <c r="A175" s="310">
        <v>43675.0</v>
      </c>
      <c r="B175" s="313" t="s">
        <v>1388</v>
      </c>
      <c r="C175" s="312">
        <v>-4.1</v>
      </c>
      <c r="D175" s="233" t="s">
        <v>312</v>
      </c>
    </row>
    <row r="176">
      <c r="A176" s="310">
        <v>43675.0</v>
      </c>
      <c r="B176" s="313" t="s">
        <v>1318</v>
      </c>
      <c r="C176" s="312">
        <v>100.0</v>
      </c>
      <c r="D176" s="233"/>
    </row>
    <row r="177">
      <c r="A177" s="310">
        <v>43658.0</v>
      </c>
      <c r="B177" s="313" t="s">
        <v>1389</v>
      </c>
      <c r="C177" s="312">
        <v>-20.0</v>
      </c>
      <c r="D177" s="233" t="s">
        <v>312</v>
      </c>
    </row>
    <row r="178">
      <c r="A178" s="310">
        <v>43656.0</v>
      </c>
      <c r="B178" s="313" t="s">
        <v>1382</v>
      </c>
      <c r="C178" s="312">
        <v>-340.6</v>
      </c>
      <c r="D178" s="233"/>
    </row>
    <row r="179">
      <c r="A179" s="310">
        <v>43655.0</v>
      </c>
      <c r="B179" s="313" t="s">
        <v>1390</v>
      </c>
      <c r="C179" s="312">
        <v>26.0</v>
      </c>
      <c r="D179" s="233"/>
    </row>
    <row r="180">
      <c r="A180" s="310">
        <v>43654.0</v>
      </c>
      <c r="B180" s="313" t="s">
        <v>1391</v>
      </c>
      <c r="C180" s="312">
        <v>-26.0</v>
      </c>
      <c r="D180" s="233"/>
    </row>
    <row r="181">
      <c r="A181" s="310">
        <v>43654.0</v>
      </c>
      <c r="B181" s="313" t="s">
        <v>1311</v>
      </c>
      <c r="C181" s="312">
        <v>100.0</v>
      </c>
      <c r="D181" s="233"/>
    </row>
    <row r="182">
      <c r="A182" s="310">
        <v>43651.0</v>
      </c>
      <c r="B182" s="313" t="s">
        <v>1392</v>
      </c>
      <c r="C182" s="312">
        <v>-0.23</v>
      </c>
      <c r="D182" s="233" t="s">
        <v>312</v>
      </c>
    </row>
    <row r="183">
      <c r="A183" s="310">
        <v>43651.0</v>
      </c>
      <c r="B183" s="313" t="s">
        <v>1348</v>
      </c>
      <c r="C183" s="312">
        <v>-903.45</v>
      </c>
      <c r="D183" s="233"/>
    </row>
    <row r="184">
      <c r="A184" s="310">
        <v>43651.0</v>
      </c>
      <c r="B184" s="313" t="s">
        <v>1340</v>
      </c>
      <c r="C184" s="312">
        <v>207.0</v>
      </c>
      <c r="D184" s="233"/>
    </row>
    <row r="185">
      <c r="A185" s="310">
        <v>43648.0</v>
      </c>
      <c r="B185" s="313" t="s">
        <v>1393</v>
      </c>
      <c r="C185" s="312">
        <v>-0.66</v>
      </c>
      <c r="D185" s="233" t="s">
        <v>312</v>
      </c>
    </row>
    <row r="186">
      <c r="A186" s="310">
        <v>43648.0</v>
      </c>
      <c r="B186" s="313" t="s">
        <v>1394</v>
      </c>
      <c r="C186" s="312">
        <v>-90.0</v>
      </c>
      <c r="D186" s="233" t="s">
        <v>312</v>
      </c>
    </row>
    <row r="187">
      <c r="A187" s="310">
        <v>43649.0</v>
      </c>
      <c r="B187" s="313" t="s">
        <v>1347</v>
      </c>
      <c r="C187" s="312">
        <v>500.0</v>
      </c>
      <c r="D187" s="233"/>
    </row>
    <row r="188">
      <c r="A188" s="310">
        <v>43647.0</v>
      </c>
      <c r="B188" s="313" t="s">
        <v>1395</v>
      </c>
      <c r="C188" s="312">
        <v>-2.9</v>
      </c>
      <c r="D188" s="233" t="s">
        <v>312</v>
      </c>
    </row>
    <row r="189">
      <c r="A189" s="310">
        <v>43641.0</v>
      </c>
      <c r="B189" s="313" t="s">
        <v>1396</v>
      </c>
      <c r="C189" s="312">
        <v>-3.9</v>
      </c>
      <c r="D189" s="233" t="s">
        <v>312</v>
      </c>
    </row>
    <row r="190">
      <c r="A190" s="310">
        <v>43641.0</v>
      </c>
      <c r="B190" s="313" t="s">
        <v>1364</v>
      </c>
      <c r="C190" s="312">
        <v>-2000.0</v>
      </c>
      <c r="D190" s="233"/>
    </row>
    <row r="191">
      <c r="A191" s="310">
        <v>43640.0</v>
      </c>
      <c r="B191" s="313" t="s">
        <v>1344</v>
      </c>
      <c r="C191" s="312">
        <v>2000.0</v>
      </c>
      <c r="D191" s="233"/>
    </row>
    <row r="192">
      <c r="A192" s="310">
        <v>43636.0</v>
      </c>
      <c r="B192" s="313" t="s">
        <v>1397</v>
      </c>
      <c r="C192" s="312">
        <v>-35.0</v>
      </c>
      <c r="D192" s="233" t="s">
        <v>312</v>
      </c>
    </row>
    <row r="193">
      <c r="A193" s="310">
        <v>43635.0</v>
      </c>
      <c r="B193" s="313" t="s">
        <v>1385</v>
      </c>
      <c r="C193" s="312">
        <v>75.0</v>
      </c>
      <c r="D193" s="233"/>
    </row>
    <row r="194">
      <c r="A194" s="310">
        <v>43634.0</v>
      </c>
      <c r="B194" s="313" t="s">
        <v>1316</v>
      </c>
      <c r="C194" s="312">
        <v>-75.0</v>
      </c>
      <c r="D194" s="233"/>
    </row>
    <row r="195">
      <c r="A195" s="310">
        <v>43630.0</v>
      </c>
      <c r="B195" s="313" t="s">
        <v>1398</v>
      </c>
      <c r="C195" s="312">
        <v>99.42</v>
      </c>
      <c r="D195" s="233"/>
    </row>
    <row r="196">
      <c r="A196" s="310">
        <v>43628.0</v>
      </c>
      <c r="B196" s="313" t="s">
        <v>1399</v>
      </c>
      <c r="C196" s="312">
        <v>-144.17</v>
      </c>
      <c r="D196" s="233" t="s">
        <v>312</v>
      </c>
    </row>
    <row r="197">
      <c r="A197" s="310">
        <v>43628.0</v>
      </c>
      <c r="B197" s="313" t="s">
        <v>1400</v>
      </c>
      <c r="C197" s="312">
        <v>400.0</v>
      </c>
      <c r="D197" s="233"/>
    </row>
    <row r="198">
      <c r="A198" s="310">
        <v>43626.0</v>
      </c>
      <c r="B198" s="313" t="s">
        <v>1382</v>
      </c>
      <c r="C198" s="312">
        <v>-340.6</v>
      </c>
      <c r="D198" s="233"/>
    </row>
    <row r="199">
      <c r="A199" s="184">
        <v>43623.0</v>
      </c>
      <c r="B199" s="314" t="s">
        <v>1347</v>
      </c>
      <c r="C199" s="233">
        <v>100.0</v>
      </c>
      <c r="D199" s="233"/>
    </row>
    <row r="200">
      <c r="A200" s="310">
        <v>43622.0</v>
      </c>
      <c r="B200" s="313" t="s">
        <v>1311</v>
      </c>
      <c r="C200" s="312">
        <v>100.0</v>
      </c>
      <c r="D200" s="233"/>
    </row>
    <row r="201">
      <c r="A201" s="310">
        <v>43621.0</v>
      </c>
      <c r="B201" s="313" t="s">
        <v>1348</v>
      </c>
      <c r="C201" s="312">
        <v>-903.45</v>
      </c>
      <c r="D201" s="233"/>
    </row>
    <row r="202">
      <c r="A202" s="310">
        <v>43621.0</v>
      </c>
      <c r="B202" s="313" t="s">
        <v>1340</v>
      </c>
      <c r="C202" s="312">
        <v>207.0</v>
      </c>
      <c r="D202" s="233"/>
    </row>
    <row r="203">
      <c r="A203" s="310">
        <v>43619.0</v>
      </c>
      <c r="B203" s="313" t="s">
        <v>1401</v>
      </c>
      <c r="C203" s="312">
        <v>-25.0</v>
      </c>
      <c r="D203" s="233" t="s">
        <v>312</v>
      </c>
    </row>
    <row r="204">
      <c r="A204" s="310">
        <v>43619.0</v>
      </c>
      <c r="B204" s="313" t="s">
        <v>1341</v>
      </c>
      <c r="C204" s="312">
        <v>518.94</v>
      </c>
      <c r="D204" s="233"/>
    </row>
    <row r="205">
      <c r="A205" s="310">
        <v>43613.0</v>
      </c>
      <c r="B205" s="313" t="s">
        <v>1318</v>
      </c>
      <c r="C205" s="312">
        <v>50.0</v>
      </c>
      <c r="D205" s="233"/>
    </row>
    <row r="206">
      <c r="A206" s="310">
        <v>43612.0</v>
      </c>
      <c r="B206" s="313" t="s">
        <v>1402</v>
      </c>
      <c r="C206" s="312">
        <v>-5.9</v>
      </c>
      <c r="D206" s="233" t="s">
        <v>312</v>
      </c>
    </row>
    <row r="207">
      <c r="A207" s="310">
        <v>43606.0</v>
      </c>
      <c r="B207" s="313" t="s">
        <v>1398</v>
      </c>
      <c r="C207" s="312">
        <v>19.59</v>
      </c>
      <c r="D207" s="233"/>
    </row>
    <row r="208">
      <c r="A208" s="310">
        <v>43605.0</v>
      </c>
      <c r="B208" s="313" t="s">
        <v>1390</v>
      </c>
      <c r="C208" s="312">
        <v>14.0</v>
      </c>
      <c r="D208" s="233"/>
    </row>
    <row r="209">
      <c r="A209" s="310">
        <v>43602.0</v>
      </c>
      <c r="B209" s="313" t="s">
        <v>1403</v>
      </c>
      <c r="C209" s="312">
        <v>-27.98</v>
      </c>
      <c r="D209" s="233" t="s">
        <v>312</v>
      </c>
    </row>
    <row r="210">
      <c r="A210" s="310">
        <v>43602.0</v>
      </c>
      <c r="B210" s="313" t="s">
        <v>1391</v>
      </c>
      <c r="C210" s="312">
        <v>-14.0</v>
      </c>
      <c r="D210" s="233"/>
    </row>
    <row r="211">
      <c r="A211" s="310">
        <v>43601.0</v>
      </c>
      <c r="B211" s="313" t="s">
        <v>1404</v>
      </c>
      <c r="C211" s="312">
        <v>-500.0</v>
      </c>
      <c r="D211" s="233"/>
    </row>
    <row r="212">
      <c r="A212" s="184">
        <v>43600.0</v>
      </c>
      <c r="B212" s="314" t="s">
        <v>1347</v>
      </c>
      <c r="C212" s="233">
        <v>500.0</v>
      </c>
      <c r="D212" s="233"/>
    </row>
    <row r="213">
      <c r="A213" s="310">
        <v>43595.0</v>
      </c>
      <c r="B213" s="313" t="s">
        <v>1382</v>
      </c>
      <c r="C213" s="312">
        <v>-340.6</v>
      </c>
      <c r="D213" s="233"/>
    </row>
    <row r="214">
      <c r="A214" s="310">
        <v>43593.0</v>
      </c>
      <c r="B214" s="313" t="s">
        <v>1347</v>
      </c>
      <c r="C214" s="312">
        <v>500.0</v>
      </c>
      <c r="D214" s="233"/>
    </row>
    <row r="215">
      <c r="A215" s="310">
        <v>43592.0</v>
      </c>
      <c r="B215" s="313" t="s">
        <v>1311</v>
      </c>
      <c r="C215" s="312">
        <v>100.0</v>
      </c>
      <c r="D215" s="233"/>
    </row>
    <row r="216">
      <c r="A216" s="310">
        <v>43591.0</v>
      </c>
      <c r="B216" s="313" t="s">
        <v>1405</v>
      </c>
      <c r="C216" s="312">
        <v>-53.0</v>
      </c>
      <c r="D216" s="233" t="s">
        <v>312</v>
      </c>
    </row>
    <row r="217">
      <c r="A217" s="310">
        <v>43591.0</v>
      </c>
      <c r="B217" s="313" t="s">
        <v>1348</v>
      </c>
      <c r="C217" s="312">
        <v>-903.45</v>
      </c>
      <c r="D217" s="233"/>
    </row>
    <row r="218">
      <c r="A218" s="310">
        <v>43591.0</v>
      </c>
      <c r="B218" s="313" t="s">
        <v>1340</v>
      </c>
      <c r="C218" s="312">
        <v>207.0</v>
      </c>
      <c r="D218" s="233"/>
    </row>
    <row r="219">
      <c r="A219" s="310">
        <v>43587.0</v>
      </c>
      <c r="B219" s="313" t="s">
        <v>1341</v>
      </c>
      <c r="C219" s="312">
        <v>502.2</v>
      </c>
      <c r="D219" s="233"/>
    </row>
    <row r="220">
      <c r="A220" s="310">
        <v>43560.0</v>
      </c>
      <c r="B220" s="313" t="s">
        <v>1406</v>
      </c>
      <c r="C220" s="312">
        <v>-0.15</v>
      </c>
      <c r="D220" s="233" t="s">
        <v>312</v>
      </c>
    </row>
    <row r="221">
      <c r="A221" s="310">
        <v>43560.0</v>
      </c>
      <c r="B221" s="313" t="s">
        <v>1348</v>
      </c>
      <c r="C221" s="312">
        <v>-903.45</v>
      </c>
      <c r="D221" s="233"/>
    </row>
    <row r="222">
      <c r="A222" s="310">
        <v>43558.0</v>
      </c>
      <c r="B222" s="313" t="s">
        <v>1347</v>
      </c>
      <c r="C222" s="312">
        <v>500.0</v>
      </c>
      <c r="D222" s="233"/>
    </row>
    <row r="223">
      <c r="A223" s="310">
        <v>43557.0</v>
      </c>
      <c r="B223" s="313" t="s">
        <v>1407</v>
      </c>
      <c r="C223" s="312">
        <v>-33.0</v>
      </c>
      <c r="D223" s="233" t="s">
        <v>312</v>
      </c>
    </row>
    <row r="224">
      <c r="A224" s="310">
        <v>43557.0</v>
      </c>
      <c r="B224" s="313" t="s">
        <v>1408</v>
      </c>
      <c r="C224" s="312">
        <v>-15.0</v>
      </c>
      <c r="D224" s="233" t="s">
        <v>312</v>
      </c>
    </row>
    <row r="225">
      <c r="A225" s="310">
        <v>43557.0</v>
      </c>
      <c r="B225" s="313" t="s">
        <v>1341</v>
      </c>
      <c r="C225" s="312">
        <v>510.88</v>
      </c>
      <c r="D225" s="233"/>
    </row>
    <row r="226">
      <c r="A226" s="310">
        <v>43556.0</v>
      </c>
      <c r="B226" s="313" t="s">
        <v>1409</v>
      </c>
      <c r="C226" s="312">
        <v>-100.0</v>
      </c>
      <c r="D226" s="233" t="s">
        <v>312</v>
      </c>
    </row>
    <row r="227">
      <c r="A227" s="310">
        <v>43556.0</v>
      </c>
      <c r="B227" s="313" t="s">
        <v>1410</v>
      </c>
      <c r="C227" s="312">
        <v>-12.06</v>
      </c>
      <c r="D227" s="233" t="s">
        <v>312</v>
      </c>
    </row>
    <row r="228">
      <c r="A228" s="310">
        <v>43540.0</v>
      </c>
      <c r="B228" s="313" t="s">
        <v>1411</v>
      </c>
      <c r="C228" s="312">
        <v>-12.91</v>
      </c>
      <c r="D228" s="233" t="s">
        <v>312</v>
      </c>
    </row>
    <row r="229">
      <c r="A229" s="310">
        <v>43539.0</v>
      </c>
      <c r="B229" s="313" t="s">
        <v>1391</v>
      </c>
      <c r="C229" s="312">
        <v>120.0</v>
      </c>
      <c r="D229" s="233"/>
    </row>
    <row r="230">
      <c r="A230" s="310">
        <v>43538.0</v>
      </c>
      <c r="B230" s="313" t="s">
        <v>1412</v>
      </c>
      <c r="C230" s="312">
        <v>-4.91</v>
      </c>
      <c r="D230" s="233" t="s">
        <v>312</v>
      </c>
    </row>
    <row r="231">
      <c r="A231" s="310">
        <v>43538.0</v>
      </c>
      <c r="B231" s="313" t="s">
        <v>1316</v>
      </c>
      <c r="C231" s="312">
        <v>-120.0</v>
      </c>
      <c r="D231" s="233"/>
    </row>
    <row r="232">
      <c r="A232" s="310">
        <v>43538.0</v>
      </c>
      <c r="B232" s="313" t="s">
        <v>1386</v>
      </c>
      <c r="C232" s="312">
        <v>-100.0</v>
      </c>
      <c r="D232" s="233" t="s">
        <v>312</v>
      </c>
    </row>
    <row r="233">
      <c r="A233" s="310">
        <v>43535.0</v>
      </c>
      <c r="B233" s="313" t="s">
        <v>1382</v>
      </c>
      <c r="C233" s="312">
        <v>-340.6</v>
      </c>
      <c r="D233" s="233"/>
    </row>
    <row r="234">
      <c r="A234" s="310">
        <v>43531.0</v>
      </c>
      <c r="B234" s="313" t="s">
        <v>1347</v>
      </c>
      <c r="C234" s="312">
        <v>700.0</v>
      </c>
      <c r="D234" s="233"/>
    </row>
    <row r="235">
      <c r="A235" s="310">
        <v>43530.0</v>
      </c>
      <c r="B235" s="313" t="s">
        <v>1311</v>
      </c>
      <c r="C235" s="312">
        <v>100.0</v>
      </c>
      <c r="D235" s="233"/>
    </row>
    <row r="236">
      <c r="A236" s="184">
        <v>43529.0</v>
      </c>
      <c r="B236" s="314" t="s">
        <v>1341</v>
      </c>
      <c r="C236" s="233">
        <v>461.44</v>
      </c>
      <c r="D236" s="233"/>
    </row>
    <row r="237">
      <c r="A237" s="310">
        <v>43529.0</v>
      </c>
      <c r="B237" s="313" t="s">
        <v>1340</v>
      </c>
      <c r="C237" s="312">
        <v>207.0</v>
      </c>
      <c r="D237" s="233"/>
    </row>
    <row r="238">
      <c r="A238" s="184">
        <v>43529.0</v>
      </c>
      <c r="B238" s="314" t="s">
        <v>1348</v>
      </c>
      <c r="C238" s="233">
        <v>-903.45</v>
      </c>
      <c r="D238" s="233"/>
    </row>
    <row r="239">
      <c r="A239" s="310">
        <v>43517.0</v>
      </c>
      <c r="B239" s="313" t="s">
        <v>1316</v>
      </c>
      <c r="C239" s="312">
        <v>-10.0</v>
      </c>
      <c r="D239" s="233"/>
    </row>
    <row r="240">
      <c r="A240" s="310">
        <v>43511.0</v>
      </c>
      <c r="B240" s="313" t="s">
        <v>1413</v>
      </c>
      <c r="C240" s="312">
        <v>-2.39</v>
      </c>
      <c r="D240" s="233"/>
    </row>
    <row r="241">
      <c r="A241" s="310">
        <v>43510.0</v>
      </c>
      <c r="B241" s="313" t="s">
        <v>1414</v>
      </c>
      <c r="C241" s="312">
        <v>-20.1</v>
      </c>
      <c r="D241" s="233" t="s">
        <v>312</v>
      </c>
    </row>
    <row r="242">
      <c r="A242" s="184">
        <v>43507.0</v>
      </c>
      <c r="B242" s="314" t="s">
        <v>1382</v>
      </c>
      <c r="C242" s="233">
        <v>-340.6</v>
      </c>
      <c r="D242" s="233"/>
    </row>
    <row r="243">
      <c r="A243" s="310">
        <v>43504.0</v>
      </c>
      <c r="B243" s="313" t="s">
        <v>1347</v>
      </c>
      <c r="C243" s="312">
        <v>400.0</v>
      </c>
      <c r="D243" s="233"/>
    </row>
    <row r="244">
      <c r="A244" s="184">
        <v>43502.0</v>
      </c>
      <c r="B244" s="314" t="s">
        <v>1311</v>
      </c>
      <c r="C244" s="233">
        <v>100.0</v>
      </c>
      <c r="D244" s="233"/>
    </row>
    <row r="245">
      <c r="A245" s="310">
        <v>43501.0</v>
      </c>
      <c r="B245" s="313" t="s">
        <v>1415</v>
      </c>
      <c r="C245" s="312">
        <v>-35.0</v>
      </c>
      <c r="D245" s="233" t="s">
        <v>312</v>
      </c>
    </row>
    <row r="246">
      <c r="A246" s="184">
        <v>43501.0</v>
      </c>
      <c r="B246" s="314" t="s">
        <v>1348</v>
      </c>
      <c r="C246" s="233">
        <v>-903.45</v>
      </c>
      <c r="D246" s="233"/>
    </row>
    <row r="247">
      <c r="A247" s="310">
        <v>43501.0</v>
      </c>
      <c r="B247" s="313" t="s">
        <v>1340</v>
      </c>
      <c r="C247" s="312">
        <v>207.0</v>
      </c>
      <c r="D247" s="233"/>
    </row>
    <row r="248">
      <c r="A248" s="310">
        <v>43479.0</v>
      </c>
      <c r="B248" s="313" t="s">
        <v>1416</v>
      </c>
      <c r="C248" s="312">
        <v>-1.76</v>
      </c>
      <c r="D248" s="233" t="s">
        <v>312</v>
      </c>
    </row>
    <row r="249">
      <c r="A249" s="310">
        <v>43475.0</v>
      </c>
      <c r="B249" s="313" t="s">
        <v>1382</v>
      </c>
      <c r="C249" s="312">
        <v>-340.6</v>
      </c>
      <c r="D249" s="233"/>
    </row>
    <row r="250">
      <c r="A250" s="184">
        <v>43474.0</v>
      </c>
      <c r="B250" s="314" t="s">
        <v>1417</v>
      </c>
      <c r="C250" s="233">
        <v>-1000.0</v>
      </c>
      <c r="D250" s="233"/>
    </row>
    <row r="251">
      <c r="A251" s="310">
        <v>43473.0</v>
      </c>
      <c r="B251" s="313" t="s">
        <v>1347</v>
      </c>
      <c r="C251" s="312">
        <v>1500.0</v>
      </c>
      <c r="D251" s="233"/>
    </row>
    <row r="252">
      <c r="A252" s="310">
        <v>43473.0</v>
      </c>
      <c r="B252" s="313" t="s">
        <v>1311</v>
      </c>
      <c r="C252" s="312">
        <v>100.0</v>
      </c>
      <c r="D252" s="233"/>
    </row>
    <row r="253">
      <c r="A253" s="310">
        <v>43472.0</v>
      </c>
      <c r="B253" s="313" t="s">
        <v>1348</v>
      </c>
      <c r="C253" s="312">
        <v>-903.45</v>
      </c>
      <c r="D253" s="233"/>
    </row>
    <row r="254">
      <c r="A254" s="310">
        <v>43470.0</v>
      </c>
      <c r="B254" s="313" t="s">
        <v>1418</v>
      </c>
      <c r="C254" s="312">
        <v>-35.0</v>
      </c>
      <c r="D254" s="233" t="s">
        <v>312</v>
      </c>
    </row>
    <row r="255">
      <c r="A255" s="310">
        <v>43467.0</v>
      </c>
      <c r="B255" s="313" t="s">
        <v>1341</v>
      </c>
      <c r="C255" s="312">
        <v>510.88</v>
      </c>
      <c r="D255" s="233"/>
    </row>
    <row r="256">
      <c r="A256" s="310">
        <v>43454.0</v>
      </c>
      <c r="B256" s="313" t="s">
        <v>1419</v>
      </c>
      <c r="C256" s="312">
        <v>-155.0</v>
      </c>
      <c r="D256" s="233"/>
    </row>
    <row r="257">
      <c r="A257" s="310">
        <v>43453.0</v>
      </c>
      <c r="B257" s="313" t="s">
        <v>1341</v>
      </c>
      <c r="C257" s="312">
        <v>152.45</v>
      </c>
      <c r="D257" s="233"/>
    </row>
    <row r="258">
      <c r="A258" s="310">
        <v>43445.0</v>
      </c>
      <c r="B258" s="313" t="s">
        <v>1391</v>
      </c>
      <c r="C258" s="312">
        <v>55.0</v>
      </c>
      <c r="D258" s="233"/>
    </row>
    <row r="259">
      <c r="A259" s="310">
        <v>43444.0</v>
      </c>
      <c r="B259" s="313" t="s">
        <v>1316</v>
      </c>
      <c r="C259" s="312">
        <v>-55.0</v>
      </c>
      <c r="D259" s="233"/>
    </row>
    <row r="260">
      <c r="A260" s="310">
        <v>43444.0</v>
      </c>
      <c r="B260" s="313" t="s">
        <v>1420</v>
      </c>
      <c r="C260" s="312">
        <v>-1000.0</v>
      </c>
      <c r="D260" s="233"/>
    </row>
    <row r="261">
      <c r="A261" s="310">
        <v>43444.0</v>
      </c>
      <c r="B261" s="313" t="s">
        <v>1382</v>
      </c>
      <c r="C261" s="312">
        <v>-340.6</v>
      </c>
      <c r="D261" s="233"/>
    </row>
    <row r="262">
      <c r="A262" s="310">
        <v>43440.0</v>
      </c>
      <c r="B262" s="313" t="s">
        <v>1421</v>
      </c>
      <c r="C262" s="312">
        <v>-41.85</v>
      </c>
      <c r="D262" s="233" t="s">
        <v>312</v>
      </c>
    </row>
    <row r="263">
      <c r="A263" s="310">
        <v>43440.0</v>
      </c>
      <c r="B263" s="313" t="s">
        <v>1421</v>
      </c>
      <c r="C263" s="312">
        <v>-101.8</v>
      </c>
      <c r="D263" s="233" t="s">
        <v>312</v>
      </c>
    </row>
    <row r="264">
      <c r="A264" s="310">
        <v>43440.0</v>
      </c>
      <c r="B264" s="313" t="s">
        <v>1311</v>
      </c>
      <c r="C264" s="312">
        <v>100.0</v>
      </c>
      <c r="D264" s="233"/>
    </row>
    <row r="265">
      <c r="A265" s="310">
        <v>43440.0</v>
      </c>
      <c r="B265" s="313" t="s">
        <v>1422</v>
      </c>
      <c r="C265" s="312">
        <v>140.0</v>
      </c>
      <c r="D265" s="233"/>
    </row>
    <row r="266">
      <c r="A266" s="310">
        <v>43439.0</v>
      </c>
      <c r="B266" s="313" t="s">
        <v>1348</v>
      </c>
      <c r="C266" s="312">
        <v>-903.45</v>
      </c>
      <c r="D266" s="233"/>
    </row>
    <row r="267">
      <c r="A267" s="310">
        <v>43439.0</v>
      </c>
      <c r="B267" s="313" t="s">
        <v>1340</v>
      </c>
      <c r="C267" s="312">
        <v>207.0</v>
      </c>
      <c r="D267" s="233"/>
    </row>
    <row r="268">
      <c r="A268" s="310">
        <v>43438.0</v>
      </c>
      <c r="B268" s="313" t="s">
        <v>1341</v>
      </c>
      <c r="C268" s="312">
        <v>494.4</v>
      </c>
      <c r="D268" s="233"/>
    </row>
    <row r="269">
      <c r="A269" s="310">
        <v>43437.0</v>
      </c>
      <c r="B269" s="313" t="s">
        <v>1423</v>
      </c>
      <c r="C269" s="312">
        <v>-76.0</v>
      </c>
      <c r="D269" s="233" t="s">
        <v>312</v>
      </c>
    </row>
    <row r="270">
      <c r="A270" s="310">
        <v>43437.0</v>
      </c>
      <c r="B270" s="313" t="s">
        <v>1424</v>
      </c>
      <c r="C270" s="312">
        <v>-23.6</v>
      </c>
      <c r="D270" s="233" t="s">
        <v>312</v>
      </c>
    </row>
    <row r="271">
      <c r="A271" s="310">
        <v>43437.0</v>
      </c>
      <c r="B271" s="313" t="s">
        <v>1424</v>
      </c>
      <c r="C271" s="312">
        <v>-82.0</v>
      </c>
      <c r="D271" s="233" t="s">
        <v>312</v>
      </c>
    </row>
    <row r="272">
      <c r="A272" s="310">
        <v>43437.0</v>
      </c>
      <c r="B272" s="313" t="s">
        <v>1425</v>
      </c>
      <c r="C272" s="312">
        <v>185.0</v>
      </c>
      <c r="D272" s="233"/>
    </row>
    <row r="273">
      <c r="A273" s="310">
        <v>43430.0</v>
      </c>
      <c r="B273" s="313" t="s">
        <v>1426</v>
      </c>
      <c r="C273" s="312">
        <v>-34.0</v>
      </c>
      <c r="D273" s="233"/>
    </row>
    <row r="274">
      <c r="A274" s="310">
        <v>43430.0</v>
      </c>
      <c r="B274" s="313" t="s">
        <v>1427</v>
      </c>
      <c r="C274" s="312">
        <v>33.12</v>
      </c>
      <c r="D274" s="233"/>
    </row>
    <row r="275">
      <c r="A275" s="310">
        <v>43417.0</v>
      </c>
      <c r="B275" s="313" t="s">
        <v>1428</v>
      </c>
      <c r="C275" s="312">
        <v>-7.45</v>
      </c>
      <c r="D275" s="233" t="s">
        <v>312</v>
      </c>
    </row>
    <row r="276">
      <c r="A276" s="310">
        <v>43416.0</v>
      </c>
      <c r="B276" s="313" t="s">
        <v>1429</v>
      </c>
      <c r="C276" s="312">
        <v>-16.1</v>
      </c>
      <c r="D276" s="233" t="s">
        <v>312</v>
      </c>
    </row>
    <row r="277">
      <c r="A277" s="310">
        <v>43416.0</v>
      </c>
      <c r="B277" s="313" t="s">
        <v>1430</v>
      </c>
      <c r="C277" s="312">
        <v>-77.0</v>
      </c>
      <c r="D277" s="233" t="s">
        <v>312</v>
      </c>
    </row>
    <row r="278">
      <c r="A278" s="310">
        <v>43416.0</v>
      </c>
      <c r="B278" s="313" t="s">
        <v>1431</v>
      </c>
      <c r="C278" s="312">
        <v>-33.0</v>
      </c>
      <c r="D278" s="233" t="s">
        <v>312</v>
      </c>
    </row>
    <row r="279">
      <c r="A279" s="310">
        <v>43416.0</v>
      </c>
      <c r="B279" s="313" t="s">
        <v>1382</v>
      </c>
      <c r="C279" s="312">
        <v>-340.6</v>
      </c>
      <c r="D279" s="233"/>
    </row>
    <row r="280">
      <c r="A280" s="310">
        <v>43411.0</v>
      </c>
      <c r="B280" s="313" t="s">
        <v>1432</v>
      </c>
      <c r="C280" s="312">
        <v>-45.0</v>
      </c>
      <c r="D280" s="233"/>
    </row>
    <row r="281">
      <c r="A281" s="310">
        <v>43410.0</v>
      </c>
      <c r="B281" s="313" t="s">
        <v>1311</v>
      </c>
      <c r="C281" s="312">
        <v>100.0</v>
      </c>
      <c r="D281" s="233"/>
    </row>
    <row r="282">
      <c r="A282" s="310">
        <v>43410.0</v>
      </c>
      <c r="B282" s="313" t="s">
        <v>1433</v>
      </c>
      <c r="C282" s="312">
        <v>45.0</v>
      </c>
      <c r="D282" s="233"/>
    </row>
    <row r="283">
      <c r="A283" s="310">
        <v>43409.0</v>
      </c>
      <c r="B283" s="313" t="s">
        <v>1348</v>
      </c>
      <c r="C283" s="312">
        <v>-903.45</v>
      </c>
      <c r="D283" s="233"/>
    </row>
    <row r="284">
      <c r="A284" s="310">
        <v>43398.0</v>
      </c>
      <c r="B284" s="313" t="s">
        <v>1393</v>
      </c>
      <c r="C284" s="312">
        <v>-0.66</v>
      </c>
      <c r="D284" s="233" t="s">
        <v>312</v>
      </c>
    </row>
    <row r="285">
      <c r="A285" s="310">
        <v>43398.0</v>
      </c>
      <c r="B285" s="313" t="s">
        <v>1434</v>
      </c>
      <c r="C285" s="312">
        <v>-922.0</v>
      </c>
      <c r="D285" s="233"/>
    </row>
    <row r="286">
      <c r="A286" s="310">
        <v>43397.0</v>
      </c>
      <c r="B286" s="313" t="s">
        <v>1364</v>
      </c>
      <c r="C286" s="312">
        <v>-6060.0</v>
      </c>
      <c r="D286" s="233"/>
    </row>
    <row r="287">
      <c r="A287" s="310">
        <v>43397.0</v>
      </c>
      <c r="B287" s="313" t="s">
        <v>1398</v>
      </c>
      <c r="C287" s="312">
        <v>6.5</v>
      </c>
      <c r="D287" s="233"/>
    </row>
    <row r="288">
      <c r="A288" s="310">
        <v>43396.0</v>
      </c>
      <c r="B288" s="313" t="s">
        <v>1416</v>
      </c>
      <c r="C288" s="312">
        <v>-0.8</v>
      </c>
      <c r="D288" s="233" t="s">
        <v>312</v>
      </c>
    </row>
    <row r="289">
      <c r="A289" s="310">
        <v>43395.0</v>
      </c>
      <c r="B289" s="313" t="s">
        <v>1391</v>
      </c>
      <c r="C289" s="312">
        <v>9.2</v>
      </c>
      <c r="D289" s="233"/>
    </row>
    <row r="290">
      <c r="A290" s="310">
        <v>43395.0</v>
      </c>
      <c r="B290" s="313" t="s">
        <v>1435</v>
      </c>
      <c r="C290" s="312">
        <v>7000.0</v>
      </c>
      <c r="D290" s="233"/>
    </row>
    <row r="291">
      <c r="A291" s="310">
        <v>43383.0</v>
      </c>
      <c r="B291" s="313" t="s">
        <v>1314</v>
      </c>
      <c r="C291" s="312">
        <v>-134.17</v>
      </c>
      <c r="D291" s="233" t="s">
        <v>312</v>
      </c>
    </row>
    <row r="292">
      <c r="A292" s="310">
        <v>43383.0</v>
      </c>
      <c r="B292" s="313" t="s">
        <v>1382</v>
      </c>
      <c r="C292" s="312">
        <v>-340.6</v>
      </c>
      <c r="D292" s="233"/>
    </row>
    <row r="293">
      <c r="A293" s="310">
        <v>43381.0</v>
      </c>
      <c r="B293" s="313" t="s">
        <v>1311</v>
      </c>
      <c r="C293" s="312">
        <v>100.0</v>
      </c>
      <c r="D293" s="233"/>
    </row>
    <row r="294">
      <c r="A294" s="310">
        <v>43378.0</v>
      </c>
      <c r="B294" s="313" t="s">
        <v>1436</v>
      </c>
      <c r="C294" s="312">
        <v>-0.72</v>
      </c>
      <c r="D294" s="233" t="s">
        <v>312</v>
      </c>
    </row>
    <row r="295">
      <c r="A295" s="310">
        <v>43378.0</v>
      </c>
      <c r="B295" s="313" t="s">
        <v>1437</v>
      </c>
      <c r="C295" s="312">
        <v>-890.0</v>
      </c>
      <c r="D295" s="233"/>
    </row>
    <row r="296">
      <c r="A296" s="310">
        <v>43378.0</v>
      </c>
      <c r="B296" s="313" t="s">
        <v>1438</v>
      </c>
      <c r="C296" s="312">
        <v>800.0</v>
      </c>
      <c r="D296" s="233"/>
    </row>
    <row r="297">
      <c r="A297" s="310">
        <v>43377.0</v>
      </c>
      <c r="B297" s="313" t="s">
        <v>1439</v>
      </c>
      <c r="C297" s="312">
        <v>-1.0</v>
      </c>
      <c r="D297" s="233"/>
    </row>
    <row r="298">
      <c r="A298" s="310">
        <v>43377.0</v>
      </c>
      <c r="B298" s="313" t="s">
        <v>1440</v>
      </c>
      <c r="C298" s="312">
        <v>-5.0</v>
      </c>
      <c r="D298" s="233" t="s">
        <v>312</v>
      </c>
    </row>
    <row r="299">
      <c r="A299" s="310">
        <v>43377.0</v>
      </c>
      <c r="B299" s="313" t="s">
        <v>1439</v>
      </c>
      <c r="C299" s="312">
        <v>1.0</v>
      </c>
      <c r="D299" s="233"/>
    </row>
    <row r="300">
      <c r="A300" s="310">
        <v>43375.0</v>
      </c>
      <c r="B300" s="313" t="s">
        <v>1341</v>
      </c>
      <c r="C300" s="312">
        <v>494.4</v>
      </c>
      <c r="D300" s="233"/>
    </row>
    <row r="301">
      <c r="A301" s="310">
        <v>43356.0</v>
      </c>
      <c r="B301" s="313" t="s">
        <v>1364</v>
      </c>
      <c r="C301" s="312">
        <v>-440.0</v>
      </c>
      <c r="D301" s="233"/>
    </row>
    <row r="302">
      <c r="A302" s="310">
        <v>43355.0</v>
      </c>
      <c r="B302" s="313" t="s">
        <v>1347</v>
      </c>
      <c r="C302" s="312">
        <v>500.0</v>
      </c>
      <c r="D302" s="233"/>
    </row>
    <row r="303">
      <c r="A303" s="310">
        <v>43354.0</v>
      </c>
      <c r="B303" s="313" t="s">
        <v>1390</v>
      </c>
      <c r="C303" s="312">
        <v>350.0</v>
      </c>
      <c r="D303" s="233"/>
    </row>
    <row r="304">
      <c r="A304" s="310">
        <v>43354.0</v>
      </c>
      <c r="B304" s="313" t="s">
        <v>1391</v>
      </c>
      <c r="C304" s="312">
        <v>-350.0</v>
      </c>
      <c r="D304" s="233"/>
    </row>
    <row r="305">
      <c r="A305" s="310">
        <v>43353.0</v>
      </c>
      <c r="B305" s="313" t="s">
        <v>1382</v>
      </c>
      <c r="C305" s="312">
        <v>-340.6</v>
      </c>
      <c r="D305" s="233"/>
    </row>
    <row r="306">
      <c r="A306" s="310">
        <v>43351.0</v>
      </c>
      <c r="B306" s="313" t="s">
        <v>1441</v>
      </c>
      <c r="C306" s="312">
        <v>2.01</v>
      </c>
      <c r="D306" s="233"/>
    </row>
    <row r="307">
      <c r="A307" s="310">
        <v>43351.0</v>
      </c>
      <c r="B307" s="313" t="s">
        <v>1441</v>
      </c>
      <c r="C307" s="312">
        <v>3.05</v>
      </c>
      <c r="D307" s="233"/>
    </row>
    <row r="308">
      <c r="A308" s="310">
        <v>43349.0</v>
      </c>
      <c r="B308" s="313" t="s">
        <v>1311</v>
      </c>
      <c r="C308" s="312">
        <v>100.0</v>
      </c>
      <c r="D308" s="233"/>
    </row>
    <row r="309">
      <c r="A309" s="310">
        <v>43348.0</v>
      </c>
      <c r="B309" s="313" t="s">
        <v>1437</v>
      </c>
      <c r="C309" s="312">
        <v>-890.0</v>
      </c>
      <c r="D309" s="233"/>
    </row>
    <row r="310">
      <c r="A310" s="310">
        <v>43348.0</v>
      </c>
      <c r="B310" s="313" t="s">
        <v>1340</v>
      </c>
      <c r="C310" s="312">
        <v>207.0</v>
      </c>
      <c r="D310" s="233"/>
    </row>
    <row r="311">
      <c r="A311" s="310">
        <v>43347.0</v>
      </c>
      <c r="B311" s="313" t="s">
        <v>1441</v>
      </c>
      <c r="C311" s="312">
        <v>-2.02</v>
      </c>
      <c r="D311" s="233" t="s">
        <v>312</v>
      </c>
    </row>
    <row r="312">
      <c r="A312" s="310">
        <v>43347.0</v>
      </c>
      <c r="B312" s="313" t="s">
        <v>1441</v>
      </c>
      <c r="C312" s="312">
        <v>-3.07</v>
      </c>
      <c r="D312" s="233" t="s">
        <v>312</v>
      </c>
    </row>
    <row r="313">
      <c r="A313" s="310">
        <v>43347.0</v>
      </c>
      <c r="B313" s="313" t="s">
        <v>1442</v>
      </c>
      <c r="C313" s="312">
        <v>0.91</v>
      </c>
      <c r="D313" s="233"/>
    </row>
    <row r="314">
      <c r="A314" s="310">
        <v>43347.0</v>
      </c>
      <c r="B314" s="313" t="s">
        <v>1441</v>
      </c>
      <c r="C314" s="312">
        <v>2.03</v>
      </c>
      <c r="D314" s="233"/>
    </row>
    <row r="315">
      <c r="A315" s="310">
        <v>43347.0</v>
      </c>
      <c r="B315" s="313" t="s">
        <v>1443</v>
      </c>
      <c r="C315" s="312">
        <v>8.1</v>
      </c>
      <c r="D315" s="233"/>
    </row>
    <row r="316">
      <c r="A316" s="310">
        <v>43346.0</v>
      </c>
      <c r="B316" s="313" t="s">
        <v>1341</v>
      </c>
      <c r="C316" s="312">
        <v>510.88</v>
      </c>
      <c r="D316" s="233"/>
    </row>
    <row r="317">
      <c r="A317" s="310">
        <v>43346.0</v>
      </c>
      <c r="B317" s="313" t="s">
        <v>1444</v>
      </c>
      <c r="C317" s="312">
        <v>-26.34</v>
      </c>
      <c r="D317" s="233" t="s">
        <v>312</v>
      </c>
    </row>
    <row r="318">
      <c r="A318" s="310">
        <v>43346.0</v>
      </c>
      <c r="B318" s="313" t="s">
        <v>1445</v>
      </c>
      <c r="C318" s="312">
        <v>-1.67</v>
      </c>
      <c r="D318" s="233" t="s">
        <v>312</v>
      </c>
    </row>
    <row r="319">
      <c r="A319" s="310">
        <v>43346.0</v>
      </c>
      <c r="B319" s="313" t="s">
        <v>1446</v>
      </c>
      <c r="C319" s="312">
        <v>-38.25</v>
      </c>
      <c r="D319" s="233" t="s">
        <v>312</v>
      </c>
    </row>
    <row r="320">
      <c r="A320" s="310">
        <v>43346.0</v>
      </c>
      <c r="B320" s="313" t="s">
        <v>1447</v>
      </c>
      <c r="C320" s="312">
        <v>30.53</v>
      </c>
      <c r="D320" s="233"/>
    </row>
    <row r="321">
      <c r="A321" s="310">
        <v>43346.0</v>
      </c>
      <c r="B321" s="313" t="s">
        <v>1448</v>
      </c>
      <c r="C321" s="312">
        <v>13.53</v>
      </c>
      <c r="D321" s="233"/>
    </row>
    <row r="322">
      <c r="A322" s="310">
        <v>43346.0</v>
      </c>
      <c r="B322" s="313" t="s">
        <v>1443</v>
      </c>
      <c r="C322" s="312">
        <v>1.01</v>
      </c>
      <c r="D322" s="233"/>
    </row>
    <row r="323">
      <c r="A323" s="310">
        <v>43346.0</v>
      </c>
      <c r="B323" s="313" t="s">
        <v>1443</v>
      </c>
      <c r="C323" s="312">
        <v>5.32</v>
      </c>
      <c r="D323" s="233"/>
    </row>
    <row r="324">
      <c r="A324" s="310">
        <v>43342.0</v>
      </c>
      <c r="B324" s="313" t="s">
        <v>1449</v>
      </c>
      <c r="C324" s="312">
        <v>25.15</v>
      </c>
      <c r="D324" s="233"/>
    </row>
    <row r="325">
      <c r="A325" s="184">
        <v>43341.0</v>
      </c>
      <c r="B325" s="314" t="s">
        <v>1442</v>
      </c>
      <c r="C325" s="233">
        <v>1.02</v>
      </c>
      <c r="D325" s="233"/>
    </row>
    <row r="326">
      <c r="A326" s="310">
        <v>43341.0</v>
      </c>
      <c r="B326" s="313" t="s">
        <v>1441</v>
      </c>
      <c r="C326" s="312">
        <v>9.03</v>
      </c>
      <c r="D326" s="233"/>
    </row>
    <row r="327">
      <c r="A327" s="310">
        <v>43341.0</v>
      </c>
      <c r="B327" s="313" t="s">
        <v>1443</v>
      </c>
      <c r="C327" s="312">
        <v>7.53</v>
      </c>
      <c r="D327" s="233"/>
    </row>
    <row r="328">
      <c r="A328" s="310">
        <v>43341.0</v>
      </c>
      <c r="B328" s="313" t="s">
        <v>1443</v>
      </c>
      <c r="C328" s="312">
        <v>8.56</v>
      </c>
      <c r="D328" s="233"/>
    </row>
    <row r="329">
      <c r="A329" s="310">
        <v>43341.0</v>
      </c>
      <c r="B329" s="313" t="s">
        <v>1441</v>
      </c>
      <c r="C329" s="312">
        <v>-2.01</v>
      </c>
      <c r="D329" s="233" t="s">
        <v>312</v>
      </c>
    </row>
    <row r="330">
      <c r="A330" s="310">
        <v>43341.0</v>
      </c>
      <c r="B330" s="313" t="s">
        <v>1441</v>
      </c>
      <c r="C330" s="312">
        <v>-3.05</v>
      </c>
      <c r="D330" s="233" t="s">
        <v>312</v>
      </c>
    </row>
    <row r="331">
      <c r="A331" s="310">
        <v>43341.0</v>
      </c>
      <c r="B331" s="313" t="s">
        <v>1441</v>
      </c>
      <c r="C331" s="312">
        <v>-2.02</v>
      </c>
      <c r="D331" s="233" t="s">
        <v>312</v>
      </c>
    </row>
    <row r="332">
      <c r="A332" s="310">
        <v>43341.0</v>
      </c>
      <c r="B332" s="313" t="s">
        <v>1443</v>
      </c>
      <c r="C332" s="312">
        <v>-8.07</v>
      </c>
      <c r="D332" s="233" t="s">
        <v>312</v>
      </c>
    </row>
    <row r="333">
      <c r="A333" s="310">
        <v>43340.0</v>
      </c>
      <c r="B333" s="313" t="s">
        <v>1441</v>
      </c>
      <c r="C333" s="312">
        <v>1.02</v>
      </c>
      <c r="D333" s="233"/>
    </row>
    <row r="334">
      <c r="A334" s="310">
        <v>43340.0</v>
      </c>
      <c r="B334" s="313" t="s">
        <v>1441</v>
      </c>
      <c r="C334" s="312">
        <v>4.41</v>
      </c>
      <c r="D334" s="233"/>
    </row>
    <row r="335">
      <c r="A335" s="310">
        <v>43340.0</v>
      </c>
      <c r="B335" s="313" t="s">
        <v>1441</v>
      </c>
      <c r="C335" s="312">
        <v>4.62</v>
      </c>
      <c r="D335" s="233"/>
    </row>
    <row r="336">
      <c r="A336" s="310">
        <v>43339.0</v>
      </c>
      <c r="B336" s="313" t="s">
        <v>1450</v>
      </c>
      <c r="C336" s="312">
        <v>-1.35</v>
      </c>
      <c r="D336" s="233" t="s">
        <v>312</v>
      </c>
    </row>
    <row r="337">
      <c r="A337" s="310">
        <v>43339.0</v>
      </c>
      <c r="B337" s="313">
        <v>630380.0</v>
      </c>
      <c r="C337" s="312">
        <v>-79.57</v>
      </c>
      <c r="D337" s="233" t="s">
        <v>312</v>
      </c>
    </row>
    <row r="338">
      <c r="A338" s="310">
        <v>43339.0</v>
      </c>
      <c r="B338" s="313" t="s">
        <v>1447</v>
      </c>
      <c r="C338" s="312">
        <v>-30.14</v>
      </c>
      <c r="D338" s="233" t="s">
        <v>312</v>
      </c>
    </row>
    <row r="339">
      <c r="A339" s="310">
        <v>43339.0</v>
      </c>
      <c r="B339" s="313" t="s">
        <v>1442</v>
      </c>
      <c r="C339" s="312">
        <v>-0.91</v>
      </c>
      <c r="D339" s="233" t="s">
        <v>312</v>
      </c>
    </row>
    <row r="340">
      <c r="A340" s="310">
        <v>43339.0</v>
      </c>
      <c r="B340" s="313" t="s">
        <v>1445</v>
      </c>
      <c r="C340" s="312">
        <v>-1.67</v>
      </c>
      <c r="D340" s="233" t="s">
        <v>312</v>
      </c>
    </row>
    <row r="341">
      <c r="A341" s="310">
        <v>43339.0</v>
      </c>
      <c r="B341" s="313" t="s">
        <v>1443</v>
      </c>
      <c r="C341" s="312">
        <v>-1.0</v>
      </c>
      <c r="D341" s="233" t="s">
        <v>312</v>
      </c>
    </row>
    <row r="342">
      <c r="A342" s="310">
        <v>43339.0</v>
      </c>
      <c r="B342" s="313" t="s">
        <v>1443</v>
      </c>
      <c r="C342" s="312">
        <v>-5.25</v>
      </c>
      <c r="D342" s="233" t="s">
        <v>312</v>
      </c>
    </row>
    <row r="343">
      <c r="A343" s="310">
        <v>43339.0</v>
      </c>
      <c r="B343" s="313" t="s">
        <v>1451</v>
      </c>
      <c r="C343" s="312">
        <v>-13.47</v>
      </c>
      <c r="D343" s="233" t="s">
        <v>312</v>
      </c>
    </row>
    <row r="344">
      <c r="A344" s="310">
        <v>43338.0</v>
      </c>
      <c r="B344" s="313" t="s">
        <v>1452</v>
      </c>
      <c r="C344" s="312">
        <v>-79.21</v>
      </c>
      <c r="D344" s="233" t="s">
        <v>312</v>
      </c>
    </row>
    <row r="345">
      <c r="A345" s="310">
        <v>43337.0</v>
      </c>
      <c r="B345" s="313" t="s">
        <v>1442</v>
      </c>
      <c r="C345" s="312">
        <v>5.29</v>
      </c>
      <c r="D345" s="233"/>
    </row>
    <row r="346">
      <c r="A346" s="310">
        <v>43337.0</v>
      </c>
      <c r="B346" s="313" t="s">
        <v>1441</v>
      </c>
      <c r="C346" s="312">
        <v>3.94</v>
      </c>
      <c r="D346" s="233"/>
    </row>
    <row r="347">
      <c r="A347" s="310">
        <v>43337.0</v>
      </c>
      <c r="B347" s="313" t="s">
        <v>1441</v>
      </c>
      <c r="C347" s="312">
        <v>6.04</v>
      </c>
      <c r="D347" s="233"/>
    </row>
    <row r="348">
      <c r="A348" s="310">
        <v>43335.0</v>
      </c>
      <c r="B348" s="313" t="s">
        <v>1449</v>
      </c>
      <c r="C348" s="312">
        <v>-25.11</v>
      </c>
      <c r="D348" s="233" t="s">
        <v>312</v>
      </c>
    </row>
    <row r="349">
      <c r="A349" s="310">
        <v>43335.0</v>
      </c>
      <c r="B349" s="313" t="s">
        <v>1447</v>
      </c>
      <c r="C349" s="312">
        <v>-30.53</v>
      </c>
      <c r="D349" s="233" t="s">
        <v>312</v>
      </c>
    </row>
    <row r="350">
      <c r="A350" s="310">
        <v>43335.0</v>
      </c>
      <c r="B350" s="313" t="s">
        <v>1443</v>
      </c>
      <c r="C350" s="312">
        <v>-7.52</v>
      </c>
      <c r="D350" s="233" t="s">
        <v>312</v>
      </c>
    </row>
    <row r="351">
      <c r="A351" s="310">
        <v>43335.0</v>
      </c>
      <c r="B351" s="313" t="s">
        <v>1443</v>
      </c>
      <c r="C351" s="312">
        <v>-8.55</v>
      </c>
      <c r="D351" s="233" t="s">
        <v>312</v>
      </c>
    </row>
    <row r="352">
      <c r="A352" s="310">
        <v>43335.0</v>
      </c>
      <c r="B352" s="313" t="s">
        <v>1442</v>
      </c>
      <c r="C352" s="312">
        <v>8.93</v>
      </c>
      <c r="D352" s="233"/>
    </row>
    <row r="353">
      <c r="A353" s="310">
        <v>43334.0</v>
      </c>
      <c r="B353" s="313" t="s">
        <v>1441</v>
      </c>
      <c r="C353" s="312">
        <v>12.61</v>
      </c>
      <c r="D353" s="233"/>
    </row>
    <row r="354">
      <c r="A354" s="310">
        <v>43334.0</v>
      </c>
      <c r="B354" s="313" t="s">
        <v>1441</v>
      </c>
      <c r="C354" s="312">
        <v>9.17</v>
      </c>
      <c r="D354" s="233"/>
    </row>
    <row r="355">
      <c r="A355" s="310">
        <v>43334.0</v>
      </c>
      <c r="B355" s="313" t="s">
        <v>1442</v>
      </c>
      <c r="C355" s="312">
        <v>-1.02</v>
      </c>
      <c r="D355" s="233" t="s">
        <v>312</v>
      </c>
    </row>
    <row r="356">
      <c r="A356" s="310">
        <v>43334.0</v>
      </c>
      <c r="B356" s="313" t="s">
        <v>1441</v>
      </c>
      <c r="C356" s="312">
        <v>-9.03</v>
      </c>
      <c r="D356" s="233" t="s">
        <v>312</v>
      </c>
    </row>
    <row r="357">
      <c r="A357" s="310">
        <v>43334.0</v>
      </c>
      <c r="B357" s="313" t="s">
        <v>1443</v>
      </c>
      <c r="C357" s="312">
        <v>-5.32</v>
      </c>
      <c r="D357" s="233" t="s">
        <v>312</v>
      </c>
    </row>
    <row r="358">
      <c r="A358" s="310">
        <v>43334.0</v>
      </c>
      <c r="B358" s="313" t="s">
        <v>1446</v>
      </c>
      <c r="C358" s="312">
        <v>-60.28</v>
      </c>
      <c r="D358" s="233" t="s">
        <v>312</v>
      </c>
    </row>
    <row r="359">
      <c r="A359" s="310">
        <v>43333.0</v>
      </c>
      <c r="B359" s="313" t="s">
        <v>1450</v>
      </c>
      <c r="C359" s="312">
        <v>-1.38</v>
      </c>
      <c r="D359" s="233" t="s">
        <v>312</v>
      </c>
    </row>
    <row r="360">
      <c r="A360" s="310">
        <v>43333.0</v>
      </c>
      <c r="B360" s="313">
        <v>530090.0</v>
      </c>
      <c r="C360" s="312">
        <v>-81.33</v>
      </c>
      <c r="D360" s="233" t="s">
        <v>312</v>
      </c>
    </row>
    <row r="361">
      <c r="A361" s="310">
        <v>43333.0</v>
      </c>
      <c r="B361" s="313" t="s">
        <v>1441</v>
      </c>
      <c r="C361" s="312">
        <v>-1.03</v>
      </c>
      <c r="D361" s="233" t="s">
        <v>312</v>
      </c>
    </row>
    <row r="362">
      <c r="A362" s="310">
        <v>43333.0</v>
      </c>
      <c r="B362" s="313" t="s">
        <v>1441</v>
      </c>
      <c r="C362" s="312">
        <v>-4.43</v>
      </c>
      <c r="D362" s="233" t="s">
        <v>312</v>
      </c>
    </row>
    <row r="363">
      <c r="A363" s="310">
        <v>43333.0</v>
      </c>
      <c r="B363" s="313" t="s">
        <v>1441</v>
      </c>
      <c r="C363" s="312">
        <v>-4.63</v>
      </c>
      <c r="D363" s="233" t="s">
        <v>312</v>
      </c>
    </row>
    <row r="364">
      <c r="A364" s="310">
        <v>43333.0</v>
      </c>
      <c r="B364" s="313" t="s">
        <v>1441</v>
      </c>
      <c r="C364" s="312">
        <v>1.17</v>
      </c>
      <c r="D364" s="233"/>
    </row>
    <row r="365">
      <c r="A365" s="310">
        <v>43333.0</v>
      </c>
      <c r="B365" s="313" t="s">
        <v>1441</v>
      </c>
      <c r="C365" s="312">
        <v>2.72</v>
      </c>
      <c r="D365" s="233"/>
    </row>
    <row r="366">
      <c r="A366" s="310">
        <v>43333.0</v>
      </c>
      <c r="B366" s="313" t="s">
        <v>1441</v>
      </c>
      <c r="C366" s="312">
        <v>3.5</v>
      </c>
      <c r="D366" s="233"/>
    </row>
    <row r="367">
      <c r="A367" s="310">
        <v>43332.0</v>
      </c>
      <c r="B367" s="313" t="s">
        <v>1449</v>
      </c>
      <c r="C367" s="312">
        <v>-25.15</v>
      </c>
      <c r="D367" s="233" t="s">
        <v>312</v>
      </c>
    </row>
    <row r="368">
      <c r="A368" s="310">
        <v>43331.0</v>
      </c>
      <c r="B368" s="313" t="s">
        <v>1442</v>
      </c>
      <c r="C368" s="312">
        <v>8.99</v>
      </c>
      <c r="D368" s="233"/>
    </row>
    <row r="369">
      <c r="A369" s="310">
        <v>43331.0</v>
      </c>
      <c r="B369" s="313" t="s">
        <v>1442</v>
      </c>
      <c r="C369" s="312">
        <v>-1.02</v>
      </c>
      <c r="D369" s="233" t="s">
        <v>312</v>
      </c>
    </row>
    <row r="370">
      <c r="A370" s="310">
        <v>43331.0</v>
      </c>
      <c r="B370" s="313" t="s">
        <v>1453</v>
      </c>
      <c r="C370" s="312">
        <v>-81.01</v>
      </c>
      <c r="D370" s="233" t="s">
        <v>312</v>
      </c>
    </row>
    <row r="371">
      <c r="A371" s="310">
        <v>43331.0</v>
      </c>
      <c r="B371" s="313" t="s">
        <v>1441</v>
      </c>
      <c r="C371" s="312">
        <v>-9.03</v>
      </c>
      <c r="D371" s="233" t="s">
        <v>312</v>
      </c>
    </row>
    <row r="372">
      <c r="A372" s="310">
        <v>43331.0</v>
      </c>
      <c r="B372" s="313" t="s">
        <v>1443</v>
      </c>
      <c r="C372" s="312">
        <v>-7.53</v>
      </c>
      <c r="D372" s="233" t="s">
        <v>312</v>
      </c>
    </row>
    <row r="373">
      <c r="A373" s="310">
        <v>43331.0</v>
      </c>
      <c r="B373" s="313" t="s">
        <v>1443</v>
      </c>
      <c r="C373" s="312">
        <v>-8.56</v>
      </c>
      <c r="D373" s="233" t="s">
        <v>312</v>
      </c>
    </row>
    <row r="374">
      <c r="A374" s="310">
        <v>43329.0</v>
      </c>
      <c r="B374" s="313" t="s">
        <v>1442</v>
      </c>
      <c r="C374" s="312">
        <v>-9.02</v>
      </c>
      <c r="D374" s="233" t="s">
        <v>312</v>
      </c>
    </row>
    <row r="375">
      <c r="A375" s="310">
        <v>43329.0</v>
      </c>
      <c r="B375" s="313" t="s">
        <v>1441</v>
      </c>
      <c r="C375" s="312">
        <v>-3.45</v>
      </c>
      <c r="D375" s="233" t="s">
        <v>312</v>
      </c>
    </row>
    <row r="376">
      <c r="A376" s="310">
        <v>43329.0</v>
      </c>
      <c r="B376" s="313" t="s">
        <v>1454</v>
      </c>
      <c r="C376" s="312">
        <v>-18.81</v>
      </c>
      <c r="D376" s="233" t="s">
        <v>312</v>
      </c>
    </row>
    <row r="377">
      <c r="A377" s="310">
        <v>43327.0</v>
      </c>
      <c r="B377" s="313" t="s">
        <v>1442</v>
      </c>
      <c r="C377" s="312">
        <v>-5.29</v>
      </c>
      <c r="D377" s="233" t="s">
        <v>312</v>
      </c>
    </row>
    <row r="378">
      <c r="A378" s="310">
        <v>43327.0</v>
      </c>
      <c r="B378" s="313" t="s">
        <v>1455</v>
      </c>
      <c r="C378" s="312">
        <v>-3.04</v>
      </c>
      <c r="D378" s="233" t="s">
        <v>312</v>
      </c>
    </row>
    <row r="379">
      <c r="A379" s="310">
        <v>43327.0</v>
      </c>
      <c r="B379" s="313" t="s">
        <v>1441</v>
      </c>
      <c r="C379" s="312">
        <v>-1.21</v>
      </c>
      <c r="D379" s="233" t="s">
        <v>312</v>
      </c>
    </row>
    <row r="380">
      <c r="A380" s="310">
        <v>43327.0</v>
      </c>
      <c r="B380" s="313" t="s">
        <v>1441</v>
      </c>
      <c r="C380" s="312">
        <v>-12.81</v>
      </c>
      <c r="D380" s="233" t="s">
        <v>312</v>
      </c>
    </row>
    <row r="381">
      <c r="A381" s="310">
        <v>43327.0</v>
      </c>
      <c r="B381" s="313" t="s">
        <v>1441</v>
      </c>
      <c r="C381" s="312">
        <v>-2.8</v>
      </c>
      <c r="D381" s="233" t="s">
        <v>312</v>
      </c>
    </row>
    <row r="382">
      <c r="A382" s="310">
        <v>43327.0</v>
      </c>
      <c r="B382" s="313" t="s">
        <v>1441</v>
      </c>
      <c r="C382" s="312">
        <v>-3.59</v>
      </c>
      <c r="D382" s="233" t="s">
        <v>312</v>
      </c>
    </row>
    <row r="383">
      <c r="A383" s="310">
        <v>43327.0</v>
      </c>
      <c r="B383" s="313" t="s">
        <v>1441</v>
      </c>
      <c r="C383" s="312">
        <v>-3.94</v>
      </c>
      <c r="D383" s="233" t="s">
        <v>312</v>
      </c>
    </row>
    <row r="384">
      <c r="A384" s="310">
        <v>43327.0</v>
      </c>
      <c r="B384" s="313" t="s">
        <v>1441</v>
      </c>
      <c r="C384" s="312">
        <v>-6.04</v>
      </c>
      <c r="D384" s="233" t="s">
        <v>312</v>
      </c>
    </row>
    <row r="385">
      <c r="A385" s="310">
        <v>43327.0</v>
      </c>
      <c r="B385" s="313" t="s">
        <v>1441</v>
      </c>
      <c r="C385" s="312">
        <v>-9.31</v>
      </c>
      <c r="D385" s="233" t="s">
        <v>312</v>
      </c>
    </row>
    <row r="386">
      <c r="A386" s="310">
        <v>43327.0</v>
      </c>
      <c r="B386" s="313" t="s">
        <v>1456</v>
      </c>
      <c r="C386" s="312">
        <v>500.0</v>
      </c>
      <c r="D386" s="233"/>
    </row>
    <row r="387">
      <c r="A387" s="310">
        <v>43325.0</v>
      </c>
      <c r="B387" s="313" t="s">
        <v>1442</v>
      </c>
      <c r="C387" s="312">
        <v>-8.93</v>
      </c>
      <c r="D387" s="233" t="s">
        <v>312</v>
      </c>
    </row>
    <row r="388">
      <c r="A388" s="310">
        <v>43322.0</v>
      </c>
      <c r="B388" s="313" t="s">
        <v>1442</v>
      </c>
      <c r="C388" s="312">
        <v>-1.93</v>
      </c>
      <c r="D388" s="233" t="s">
        <v>312</v>
      </c>
    </row>
    <row r="389">
      <c r="A389" s="310">
        <v>43320.0</v>
      </c>
      <c r="B389" s="313" t="s">
        <v>1442</v>
      </c>
      <c r="C389" s="312">
        <v>-8.99</v>
      </c>
      <c r="D389" s="233" t="s">
        <v>312</v>
      </c>
    </row>
    <row r="390">
      <c r="A390" s="310">
        <v>43320.0</v>
      </c>
      <c r="B390" s="313" t="s">
        <v>1455</v>
      </c>
      <c r="C390" s="312">
        <v>-2.95</v>
      </c>
      <c r="D390" s="233" t="s">
        <v>312</v>
      </c>
    </row>
    <row r="391">
      <c r="A391" s="310">
        <v>43320.0</v>
      </c>
      <c r="B391" s="313" t="s">
        <v>1443</v>
      </c>
      <c r="C391" s="312">
        <v>-5.04</v>
      </c>
      <c r="D391" s="233" t="s">
        <v>312</v>
      </c>
    </row>
    <row r="392">
      <c r="A392" s="310">
        <v>43319.0</v>
      </c>
      <c r="B392" s="313" t="s">
        <v>1311</v>
      </c>
      <c r="C392" s="312">
        <v>100.0</v>
      </c>
      <c r="D392" s="233"/>
    </row>
    <row r="393">
      <c r="A393" s="184">
        <v>43291.0</v>
      </c>
      <c r="B393" s="314" t="s">
        <v>1382</v>
      </c>
      <c r="C393" s="233">
        <v>-340.6</v>
      </c>
      <c r="D393" s="233"/>
    </row>
    <row r="394">
      <c r="A394" s="310">
        <v>43290.0</v>
      </c>
      <c r="B394" s="313" t="s">
        <v>1364</v>
      </c>
      <c r="C394" s="312">
        <v>-108000.0</v>
      </c>
      <c r="D394" s="233"/>
    </row>
    <row r="395">
      <c r="A395" s="310">
        <v>43286.0</v>
      </c>
      <c r="B395" s="313" t="s">
        <v>1340</v>
      </c>
      <c r="C395" s="312">
        <v>207.0</v>
      </c>
      <c r="D395" s="233"/>
    </row>
    <row r="396">
      <c r="A396" s="310">
        <v>43286.0</v>
      </c>
      <c r="B396" s="313" t="s">
        <v>1437</v>
      </c>
      <c r="C396" s="312">
        <v>-890.0</v>
      </c>
      <c r="D396" s="233"/>
    </row>
    <row r="397">
      <c r="A397" s="310">
        <v>43284.0</v>
      </c>
      <c r="B397" s="313" t="s">
        <v>1341</v>
      </c>
      <c r="C397" s="312">
        <v>494.4</v>
      </c>
      <c r="D397" s="233"/>
    </row>
    <row r="398">
      <c r="A398" s="184">
        <v>43276.0</v>
      </c>
      <c r="B398" s="314" t="s">
        <v>1416</v>
      </c>
      <c r="C398" s="233">
        <v>-0.8</v>
      </c>
      <c r="D398" s="233" t="s">
        <v>312</v>
      </c>
    </row>
    <row r="399">
      <c r="A399" s="310">
        <v>43264.0</v>
      </c>
      <c r="B399" s="313" t="s">
        <v>1457</v>
      </c>
      <c r="C399" s="312">
        <v>-866.73</v>
      </c>
      <c r="D399" s="233" t="s">
        <v>312</v>
      </c>
    </row>
    <row r="400">
      <c r="A400" s="310">
        <v>43262.0</v>
      </c>
      <c r="B400" s="313" t="s">
        <v>1382</v>
      </c>
      <c r="C400" s="312">
        <v>-340.6</v>
      </c>
      <c r="D400" s="233"/>
    </row>
    <row r="401">
      <c r="A401" s="310">
        <v>43262.0</v>
      </c>
      <c r="B401" s="313" t="s">
        <v>1458</v>
      </c>
      <c r="C401" s="312">
        <v>-27.0</v>
      </c>
      <c r="D401" s="233" t="s">
        <v>312</v>
      </c>
    </row>
    <row r="402">
      <c r="A402" s="310">
        <v>43251.0</v>
      </c>
      <c r="B402" s="313" t="s">
        <v>1459</v>
      </c>
      <c r="C402" s="312">
        <v>230.0</v>
      </c>
      <c r="D402" s="233"/>
    </row>
    <row r="403">
      <c r="A403" s="310">
        <v>43249.0</v>
      </c>
      <c r="B403" s="313" t="s">
        <v>1460</v>
      </c>
      <c r="C403" s="312">
        <v>-20.0</v>
      </c>
      <c r="D403" s="233" t="s">
        <v>312</v>
      </c>
    </row>
    <row r="404">
      <c r="A404" s="310">
        <v>43249.0</v>
      </c>
      <c r="B404" s="313" t="s">
        <v>1461</v>
      </c>
      <c r="C404" s="312">
        <v>-42.5</v>
      </c>
      <c r="D404" s="233" t="s">
        <v>312</v>
      </c>
    </row>
    <row r="405">
      <c r="A405" s="310">
        <v>43248.0</v>
      </c>
      <c r="B405" s="313" t="s">
        <v>1462</v>
      </c>
      <c r="C405" s="312">
        <v>-5.2</v>
      </c>
      <c r="D405" s="233" t="s">
        <v>312</v>
      </c>
    </row>
    <row r="406">
      <c r="A406" s="310">
        <v>43248.0</v>
      </c>
      <c r="B406" s="313" t="s">
        <v>1462</v>
      </c>
      <c r="C406" s="312">
        <v>-0.8</v>
      </c>
      <c r="D406" s="233" t="s">
        <v>312</v>
      </c>
    </row>
    <row r="407">
      <c r="A407" s="310">
        <v>43246.0</v>
      </c>
      <c r="B407" s="313" t="s">
        <v>1463</v>
      </c>
      <c r="C407" s="312">
        <v>-22.9</v>
      </c>
      <c r="D407" s="233" t="s">
        <v>312</v>
      </c>
    </row>
    <row r="408">
      <c r="A408" s="310">
        <v>43244.0</v>
      </c>
      <c r="B408" s="313" t="s">
        <v>1464</v>
      </c>
      <c r="C408" s="312">
        <v>-20.84</v>
      </c>
      <c r="D408" s="233" t="s">
        <v>312</v>
      </c>
    </row>
    <row r="409">
      <c r="A409" s="310">
        <v>43243.0</v>
      </c>
      <c r="B409" s="313" t="s">
        <v>1465</v>
      </c>
      <c r="C409" s="312">
        <v>17.96</v>
      </c>
      <c r="D409" s="233"/>
    </row>
    <row r="410">
      <c r="A410" s="310">
        <v>43243.0</v>
      </c>
      <c r="B410" s="313" t="s">
        <v>1391</v>
      </c>
      <c r="C410" s="312">
        <v>35.89</v>
      </c>
      <c r="D410" s="233"/>
    </row>
    <row r="411">
      <c r="A411" s="310">
        <v>43242.0</v>
      </c>
      <c r="B411" s="313" t="s">
        <v>1466</v>
      </c>
      <c r="C411" s="312">
        <v>-35.89</v>
      </c>
      <c r="D411" s="233"/>
    </row>
    <row r="412">
      <c r="A412" s="310">
        <v>43229.0</v>
      </c>
      <c r="B412" s="313" t="s">
        <v>1311</v>
      </c>
      <c r="C412" s="312">
        <v>100.0</v>
      </c>
      <c r="D412" s="233"/>
    </row>
    <row r="413">
      <c r="A413" s="310">
        <v>43229.0</v>
      </c>
      <c r="B413" s="313" t="s">
        <v>1462</v>
      </c>
      <c r="C413" s="312">
        <v>-2.0</v>
      </c>
      <c r="D413" s="233" t="s">
        <v>312</v>
      </c>
    </row>
    <row r="414">
      <c r="A414" s="184">
        <v>43227.0</v>
      </c>
      <c r="B414" s="314" t="s">
        <v>1437</v>
      </c>
      <c r="C414" s="233">
        <v>-890.0</v>
      </c>
      <c r="D414" s="233"/>
    </row>
    <row r="415">
      <c r="A415" s="310">
        <v>43227.0</v>
      </c>
      <c r="B415" s="313" t="s">
        <v>1467</v>
      </c>
      <c r="C415" s="312">
        <v>700.0</v>
      </c>
      <c r="D415" s="233"/>
    </row>
    <row r="416">
      <c r="A416" s="310">
        <v>43225.0</v>
      </c>
      <c r="B416" s="313" t="s">
        <v>1468</v>
      </c>
      <c r="C416" s="312">
        <v>-5.44</v>
      </c>
      <c r="D416" s="233" t="s">
        <v>312</v>
      </c>
    </row>
    <row r="417">
      <c r="A417" s="184">
        <v>43224.0</v>
      </c>
      <c r="B417" s="314" t="s">
        <v>1340</v>
      </c>
      <c r="C417" s="233">
        <v>207.0</v>
      </c>
      <c r="D417" s="233"/>
    </row>
    <row r="418">
      <c r="A418" s="310">
        <v>43207.0</v>
      </c>
      <c r="B418" s="313" t="s">
        <v>1416</v>
      </c>
      <c r="C418" s="312">
        <v>-0.8</v>
      </c>
      <c r="D418" s="233" t="s">
        <v>312</v>
      </c>
    </row>
    <row r="419">
      <c r="A419" s="310">
        <v>43202.0</v>
      </c>
      <c r="B419" s="313" t="s">
        <v>1462</v>
      </c>
      <c r="C419" s="312">
        <v>-2.6</v>
      </c>
      <c r="D419" s="233" t="s">
        <v>312</v>
      </c>
    </row>
    <row r="420">
      <c r="A420" s="310">
        <v>43202.0</v>
      </c>
      <c r="B420" s="313" t="s">
        <v>1462</v>
      </c>
      <c r="C420" s="312">
        <v>-1.3</v>
      </c>
      <c r="D420" s="233" t="s">
        <v>312</v>
      </c>
    </row>
    <row r="421">
      <c r="A421" s="310">
        <v>43200.0</v>
      </c>
      <c r="B421" s="313" t="s">
        <v>1382</v>
      </c>
      <c r="C421" s="312">
        <v>-340.6</v>
      </c>
      <c r="D421" s="233"/>
    </row>
    <row r="422">
      <c r="A422" s="310">
        <v>43199.0</v>
      </c>
      <c r="B422" s="313" t="s">
        <v>1469</v>
      </c>
      <c r="C422" s="312">
        <v>-0.5</v>
      </c>
      <c r="D422" s="233" t="s">
        <v>312</v>
      </c>
    </row>
    <row r="423">
      <c r="A423" s="310">
        <v>43195.0</v>
      </c>
      <c r="B423" s="313" t="s">
        <v>1437</v>
      </c>
      <c r="C423" s="312">
        <v>-890.0</v>
      </c>
      <c r="D423" s="233"/>
    </row>
    <row r="424">
      <c r="A424" s="310">
        <v>43195.0</v>
      </c>
      <c r="B424" s="313" t="s">
        <v>1340</v>
      </c>
      <c r="C424" s="312">
        <v>207.0</v>
      </c>
      <c r="D424" s="233"/>
    </row>
    <row r="425">
      <c r="A425" s="310">
        <v>43195.0</v>
      </c>
      <c r="B425" s="313" t="s">
        <v>1467</v>
      </c>
      <c r="C425" s="312">
        <v>700.0</v>
      </c>
      <c r="D425" s="233"/>
    </row>
    <row r="426">
      <c r="A426" s="315">
        <v>43193.0</v>
      </c>
      <c r="B426" s="316" t="s">
        <v>1341</v>
      </c>
      <c r="C426" s="312">
        <v>494.4</v>
      </c>
      <c r="D426" s="268"/>
    </row>
    <row r="427">
      <c r="A427" s="310">
        <v>43193.0</v>
      </c>
      <c r="B427" s="313" t="s">
        <v>1341</v>
      </c>
      <c r="C427" s="312">
        <v>505.92</v>
      </c>
      <c r="D427" s="233"/>
    </row>
    <row r="428">
      <c r="A428" s="310">
        <v>43186.0</v>
      </c>
      <c r="B428" s="313" t="s">
        <v>1416</v>
      </c>
      <c r="C428" s="312">
        <v>-1.6</v>
      </c>
      <c r="D428" s="233" t="s">
        <v>312</v>
      </c>
    </row>
    <row r="429">
      <c r="A429" s="184">
        <v>43186.0</v>
      </c>
      <c r="B429" s="314" t="s">
        <v>1462</v>
      </c>
      <c r="C429" s="233">
        <v>-0.8</v>
      </c>
      <c r="D429" s="233" t="s">
        <v>312</v>
      </c>
    </row>
    <row r="430">
      <c r="A430" s="310">
        <v>43179.0</v>
      </c>
      <c r="B430" s="313" t="s">
        <v>1470</v>
      </c>
      <c r="C430" s="312">
        <v>-3.0</v>
      </c>
      <c r="D430" s="233" t="s">
        <v>312</v>
      </c>
    </row>
    <row r="431">
      <c r="A431" s="310">
        <v>43178.0</v>
      </c>
      <c r="B431" s="313" t="s">
        <v>1464</v>
      </c>
      <c r="C431" s="312">
        <v>-21.34</v>
      </c>
      <c r="D431" s="233" t="s">
        <v>312</v>
      </c>
    </row>
    <row r="432">
      <c r="A432" s="310">
        <v>43173.0</v>
      </c>
      <c r="B432" s="313" t="s">
        <v>1462</v>
      </c>
      <c r="C432" s="312">
        <v>-0.8</v>
      </c>
      <c r="D432" s="233" t="s">
        <v>312</v>
      </c>
    </row>
    <row r="433">
      <c r="A433" s="310">
        <v>43171.0</v>
      </c>
      <c r="B433" s="313" t="s">
        <v>1471</v>
      </c>
      <c r="C433" s="312">
        <v>100.0</v>
      </c>
      <c r="D433" s="233"/>
    </row>
    <row r="434">
      <c r="A434" s="310">
        <v>43171.0</v>
      </c>
      <c r="B434" s="313" t="s">
        <v>1382</v>
      </c>
      <c r="C434" s="312">
        <v>-340.6</v>
      </c>
      <c r="D434" s="233"/>
    </row>
    <row r="435">
      <c r="A435" s="310">
        <v>43164.0</v>
      </c>
      <c r="B435" s="313" t="s">
        <v>1472</v>
      </c>
      <c r="C435" s="312">
        <v>-90.0</v>
      </c>
      <c r="D435" s="233" t="s">
        <v>312</v>
      </c>
    </row>
    <row r="436">
      <c r="A436" s="310">
        <v>43164.0</v>
      </c>
      <c r="B436" s="313" t="s">
        <v>1340</v>
      </c>
      <c r="C436" s="312">
        <v>207.0</v>
      </c>
      <c r="D436" s="233"/>
    </row>
    <row r="437">
      <c r="A437" s="184">
        <v>43164.0</v>
      </c>
      <c r="B437" s="314" t="s">
        <v>1473</v>
      </c>
      <c r="C437" s="233">
        <v>-285.0</v>
      </c>
      <c r="D437" s="233"/>
    </row>
    <row r="438">
      <c r="A438" s="184">
        <v>43164.0</v>
      </c>
      <c r="B438" s="314" t="s">
        <v>1437</v>
      </c>
      <c r="C438" s="233">
        <v>-890.0</v>
      </c>
      <c r="D438" s="233"/>
    </row>
    <row r="439">
      <c r="A439" s="184">
        <v>43164.0</v>
      </c>
      <c r="B439" s="314" t="s">
        <v>1467</v>
      </c>
      <c r="C439" s="233">
        <v>700.0</v>
      </c>
      <c r="D439" s="233"/>
    </row>
    <row r="440">
      <c r="A440" s="184">
        <v>43160.0</v>
      </c>
      <c r="B440" s="314" t="s">
        <v>1462</v>
      </c>
      <c r="C440" s="233">
        <v>-2.0</v>
      </c>
      <c r="D440" s="233" t="s">
        <v>312</v>
      </c>
    </row>
    <row r="441">
      <c r="A441" s="184">
        <v>43160.0</v>
      </c>
      <c r="B441" s="314" t="s">
        <v>1341</v>
      </c>
      <c r="C441" s="233">
        <v>456.96</v>
      </c>
      <c r="D441" s="233"/>
    </row>
    <row r="442">
      <c r="A442" s="310">
        <v>43158.0</v>
      </c>
      <c r="B442" s="313" t="s">
        <v>1416</v>
      </c>
      <c r="C442" s="312">
        <v>-3.6</v>
      </c>
      <c r="D442" s="233" t="s">
        <v>312</v>
      </c>
    </row>
    <row r="443">
      <c r="A443" s="310">
        <v>43151.0</v>
      </c>
      <c r="B443" s="313" t="s">
        <v>1474</v>
      </c>
      <c r="C443" s="312">
        <v>-1.0</v>
      </c>
      <c r="D443" s="233" t="s">
        <v>312</v>
      </c>
    </row>
    <row r="444">
      <c r="A444" s="310">
        <v>43145.0</v>
      </c>
      <c r="B444" s="313" t="s">
        <v>1462</v>
      </c>
      <c r="C444" s="312">
        <v>-0.8</v>
      </c>
      <c r="D444" s="233" t="s">
        <v>312</v>
      </c>
    </row>
    <row r="445">
      <c r="A445" s="310">
        <v>43143.0</v>
      </c>
      <c r="B445" s="313" t="s">
        <v>1382</v>
      </c>
      <c r="C445" s="312">
        <v>-340.6</v>
      </c>
      <c r="D445" s="233"/>
    </row>
    <row r="446">
      <c r="A446" s="310">
        <v>43138.0</v>
      </c>
      <c r="B446" s="313" t="s">
        <v>1475</v>
      </c>
      <c r="C446" s="312">
        <v>1.32</v>
      </c>
      <c r="D446" s="233"/>
    </row>
    <row r="447">
      <c r="A447" s="310">
        <v>43136.0</v>
      </c>
      <c r="B447" s="313" t="s">
        <v>1437</v>
      </c>
      <c r="C447" s="312">
        <v>-890.0</v>
      </c>
      <c r="D447" s="233"/>
    </row>
    <row r="448">
      <c r="A448" s="310">
        <v>43136.0</v>
      </c>
      <c r="B448" s="313" t="s">
        <v>1340</v>
      </c>
      <c r="C448" s="312">
        <v>207.0</v>
      </c>
      <c r="D448" s="233"/>
    </row>
    <row r="449">
      <c r="A449" s="310">
        <v>43136.0</v>
      </c>
      <c r="B449" s="313" t="s">
        <v>1467</v>
      </c>
      <c r="C449" s="312">
        <v>700.0</v>
      </c>
      <c r="D449" s="233"/>
    </row>
    <row r="450">
      <c r="A450" s="310">
        <v>43134.0</v>
      </c>
      <c r="B450" s="313" t="s">
        <v>1476</v>
      </c>
      <c r="C450" s="312">
        <v>1.13</v>
      </c>
      <c r="D450" s="233"/>
    </row>
    <row r="451">
      <c r="A451" s="310">
        <v>43133.0</v>
      </c>
      <c r="B451" s="313" t="s">
        <v>1464</v>
      </c>
      <c r="C451" s="312" t="s">
        <v>1477</v>
      </c>
      <c r="D451" s="233"/>
    </row>
    <row r="452">
      <c r="A452" s="310">
        <v>43132.0</v>
      </c>
      <c r="B452" s="313" t="s">
        <v>1341</v>
      </c>
      <c r="C452" s="312">
        <v>505.92</v>
      </c>
      <c r="D452" s="233"/>
    </row>
    <row r="453">
      <c r="A453" s="310">
        <v>43132.0</v>
      </c>
      <c r="B453" s="313" t="s">
        <v>1478</v>
      </c>
      <c r="C453" s="312">
        <v>-6.25</v>
      </c>
      <c r="D453" s="233" t="s">
        <v>312</v>
      </c>
    </row>
    <row r="454">
      <c r="A454" s="310">
        <v>43127.0</v>
      </c>
      <c r="B454" s="313" t="s">
        <v>1479</v>
      </c>
      <c r="C454" s="312">
        <v>-3.41</v>
      </c>
      <c r="D454" s="233" t="s">
        <v>312</v>
      </c>
    </row>
    <row r="455">
      <c r="A455" s="310">
        <v>43126.0</v>
      </c>
      <c r="B455" s="313" t="s">
        <v>1480</v>
      </c>
      <c r="C455" s="312">
        <v>100.0</v>
      </c>
      <c r="D455" s="233"/>
    </row>
    <row r="456">
      <c r="A456" s="310">
        <v>43124.0</v>
      </c>
      <c r="B456" s="313" t="s">
        <v>1390</v>
      </c>
      <c r="C456" s="312">
        <v>20.0</v>
      </c>
      <c r="D456" s="233"/>
    </row>
    <row r="457">
      <c r="A457" s="310">
        <v>43124.0</v>
      </c>
      <c r="B457" s="313" t="s">
        <v>1481</v>
      </c>
      <c r="C457" s="312">
        <v>-20.0</v>
      </c>
      <c r="D457" s="233"/>
    </row>
    <row r="458">
      <c r="A458" s="310">
        <v>43116.0</v>
      </c>
      <c r="B458" s="313" t="s">
        <v>1482</v>
      </c>
      <c r="C458" s="312">
        <v>-2.9</v>
      </c>
      <c r="D458" s="233" t="s">
        <v>312</v>
      </c>
    </row>
    <row r="459">
      <c r="A459" s="310">
        <v>43116.0</v>
      </c>
      <c r="B459" s="313" t="s">
        <v>1482</v>
      </c>
      <c r="C459" s="312">
        <v>-2.74</v>
      </c>
      <c r="D459" s="233" t="s">
        <v>312</v>
      </c>
    </row>
    <row r="460">
      <c r="A460" s="310">
        <v>43115.0</v>
      </c>
      <c r="B460" s="313" t="s">
        <v>1483</v>
      </c>
      <c r="C460" s="312">
        <v>-74.82</v>
      </c>
      <c r="D460" s="233" t="s">
        <v>312</v>
      </c>
    </row>
    <row r="461">
      <c r="A461" s="310">
        <v>43112.0</v>
      </c>
      <c r="B461" s="313" t="s">
        <v>1437</v>
      </c>
      <c r="C461" s="312" t="s">
        <v>1484</v>
      </c>
      <c r="D461" s="233"/>
    </row>
    <row r="462">
      <c r="A462" s="310">
        <v>43111.0</v>
      </c>
      <c r="B462" s="313" t="s">
        <v>1390</v>
      </c>
      <c r="C462" s="312">
        <v>400.0</v>
      </c>
      <c r="D462" s="233"/>
    </row>
    <row r="463">
      <c r="A463" s="310">
        <v>43111.0</v>
      </c>
      <c r="B463" s="313" t="s">
        <v>1485</v>
      </c>
      <c r="C463" s="312">
        <v>-2.01</v>
      </c>
      <c r="D463" s="233" t="s">
        <v>312</v>
      </c>
    </row>
    <row r="464">
      <c r="A464" s="310">
        <v>43111.0</v>
      </c>
      <c r="B464" s="313" t="s">
        <v>1486</v>
      </c>
      <c r="C464" s="312">
        <v>-2.39</v>
      </c>
      <c r="D464" s="233" t="s">
        <v>312</v>
      </c>
    </row>
    <row r="465">
      <c r="A465" s="310">
        <v>43110.0</v>
      </c>
      <c r="B465" s="313" t="s">
        <v>1487</v>
      </c>
      <c r="C465" s="312">
        <v>-400.0</v>
      </c>
      <c r="D465" s="233"/>
    </row>
    <row r="466">
      <c r="A466" s="310">
        <v>43110.0</v>
      </c>
      <c r="B466" s="313" t="s">
        <v>1382</v>
      </c>
      <c r="C466" s="312">
        <v>-340.6</v>
      </c>
      <c r="D466" s="233"/>
    </row>
    <row r="467">
      <c r="A467" s="310">
        <v>43109.0</v>
      </c>
      <c r="B467" s="313" t="s">
        <v>1488</v>
      </c>
      <c r="C467" s="312">
        <v>-3.19</v>
      </c>
      <c r="D467" s="233" t="s">
        <v>312</v>
      </c>
    </row>
    <row r="468">
      <c r="A468" s="310">
        <v>43109.0</v>
      </c>
      <c r="B468" s="313" t="s">
        <v>1488</v>
      </c>
      <c r="C468" s="312">
        <v>-2.94</v>
      </c>
      <c r="D468" s="233" t="s">
        <v>312</v>
      </c>
    </row>
    <row r="469">
      <c r="A469" s="310">
        <v>43109.0</v>
      </c>
      <c r="B469" s="313" t="s">
        <v>1488</v>
      </c>
      <c r="C469" s="312">
        <v>-1.13</v>
      </c>
      <c r="D469" s="233" t="s">
        <v>312</v>
      </c>
    </row>
    <row r="470">
      <c r="A470" s="310">
        <v>43108.0</v>
      </c>
      <c r="B470" s="313" t="s">
        <v>1489</v>
      </c>
      <c r="C470" s="312">
        <v>-3.95</v>
      </c>
      <c r="D470" s="233" t="s">
        <v>312</v>
      </c>
    </row>
    <row r="471">
      <c r="A471" s="310">
        <v>43107.0</v>
      </c>
      <c r="B471" s="313" t="s">
        <v>1490</v>
      </c>
      <c r="C471" s="312">
        <v>-7.37</v>
      </c>
      <c r="D471" s="233" t="s">
        <v>312</v>
      </c>
    </row>
    <row r="472">
      <c r="A472" s="184">
        <v>43105.0</v>
      </c>
      <c r="B472" s="164" t="s">
        <v>1340</v>
      </c>
      <c r="C472" s="235">
        <v>207.0</v>
      </c>
      <c r="D472" s="235"/>
    </row>
    <row r="473">
      <c r="A473" s="184">
        <v>43105.0</v>
      </c>
      <c r="B473" s="229" t="s">
        <v>1491</v>
      </c>
      <c r="C473" s="233">
        <v>40.0</v>
      </c>
      <c r="D473" s="235"/>
    </row>
    <row r="474">
      <c r="A474" s="184">
        <v>43105.0</v>
      </c>
      <c r="B474" s="229" t="s">
        <v>1437</v>
      </c>
      <c r="C474" s="233">
        <v>890.0</v>
      </c>
      <c r="D474" s="235"/>
    </row>
    <row r="475">
      <c r="A475" s="184">
        <v>43105.0</v>
      </c>
      <c r="B475" s="229" t="s">
        <v>1467</v>
      </c>
      <c r="C475" s="233">
        <v>700.0</v>
      </c>
      <c r="D475" s="235"/>
    </row>
    <row r="476">
      <c r="A476" s="310">
        <v>43104.0</v>
      </c>
      <c r="B476" s="313" t="s">
        <v>1479</v>
      </c>
      <c r="C476" s="312">
        <v>-3.8</v>
      </c>
      <c r="D476" s="233" t="s">
        <v>312</v>
      </c>
    </row>
    <row r="477">
      <c r="A477" s="310">
        <v>43104.0</v>
      </c>
      <c r="B477" s="317" t="s">
        <v>1364</v>
      </c>
      <c r="C477" s="312">
        <v>-30000.0</v>
      </c>
      <c r="D477" s="233"/>
    </row>
    <row r="478">
      <c r="A478" s="310">
        <v>43103.0</v>
      </c>
      <c r="B478" s="317" t="s">
        <v>1492</v>
      </c>
      <c r="C478" s="312">
        <v>5000.0</v>
      </c>
      <c r="D478" s="233"/>
    </row>
    <row r="479">
      <c r="A479" s="310">
        <v>43103.0</v>
      </c>
      <c r="B479" s="317" t="s">
        <v>1493</v>
      </c>
      <c r="C479" s="312">
        <v>505.92</v>
      </c>
      <c r="D479" s="233"/>
    </row>
    <row r="480">
      <c r="A480" s="310">
        <v>43102.0</v>
      </c>
      <c r="B480" s="317" t="s">
        <v>1494</v>
      </c>
      <c r="C480" s="312">
        <v>400.0</v>
      </c>
      <c r="D480" s="233"/>
    </row>
    <row r="481">
      <c r="A481" s="310">
        <v>43102.0</v>
      </c>
      <c r="B481" s="317" t="s">
        <v>1492</v>
      </c>
      <c r="C481" s="312">
        <v>25000.0</v>
      </c>
      <c r="D481" s="233"/>
    </row>
    <row r="482">
      <c r="A482" s="310">
        <v>43096.0</v>
      </c>
      <c r="B482" s="317" t="s">
        <v>1426</v>
      </c>
      <c r="C482" s="312">
        <v>-259.0</v>
      </c>
      <c r="D482" s="233"/>
    </row>
    <row r="483">
      <c r="A483" s="310">
        <v>43088.0</v>
      </c>
      <c r="B483" s="317" t="s">
        <v>1495</v>
      </c>
      <c r="C483" s="312">
        <v>110.0</v>
      </c>
      <c r="D483" s="233"/>
    </row>
    <row r="484">
      <c r="A484" s="310">
        <v>43083.0</v>
      </c>
      <c r="B484" s="317" t="s">
        <v>1496</v>
      </c>
      <c r="C484" s="312">
        <v>-6.05</v>
      </c>
      <c r="D484" s="233" t="s">
        <v>312</v>
      </c>
    </row>
    <row r="485">
      <c r="A485" s="310">
        <v>43083.0</v>
      </c>
      <c r="B485" s="317" t="s">
        <v>1497</v>
      </c>
      <c r="C485" s="312">
        <v>-9.35</v>
      </c>
      <c r="D485" s="233" t="s">
        <v>312</v>
      </c>
    </row>
    <row r="486">
      <c r="A486" s="310">
        <v>43083.0</v>
      </c>
      <c r="B486" s="317" t="s">
        <v>1493</v>
      </c>
      <c r="C486" s="312">
        <v>152.45</v>
      </c>
      <c r="D486" s="233"/>
    </row>
    <row r="487">
      <c r="A487" s="310">
        <v>43080.0</v>
      </c>
      <c r="B487" s="317" t="s">
        <v>1382</v>
      </c>
      <c r="C487" s="312">
        <v>-340.6</v>
      </c>
      <c r="D487" s="233"/>
    </row>
    <row r="488">
      <c r="A488" s="184">
        <v>43080.0</v>
      </c>
      <c r="B488" s="19" t="s">
        <v>1488</v>
      </c>
      <c r="C488" s="233">
        <v>-1.32</v>
      </c>
      <c r="D488" s="233" t="s">
        <v>312</v>
      </c>
    </row>
    <row r="489">
      <c r="A489" s="184">
        <v>43076.0</v>
      </c>
      <c r="B489" s="19" t="s">
        <v>1498</v>
      </c>
      <c r="C489" s="233">
        <v>35.1</v>
      </c>
      <c r="D489" s="233"/>
    </row>
    <row r="490">
      <c r="A490" s="184">
        <v>43075.0</v>
      </c>
      <c r="B490" s="19" t="s">
        <v>1499</v>
      </c>
      <c r="C490" s="233">
        <v>700.0</v>
      </c>
      <c r="D490" s="233"/>
    </row>
    <row r="491">
      <c r="A491" s="184">
        <v>43074.0</v>
      </c>
      <c r="B491" s="19" t="s">
        <v>1340</v>
      </c>
      <c r="C491" s="233">
        <v>207.0</v>
      </c>
      <c r="D491" s="233"/>
    </row>
    <row r="492">
      <c r="A492" s="184">
        <v>43074.0</v>
      </c>
      <c r="B492" s="19" t="s">
        <v>1500</v>
      </c>
      <c r="C492" s="233">
        <v>-101.0</v>
      </c>
      <c r="D492" s="233" t="s">
        <v>312</v>
      </c>
    </row>
    <row r="493">
      <c r="A493" s="184">
        <v>43074.0</v>
      </c>
      <c r="B493" s="19" t="s">
        <v>1437</v>
      </c>
      <c r="C493" s="233">
        <v>-890.0</v>
      </c>
      <c r="D493" s="233"/>
    </row>
    <row r="494">
      <c r="A494" s="184">
        <v>43073.0</v>
      </c>
      <c r="B494" s="19" t="s">
        <v>1439</v>
      </c>
      <c r="C494" s="233">
        <v>1.0</v>
      </c>
      <c r="D494" s="233"/>
    </row>
    <row r="495">
      <c r="A495" s="184">
        <v>43073.0</v>
      </c>
      <c r="B495" s="19" t="s">
        <v>1501</v>
      </c>
      <c r="C495" s="233">
        <v>-38.0</v>
      </c>
      <c r="D495" s="233" t="s">
        <v>312</v>
      </c>
    </row>
    <row r="496">
      <c r="A496" s="184">
        <v>43073.0</v>
      </c>
      <c r="B496" s="19" t="s">
        <v>1439</v>
      </c>
      <c r="C496" s="233">
        <v>-1.0</v>
      </c>
      <c r="D496" s="233"/>
    </row>
    <row r="497">
      <c r="A497" s="184">
        <v>43073.0</v>
      </c>
      <c r="B497" s="19" t="s">
        <v>1493</v>
      </c>
      <c r="C497" s="233">
        <v>489.6</v>
      </c>
      <c r="D497" s="233"/>
    </row>
    <row r="498">
      <c r="A498" s="184">
        <v>43069.0</v>
      </c>
      <c r="B498" s="19" t="s">
        <v>1488</v>
      </c>
      <c r="C498" s="233">
        <v>-21.99</v>
      </c>
      <c r="D498" s="233" t="s">
        <v>312</v>
      </c>
    </row>
    <row r="499">
      <c r="A499" s="184">
        <v>43068.0</v>
      </c>
      <c r="B499" s="19" t="s">
        <v>1364</v>
      </c>
      <c r="C499" s="233">
        <v>-10000.0</v>
      </c>
      <c r="D499" s="233"/>
    </row>
    <row r="500">
      <c r="A500" s="184">
        <v>43068.0</v>
      </c>
      <c r="B500" s="19" t="s">
        <v>1502</v>
      </c>
      <c r="C500" s="233">
        <v>10000.0</v>
      </c>
      <c r="D500" s="233"/>
    </row>
    <row r="501">
      <c r="A501" s="184">
        <v>43067.0</v>
      </c>
      <c r="B501" s="19" t="s">
        <v>1503</v>
      </c>
      <c r="C501" s="233">
        <v>-989.01</v>
      </c>
      <c r="D501" s="233"/>
    </row>
    <row r="502">
      <c r="A502" s="184">
        <v>43063.0</v>
      </c>
      <c r="B502" s="19" t="s">
        <v>1488</v>
      </c>
      <c r="C502" s="233">
        <v>-83.27</v>
      </c>
      <c r="D502" s="233" t="s">
        <v>312</v>
      </c>
    </row>
    <row r="503">
      <c r="A503" s="184">
        <v>43061.0</v>
      </c>
      <c r="B503" s="19" t="s">
        <v>1504</v>
      </c>
      <c r="C503" s="233">
        <v>-5.3</v>
      </c>
      <c r="D503" s="233" t="s">
        <v>312</v>
      </c>
    </row>
    <row r="504">
      <c r="A504" s="184">
        <v>43056.0</v>
      </c>
      <c r="B504" s="19" t="s">
        <v>1464</v>
      </c>
      <c r="C504" s="233">
        <v>-19.79</v>
      </c>
      <c r="D504" s="233" t="s">
        <v>312</v>
      </c>
    </row>
    <row r="505">
      <c r="A505" s="184">
        <v>43055.0</v>
      </c>
      <c r="B505" s="19" t="s">
        <v>1364</v>
      </c>
      <c r="C505" s="233">
        <v>-1000.0</v>
      </c>
      <c r="D505" s="233"/>
    </row>
    <row r="506">
      <c r="A506" s="184">
        <v>43053.0</v>
      </c>
      <c r="B506" s="19" t="s">
        <v>1494</v>
      </c>
      <c r="C506" s="233">
        <v>1350.0</v>
      </c>
      <c r="D506" s="233"/>
    </row>
    <row r="507">
      <c r="A507" s="184">
        <v>43053.0</v>
      </c>
      <c r="B507" s="19" t="s">
        <v>1391</v>
      </c>
      <c r="C507" s="233">
        <v>-1000.0</v>
      </c>
      <c r="D507" s="233"/>
    </row>
    <row r="508">
      <c r="A508" s="184">
        <v>43053.0</v>
      </c>
      <c r="B508" s="19" t="s">
        <v>1390</v>
      </c>
      <c r="C508" s="233">
        <v>1000.0</v>
      </c>
      <c r="D508" s="233"/>
    </row>
    <row r="509">
      <c r="A509" s="184">
        <v>43052.0</v>
      </c>
      <c r="B509" s="19" t="s">
        <v>1505</v>
      </c>
      <c r="C509" s="233">
        <v>192.8</v>
      </c>
      <c r="D509" s="233"/>
    </row>
    <row r="510">
      <c r="A510" s="184">
        <v>43049.0</v>
      </c>
      <c r="B510" s="19" t="s">
        <v>1382</v>
      </c>
      <c r="C510" s="233">
        <v>-340.6</v>
      </c>
      <c r="D510" s="233"/>
    </row>
    <row r="511">
      <c r="A511" s="184">
        <v>43048.0</v>
      </c>
      <c r="B511" s="19" t="s">
        <v>1506</v>
      </c>
      <c r="C511" s="233">
        <v>700.0</v>
      </c>
      <c r="D511" s="233"/>
    </row>
    <row r="512">
      <c r="A512" s="184">
        <v>43045.0</v>
      </c>
      <c r="B512" s="19" t="s">
        <v>1437</v>
      </c>
      <c r="C512" s="233">
        <v>-890.0</v>
      </c>
      <c r="D512" s="233"/>
    </row>
    <row r="513">
      <c r="A513" s="184">
        <v>43041.0</v>
      </c>
      <c r="B513" s="19" t="s">
        <v>1493</v>
      </c>
      <c r="C513" s="233">
        <v>505.92</v>
      </c>
      <c r="D513" s="233"/>
    </row>
  </sheetData>
  <autoFilter ref="$A$1:$D$513">
    <sortState ref="A1:D513">
      <sortCondition descending="1" ref="A1:A513"/>
    </sortState>
  </autoFilter>
  <hyperlinks>
    <hyperlink r:id="rId1" ref="B228"/>
    <hyperlink r:id="rId2" ref="B454"/>
    <hyperlink r:id="rId3" ref="B476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1507</v>
      </c>
      <c r="B1" s="63" t="s">
        <v>1508</v>
      </c>
    </row>
    <row r="2">
      <c r="A2" s="8" t="s">
        <v>1509</v>
      </c>
      <c r="B2" s="318">
        <v>1047.99</v>
      </c>
    </row>
    <row r="3">
      <c r="A3" s="8" t="s">
        <v>1510</v>
      </c>
      <c r="B3" s="318">
        <v>0.96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3" t="s">
        <v>66</v>
      </c>
      <c r="B1" s="63" t="s">
        <v>1511</v>
      </c>
      <c r="C1" s="63" t="s">
        <v>1512</v>
      </c>
      <c r="D1" s="63" t="s">
        <v>1513</v>
      </c>
      <c r="E1" s="63" t="s">
        <v>1514</v>
      </c>
      <c r="F1" s="63" t="s">
        <v>1515</v>
      </c>
      <c r="G1" s="63" t="s">
        <v>1303</v>
      </c>
      <c r="H1" s="63" t="s">
        <v>279</v>
      </c>
      <c r="I1" s="63" t="s">
        <v>1516</v>
      </c>
      <c r="J1" s="63" t="s">
        <v>1517</v>
      </c>
    </row>
    <row r="2">
      <c r="A2" s="319" t="s">
        <v>1518</v>
      </c>
      <c r="B2" s="320">
        <v>-637.15</v>
      </c>
      <c r="C2" s="238">
        <v>48.0</v>
      </c>
      <c r="D2" s="184">
        <v>43847.0</v>
      </c>
      <c r="E2" s="184">
        <f t="shared" ref="E2:E7" si="1">IF(AND($C2&lt;&gt;"",$D2&lt;&gt;""),DATE(YEAR($D2+DATE(0,$C2,0)),MONTH($D2+DATE(0,$C2,0)),DAY($D2)),"")</f>
        <v>45277</v>
      </c>
      <c r="F2" s="18">
        <f t="shared" ref="F2:F7" si="2">IF($C2,ABS($C2*$B2),"")</f>
        <v>30583.2</v>
      </c>
      <c r="G2" s="18">
        <f t="shared" ref="G2:G7" si="3">IF(AND($F2&lt;&gt;"",$B2&lt;0),MOD(ABS($F2),1000),"")</f>
        <v>583.2</v>
      </c>
      <c r="H2" s="174">
        <f t="shared" ref="H2:H7" si="4">IF($G2,$G2/($F2-$G2)/($C2/23),)</f>
        <v>0.009315</v>
      </c>
      <c r="I2">
        <f>IF(AND($E2&lt;&gt;"",$E2&gt;DateTime!$B$2),DATEDIF(DateTime!$B$2+1,$E2,"M")+1,)</f>
        <v>39</v>
      </c>
      <c r="J2" s="298">
        <f>IF(AND($E2&lt;&gt;"",$E2&gt;=DateTime!$B$2),$I2*$B2,)</f>
        <v>-24848.85</v>
      </c>
    </row>
    <row r="3">
      <c r="A3" s="319" t="s">
        <v>1519</v>
      </c>
      <c r="B3" s="320">
        <v>-29.0</v>
      </c>
      <c r="C3" s="238"/>
      <c r="D3" s="184"/>
      <c r="E3" s="184" t="str">
        <f t="shared" si="1"/>
        <v/>
      </c>
      <c r="F3" s="18" t="str">
        <f t="shared" si="2"/>
        <v/>
      </c>
      <c r="G3" s="18" t="str">
        <f t="shared" si="3"/>
        <v/>
      </c>
      <c r="H3" s="174" t="str">
        <f t="shared" si="4"/>
        <v/>
      </c>
      <c r="I3" t="str">
        <f>IF(AND($E3&lt;&gt;"",$E3&gt;DateTime!$B$2),DATEDIF(DateTime!$B$2+1,$E3,"M")+1,)</f>
        <v/>
      </c>
      <c r="J3" s="321" t="str">
        <f>IF(AND($E3&lt;&gt;"",$E3&gt;=DateTime!$B$2),$I3*$B3,)</f>
        <v/>
      </c>
    </row>
    <row r="4">
      <c r="A4" s="319" t="s">
        <v>1520</v>
      </c>
      <c r="B4" s="320">
        <v>-18.09</v>
      </c>
      <c r="C4" s="238"/>
      <c r="D4" s="184"/>
      <c r="E4" s="184" t="str">
        <f t="shared" si="1"/>
        <v/>
      </c>
      <c r="F4" s="18" t="str">
        <f t="shared" si="2"/>
        <v/>
      </c>
      <c r="G4" s="18" t="str">
        <f t="shared" si="3"/>
        <v/>
      </c>
      <c r="H4" s="174" t="str">
        <f t="shared" si="4"/>
        <v/>
      </c>
      <c r="I4" t="str">
        <f>IF(AND($E4&lt;&gt;"",$E4&gt;DateTime!$B$2),DATEDIF(DateTime!$B$2+1,$E4,"M")+1,)</f>
        <v/>
      </c>
      <c r="J4" s="321" t="str">
        <f>IF(AND($E4&lt;&gt;"",$E4&gt;=DateTime!$B$2),$I4*$B4,)</f>
        <v/>
      </c>
    </row>
    <row r="5">
      <c r="A5" s="319" t="s">
        <v>1521</v>
      </c>
      <c r="B5" s="320">
        <v>-100.0</v>
      </c>
      <c r="C5" s="238"/>
      <c r="D5" s="184"/>
      <c r="E5" s="184" t="str">
        <f t="shared" si="1"/>
        <v/>
      </c>
      <c r="F5" s="18" t="str">
        <f t="shared" si="2"/>
        <v/>
      </c>
      <c r="G5" s="18" t="str">
        <f t="shared" si="3"/>
        <v/>
      </c>
      <c r="H5" s="174" t="str">
        <f t="shared" si="4"/>
        <v/>
      </c>
      <c r="I5" t="str">
        <f>IF(AND($E5&lt;&gt;"",$E5&gt;DateTime!$B$2),DATEDIF(DateTime!$B$2+1,$E5,"M")+1,)</f>
        <v/>
      </c>
      <c r="J5" s="321" t="str">
        <f>IF(AND($E5&lt;&gt;"",$E5&gt;=DateTime!$B$2),$I5*$B5,)</f>
        <v/>
      </c>
    </row>
    <row r="6">
      <c r="A6" s="322" t="s">
        <v>1522</v>
      </c>
      <c r="B6" s="323">
        <f>16.48*DAY(EOMONTH(DateTime!$B$1-TIME(3,0,0),0))</f>
        <v>510.88</v>
      </c>
      <c r="C6" s="219"/>
      <c r="D6" s="219"/>
      <c r="E6" s="324" t="str">
        <f t="shared" si="1"/>
        <v/>
      </c>
      <c r="F6" s="210" t="str">
        <f t="shared" si="2"/>
        <v/>
      </c>
      <c r="G6" s="210" t="str">
        <f t="shared" si="3"/>
        <v/>
      </c>
      <c r="H6" s="325" t="str">
        <f t="shared" si="4"/>
        <v/>
      </c>
      <c r="I6" s="219" t="str">
        <f>IF(AND($E6&lt;&gt;"",$E6&gt;DateTime!$B$2),DATEDIF(DateTime!$B$2+1,$E6,"M")+1,)</f>
        <v/>
      </c>
      <c r="J6" s="326" t="str">
        <f>IF(AND($E6&lt;&gt;"",$E6&gt;=DateTime!$B$2),$I6*$B6,)</f>
        <v/>
      </c>
    </row>
    <row r="7">
      <c r="A7" s="319" t="s">
        <v>1523</v>
      </c>
      <c r="B7" s="320">
        <v>100.0</v>
      </c>
      <c r="C7" s="19">
        <v>135.0</v>
      </c>
      <c r="D7" s="184">
        <v>42861.0</v>
      </c>
      <c r="E7" s="184">
        <f t="shared" si="1"/>
        <v>46940</v>
      </c>
      <c r="F7" s="18">
        <f t="shared" si="2"/>
        <v>13500</v>
      </c>
      <c r="G7" s="18" t="str">
        <f t="shared" si="3"/>
        <v/>
      </c>
      <c r="H7" s="174" t="str">
        <f t="shared" si="4"/>
        <v/>
      </c>
      <c r="I7">
        <f>IF(AND($E7&lt;&gt;"",$E7&gt;DateTime!$B$2),DATEDIF(DateTime!$B$2+1,$E7,"M")+1,)</f>
        <v>93</v>
      </c>
      <c r="J7" s="298">
        <f>IF(AND($E7&lt;&gt;"",$E7&gt;=DateTime!$B$2),$I7*$B7,)</f>
        <v>9300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7" t="s">
        <v>46</v>
      </c>
      <c r="B1" s="327" t="str">
        <f t="array" ref="B1:F1">TRANSPOSE(OFFSET(Investment!$A:$A,1,0,ROWS(Investment!$A:$A)-2,1))</f>
        <v>Long term US bonds (20-25 year)</v>
      </c>
      <c r="C1" s="327" t="s">
        <v>196</v>
      </c>
      <c r="D1" s="327" t="s">
        <v>186</v>
      </c>
      <c r="E1" s="327" t="s">
        <v>182</v>
      </c>
      <c r="F1" s="327" t="s">
        <v>177</v>
      </c>
      <c r="G1" s="328" t="str">
        <f>OFFSET(B1,0,0,1,COLUMN()-2)</f>
        <v>Long term US bonds (20-25 year)</v>
      </c>
      <c r="H1" s="327" t="s">
        <v>196</v>
      </c>
      <c r="I1" s="327" t="s">
        <v>186</v>
      </c>
      <c r="J1" s="327" t="s">
        <v>182</v>
      </c>
      <c r="K1" s="327" t="s">
        <v>177</v>
      </c>
    </row>
    <row r="2">
      <c r="A2" s="242">
        <f>DateTime!$B$1-TIME(2,0,0)</f>
        <v>44114.93722</v>
      </c>
      <c r="B2" s="329">
        <f t="array" ref="B2:F2">TRANSPOSE(OFFSET(Investment!$M:$M,1,0,ROWS(Investment!$M:$M)-2,1))</f>
        <v>5.062</v>
      </c>
      <c r="C2" s="329">
        <v>55.64</v>
      </c>
      <c r="D2" s="329">
        <v>188.22</v>
      </c>
      <c r="E2" s="329">
        <v>154.55</v>
      </c>
      <c r="F2" s="330">
        <v>6.38</v>
      </c>
      <c r="G2" s="331">
        <f t="shared" ref="G2:K2" si="1">SUM(1-INDEX(B:B,5)/INDEX(B:B,4)+1-INDEX(B:B,4)/INDEX(B:B,3)+1-INDEX(B:B,3)/INDEX(B:B,2))/3</f>
        <v>-0.001326568262</v>
      </c>
      <c r="H2" s="279">
        <f t="shared" si="1"/>
        <v>0.004628054788</v>
      </c>
      <c r="I2" s="279">
        <f t="shared" si="1"/>
        <v>-0.001261268632</v>
      </c>
      <c r="J2" s="279">
        <f t="shared" si="1"/>
        <v>0.005710427123</v>
      </c>
      <c r="K2" s="279">
        <f t="shared" si="1"/>
        <v>0.00577188786</v>
      </c>
    </row>
    <row r="3">
      <c r="A3" s="184">
        <v>44113.98313141204</v>
      </c>
      <c r="B3" s="332">
        <v>5.062</v>
      </c>
      <c r="C3" s="332">
        <v>55.64</v>
      </c>
      <c r="D3" s="332">
        <v>188.22</v>
      </c>
      <c r="E3" s="332">
        <v>154.55</v>
      </c>
      <c r="F3" s="333">
        <v>6.38</v>
      </c>
      <c r="G3" s="334">
        <v>6.411609779655159E-4</v>
      </c>
      <c r="H3" s="281">
        <v>0.005235551294512142</v>
      </c>
      <c r="I3" s="281">
        <v>-6.261127540772756E-4</v>
      </c>
      <c r="J3" s="281">
        <v>0.0014096349874509844</v>
      </c>
      <c r="K3" s="281">
        <v>0.004708623639305465</v>
      </c>
    </row>
    <row r="4">
      <c r="A4" s="184">
        <v>44112.983193368054</v>
      </c>
      <c r="B4" s="332">
        <v>5.101</v>
      </c>
      <c r="C4" s="332">
        <v>55.35</v>
      </c>
      <c r="D4" s="332">
        <v>189.31</v>
      </c>
      <c r="E4" s="332">
        <v>152.47</v>
      </c>
      <c r="F4" s="333">
        <v>6.33</v>
      </c>
      <c r="G4" s="334">
        <v>5.041165964409696E-4</v>
      </c>
      <c r="H4" s="281">
        <v>0.004593682312396245</v>
      </c>
      <c r="I4" s="281">
        <v>6.14853259311654E-4</v>
      </c>
      <c r="J4" s="281">
        <v>-0.003943039931135169</v>
      </c>
      <c r="K4" s="281">
        <v>0.00474600197282989</v>
      </c>
    </row>
    <row r="5">
      <c r="A5" s="184">
        <v>44111.98309840278</v>
      </c>
      <c r="B5" s="332">
        <v>5.082</v>
      </c>
      <c r="C5" s="332">
        <v>54.87</v>
      </c>
      <c r="D5" s="332">
        <v>188.93</v>
      </c>
      <c r="E5" s="332">
        <v>151.91</v>
      </c>
      <c r="F5" s="333">
        <v>6.27</v>
      </c>
      <c r="G5" s="334">
        <v>-0.007805995447618989</v>
      </c>
      <c r="H5" s="281">
        <v>0.0038767670404163956</v>
      </c>
      <c r="I5" s="281">
        <v>-0.0034764843229442657</v>
      </c>
      <c r="J5" s="281">
        <v>-0.005469824435828293</v>
      </c>
      <c r="K5" s="281">
        <v>0.004203965678423849</v>
      </c>
    </row>
    <row r="6">
      <c r="A6" s="184">
        <v>44110.98316466435</v>
      </c>
      <c r="B6" s="332">
        <v>5.052</v>
      </c>
      <c r="C6" s="332">
        <v>54.77</v>
      </c>
      <c r="D6" s="332">
        <v>188.57</v>
      </c>
      <c r="E6" s="332">
        <v>153.87</v>
      </c>
      <c r="F6" s="333">
        <v>6.29</v>
      </c>
      <c r="G6" s="334">
        <v>-0.009004641819396456</v>
      </c>
      <c r="H6" s="281">
        <v>0.0010812212163647805</v>
      </c>
      <c r="I6" s="281">
        <v>-0.0029592043705050455</v>
      </c>
      <c r="J6" s="281">
        <v>-8.668066239040003E-4</v>
      </c>
      <c r="K6" s="281">
        <v>0.007905468202495677</v>
      </c>
    </row>
    <row r="7">
      <c r="A7" s="184">
        <v>44109.98317790509</v>
      </c>
      <c r="B7" s="332">
        <v>5.093</v>
      </c>
      <c r="C7" s="332">
        <v>54.59</v>
      </c>
      <c r="D7" s="332">
        <v>188.96</v>
      </c>
      <c r="E7" s="332">
        <v>154.27</v>
      </c>
      <c r="F7" s="333">
        <v>6.24</v>
      </c>
      <c r="G7" s="334">
        <v>-0.006427919464653782</v>
      </c>
      <c r="H7" s="281">
        <v>5.352821843395509E-4</v>
      </c>
      <c r="I7" s="281">
        <v>-0.0031458915554605227</v>
      </c>
      <c r="J7" s="281">
        <v>0.001274546931172497</v>
      </c>
      <c r="K7" s="281">
        <v>0.0045502348685238685</v>
      </c>
    </row>
    <row r="8">
      <c r="A8" s="184">
        <v>44106.983173182874</v>
      </c>
      <c r="B8" s="332">
        <v>5.201</v>
      </c>
      <c r="C8" s="332">
        <v>54.234</v>
      </c>
      <c r="D8" s="332">
        <v>190.9</v>
      </c>
      <c r="E8" s="332">
        <v>154.41</v>
      </c>
      <c r="F8" s="333">
        <v>6.191</v>
      </c>
      <c r="G8" s="334">
        <v>-0.0037901395586911932</v>
      </c>
      <c r="H8" s="281">
        <v>0.0017865783352963849</v>
      </c>
      <c r="I8" s="281">
        <v>-0.0010518110145033936</v>
      </c>
      <c r="J8" s="281">
        <v>0.0030736632228079244</v>
      </c>
      <c r="K8" s="281">
        <v>-0.0020748684107224267</v>
      </c>
    </row>
    <row r="9">
      <c r="A9" s="184">
        <v>44105.983090740745</v>
      </c>
      <c r="B9" s="332">
        <v>5.189</v>
      </c>
      <c r="C9" s="332">
        <v>54.59</v>
      </c>
      <c r="D9" s="332">
        <v>190.24</v>
      </c>
      <c r="E9" s="332">
        <v>154.27</v>
      </c>
      <c r="F9" s="333">
        <v>6.142</v>
      </c>
      <c r="G9" s="334">
        <v>-0.005953392262604791</v>
      </c>
      <c r="H9" s="281">
        <v>7.61180612531942E-4</v>
      </c>
      <c r="I9" s="281">
        <v>-0.0037012007177140336</v>
      </c>
      <c r="J9" s="281">
        <v>0.004187652113978942</v>
      </c>
      <c r="K9" s="281">
        <v>-0.0061579614254669846</v>
      </c>
    </row>
    <row r="10">
      <c r="A10" s="184">
        <v>44104.98317556713</v>
      </c>
      <c r="B10" s="332">
        <v>5.191</v>
      </c>
      <c r="C10" s="332">
        <v>54.5</v>
      </c>
      <c r="D10" s="332">
        <v>190.74</v>
      </c>
      <c r="E10" s="332">
        <v>153.68</v>
      </c>
      <c r="F10" s="333">
        <v>6.155</v>
      </c>
      <c r="G10" s="334">
        <v>-0.007781245029432338</v>
      </c>
      <c r="H10" s="281">
        <v>0.007434055658240957</v>
      </c>
      <c r="I10" s="281">
        <v>-0.0038821601875148235</v>
      </c>
      <c r="J10" s="281">
        <v>0.003000354435000759</v>
      </c>
      <c r="K10" s="281">
        <v>-0.005452436623556656</v>
      </c>
    </row>
    <row r="11">
      <c r="A11" s="184">
        <v>44103.983154166664</v>
      </c>
      <c r="B11" s="332">
        <v>5.26</v>
      </c>
      <c r="C11" s="332">
        <v>53.94</v>
      </c>
      <c r="D11" s="332">
        <v>191.5</v>
      </c>
      <c r="E11" s="332">
        <v>152.99</v>
      </c>
      <c r="F11" s="333">
        <v>6.229</v>
      </c>
      <c r="G11" s="334">
        <v>-0.002158454838032601</v>
      </c>
      <c r="H11" s="281">
        <v>0.007262232458894828</v>
      </c>
      <c r="I11" s="281">
        <v>-0.001206639996587618</v>
      </c>
      <c r="J11" s="281">
        <v>0.002160336907469603</v>
      </c>
      <c r="K11" s="281">
        <v>0.0016455118695833566</v>
      </c>
    </row>
    <row r="12">
      <c r="A12" s="184">
        <v>44102.983102743055</v>
      </c>
      <c r="B12" s="332">
        <v>5.282</v>
      </c>
      <c r="C12" s="332">
        <v>54.46</v>
      </c>
      <c r="D12" s="332">
        <v>192.36</v>
      </c>
      <c r="E12" s="332">
        <v>152.34</v>
      </c>
      <c r="F12" s="333">
        <v>6.256</v>
      </c>
      <c r="G12" s="334">
        <v>0.0020691112948973966</v>
      </c>
      <c r="H12" s="281">
        <v>0.004536836941322675</v>
      </c>
      <c r="I12" s="281">
        <v>0.0012962628504509244</v>
      </c>
      <c r="J12" s="281">
        <v>0.0013800872523493195</v>
      </c>
      <c r="K12" s="281">
        <v>0.0030903665814151124</v>
      </c>
    </row>
    <row r="13">
      <c r="A13" s="184">
        <v>44099.9832358912</v>
      </c>
      <c r="B13" s="332">
        <v>5.313</v>
      </c>
      <c r="C13" s="332">
        <v>53.28</v>
      </c>
      <c r="D13" s="332">
        <v>192.97</v>
      </c>
      <c r="E13" s="332">
        <v>152.3</v>
      </c>
      <c r="F13" s="333">
        <v>6.256</v>
      </c>
      <c r="G13" s="334">
        <v>0.004279457606090793</v>
      </c>
      <c r="H13" s="281">
        <v>1.077067851456744E-4</v>
      </c>
      <c r="I13" s="281">
        <v>0.002840409201392983</v>
      </c>
      <c r="J13" s="281">
        <v>-0.0042443158424664285</v>
      </c>
      <c r="K13" s="281">
        <v>-0.003040643421811725</v>
      </c>
    </row>
    <row r="14">
      <c r="A14" s="184">
        <v>44098.983097592594</v>
      </c>
      <c r="B14" s="332">
        <v>5.294</v>
      </c>
      <c r="C14" s="332">
        <v>52.76</v>
      </c>
      <c r="D14" s="332">
        <v>192.19</v>
      </c>
      <c r="E14" s="332">
        <v>152.0</v>
      </c>
      <c r="F14" s="333">
        <v>6.198</v>
      </c>
      <c r="G14" s="334">
        <v>0.0026425448074090716</v>
      </c>
      <c r="H14" s="281">
        <v>0.002112669494333715</v>
      </c>
      <c r="I14" s="281">
        <v>0.0020853943225460636</v>
      </c>
      <c r="J14" s="281">
        <v>-0.0018535179154676544</v>
      </c>
      <c r="K14" s="281">
        <v>-0.006131010003226874</v>
      </c>
    </row>
    <row r="15">
      <c r="A15" s="184">
        <v>44097.98315280092</v>
      </c>
      <c r="B15" s="332">
        <v>5.249</v>
      </c>
      <c r="C15" s="332">
        <v>53.7</v>
      </c>
      <c r="D15" s="332">
        <v>191.61</v>
      </c>
      <c r="E15" s="332">
        <v>151.71</v>
      </c>
      <c r="F15" s="333">
        <v>6.198</v>
      </c>
      <c r="G15" s="334">
        <v>0.0057751297232195116</v>
      </c>
      <c r="H15" s="281">
        <v>0.0013733971882511724</v>
      </c>
      <c r="I15" s="281">
        <v>0.005425222614266034</v>
      </c>
      <c r="J15" s="281">
        <v>-0.010254609556361519</v>
      </c>
      <c r="K15" s="281">
        <v>-0.007081580345432196</v>
      </c>
    </row>
    <row r="16">
      <c r="A16" s="184">
        <v>44096.98313988426</v>
      </c>
      <c r="B16" s="332">
        <v>5.245</v>
      </c>
      <c r="C16" s="332">
        <v>53.25</v>
      </c>
      <c r="D16" s="332">
        <v>191.33</v>
      </c>
      <c r="E16" s="332">
        <v>154.23</v>
      </c>
      <c r="F16" s="333">
        <v>6.312</v>
      </c>
      <c r="G16" s="334">
        <v>0.0032592544836046824</v>
      </c>
      <c r="H16" s="281">
        <v>-0.005472773324379121</v>
      </c>
      <c r="I16" s="281">
        <v>0.003505761337489477</v>
      </c>
      <c r="J16" s="281">
        <v>-0.004525889594695724</v>
      </c>
      <c r="K16" s="281">
        <v>0.002208987319722041</v>
      </c>
    </row>
    <row r="17">
      <c r="A17" s="184">
        <v>44095.9831597338</v>
      </c>
      <c r="B17" s="332">
        <v>5.252</v>
      </c>
      <c r="C17" s="332">
        <v>52.41</v>
      </c>
      <c r="D17" s="332">
        <v>190.99</v>
      </c>
      <c r="E17" s="332">
        <v>152.82</v>
      </c>
      <c r="F17" s="333">
        <v>6.312</v>
      </c>
      <c r="G17" s="334">
        <v>0.003447366722642601</v>
      </c>
      <c r="H17" s="281">
        <v>-0.015905633530028718</v>
      </c>
      <c r="I17" s="281">
        <v>0.003406435028921647</v>
      </c>
      <c r="J17" s="281">
        <v>-0.0104738771219098</v>
      </c>
      <c r="K17" s="281">
        <v>0.0016773552091425465</v>
      </c>
    </row>
    <row r="18">
      <c r="A18" s="184">
        <v>44092.98313695602</v>
      </c>
      <c r="B18" s="332">
        <v>5.158</v>
      </c>
      <c r="C18" s="332">
        <v>53.46</v>
      </c>
      <c r="D18" s="332">
        <v>188.5</v>
      </c>
      <c r="E18" s="332">
        <v>156.38</v>
      </c>
      <c r="F18" s="333">
        <v>6.33</v>
      </c>
      <c r="G18" s="334">
        <v>-6.585670275832308E-4</v>
      </c>
      <c r="H18" s="281">
        <v>-0.008499584180556777</v>
      </c>
      <c r="I18" s="281">
        <v>-4.27959563959505E-4</v>
      </c>
      <c r="J18" s="281">
        <v>1.0338619619491378E-4</v>
      </c>
      <c r="K18" s="281">
        <v>0.004697989245615449</v>
      </c>
    </row>
    <row r="19">
      <c r="A19" s="184">
        <v>44091.983113912036</v>
      </c>
      <c r="B19" s="332">
        <v>5.193</v>
      </c>
      <c r="C19" s="332">
        <v>54.11</v>
      </c>
      <c r="D19" s="332">
        <v>189.31</v>
      </c>
      <c r="E19" s="332">
        <v>156.29</v>
      </c>
      <c r="F19" s="333">
        <v>6.27</v>
      </c>
      <c r="G19" s="334">
        <v>0.0012162946699170174</v>
      </c>
      <c r="H19" s="281">
        <v>-0.001954157018543734</v>
      </c>
      <c r="I19" s="281">
        <v>0.0011633499972264854</v>
      </c>
      <c r="J19" s="281">
        <v>-8.347865023935105E-4</v>
      </c>
      <c r="K19" s="281">
        <v>0.0015384315836880862</v>
      </c>
    </row>
    <row r="20">
      <c r="A20" s="184">
        <v>44090.98311256945</v>
      </c>
      <c r="B20" s="332">
        <v>5.197</v>
      </c>
      <c r="C20" s="332">
        <v>54.95</v>
      </c>
      <c r="D20" s="332">
        <v>189.03</v>
      </c>
      <c r="E20" s="332">
        <v>157.65</v>
      </c>
      <c r="F20" s="333">
        <v>6.28</v>
      </c>
      <c r="G20" s="334">
        <v>-8.717254170805452E-6</v>
      </c>
      <c r="H20" s="281">
        <v>0.006773102684667058</v>
      </c>
      <c r="I20" s="281">
        <v>2.4626576123657856E-4</v>
      </c>
      <c r="J20" s="281">
        <v>0.0027891931437663184</v>
      </c>
      <c r="K20" s="281">
        <v>0.0020700636942675432</v>
      </c>
    </row>
    <row r="21">
      <c r="A21" s="184">
        <v>44089.983111064816</v>
      </c>
      <c r="B21" s="332">
        <v>5.168</v>
      </c>
      <c r="C21" s="332">
        <v>54.83</v>
      </c>
      <c r="D21" s="332">
        <v>188.74</v>
      </c>
      <c r="E21" s="332">
        <v>156.32</v>
      </c>
      <c r="F21" s="333">
        <v>6.241</v>
      </c>
      <c r="G21" s="334">
        <v>0.0038396568077880833</v>
      </c>
      <c r="H21" s="281">
        <v>0.0022066342710837703</v>
      </c>
      <c r="I21" s="281">
        <v>0.0016936950952804268</v>
      </c>
      <c r="J21" s="281">
        <v>-1.2955552700621986E-4</v>
      </c>
      <c r="K21" s="281">
        <v>-5.3410244084857915E-5</v>
      </c>
    </row>
    <row r="22">
      <c r="A22" s="184">
        <v>44088.98265143519</v>
      </c>
      <c r="B22" s="332">
        <v>5.174</v>
      </c>
      <c r="C22" s="332">
        <v>54.42</v>
      </c>
      <c r="D22" s="332">
        <v>188.65</v>
      </c>
      <c r="E22" s="332">
        <v>156.67</v>
      </c>
      <c r="F22" s="333">
        <v>6.241</v>
      </c>
      <c r="G22" s="334">
        <v>3.112269302936177E-4</v>
      </c>
      <c r="H22" s="281">
        <v>-0.0016936795155483668</v>
      </c>
      <c r="I22" s="281">
        <v>-5.954060290898436E-4</v>
      </c>
      <c r="J22" s="281">
        <v>8.938795666028435E-4</v>
      </c>
      <c r="K22" s="281">
        <v>4.8060663084833105E-4</v>
      </c>
    </row>
    <row r="23">
      <c r="A23" s="184">
        <v>44085.98232016204</v>
      </c>
      <c r="B23" s="332">
        <v>5.197</v>
      </c>
      <c r="C23" s="332">
        <v>53.84</v>
      </c>
      <c r="D23" s="332">
        <v>188.89</v>
      </c>
      <c r="E23" s="332">
        <v>156.33</v>
      </c>
      <c r="F23" s="333">
        <v>6.241</v>
      </c>
      <c r="G23" s="334">
        <v>-9.804830684577714E-4</v>
      </c>
      <c r="H23" s="281">
        <v>-0.0017112184838095068</v>
      </c>
      <c r="I23" s="281">
        <v>-0.0014942316101515714</v>
      </c>
      <c r="J23" s="281">
        <v>0.0025384907025361634</v>
      </c>
      <c r="K23" s="281">
        <v>0.0020852279402193328</v>
      </c>
    </row>
    <row r="24">
      <c r="A24" s="184">
        <v>44084.983114375005</v>
      </c>
      <c r="B24" s="332">
        <v>5.108</v>
      </c>
      <c r="C24" s="332">
        <v>54.46</v>
      </c>
      <c r="D24" s="332">
        <v>187.78</v>
      </c>
      <c r="E24" s="332">
        <v>156.38</v>
      </c>
      <c r="F24" s="333">
        <v>6.242</v>
      </c>
      <c r="G24" s="334">
        <v>-0.001635491940974898</v>
      </c>
      <c r="H24" s="281">
        <v>-0.004833813121390825</v>
      </c>
      <c r="I24" s="281">
        <v>-0.0013623533379711155</v>
      </c>
      <c r="J24" s="281">
        <v>0.0031822520253625233</v>
      </c>
      <c r="K24" s="281">
        <v>-0.0017848273644435197</v>
      </c>
    </row>
    <row r="25">
      <c r="A25" s="184">
        <v>44083.98310972222</v>
      </c>
      <c r="B25" s="332">
        <v>5.168</v>
      </c>
      <c r="C25" s="332">
        <v>54.69</v>
      </c>
      <c r="D25" s="332">
        <v>188.98</v>
      </c>
      <c r="E25" s="332">
        <v>156.25</v>
      </c>
      <c r="F25" s="333">
        <v>6.232</v>
      </c>
      <c r="G25" s="334">
        <v>-0.002006892906922575</v>
      </c>
      <c r="H25" s="281">
        <v>0.0015220531642234174</v>
      </c>
      <c r="I25" s="281">
        <v>-9.471333187755319E-4</v>
      </c>
      <c r="J25" s="281">
        <v>0.0020012819809087277</v>
      </c>
      <c r="K25" s="281">
        <v>-0.002053239989708707</v>
      </c>
    </row>
    <row r="26">
      <c r="A26" s="184">
        <v>44082.98262440972</v>
      </c>
      <c r="B26" s="332">
        <v>5.211</v>
      </c>
      <c r="C26" s="332">
        <v>54.11</v>
      </c>
      <c r="D26" s="332">
        <v>189.73</v>
      </c>
      <c r="E26" s="332">
        <v>155.14</v>
      </c>
      <c r="F26" s="333">
        <v>6.202</v>
      </c>
      <c r="G26" s="334">
        <v>-0.003016921571595129</v>
      </c>
      <c r="H26" s="281">
        <v>-0.01089456197752392</v>
      </c>
      <c r="I26" s="281">
        <v>-8.15617619801164E-5</v>
      </c>
      <c r="J26" s="281">
        <v>-7.315796935917588E-4</v>
      </c>
      <c r="K26" s="281">
        <v>-0.002328781022631047</v>
      </c>
    </row>
    <row r="27">
      <c r="A27" s="184">
        <v>44081.983368657406</v>
      </c>
      <c r="B27" s="332">
        <v>5.132</v>
      </c>
      <c r="C27" s="332">
        <v>55.24</v>
      </c>
      <c r="D27" s="332">
        <v>188.54</v>
      </c>
      <c r="E27" s="332">
        <v>154.89</v>
      </c>
      <c r="F27" s="333">
        <v>6.275</v>
      </c>
      <c r="G27" s="334">
        <v>-0.005597440939173397</v>
      </c>
      <c r="H27" s="281">
        <v>-0.010555949968547066</v>
      </c>
      <c r="I27" s="281">
        <v>-0.0012061702930676876</v>
      </c>
      <c r="J27" s="281">
        <v>-0.001525996750933271</v>
      </c>
      <c r="K27" s="281">
        <v>-0.003369286650824884</v>
      </c>
    </row>
    <row r="28">
      <c r="A28" s="184">
        <v>44078.98312335648</v>
      </c>
      <c r="B28" s="332">
        <v>5.198</v>
      </c>
      <c r="C28" s="332">
        <v>54.42</v>
      </c>
      <c r="D28" s="332">
        <v>189.51</v>
      </c>
      <c r="E28" s="332">
        <v>155.31</v>
      </c>
      <c r="F28" s="333">
        <v>6.27</v>
      </c>
      <c r="G28" s="334">
        <v>0.007505024983839685</v>
      </c>
      <c r="H28" s="281">
        <v>-0.008835048537290854</v>
      </c>
      <c r="I28" s="281">
        <v>0.004701412523873498</v>
      </c>
      <c r="J28" s="281">
        <v>-0.003578427690810848</v>
      </c>
      <c r="K28" s="281">
        <v>-0.00358229807415437</v>
      </c>
    </row>
    <row r="29">
      <c r="A29" s="184">
        <v>44077.983117129625</v>
      </c>
      <c r="B29" s="332">
        <v>5.257</v>
      </c>
      <c r="C29" s="332">
        <v>55.87</v>
      </c>
      <c r="D29" s="332">
        <v>189.77</v>
      </c>
      <c r="E29" s="332">
        <v>155.48</v>
      </c>
      <c r="F29" s="333">
        <v>6.245</v>
      </c>
      <c r="G29" s="334">
        <v>0.011419765056490302</v>
      </c>
      <c r="H29" s="281">
        <v>0.0011209886800505053</v>
      </c>
      <c r="I29" s="281">
        <v>0.005319297467794952</v>
      </c>
      <c r="J29" s="281">
        <v>-0.0015785381996034076</v>
      </c>
      <c r="K29" s="281">
        <v>-0.0032281423293521647</v>
      </c>
    </row>
    <row r="30">
      <c r="A30" s="184">
        <v>44076.98311821759</v>
      </c>
      <c r="B30" s="332">
        <v>5.218</v>
      </c>
      <c r="C30" s="332">
        <v>56.98</v>
      </c>
      <c r="D30" s="332">
        <v>189.22</v>
      </c>
      <c r="E30" s="332">
        <v>155.6</v>
      </c>
      <c r="F30" s="333">
        <v>6.338</v>
      </c>
      <c r="G30" s="334">
        <v>0.009078157054266511</v>
      </c>
      <c r="H30" s="281">
        <v>0.00702485629634908</v>
      </c>
      <c r="I30" s="281">
        <v>0.003407209472502837</v>
      </c>
      <c r="J30" s="281">
        <v>-0.0015986747326538115</v>
      </c>
      <c r="K30" s="281">
        <v>0.0013128840947477238</v>
      </c>
    </row>
    <row r="31">
      <c r="A31" s="184">
        <v>44075.98313422454</v>
      </c>
      <c r="B31" s="332">
        <v>5.08</v>
      </c>
      <c r="C31" s="332">
        <v>55.84</v>
      </c>
      <c r="D31" s="332">
        <v>186.84</v>
      </c>
      <c r="E31" s="332">
        <v>156.98</v>
      </c>
      <c r="F31" s="333">
        <v>6.337</v>
      </c>
      <c r="G31" s="334">
        <v>-0.0022328843259027398</v>
      </c>
      <c r="H31" s="281">
        <v>-0.002632079140435728</v>
      </c>
      <c r="I31" s="281">
        <v>-0.003099267058028913</v>
      </c>
      <c r="J31" s="281">
        <v>0.005429944477625348</v>
      </c>
      <c r="K31" s="281">
        <v>0.0011018879736206522</v>
      </c>
    </row>
    <row r="32">
      <c r="A32" s="184">
        <v>44074.98330252315</v>
      </c>
      <c r="B32" s="332">
        <v>5.078</v>
      </c>
      <c r="C32" s="332">
        <v>55.66</v>
      </c>
      <c r="D32" s="332">
        <v>186.75</v>
      </c>
      <c r="E32" s="332">
        <v>156.21</v>
      </c>
      <c r="F32" s="333">
        <v>6.305</v>
      </c>
      <c r="G32" s="334">
        <v>-0.005753506528143104</v>
      </c>
      <c r="H32" s="281">
        <v>3.209039316508881E-4</v>
      </c>
      <c r="I32" s="281">
        <v>-0.003224480319048132</v>
      </c>
      <c r="J32" s="281">
        <v>1.470934832110693E-4</v>
      </c>
      <c r="K32" s="281">
        <v>7.380524167987327E-4</v>
      </c>
    </row>
    <row r="33">
      <c r="A33" s="184">
        <v>44071.98311236111</v>
      </c>
      <c r="B33" s="332">
        <v>5.076</v>
      </c>
      <c r="C33" s="332">
        <v>55.78</v>
      </c>
      <c r="D33" s="332">
        <v>187.28</v>
      </c>
      <c r="E33" s="332">
        <v>156.34</v>
      </c>
      <c r="F33" s="333">
        <v>6.313</v>
      </c>
      <c r="G33" s="334">
        <v>-0.006852658632588253</v>
      </c>
      <c r="H33" s="281">
        <v>0.003377682368046623</v>
      </c>
      <c r="I33" s="281">
        <v>-0.0023138297499589733</v>
      </c>
      <c r="J33" s="281">
        <v>0.005057685977928439</v>
      </c>
      <c r="K33" s="281">
        <v>0.003121469802502238</v>
      </c>
    </row>
    <row r="34">
      <c r="A34" s="184">
        <v>44070.983116250005</v>
      </c>
      <c r="B34" s="332">
        <v>5.114</v>
      </c>
      <c r="C34" s="332">
        <v>56.28</v>
      </c>
      <c r="D34" s="332">
        <v>188.58</v>
      </c>
      <c r="E34" s="332">
        <v>154.43</v>
      </c>
      <c r="F34" s="333">
        <v>6.316</v>
      </c>
      <c r="G34" s="334">
        <v>-0.009375591656492524</v>
      </c>
      <c r="H34" s="281">
        <v>0.007150493101652278</v>
      </c>
      <c r="I34" s="281">
        <v>-0.002050415599640587</v>
      </c>
      <c r="J34" s="281">
        <v>-0.0022624427616189102</v>
      </c>
      <c r="K34" s="281">
        <v>0.003919463759267068</v>
      </c>
    </row>
    <row r="35">
      <c r="A35" s="184">
        <v>44069.98313633102</v>
      </c>
      <c r="B35" s="332">
        <v>5.166</v>
      </c>
      <c r="C35" s="332">
        <v>55.6</v>
      </c>
      <c r="D35" s="332">
        <v>188.56</v>
      </c>
      <c r="E35" s="332">
        <v>156.12</v>
      </c>
      <c r="F35" s="333">
        <v>6.291</v>
      </c>
      <c r="G35" s="334">
        <v>-0.006620037112295159</v>
      </c>
      <c r="H35" s="281">
        <v>0.005906841043445595</v>
      </c>
      <c r="I35" s="281">
        <v>-0.0028587551251509544</v>
      </c>
      <c r="J35" s="281">
        <v>-0.0013593392150899424</v>
      </c>
      <c r="K35" s="281">
        <v>0.004148712232144451</v>
      </c>
    </row>
    <row r="36">
      <c r="A36" s="184">
        <v>44068.98311475695</v>
      </c>
      <c r="B36" s="332">
        <v>5.181</v>
      </c>
      <c r="C36" s="332">
        <v>55.21</v>
      </c>
      <c r="D36" s="332">
        <v>188.58</v>
      </c>
      <c r="E36" s="332">
        <v>153.95</v>
      </c>
      <c r="F36" s="333">
        <v>6.254</v>
      </c>
      <c r="G36" s="334">
        <v>-0.0019829098365407027</v>
      </c>
      <c r="H36" s="281">
        <v>0.006498041462824474</v>
      </c>
      <c r="I36" s="281">
        <v>-5.974380770987775E-4</v>
      </c>
      <c r="J36" s="281">
        <v>-0.004206015525319777</v>
      </c>
      <c r="K36" s="281">
        <v>0.0014907772890729865</v>
      </c>
    </row>
    <row r="37">
      <c r="A37" s="184">
        <v>44067.98312518519</v>
      </c>
      <c r="B37" s="332">
        <v>5.259</v>
      </c>
      <c r="C37" s="332">
        <v>55.08</v>
      </c>
      <c r="D37" s="332">
        <v>189.74</v>
      </c>
      <c r="E37" s="332">
        <v>155.45</v>
      </c>
      <c r="F37" s="333">
        <v>6.242</v>
      </c>
      <c r="G37" s="334">
        <v>0.005082378352582777</v>
      </c>
      <c r="H37" s="281">
        <v>0.004851196684535449</v>
      </c>
      <c r="I37" s="281">
        <v>0.0042585425622382695</v>
      </c>
      <c r="J37" s="281">
        <v>-0.0016210683596102893</v>
      </c>
      <c r="K37" s="281">
        <v>-2.1959182884082976E-4</v>
      </c>
    </row>
    <row r="38">
      <c r="A38" s="184">
        <v>44064.98312237269</v>
      </c>
      <c r="B38" s="332">
        <v>5.269</v>
      </c>
      <c r="C38" s="332">
        <v>54.62</v>
      </c>
      <c r="D38" s="332">
        <v>190.18</v>
      </c>
      <c r="E38" s="332">
        <v>156.73</v>
      </c>
      <c r="F38" s="333">
        <v>6.213</v>
      </c>
      <c r="G38" s="334">
        <v>0.008097624527845756</v>
      </c>
      <c r="H38" s="281">
        <v>0.003971076265688156</v>
      </c>
      <c r="I38" s="281">
        <v>0.005013735298456649</v>
      </c>
      <c r="J38" s="281">
        <v>-0.005214376897446156</v>
      </c>
      <c r="K38" s="281">
        <v>-0.0023019156514071013</v>
      </c>
    </row>
    <row r="39">
      <c r="A39" s="184">
        <v>44063.98311584491</v>
      </c>
      <c r="B39" s="332">
        <v>5.211</v>
      </c>
      <c r="C39" s="332">
        <v>54.14</v>
      </c>
      <c r="D39" s="332">
        <v>188.91</v>
      </c>
      <c r="E39" s="332">
        <v>155.89</v>
      </c>
      <c r="F39" s="333">
        <v>6.226</v>
      </c>
      <c r="G39" s="334">
        <v>0.002613246739246159</v>
      </c>
      <c r="H39" s="281">
        <v>-1.935078036356952E-4</v>
      </c>
      <c r="I39" s="281">
        <v>9.727950143109121E-4</v>
      </c>
      <c r="J39" s="281">
        <v>-0.00605850009201155</v>
      </c>
      <c r="K39" s="281">
        <v>-1.1255223292786869E-4</v>
      </c>
    </row>
    <row r="40">
      <c r="A40" s="184">
        <v>44062.983174548615</v>
      </c>
      <c r="B40" s="332">
        <v>5.179</v>
      </c>
      <c r="C40" s="332">
        <v>54.28</v>
      </c>
      <c r="D40" s="332">
        <v>187.32</v>
      </c>
      <c r="E40" s="332">
        <v>156.2</v>
      </c>
      <c r="F40" s="333">
        <v>6.246</v>
      </c>
      <c r="G40" s="334">
        <v>5.018202460903565E-4</v>
      </c>
      <c r="H40" s="281">
        <v>2.3771228530119112E-4</v>
      </c>
      <c r="I40" s="281">
        <v>-0.002027446812843984</v>
      </c>
      <c r="J40" s="281">
        <v>1.7059021689321459E-6</v>
      </c>
      <c r="K40" s="281">
        <v>0.004062486552703397</v>
      </c>
    </row>
    <row r="41">
      <c r="A41" s="184">
        <v>44061.983352696756</v>
      </c>
      <c r="B41" s="332">
        <v>5.142</v>
      </c>
      <c r="C41" s="332">
        <v>53.97</v>
      </c>
      <c r="D41" s="332">
        <v>187.33</v>
      </c>
      <c r="E41" s="332">
        <v>159.17</v>
      </c>
      <c r="F41" s="333">
        <v>6.256</v>
      </c>
      <c r="G41" s="334">
        <v>-0.004973770942544142</v>
      </c>
      <c r="H41" s="281">
        <v>-0.002034728440488539</v>
      </c>
      <c r="I41" s="281">
        <v>-0.002522581309246208</v>
      </c>
      <c r="J41" s="281">
        <v>0.00559258923181923</v>
      </c>
      <c r="K41" s="281">
        <v>0.0062709318323446546</v>
      </c>
    </row>
    <row r="42">
      <c r="A42" s="184">
        <v>44060.98334341435</v>
      </c>
      <c r="B42" s="332">
        <v>5.17</v>
      </c>
      <c r="C42" s="332">
        <v>54.17</v>
      </c>
      <c r="D42" s="332">
        <v>188.35</v>
      </c>
      <c r="E42" s="332">
        <v>158.72</v>
      </c>
      <c r="F42" s="333">
        <v>6.228</v>
      </c>
      <c r="G42" s="334">
        <v>-0.003988953154702379</v>
      </c>
      <c r="H42" s="281">
        <v>-0.0014133478289968249</v>
      </c>
      <c r="I42" s="281">
        <v>-0.001184423587083705</v>
      </c>
      <c r="J42" s="281">
        <v>0.005459572262735153</v>
      </c>
      <c r="K42" s="281">
        <v>0.006353662857430294</v>
      </c>
    </row>
    <row r="43">
      <c r="A43" s="184">
        <v>44057.98324901621</v>
      </c>
      <c r="B43" s="332">
        <v>5.171</v>
      </c>
      <c r="C43" s="332">
        <v>54.24</v>
      </c>
      <c r="D43" s="332">
        <v>188.46</v>
      </c>
      <c r="E43" s="332">
        <v>156.15</v>
      </c>
      <c r="F43" s="333">
        <v>6.17</v>
      </c>
      <c r="G43" s="334">
        <v>-0.00685516159869722</v>
      </c>
      <c r="H43" s="281">
        <v>-0.0014728011839035087</v>
      </c>
      <c r="I43" s="281">
        <v>-0.0022770922768062065</v>
      </c>
      <c r="J43" s="281">
        <v>-0.0019447763273347334</v>
      </c>
      <c r="K43" s="281">
        <v>0.0011762983269727096</v>
      </c>
    </row>
    <row r="44">
      <c r="A44" s="184">
        <v>44056.983145046295</v>
      </c>
      <c r="B44" s="332">
        <v>5.219</v>
      </c>
      <c r="C44" s="332">
        <v>54.3</v>
      </c>
      <c r="D44" s="332">
        <v>188.75</v>
      </c>
      <c r="E44" s="332">
        <v>156.5</v>
      </c>
      <c r="F44" s="333">
        <v>6.139</v>
      </c>
      <c r="G44" s="334">
        <v>-0.009823885137710006</v>
      </c>
      <c r="H44" s="281">
        <v>0.0012821271489749098</v>
      </c>
      <c r="I44" s="281">
        <v>-0.004047869551092524</v>
      </c>
      <c r="J44" s="281">
        <v>-0.01628740609640082</v>
      </c>
      <c r="K44" s="281">
        <v>-0.004239526068709883</v>
      </c>
    </row>
    <row r="45">
      <c r="A45" s="184">
        <v>44055.983145578706</v>
      </c>
      <c r="B45" s="332">
        <v>5.232</v>
      </c>
      <c r="C45" s="332">
        <v>54.4</v>
      </c>
      <c r="D45" s="332">
        <v>189.02</v>
      </c>
      <c r="E45" s="332">
        <v>156.12</v>
      </c>
      <c r="F45" s="333">
        <v>6.11</v>
      </c>
      <c r="G45" s="334">
        <v>-0.010048045335629899</v>
      </c>
      <c r="H45" s="281">
        <v>0.003066888717154622</v>
      </c>
      <c r="I45" s="281">
        <v>-0.0032046521276864284</v>
      </c>
      <c r="J45" s="281">
        <v>-0.016609478018133467</v>
      </c>
      <c r="K45" s="281">
        <v>-0.003562268222975303</v>
      </c>
    </row>
    <row r="46">
      <c r="A46" s="184">
        <v>44054.98311929398</v>
      </c>
      <c r="B46" s="332">
        <v>5.278</v>
      </c>
      <c r="C46" s="332">
        <v>54.48</v>
      </c>
      <c r="D46" s="332">
        <v>189.75</v>
      </c>
      <c r="E46" s="332">
        <v>157.06</v>
      </c>
      <c r="F46" s="333">
        <v>6.148</v>
      </c>
      <c r="G46" s="334">
        <v>-0.008539485650981652</v>
      </c>
      <c r="H46" s="281">
        <v>0.007391345772704024</v>
      </c>
      <c r="I46" s="281">
        <v>-0.0013234446836981235</v>
      </c>
      <c r="J46" s="281">
        <v>-0.015517499563838114</v>
      </c>
      <c r="K46" s="281">
        <v>-0.004458124885909354</v>
      </c>
    </row>
    <row r="47">
      <c r="A47" s="184">
        <v>44053.983234074076</v>
      </c>
      <c r="B47" s="332">
        <v>5.374</v>
      </c>
      <c r="C47" s="332">
        <v>54.09</v>
      </c>
      <c r="D47" s="332">
        <v>191.05</v>
      </c>
      <c r="E47" s="332">
        <v>164.17</v>
      </c>
      <c r="F47" s="333">
        <v>6.217</v>
      </c>
      <c r="G47" s="334">
        <v>0.0024489187491395135</v>
      </c>
      <c r="H47" s="281">
        <v>0.0061938376919361176</v>
      </c>
      <c r="I47" s="281">
        <v>0.003392457923337607</v>
      </c>
      <c r="J47" s="281">
        <v>0.0014378710213934776</v>
      </c>
      <c r="K47" s="281">
        <v>7.81056456215882E-4</v>
      </c>
    </row>
    <row r="48">
      <c r="A48" s="184">
        <v>44050.98313256944</v>
      </c>
      <c r="B48" s="332">
        <v>5.391</v>
      </c>
      <c r="C48" s="332">
        <v>53.9</v>
      </c>
      <c r="D48" s="332">
        <v>190.84</v>
      </c>
      <c r="E48" s="332">
        <v>163.93</v>
      </c>
      <c r="F48" s="333">
        <v>6.175</v>
      </c>
      <c r="G48" s="334">
        <v>-0.0023083950347208373</v>
      </c>
      <c r="H48" s="281">
        <v>0.004143939180467404</v>
      </c>
      <c r="I48" s="281">
        <v>-0.001239533288009409</v>
      </c>
      <c r="J48" s="281">
        <v>0.0065788595373771725</v>
      </c>
      <c r="K48" s="281">
        <v>7.327567168339636E-4</v>
      </c>
    </row>
    <row r="49">
      <c r="A49" s="184">
        <v>44049.98322616898</v>
      </c>
      <c r="B49" s="332">
        <v>5.414</v>
      </c>
      <c r="C49" s="332">
        <v>53.28</v>
      </c>
      <c r="D49" s="332">
        <v>190.5</v>
      </c>
      <c r="E49" s="332">
        <v>164.38</v>
      </c>
      <c r="F49" s="333">
        <v>6.23</v>
      </c>
      <c r="G49" s="334">
        <v>0.0010792094929817548</v>
      </c>
      <c r="H49" s="281">
        <v>-3.4284407736858333E-6</v>
      </c>
      <c r="I49" s="281">
        <v>-0.0019204175742537262</v>
      </c>
      <c r="J49" s="281">
        <v>0.009982994386168084</v>
      </c>
      <c r="K49" s="281">
        <v>0.005054311856352596</v>
      </c>
    </row>
    <row r="50">
      <c r="A50" s="184">
        <v>44048.98313822917</v>
      </c>
      <c r="B50" s="332">
        <v>5.334</v>
      </c>
      <c r="C50" s="332">
        <v>53.09</v>
      </c>
      <c r="D50" s="332">
        <v>189.11</v>
      </c>
      <c r="E50" s="332">
        <v>163.46</v>
      </c>
      <c r="F50" s="333">
        <v>6.202</v>
      </c>
      <c r="G50" s="334">
        <v>-0.0037227210846041046</v>
      </c>
      <c r="H50" s="281">
        <v>0.006190265252920065</v>
      </c>
      <c r="I50" s="281">
        <v>-0.002386507136421967</v>
      </c>
      <c r="J50" s="281">
        <v>0.010876019099021509</v>
      </c>
      <c r="K50" s="281">
        <v>0.0105096829944508</v>
      </c>
    </row>
    <row r="51">
      <c r="A51" s="184">
        <v>44047.98315832176</v>
      </c>
      <c r="B51" s="332">
        <v>5.427</v>
      </c>
      <c r="C51" s="332">
        <v>53.23</v>
      </c>
      <c r="D51" s="332">
        <v>191.53</v>
      </c>
      <c r="E51" s="332">
        <v>160.7</v>
      </c>
      <c r="F51" s="333">
        <v>6.161</v>
      </c>
      <c r="G51" s="334">
        <v>5.438395133630092E-4</v>
      </c>
      <c r="H51" s="281">
        <v>0.007325193844465394</v>
      </c>
      <c r="I51" s="281">
        <v>0.0010039675145267306</v>
      </c>
      <c r="J51" s="281">
        <v>0.008492978862449818</v>
      </c>
      <c r="K51" s="281">
        <v>0.01013698489855149</v>
      </c>
    </row>
    <row r="52">
      <c r="A52" s="184">
        <v>44046.98314548611</v>
      </c>
      <c r="B52" s="332">
        <v>5.395</v>
      </c>
      <c r="C52" s="332">
        <v>53.28</v>
      </c>
      <c r="D52" s="332">
        <v>191.58</v>
      </c>
      <c r="E52" s="332">
        <v>159.5</v>
      </c>
      <c r="F52" s="333">
        <v>6.136</v>
      </c>
      <c r="G52" s="334">
        <v>0.001285384240406584</v>
      </c>
      <c r="H52" s="281">
        <v>0.00597355468246726</v>
      </c>
      <c r="I52" s="281">
        <v>0.0014575741963606854</v>
      </c>
      <c r="J52" s="281">
        <v>0.003599204095560249</v>
      </c>
      <c r="K52" s="281">
        <v>0.005381322282423606</v>
      </c>
    </row>
    <row r="53">
      <c r="A53" s="184">
        <v>44043.98321990741</v>
      </c>
      <c r="B53" s="332">
        <v>5.393</v>
      </c>
      <c r="C53" s="332">
        <v>52.1</v>
      </c>
      <c r="D53" s="332">
        <v>190.45</v>
      </c>
      <c r="E53" s="332">
        <v>158.18</v>
      </c>
      <c r="F53" s="333">
        <v>6.008</v>
      </c>
      <c r="G53" s="334">
        <v>-2.6480897469712456E-4</v>
      </c>
      <c r="H53" s="281">
        <v>-0.002109643194308619</v>
      </c>
      <c r="I53" s="281">
        <v>-0.0013124188340094545</v>
      </c>
      <c r="J53" s="281">
        <v>-8.90398853838903E-5</v>
      </c>
      <c r="K53" s="281">
        <v>-0.001627400406792397</v>
      </c>
    </row>
    <row r="54">
      <c r="A54" s="184">
        <v>44042.98322649306</v>
      </c>
      <c r="B54" s="332">
        <v>5.418</v>
      </c>
      <c r="C54" s="332">
        <v>52.06</v>
      </c>
      <c r="D54" s="332">
        <v>190.95</v>
      </c>
      <c r="E54" s="332">
        <v>156.64</v>
      </c>
      <c r="F54" s="333">
        <v>5.975</v>
      </c>
      <c r="G54" s="334">
        <v>0.0013421666633218754</v>
      </c>
      <c r="H54" s="281">
        <v>5.035833836900908E-5</v>
      </c>
      <c r="I54" s="281">
        <v>3.4722032348769954E-4</v>
      </c>
      <c r="J54" s="281">
        <v>3.317256112710017E-4</v>
      </c>
      <c r="K54" s="281">
        <v>-0.001360120169175009</v>
      </c>
    </row>
    <row r="55">
      <c r="A55" s="184">
        <v>44041.98347232639</v>
      </c>
      <c r="B55" s="332">
        <v>5.374</v>
      </c>
      <c r="C55" s="332">
        <v>52.32</v>
      </c>
      <c r="D55" s="332">
        <v>190.74</v>
      </c>
      <c r="E55" s="332">
        <v>157.77</v>
      </c>
      <c r="F55" s="333">
        <v>6.036</v>
      </c>
      <c r="G55" s="334">
        <v>-0.0037122771398936014</v>
      </c>
      <c r="H55" s="281">
        <v>-0.0014869451670693017</v>
      </c>
      <c r="I55" s="281">
        <v>-0.0035492935203441287</v>
      </c>
      <c r="J55" s="281">
        <v>0.005122364117144136</v>
      </c>
      <c r="K55" s="281">
        <v>-6.851485048287032E-5</v>
      </c>
    </row>
    <row r="56">
      <c r="A56" s="184">
        <v>44040.983154421294</v>
      </c>
      <c r="B56" s="332">
        <v>5.397</v>
      </c>
      <c r="C56" s="332">
        <v>52.43</v>
      </c>
      <c r="D56" s="332">
        <v>191.2</v>
      </c>
      <c r="E56" s="332">
        <v>158.21</v>
      </c>
      <c r="F56" s="333">
        <v>6.037</v>
      </c>
      <c r="G56" s="334">
        <v>-0.0024696816325144497</v>
      </c>
      <c r="H56" s="281">
        <v>-0.0074464531741030475</v>
      </c>
      <c r="I56" s="281">
        <v>-0.0038520797950104177</v>
      </c>
      <c r="J56" s="281">
        <v>0.006974635193005563</v>
      </c>
      <c r="K56" s="281">
        <v>-0.0017249575829310082</v>
      </c>
    </row>
    <row r="57">
      <c r="A57" s="184">
        <v>44039.98320153935</v>
      </c>
      <c r="B57" s="332">
        <v>5.396</v>
      </c>
      <c r="C57" s="332">
        <v>52.05</v>
      </c>
      <c r="D57" s="332">
        <v>190.75</v>
      </c>
      <c r="E57" s="332">
        <v>156.47</v>
      </c>
      <c r="F57" s="333">
        <v>5.999</v>
      </c>
      <c r="G57" s="334">
        <v>-0.001489202908029193</v>
      </c>
      <c r="H57" s="281">
        <v>-0.008991726046817528</v>
      </c>
      <c r="I57" s="281">
        <v>-0.00511916588127385</v>
      </c>
      <c r="J57" s="281">
        <v>0.00806376410578813</v>
      </c>
      <c r="K57" s="281">
        <v>-9.116819309574383E-4</v>
      </c>
    </row>
    <row r="58">
      <c r="A58" s="184">
        <v>44036.98309721064</v>
      </c>
      <c r="B58" s="332">
        <v>5.434</v>
      </c>
      <c r="C58" s="332">
        <v>52.55</v>
      </c>
      <c r="D58" s="332">
        <v>192.77</v>
      </c>
      <c r="E58" s="332">
        <v>155.35</v>
      </c>
      <c r="F58" s="333">
        <v>6.037</v>
      </c>
      <c r="G58" s="334">
        <v>-5.562992127950972E-4</v>
      </c>
      <c r="H58" s="281">
        <v>-0.009530791587484044</v>
      </c>
      <c r="I58" s="281">
        <v>-0.0038609113767319827</v>
      </c>
      <c r="J58" s="281">
        <v>0.007183912939940362</v>
      </c>
      <c r="K58" s="281">
        <v>-6.84397352124592E-4</v>
      </c>
    </row>
    <row r="59">
      <c r="A59" s="184">
        <v>44035.98311418982</v>
      </c>
      <c r="B59" s="332">
        <v>5.437</v>
      </c>
      <c r="C59" s="332">
        <v>53.6</v>
      </c>
      <c r="D59" s="332">
        <v>193.41</v>
      </c>
      <c r="E59" s="332">
        <v>154.92</v>
      </c>
      <c r="F59" s="333">
        <v>6.068</v>
      </c>
      <c r="G59" s="334">
        <v>-8.62198611686904E-4</v>
      </c>
      <c r="H59" s="281">
        <v>-3.4241283880069123E-4</v>
      </c>
      <c r="I59" s="281">
        <v>-0.003779826916392818</v>
      </c>
      <c r="J59" s="281">
        <v>0.009002132585092082</v>
      </c>
      <c r="K59" s="281">
        <v>0.0050499730677761034</v>
      </c>
    </row>
    <row r="60">
      <c r="A60" s="184">
        <v>44034.98312655093</v>
      </c>
      <c r="B60" s="332">
        <v>5.42</v>
      </c>
      <c r="C60" s="332">
        <v>53.46</v>
      </c>
      <c r="D60" s="332">
        <v>193.69</v>
      </c>
      <c r="E60" s="332">
        <v>152.71</v>
      </c>
      <c r="F60" s="333">
        <v>6.015</v>
      </c>
      <c r="G60" s="334">
        <v>-0.002210194339697195</v>
      </c>
      <c r="H60" s="281">
        <v>1.5382452053495457E-4</v>
      </c>
      <c r="I60" s="281">
        <v>-0.003791440256028548</v>
      </c>
      <c r="J60" s="281">
        <v>0.005020795721805619</v>
      </c>
      <c r="K60" s="281">
        <v>5.767222677548478E-4</v>
      </c>
    </row>
    <row r="61">
      <c r="A61" s="184">
        <v>44033.98311412037</v>
      </c>
      <c r="B61" s="332">
        <v>5.443</v>
      </c>
      <c r="C61" s="332">
        <v>54.06</v>
      </c>
      <c r="D61" s="332">
        <v>195.01</v>
      </c>
      <c r="E61" s="332">
        <v>152.02</v>
      </c>
      <c r="F61" s="333">
        <v>6.049</v>
      </c>
      <c r="G61" s="334">
        <v>-0.0017121024819457542</v>
      </c>
      <c r="H61" s="281">
        <v>0.005205064770477589</v>
      </c>
      <c r="I61" s="281">
        <v>-0.0016558929015339323</v>
      </c>
      <c r="J61" s="281">
        <v>0.00437891978124072</v>
      </c>
      <c r="K61" s="281">
        <v>0.0017946781922156447</v>
      </c>
    </row>
    <row r="62">
      <c r="A62" s="184">
        <v>44032.983140972225</v>
      </c>
      <c r="B62" s="332">
        <v>5.451</v>
      </c>
      <c r="C62" s="332">
        <v>53.65</v>
      </c>
      <c r="D62" s="332">
        <v>195.61</v>
      </c>
      <c r="E62" s="332">
        <v>150.77</v>
      </c>
      <c r="F62" s="333">
        <v>5.976</v>
      </c>
      <c r="G62" s="334">
        <v>9.102793967779022E-4</v>
      </c>
      <c r="H62" s="281">
        <v>5.474842820840283E-4</v>
      </c>
      <c r="I62" s="281">
        <v>-3.2415078101951284E-4</v>
      </c>
      <c r="J62" s="281">
        <v>9.270834341889763E-4</v>
      </c>
      <c r="K62" s="281">
        <v>-8.428302494821368E-4</v>
      </c>
    </row>
    <row r="63">
      <c r="A63" s="184">
        <v>44029.98313068287</v>
      </c>
      <c r="B63" s="332">
        <v>5.456</v>
      </c>
      <c r="C63" s="332">
        <v>53.43</v>
      </c>
      <c r="D63" s="332">
        <v>195.9</v>
      </c>
      <c r="E63" s="332">
        <v>150.42</v>
      </c>
      <c r="F63" s="333">
        <v>6.004</v>
      </c>
      <c r="G63" s="334">
        <v>-0.001849946194546111</v>
      </c>
      <c r="H63" s="281">
        <v>0.004221675586004133</v>
      </c>
      <c r="I63" s="281">
        <v>-8.173722945698328E-4</v>
      </c>
      <c r="J63" s="281">
        <v>-6.448598203825003E-4</v>
      </c>
      <c r="K63" s="281">
        <v>-5.050857925468962E-4</v>
      </c>
    </row>
    <row r="64">
      <c r="A64" s="184">
        <v>44028.98310488426</v>
      </c>
      <c r="B64" s="332">
        <v>5.471</v>
      </c>
      <c r="C64" s="332">
        <v>53.22</v>
      </c>
      <c r="D64" s="332">
        <v>195.98</v>
      </c>
      <c r="E64" s="332">
        <v>150.03</v>
      </c>
      <c r="F64" s="333">
        <v>6.016</v>
      </c>
      <c r="G64" s="334">
        <v>0.0017399479606285222</v>
      </c>
      <c r="H64" s="281">
        <v>-0.004545005893861013</v>
      </c>
      <c r="I64" s="281">
        <v>-8.679612575045089E-4</v>
      </c>
      <c r="J64" s="281">
        <v>-0.002216867638255312</v>
      </c>
      <c r="K64" s="281">
        <v>-0.00200084564575409</v>
      </c>
    </row>
    <row r="65">
      <c r="A65" s="184">
        <v>44027.983116874995</v>
      </c>
      <c r="B65" s="332">
        <v>5.436</v>
      </c>
      <c r="C65" s="332">
        <v>53.56</v>
      </c>
      <c r="D65" s="332">
        <v>195.8</v>
      </c>
      <c r="E65" s="332">
        <v>150.35</v>
      </c>
      <c r="F65" s="333">
        <v>5.991</v>
      </c>
      <c r="G65" s="334">
        <v>-0.005231415283873424</v>
      </c>
      <c r="H65" s="281">
        <v>0.003456328482575303</v>
      </c>
      <c r="I65" s="281">
        <v>-0.003786631274883471</v>
      </c>
      <c r="J65" s="281">
        <v>-0.0017707467643627666</v>
      </c>
      <c r="K65" s="281">
        <v>-0.005203621646185412</v>
      </c>
    </row>
    <row r="66">
      <c r="A66" s="184">
        <v>44026.0</v>
      </c>
      <c r="B66" s="332">
        <v>5.486</v>
      </c>
      <c r="C66" s="332">
        <v>52.75</v>
      </c>
      <c r="D66" s="332">
        <v>196.38</v>
      </c>
      <c r="E66" s="332">
        <v>150.71</v>
      </c>
      <c r="F66" s="333">
        <v>6.013</v>
      </c>
      <c r="G66" s="334">
        <v>3.0E-4</v>
      </c>
      <c r="H66" s="281">
        <v>0.0014</v>
      </c>
      <c r="I66" s="281">
        <v>-0.0028</v>
      </c>
      <c r="J66" s="281">
        <v>-0.0015</v>
      </c>
      <c r="K66" s="281">
        <v>-0.0039</v>
      </c>
    </row>
    <row r="67">
      <c r="A67" s="184">
        <v>44025.98310383102</v>
      </c>
      <c r="B67" s="332">
        <v>5.442</v>
      </c>
      <c r="C67" s="332">
        <v>53.93</v>
      </c>
      <c r="D67" s="332">
        <v>196.49</v>
      </c>
      <c r="E67" s="332">
        <v>151.03</v>
      </c>
      <c r="F67" s="333">
        <v>6.052</v>
      </c>
      <c r="G67" s="334">
        <v>0.0018943972472410902</v>
      </c>
      <c r="H67" s="281">
        <v>0.007875943669444737</v>
      </c>
      <c r="I67" s="281">
        <v>-8.956922943180364E-4</v>
      </c>
      <c r="J67" s="281">
        <v>-0.0018289174308450118</v>
      </c>
      <c r="K67" s="281">
        <v>-0.0013792368011338318</v>
      </c>
    </row>
    <row r="68">
      <c r="A68" s="184">
        <v>44022.983135567134</v>
      </c>
      <c r="B68" s="332">
        <v>5.521</v>
      </c>
      <c r="C68" s="332">
        <v>52.98</v>
      </c>
      <c r="D68" s="332">
        <v>198.03</v>
      </c>
      <c r="E68" s="332">
        <v>151.15</v>
      </c>
      <c r="F68" s="333">
        <v>6.085</v>
      </c>
      <c r="G68" s="334">
        <v>0.007349447456890405</v>
      </c>
      <c r="H68" s="281">
        <v>-0.002490105243041126</v>
      </c>
      <c r="I68" s="281">
        <v>0.0011753963568030084</v>
      </c>
      <c r="J68" s="281">
        <v>6.748348665082116E-4</v>
      </c>
      <c r="K68" s="281">
        <v>5.480474165378372E-4</v>
      </c>
    </row>
    <row r="69">
      <c r="A69" s="184">
        <v>44021.98311680555</v>
      </c>
      <c r="B69" s="332">
        <v>5.48</v>
      </c>
      <c r="C69" s="332">
        <v>52.5</v>
      </c>
      <c r="D69" s="332">
        <v>198.04</v>
      </c>
      <c r="E69" s="332">
        <v>151.41</v>
      </c>
      <c r="F69" s="333">
        <v>6.083</v>
      </c>
      <c r="G69" s="334">
        <v>0.007590099870458371</v>
      </c>
      <c r="H69" s="281">
        <v>-0.005197827489206386</v>
      </c>
      <c r="I69" s="281">
        <v>0.002087514216598548</v>
      </c>
      <c r="J69" s="281">
        <v>0.003325472970634532</v>
      </c>
      <c r="K69" s="281">
        <v>0.002962493878581681</v>
      </c>
    </row>
    <row r="70">
      <c r="A70" s="184">
        <v>44020.98313337963</v>
      </c>
      <c r="B70" s="332">
        <v>5.41</v>
      </c>
      <c r="C70" s="332">
        <v>52.66</v>
      </c>
      <c r="D70" s="332">
        <v>197.01</v>
      </c>
      <c r="E70" s="332">
        <v>151.86</v>
      </c>
      <c r="F70" s="333">
        <v>6.077</v>
      </c>
      <c r="G70" s="334">
        <v>-0.0010865281102585926</v>
      </c>
      <c r="H70" s="281">
        <v>-2.4346985217812053E-4</v>
      </c>
      <c r="I70" s="281">
        <v>-0.002406982392172815</v>
      </c>
      <c r="J70" s="281">
        <v>0.004004841850902996</v>
      </c>
      <c r="K70" s="281">
        <v>0.004237070270050898</v>
      </c>
    </row>
    <row r="71">
      <c r="A71" s="184">
        <v>44019.98297020834</v>
      </c>
      <c r="B71" s="332">
        <v>5.4</v>
      </c>
      <c r="C71" s="332">
        <v>53.37</v>
      </c>
      <c r="D71" s="332">
        <v>197.33</v>
      </c>
      <c r="E71" s="332">
        <v>150.84</v>
      </c>
      <c r="F71" s="333">
        <v>6.075</v>
      </c>
      <c r="G71" s="334">
        <v>-0.0015184071895659734</v>
      </c>
      <c r="H71" s="281">
        <v>0.002163087252775068</v>
      </c>
      <c r="I71" s="281">
        <v>-0.0016135766875507256</v>
      </c>
      <c r="J71" s="281">
        <v>0.0010327997670728968</v>
      </c>
      <c r="K71" s="281">
        <v>0.0036273670173494477</v>
      </c>
    </row>
    <row r="72">
      <c r="A72" s="184">
        <v>44018.9831022338</v>
      </c>
      <c r="B72" s="332">
        <v>5.356</v>
      </c>
      <c r="C72" s="332">
        <v>53.32</v>
      </c>
      <c r="D72" s="332">
        <v>196.8</v>
      </c>
      <c r="E72" s="332">
        <v>149.9</v>
      </c>
      <c r="F72" s="333">
        <v>6.029</v>
      </c>
      <c r="G72" s="334">
        <v>-0.0035584487060087433</v>
      </c>
      <c r="H72" s="281">
        <v>0.006251656972183069</v>
      </c>
      <c r="I72" s="281">
        <v>-0.001970902293379151</v>
      </c>
      <c r="J72" s="281">
        <v>0.0027461932438700063</v>
      </c>
      <c r="K72" s="281">
        <v>0.003876978882131158</v>
      </c>
    </row>
    <row r="73">
      <c r="A73" s="184">
        <v>44015.98317586805</v>
      </c>
      <c r="B73" s="332">
        <v>5.427</v>
      </c>
      <c r="C73" s="332">
        <v>52.69</v>
      </c>
      <c r="D73" s="332">
        <v>198.43</v>
      </c>
      <c r="E73" s="332">
        <v>150.04</v>
      </c>
      <c r="F73" s="333">
        <v>6.0</v>
      </c>
      <c r="G73" s="334">
        <v>-0.0016029341303007334</v>
      </c>
      <c r="H73" s="281">
        <v>0.005371276326562979</v>
      </c>
      <c r="I73" s="281">
        <v>-4.7294357515792473E-4</v>
      </c>
      <c r="J73" s="281">
        <v>-0.0013821490705916057</v>
      </c>
      <c r="K73" s="281">
        <v>0.0036161244838193163</v>
      </c>
    </row>
    <row r="74">
      <c r="A74" s="184">
        <v>44014.983128113425</v>
      </c>
      <c r="B74" s="332">
        <v>5.424</v>
      </c>
      <c r="C74" s="332">
        <v>53.02</v>
      </c>
      <c r="D74" s="332">
        <v>198.28</v>
      </c>
      <c r="E74" s="332">
        <v>150.37</v>
      </c>
      <c r="F74" s="333">
        <v>6.009</v>
      </c>
      <c r="G74" s="334">
        <v>-0.0025818675969879377</v>
      </c>
      <c r="H74" s="281">
        <v>0.011059782044064362</v>
      </c>
      <c r="I74" s="281">
        <v>-8.423456544747188E-4</v>
      </c>
      <c r="J74" s="281">
        <v>0.0012097248187999214</v>
      </c>
      <c r="K74" s="281">
        <v>0.007205144422038938</v>
      </c>
    </row>
    <row r="75">
      <c r="A75" s="184">
        <v>44013.98307696759</v>
      </c>
      <c r="B75" s="332">
        <v>5.413</v>
      </c>
      <c r="C75" s="332">
        <v>52.32</v>
      </c>
      <c r="D75" s="332">
        <v>197.96</v>
      </c>
      <c r="E75" s="332">
        <v>148.66</v>
      </c>
      <c r="F75" s="333">
        <v>5.959</v>
      </c>
      <c r="G75" s="334">
        <v>-0.004477536397521502</v>
      </c>
      <c r="H75" s="281">
        <v>0.007048942621426783</v>
      </c>
      <c r="I75" s="281">
        <v>-0.0023025980938235304</v>
      </c>
      <c r="J75" s="281">
        <v>-6.895141419489548E-4</v>
      </c>
      <c r="K75" s="281">
        <v>0.007832887614506437</v>
      </c>
    </row>
    <row r="76">
      <c r="A76" s="184">
        <v>44012.98311090277</v>
      </c>
      <c r="B76" s="332">
        <v>5.453</v>
      </c>
      <c r="C76" s="332">
        <v>51.84</v>
      </c>
      <c r="D76" s="332">
        <v>198.71</v>
      </c>
      <c r="E76" s="332">
        <v>150.64</v>
      </c>
      <c r="F76" s="333">
        <v>5.935</v>
      </c>
      <c r="G76" s="334">
        <v>-2.5226953132436353E-4</v>
      </c>
      <c r="H76" s="281">
        <v>0.002624184994973966</v>
      </c>
      <c r="I76" s="281">
        <v>-1.868596324552385E-4</v>
      </c>
      <c r="J76" s="281">
        <v>0.003906798949793326</v>
      </c>
      <c r="K76" s="281">
        <v>0.007005844399963028</v>
      </c>
    </row>
    <row r="77">
      <c r="A77" s="184">
        <v>44011.983127245374</v>
      </c>
      <c r="B77" s="332">
        <v>5.466</v>
      </c>
      <c r="C77" s="332">
        <v>51.28</v>
      </c>
      <c r="D77" s="332">
        <v>198.78</v>
      </c>
      <c r="E77" s="332">
        <v>149.8</v>
      </c>
      <c r="F77" s="333">
        <v>5.88</v>
      </c>
      <c r="G77" s="334">
        <v>0.005306922700989425</v>
      </c>
      <c r="H77" s="281">
        <v>-7.173859924803164E-4</v>
      </c>
      <c r="I77" s="281">
        <v>0.0020765591214211288</v>
      </c>
      <c r="J77" s="281">
        <v>2.1213238700020418E-4</v>
      </c>
      <c r="K77" s="281">
        <v>0.0013355131555999138</v>
      </c>
    </row>
    <row r="78">
      <c r="A78" s="184">
        <v>44008.983114421295</v>
      </c>
      <c r="B78" s="332">
        <v>5.486</v>
      </c>
      <c r="C78" s="332">
        <v>51.22</v>
      </c>
      <c r="D78" s="332">
        <v>199.33</v>
      </c>
      <c r="E78" s="332">
        <v>148.95</v>
      </c>
      <c r="F78" s="333">
        <v>5.82</v>
      </c>
      <c r="G78" s="334">
        <v>0.010926410120965735</v>
      </c>
      <c r="H78" s="281">
        <v>-0.009928832481085226</v>
      </c>
      <c r="I78" s="281">
        <v>0.005411865171394396</v>
      </c>
      <c r="J78" s="281">
        <v>0.0021951371147466148</v>
      </c>
      <c r="K78" s="281">
        <v>-0.005367304583517529</v>
      </c>
    </row>
    <row r="79">
      <c r="A79" s="184">
        <v>44007.98311541667</v>
      </c>
      <c r="B79" s="332">
        <v>5.457</v>
      </c>
      <c r="C79" s="332">
        <v>51.43</v>
      </c>
      <c r="D79" s="332">
        <v>198.82</v>
      </c>
      <c r="E79" s="332">
        <v>148.88</v>
      </c>
      <c r="F79" s="333">
        <v>5.811</v>
      </c>
      <c r="G79" s="334">
        <v>0.0036380994311900525</v>
      </c>
      <c r="H79" s="281">
        <v>-0.00546581232147884</v>
      </c>
      <c r="I79" s="281">
        <v>0.001074569094885754</v>
      </c>
      <c r="J79" s="281">
        <v>9.12054427528434E-4</v>
      </c>
      <c r="K79" s="281">
        <v>-0.007235490854780258</v>
      </c>
    </row>
    <row r="80">
      <c r="A80" s="184">
        <v>44006.98314642361</v>
      </c>
      <c r="B80" s="332">
        <v>5.379</v>
      </c>
      <c r="C80" s="332">
        <v>51.39</v>
      </c>
      <c r="D80" s="332">
        <v>197.54</v>
      </c>
      <c r="E80" s="332">
        <v>149.7</v>
      </c>
      <c r="F80" s="333">
        <v>5.856</v>
      </c>
      <c r="G80" s="334">
        <v>-6.940041244338779E-4</v>
      </c>
      <c r="H80" s="281">
        <v>-0.010700188757401493</v>
      </c>
      <c r="I80" s="281">
        <v>-0.0017442825578021608</v>
      </c>
      <c r="J80" s="281">
        <v>0.00447684567896726</v>
      </c>
      <c r="K80" s="281">
        <v>-0.00645051950597364</v>
      </c>
    </row>
    <row r="81">
      <c r="A81" s="184">
        <v>44005.98312171296</v>
      </c>
      <c r="B81" s="332">
        <v>5.308</v>
      </c>
      <c r="C81" s="332">
        <v>52.75</v>
      </c>
      <c r="D81" s="332">
        <v>196.11</v>
      </c>
      <c r="E81" s="332">
        <v>147.96</v>
      </c>
      <c r="F81" s="333">
        <v>5.914</v>
      </c>
      <c r="G81" s="334">
        <v>-0.004289723478338188</v>
      </c>
      <c r="H81" s="281">
        <v>8.864507781409051E-4</v>
      </c>
      <c r="I81" s="281">
        <v>-0.003636882311022438</v>
      </c>
      <c r="J81" s="281">
        <v>0.004687563455957259</v>
      </c>
      <c r="K81" s="281">
        <v>7.035340038340129E-4</v>
      </c>
    </row>
    <row r="82">
      <c r="A82" s="184">
        <v>44004.983123136575</v>
      </c>
      <c r="B82" s="332">
        <v>5.396</v>
      </c>
      <c r="C82" s="332">
        <v>52.26</v>
      </c>
      <c r="D82" s="332">
        <v>198.16</v>
      </c>
      <c r="E82" s="332">
        <v>148.46</v>
      </c>
      <c r="F82" s="333">
        <v>5.938</v>
      </c>
      <c r="G82" s="334">
        <v>0.005080772239416424</v>
      </c>
      <c r="H82" s="281">
        <v>-0.0032238574289002266</v>
      </c>
      <c r="I82" s="281">
        <v>9.23639081855517E-4</v>
      </c>
      <c r="J82" s="281">
        <v>0.005631195375487026</v>
      </c>
      <c r="K82" s="281">
        <v>0.0035249339828321937</v>
      </c>
    </row>
    <row r="83">
      <c r="A83" s="184">
        <v>44001.98311321759</v>
      </c>
      <c r="B83" s="332">
        <v>5.389</v>
      </c>
      <c r="C83" s="332">
        <v>53.04</v>
      </c>
      <c r="D83" s="332">
        <v>198.56</v>
      </c>
      <c r="E83" s="332">
        <v>147.69</v>
      </c>
      <c r="F83" s="333">
        <v>5.97</v>
      </c>
      <c r="G83" s="334">
        <v>0.005714718738767943</v>
      </c>
      <c r="H83" s="281">
        <v>0.002762133767505892</v>
      </c>
      <c r="I83" s="281">
        <v>0.0030471648582695763</v>
      </c>
      <c r="J83" s="281">
        <v>0.004404755381906433</v>
      </c>
      <c r="K83" s="281">
        <v>0.007363827131658507</v>
      </c>
    </row>
    <row r="84">
      <c r="A84" s="184">
        <v>44000.983121666664</v>
      </c>
      <c r="B84" s="332">
        <v>5.376</v>
      </c>
      <c r="C84" s="332">
        <v>52.6</v>
      </c>
      <c r="D84" s="332">
        <v>198.25</v>
      </c>
      <c r="E84" s="332">
        <v>145.88</v>
      </c>
      <c r="F84" s="333">
        <v>5.901</v>
      </c>
      <c r="G84" s="334">
        <v>-0.0016969020800364776</v>
      </c>
      <c r="H84" s="281">
        <v>0.011974111431731401</v>
      </c>
      <c r="I84" s="281">
        <v>0.0010866834454645498</v>
      </c>
      <c r="J84" s="281">
        <v>0.001600441831878315</v>
      </c>
      <c r="K84" s="281">
        <v>0.0056805520475549836</v>
      </c>
    </row>
    <row r="85">
      <c r="A85" s="184">
        <v>43999.98313015046</v>
      </c>
      <c r="B85" s="332">
        <v>5.314</v>
      </c>
      <c r="C85" s="332">
        <v>52.76</v>
      </c>
      <c r="D85" s="332">
        <v>197.61</v>
      </c>
      <c r="E85" s="332">
        <v>145.96</v>
      </c>
      <c r="F85" s="333">
        <v>5.875</v>
      </c>
      <c r="G85" s="334">
        <v>-0.005479442570624937</v>
      </c>
      <c r="H85" s="281">
        <v>0.01055592271530692</v>
      </c>
      <c r="I85" s="281">
        <v>-3.773881458719967E-4</v>
      </c>
      <c r="J85" s="281">
        <v>-0.0012245200020732927</v>
      </c>
      <c r="K85" s="281">
        <v>4.194248446346786E-4</v>
      </c>
    </row>
    <row r="86">
      <c r="A86" s="184">
        <v>43998.98309865741</v>
      </c>
      <c r="B86" s="332">
        <v>5.297</v>
      </c>
      <c r="C86" s="332">
        <v>52.6</v>
      </c>
      <c r="D86" s="332">
        <v>196.75</v>
      </c>
      <c r="E86" s="332">
        <v>145.74</v>
      </c>
      <c r="F86" s="333">
        <v>5.839</v>
      </c>
      <c r="G86" s="334">
        <v>-0.0023490544582464392</v>
      </c>
      <c r="H86" s="281">
        <v>0.008044142297427856</v>
      </c>
      <c r="I86" s="281">
        <v>0.001861979928695338</v>
      </c>
      <c r="J86" s="281">
        <v>5.940367845111982E-4</v>
      </c>
      <c r="K86" s="281">
        <v>9.335445694568975E-4</v>
      </c>
    </row>
    <row r="87">
      <c r="A87" s="184">
        <v>43997.983079004625</v>
      </c>
      <c r="B87" s="332">
        <v>5.402</v>
      </c>
      <c r="C87" s="332">
        <v>50.71</v>
      </c>
      <c r="D87" s="332">
        <v>197.6</v>
      </c>
      <c r="E87" s="332">
        <v>145.18</v>
      </c>
      <c r="F87" s="333">
        <v>5.801</v>
      </c>
      <c r="G87" s="334">
        <v>0.0051960178261587124</v>
      </c>
      <c r="H87" s="281">
        <v>-0.018225254759503134</v>
      </c>
      <c r="I87" s="281">
        <v>0.004682133568600107</v>
      </c>
      <c r="J87" s="281">
        <v>0.003414864593170345</v>
      </c>
      <c r="K87" s="281">
        <v>-0.005186309124418568</v>
      </c>
    </row>
    <row r="88">
      <c r="A88" s="184">
        <v>43994.98312618055</v>
      </c>
      <c r="B88" s="332">
        <v>5.401</v>
      </c>
      <c r="C88" s="332">
        <v>51.08</v>
      </c>
      <c r="D88" s="332">
        <v>197.83</v>
      </c>
      <c r="E88" s="332">
        <v>146.49</v>
      </c>
      <c r="F88" s="333">
        <v>5.867</v>
      </c>
      <c r="G88" s="334">
        <v>0.008205642358963705</v>
      </c>
      <c r="H88" s="281">
        <v>-0.017225878347093476</v>
      </c>
      <c r="I88" s="281">
        <v>0.006490164175995683</v>
      </c>
      <c r="J88" s="281">
        <v>0.006283426856149206</v>
      </c>
      <c r="K88" s="281">
        <v>6.997295439438537E-4</v>
      </c>
    </row>
    <row r="89">
      <c r="A89" s="184">
        <v>43993.98315501158</v>
      </c>
      <c r="B89" s="332">
        <v>5.333</v>
      </c>
      <c r="C89" s="332">
        <v>51.31</v>
      </c>
      <c r="D89" s="332">
        <v>195.64</v>
      </c>
      <c r="E89" s="332">
        <v>145.47</v>
      </c>
      <c r="F89" s="333">
        <v>5.822</v>
      </c>
      <c r="G89" s="334">
        <v>0.008184254015842626</v>
      </c>
      <c r="H89" s="281">
        <v>-0.017610586878760232</v>
      </c>
      <c r="I89" s="281">
        <v>0.001872292224080252</v>
      </c>
      <c r="J89" s="281">
        <v>0.007371382110344937</v>
      </c>
      <c r="K89" s="281">
        <v>-0.003622118181615027</v>
      </c>
    </row>
    <row r="90">
      <c r="A90" s="184">
        <v>43992.98308452546</v>
      </c>
      <c r="B90" s="332">
        <v>5.318</v>
      </c>
      <c r="C90" s="332">
        <v>53.51</v>
      </c>
      <c r="D90" s="332">
        <v>194.83</v>
      </c>
      <c r="E90" s="332">
        <v>143.68</v>
      </c>
      <c r="F90" s="333">
        <v>5.891</v>
      </c>
      <c r="G90" s="334">
        <v>0.013140730910774464</v>
      </c>
      <c r="H90" s="281">
        <v>-0.0026769234900912617</v>
      </c>
      <c r="I90" s="281">
        <v>0.0023941288358783805</v>
      </c>
      <c r="J90" s="281">
        <v>0.006315586361228383</v>
      </c>
      <c r="K90" s="281">
        <v>-1.8135632177248193E-4</v>
      </c>
    </row>
    <row r="91">
      <c r="A91" s="184">
        <v>43991.98310413194</v>
      </c>
      <c r="B91" s="332">
        <v>5.269</v>
      </c>
      <c r="C91" s="332">
        <v>53.74</v>
      </c>
      <c r="D91" s="332">
        <v>194.0</v>
      </c>
      <c r="E91" s="332">
        <v>143.74</v>
      </c>
      <c r="F91" s="333">
        <v>5.854</v>
      </c>
      <c r="G91" s="334">
        <v>0.0011996427985936364</v>
      </c>
      <c r="H91" s="281">
        <v>0.008766953982798734</v>
      </c>
      <c r="I91" s="281">
        <v>-0.0013523355631372969</v>
      </c>
      <c r="J91" s="281">
        <v>-3.078836004998993E-4</v>
      </c>
      <c r="K91" s="281">
        <v>0.0011183358905442198</v>
      </c>
    </row>
    <row r="92">
      <c r="A92" s="184">
        <v>43990.983107962966</v>
      </c>
      <c r="B92" s="332">
        <v>5.203</v>
      </c>
      <c r="C92" s="332">
        <v>54.044</v>
      </c>
      <c r="D92" s="332">
        <v>194.54</v>
      </c>
      <c r="E92" s="332">
        <v>142.27</v>
      </c>
      <c r="F92" s="333">
        <v>5.885</v>
      </c>
      <c r="G92" s="334">
        <v>-0.008439161971577605</v>
      </c>
      <c r="H92" s="281">
        <v>0.007785603636983625</v>
      </c>
      <c r="I92" s="281">
        <v>-0.00403541196725025</v>
      </c>
      <c r="J92" s="281">
        <v>-0.0029520246277652262</v>
      </c>
      <c r="K92" s="281">
        <v>0.0017979204815306755</v>
      </c>
    </row>
    <row r="93">
      <c r="A93" s="184">
        <v>43987.9827878588</v>
      </c>
      <c r="B93" s="332">
        <v>5.111</v>
      </c>
      <c r="C93" s="332">
        <v>53.94</v>
      </c>
      <c r="D93" s="332">
        <v>193.43</v>
      </c>
      <c r="E93" s="332">
        <v>140.97</v>
      </c>
      <c r="F93" s="333">
        <v>5.894</v>
      </c>
      <c r="G93" s="334">
        <v>-0.02102111545879648</v>
      </c>
      <c r="H93" s="281">
        <v>0.011692189651787163</v>
      </c>
      <c r="I93" s="281">
        <v>-0.009932797230613652</v>
      </c>
      <c r="J93" s="281">
        <v>-0.015057109861408883</v>
      </c>
      <c r="K93" s="281">
        <v>1.4355873098052344E-4</v>
      </c>
    </row>
    <row r="94">
      <c r="A94" s="184">
        <v>43986.98310633102</v>
      </c>
      <c r="B94" s="332">
        <v>5.247</v>
      </c>
      <c r="C94" s="332">
        <v>52.32</v>
      </c>
      <c r="D94" s="332">
        <v>194.78</v>
      </c>
      <c r="E94" s="332">
        <v>143.83</v>
      </c>
      <c r="F94" s="333">
        <v>5.834</v>
      </c>
      <c r="G94" s="334">
        <v>-0.01564400447940173</v>
      </c>
      <c r="H94" s="281">
        <v>0.0013608612501084434</v>
      </c>
      <c r="I94" s="281">
        <v>-0.009379690839146212</v>
      </c>
      <c r="J94" s="281">
        <v>-0.011392587316876904</v>
      </c>
      <c r="K94" s="281">
        <v>-0.003193139083101556</v>
      </c>
    </row>
    <row r="95">
      <c r="A95" s="184">
        <v>43985.983138888885</v>
      </c>
      <c r="B95" s="332">
        <v>5.333</v>
      </c>
      <c r="C95" s="332">
        <v>52.77</v>
      </c>
      <c r="D95" s="332">
        <v>196.89</v>
      </c>
      <c r="E95" s="332">
        <v>143.5</v>
      </c>
      <c r="F95" s="333">
        <v>5.853</v>
      </c>
      <c r="G95" s="334">
        <v>-0.010180565053698132</v>
      </c>
      <c r="H95" s="281">
        <v>0.008130584846814318</v>
      </c>
      <c r="I95" s="281">
        <v>-0.005752138510173828</v>
      </c>
      <c r="J95" s="281">
        <v>-0.0106561803665568</v>
      </c>
      <c r="K95" s="281">
        <v>0.0017407816388378035</v>
      </c>
    </row>
    <row r="96">
      <c r="A96" s="184">
        <v>43984.98315847223</v>
      </c>
      <c r="B96" s="332">
        <v>5.44</v>
      </c>
      <c r="C96" s="332">
        <v>52.05</v>
      </c>
      <c r="D96" s="332">
        <v>199.25</v>
      </c>
      <c r="E96" s="332">
        <v>147.4</v>
      </c>
      <c r="F96" s="333">
        <v>5.891</v>
      </c>
      <c r="G96" s="334">
        <v>-0.005372460290283006</v>
      </c>
      <c r="H96" s="281">
        <v>-0.002438040333169004</v>
      </c>
      <c r="I96" s="281">
        <v>-0.003254429100563394</v>
      </c>
      <c r="J96" s="281">
        <v>-0.0015519322873247532</v>
      </c>
      <c r="K96" s="281">
        <v>0.0024163075572563772</v>
      </c>
    </row>
    <row r="97">
      <c r="A97" s="184">
        <v>43983.98310591435</v>
      </c>
      <c r="B97" s="332">
        <v>5.497</v>
      </c>
      <c r="C97" s="332">
        <v>52.1</v>
      </c>
      <c r="D97" s="332">
        <v>200.31</v>
      </c>
      <c r="E97" s="332">
        <v>148.77</v>
      </c>
      <c r="F97" s="333">
        <v>5.89</v>
      </c>
      <c r="G97" s="334">
        <v>-0.005859552739419034</v>
      </c>
      <c r="H97" s="281">
        <v>0.0019518580991951806</v>
      </c>
      <c r="I97" s="281">
        <v>-0.004181576379998535</v>
      </c>
      <c r="J97" s="281">
        <v>0.003977331662559018</v>
      </c>
      <c r="K97" s="281">
        <v>7.637368362162963E-4</v>
      </c>
    </row>
    <row r="98">
      <c r="A98" s="184">
        <v>43980.982303599536</v>
      </c>
      <c r="B98" s="332">
        <v>5.497</v>
      </c>
      <c r="C98" s="332">
        <v>51.49</v>
      </c>
      <c r="D98" s="332">
        <v>200.3</v>
      </c>
      <c r="E98" s="332">
        <v>148.1</v>
      </c>
      <c r="F98" s="333">
        <v>5.822</v>
      </c>
      <c r="G98" s="334">
        <v>-0.005740377432542558</v>
      </c>
      <c r="H98" s="281">
        <v>-0.0037533907673243196</v>
      </c>
      <c r="I98" s="281">
        <v>-0.003376511062577118</v>
      </c>
      <c r="J98" s="281">
        <v>-6.304430195395542E-4</v>
      </c>
      <c r="K98" s="281">
        <v>-0.006204629973339222</v>
      </c>
    </row>
    <row r="99">
      <c r="A99" s="184">
        <v>43979.98312496528</v>
      </c>
      <c r="B99" s="332">
        <v>5.528</v>
      </c>
      <c r="C99" s="332">
        <v>52.42</v>
      </c>
      <c r="D99" s="332">
        <v>201.2</v>
      </c>
      <c r="E99" s="332">
        <v>148.08</v>
      </c>
      <c r="F99" s="333">
        <v>5.848</v>
      </c>
      <c r="G99" s="334">
        <v>-0.010655986232556628</v>
      </c>
      <c r="H99" s="281">
        <v>0.0013707941664190166</v>
      </c>
      <c r="I99" s="281">
        <v>-0.00540435119499616</v>
      </c>
      <c r="J99" s="281">
        <v>-0.0068087730095421906</v>
      </c>
      <c r="K99" s="281">
        <v>-0.005502849817976922</v>
      </c>
    </row>
    <row r="100">
      <c r="A100" s="184">
        <v>43978.98315972222</v>
      </c>
      <c r="B100" s="332">
        <v>5.594</v>
      </c>
      <c r="C100" s="332">
        <v>51.78</v>
      </c>
      <c r="D100" s="332">
        <v>202.83</v>
      </c>
      <c r="E100" s="332">
        <v>147.0</v>
      </c>
      <c r="F100" s="333">
        <v>5.876</v>
      </c>
      <c r="G100" s="334">
        <v>-0.0065594106456159</v>
      </c>
      <c r="H100" s="281">
        <v>0.0033036549436272398</v>
      </c>
      <c r="I100" s="281">
        <v>-0.0027690965517789636</v>
      </c>
      <c r="J100" s="281">
        <v>-0.009967886029459935</v>
      </c>
      <c r="K100" s="281">
        <v>-0.0033461673237497416</v>
      </c>
    </row>
    <row r="101">
      <c r="A101" s="184">
        <v>43977.98311393519</v>
      </c>
      <c r="B101" s="332">
        <v>5.592</v>
      </c>
      <c r="C101" s="332">
        <v>52.06</v>
      </c>
      <c r="D101" s="332">
        <v>202.33</v>
      </c>
      <c r="E101" s="332">
        <v>148.37</v>
      </c>
      <c r="F101" s="333">
        <v>5.931</v>
      </c>
      <c r="G101" s="334">
        <v>-0.004516360613548913</v>
      </c>
      <c r="H101" s="281">
        <v>0.006146600082883739</v>
      </c>
      <c r="I101" s="281">
        <v>-2.005854752241317E-4</v>
      </c>
      <c r="J101" s="281">
        <v>-0.00289908329429552</v>
      </c>
      <c r="K101" s="281">
        <v>1.670169742643187E-4</v>
      </c>
    </row>
    <row r="102">
      <c r="A102" s="184">
        <v>43976.98307869213</v>
      </c>
      <c r="B102" s="332">
        <v>5.706</v>
      </c>
      <c r="C102" s="332">
        <v>52.2</v>
      </c>
      <c r="D102" s="332">
        <v>204.47</v>
      </c>
      <c r="E102" s="332">
        <v>151.1</v>
      </c>
      <c r="F102" s="333">
        <v>5.945</v>
      </c>
      <c r="G102" s="334">
        <v>0.007690507803431353</v>
      </c>
      <c r="H102" s="281">
        <v>0.00469466507588312</v>
      </c>
      <c r="I102" s="281">
        <v>0.004098938109966976</v>
      </c>
      <c r="J102" s="281">
        <v>-0.001533082866436312</v>
      </c>
      <c r="K102" s="281">
        <v>-0.002082593992701461</v>
      </c>
    </row>
    <row r="103">
      <c r="A103" s="184">
        <v>43973.98311027778</v>
      </c>
      <c r="B103" s="332">
        <v>5.704</v>
      </c>
      <c r="C103" s="332">
        <v>51.26</v>
      </c>
      <c r="D103" s="332">
        <v>204.51</v>
      </c>
      <c r="E103" s="332">
        <v>151.43</v>
      </c>
      <c r="F103" s="333">
        <v>5.935</v>
      </c>
      <c r="G103" s="334">
        <v>0.0056603682864830125</v>
      </c>
      <c r="H103" s="281">
        <v>-0.0011135635126770331</v>
      </c>
      <c r="I103" s="281">
        <v>0.002249576808094752</v>
      </c>
      <c r="J103" s="281">
        <v>4.687692109572132E-4</v>
      </c>
      <c r="K103" s="281">
        <v>-0.0018631711226521814</v>
      </c>
    </row>
    <row r="104">
      <c r="A104" s="184">
        <v>43972.98312583333</v>
      </c>
      <c r="B104" s="332">
        <v>5.667</v>
      </c>
      <c r="C104" s="332">
        <v>51.1</v>
      </c>
      <c r="D104" s="332">
        <v>202.43</v>
      </c>
      <c r="E104" s="332">
        <v>149.63</v>
      </c>
      <c r="F104" s="333">
        <v>5.928</v>
      </c>
      <c r="G104" s="334">
        <v>0.0011201630414698534</v>
      </c>
      <c r="H104" s="281">
        <v>-0.0031262061218552497</v>
      </c>
      <c r="I104" s="281">
        <v>-0.0028637597975167037</v>
      </c>
      <c r="J104" s="281">
        <v>-0.011893484017264533</v>
      </c>
      <c r="K104" s="281">
        <v>-0.003931922331947428</v>
      </c>
    </row>
    <row r="105">
      <c r="A105" s="184">
        <v>43971.98311164352</v>
      </c>
      <c r="B105" s="332">
        <v>5.575</v>
      </c>
      <c r="C105" s="332">
        <v>51.46</v>
      </c>
      <c r="D105" s="332">
        <v>201.96</v>
      </c>
      <c r="E105" s="332">
        <v>151.77</v>
      </c>
      <c r="F105" s="333">
        <v>5.982</v>
      </c>
      <c r="G105" s="334">
        <v>-0.013086513849910183</v>
      </c>
      <c r="H105" s="281">
        <v>0.011242293326876021</v>
      </c>
      <c r="I105" s="281">
        <v>-0.006870290164420719</v>
      </c>
      <c r="J105" s="281">
        <v>-0.003319717471972535</v>
      </c>
      <c r="K105" s="281">
        <v>0.004828645180660322</v>
      </c>
    </row>
    <row r="106">
      <c r="A106" s="184">
        <v>43970.98310216435</v>
      </c>
      <c r="B106" s="332">
        <v>5.607</v>
      </c>
      <c r="C106" s="332">
        <v>51.43</v>
      </c>
      <c r="D106" s="332">
        <v>203.12</v>
      </c>
      <c r="E106" s="332">
        <v>151.19</v>
      </c>
      <c r="F106" s="333">
        <v>5.968</v>
      </c>
      <c r="G106" s="334">
        <v>-0.013933734911597995</v>
      </c>
      <c r="H106" s="281">
        <v>0.013729651734633105</v>
      </c>
      <c r="I106" s="281">
        <v>-0.006491817932691009</v>
      </c>
      <c r="J106" s="281">
        <v>-0.0032230860361982896</v>
      </c>
      <c r="K106" s="281">
        <v>0.0058579700793029614</v>
      </c>
    </row>
    <row r="107">
      <c r="A107" s="184">
        <v>43969.98310482639</v>
      </c>
      <c r="B107" s="332">
        <v>5.647</v>
      </c>
      <c r="C107" s="332">
        <v>51.58</v>
      </c>
      <c r="D107" s="332">
        <v>204.17</v>
      </c>
      <c r="E107" s="332">
        <v>155.0</v>
      </c>
      <c r="F107" s="333">
        <v>5.998</v>
      </c>
      <c r="G107" s="334">
        <v>-0.0056807835248072385</v>
      </c>
      <c r="H107" s="281">
        <v>0.011930827757055784</v>
      </c>
      <c r="I107" s="281">
        <v>-0.00539641467355767</v>
      </c>
      <c r="J107" s="281">
        <v>0.009742252784055494</v>
      </c>
      <c r="K107" s="281">
        <v>0.009750868196682952</v>
      </c>
    </row>
    <row r="108">
      <c r="A108" s="184">
        <v>43966.98312289352</v>
      </c>
      <c r="B108" s="332">
        <v>5.796</v>
      </c>
      <c r="C108" s="332">
        <v>49.72</v>
      </c>
      <c r="D108" s="332">
        <v>206.15</v>
      </c>
      <c r="E108" s="332">
        <v>153.23</v>
      </c>
      <c r="F108" s="333">
        <v>5.895</v>
      </c>
      <c r="G108" s="334">
        <v>0.007933584181321507</v>
      </c>
      <c r="H108" s="281">
        <v>-0.009406313446518913</v>
      </c>
      <c r="I108" s="281">
        <v>3.262654537246057E-4</v>
      </c>
      <c r="J108" s="281">
        <v>0.00834981574382739</v>
      </c>
      <c r="K108" s="281">
        <v>0.002366939396240294</v>
      </c>
    </row>
    <row r="109">
      <c r="A109" s="184">
        <v>43965.98311664352</v>
      </c>
      <c r="B109" s="332">
        <v>5.844</v>
      </c>
      <c r="C109" s="332">
        <v>49.32</v>
      </c>
      <c r="D109" s="332">
        <v>207.1</v>
      </c>
      <c r="E109" s="332">
        <v>152.6</v>
      </c>
      <c r="F109" s="333">
        <v>5.863</v>
      </c>
      <c r="G109" s="334">
        <v>0.009751490559143003</v>
      </c>
      <c r="H109" s="281">
        <v>-0.013326912515441602</v>
      </c>
      <c r="I109" s="281">
        <v>-4.757764286574447E-5</v>
      </c>
      <c r="J109" s="281">
        <v>0.007380879606477782</v>
      </c>
      <c r="K109" s="281">
        <v>-0.004397227707701679</v>
      </c>
    </row>
    <row r="110">
      <c r="A110" s="184">
        <v>43964.98311777778</v>
      </c>
      <c r="B110" s="332">
        <v>5.741</v>
      </c>
      <c r="C110" s="332">
        <v>49.73</v>
      </c>
      <c r="D110" s="332">
        <v>207.49</v>
      </c>
      <c r="E110" s="332">
        <v>150.51</v>
      </c>
      <c r="F110" s="333">
        <v>5.824</v>
      </c>
      <c r="G110" s="334">
        <v>0.0025840740073375854</v>
      </c>
      <c r="H110" s="281">
        <v>-0.008736884680773679</v>
      </c>
      <c r="I110" s="281">
        <v>7.732631949170695E-4</v>
      </c>
      <c r="J110" s="281">
        <v>0.0011404131288218489</v>
      </c>
      <c r="K110" s="281">
        <v>-0.007175689835757337</v>
      </c>
    </row>
    <row r="111">
      <c r="A111" s="184">
        <v>43963.983165405094</v>
      </c>
      <c r="B111" s="332">
        <v>5.658</v>
      </c>
      <c r="C111" s="332">
        <v>51.12</v>
      </c>
      <c r="D111" s="332">
        <v>205.94</v>
      </c>
      <c r="E111" s="332">
        <v>149.42</v>
      </c>
      <c r="F111" s="333">
        <v>5.853</v>
      </c>
      <c r="G111" s="334">
        <v>-0.004400325365202518</v>
      </c>
      <c r="H111" s="281">
        <v>0.0016252305165876575</v>
      </c>
      <c r="I111" s="281">
        <v>-0.0034398440234894765</v>
      </c>
      <c r="J111" s="281">
        <v>-7.180088487913627E-4</v>
      </c>
      <c r="K111" s="281">
        <v>-0.007644742841575051</v>
      </c>
    </row>
    <row r="112">
      <c r="A112" s="184">
        <v>43962.98312564815</v>
      </c>
      <c r="B112" s="332">
        <v>5.674</v>
      </c>
      <c r="C112" s="332">
        <v>51.31</v>
      </c>
      <c r="D112" s="332">
        <v>207.12</v>
      </c>
      <c r="E112" s="332">
        <v>149.24</v>
      </c>
      <c r="F112" s="333">
        <v>5.94</v>
      </c>
      <c r="G112" s="334">
        <v>9.030114030637767E-4</v>
      </c>
      <c r="H112" s="281">
        <v>0.006205997266941672</v>
      </c>
      <c r="I112" s="281">
        <v>4.566083332333178E-4</v>
      </c>
      <c r="J112" s="281">
        <v>0.0015072137802913204</v>
      </c>
      <c r="K112" s="281">
        <v>0.004769344402335933</v>
      </c>
    </row>
    <row r="113">
      <c r="A113" s="184">
        <v>43959.98311270833</v>
      </c>
      <c r="B113" s="332">
        <v>5.696</v>
      </c>
      <c r="C113" s="332">
        <v>51.03</v>
      </c>
      <c r="D113" s="332">
        <v>207.0</v>
      </c>
      <c r="E113" s="332">
        <v>149.99</v>
      </c>
      <c r="F113" s="333">
        <v>5.95</v>
      </c>
      <c r="G113" s="334">
        <v>-0.00316568409377919</v>
      </c>
      <c r="H113" s="281">
        <v>0.0027322361776169757</v>
      </c>
      <c r="I113" s="281">
        <v>0.0013110427617333276</v>
      </c>
      <c r="J113" s="281">
        <v>0.0019707362304955955</v>
      </c>
      <c r="K113" s="281">
        <v>0.0017432208887963412</v>
      </c>
    </row>
    <row r="114">
      <c r="A114" s="184">
        <v>43958.983103645834</v>
      </c>
      <c r="B114" s="332">
        <v>5.733</v>
      </c>
      <c r="C114" s="332">
        <v>50.87</v>
      </c>
      <c r="D114" s="332">
        <v>208.07</v>
      </c>
      <c r="E114" s="332">
        <v>149.74</v>
      </c>
      <c r="F114" s="333">
        <v>5.988</v>
      </c>
      <c r="G114" s="334">
        <v>-0.001290327412304541</v>
      </c>
      <c r="H114" s="281">
        <v>0.012488653700030014</v>
      </c>
      <c r="I114" s="281">
        <v>0.003373579303682206</v>
      </c>
      <c r="J114" s="281">
        <v>0.0024435362131220995</v>
      </c>
      <c r="K114" s="281">
        <v>0.013787006799307297</v>
      </c>
    </row>
    <row r="115">
      <c r="A115" s="184">
        <v>43957.983155231486</v>
      </c>
      <c r="B115" s="332">
        <v>5.658</v>
      </c>
      <c r="C115" s="332">
        <v>50.36</v>
      </c>
      <c r="D115" s="332">
        <v>206.83</v>
      </c>
      <c r="E115" s="332">
        <v>148.56</v>
      </c>
      <c r="F115" s="333">
        <v>5.854</v>
      </c>
      <c r="G115" s="334">
        <v>-0.007388967504688093</v>
      </c>
      <c r="H115" s="281">
        <v>-0.00119966870729038</v>
      </c>
      <c r="I115" s="281">
        <v>0.0017269236725773185</v>
      </c>
      <c r="J115" s="281">
        <v>0.001543528046832258</v>
      </c>
      <c r="K115" s="281">
        <v>0.004818034385067671</v>
      </c>
    </row>
    <row r="116">
      <c r="A116" s="184">
        <v>43956.983102893515</v>
      </c>
      <c r="B116" s="332">
        <v>5.749</v>
      </c>
      <c r="C116" s="332">
        <v>50.61</v>
      </c>
      <c r="D116" s="332">
        <v>206.18</v>
      </c>
      <c r="E116" s="332">
        <v>149.1</v>
      </c>
      <c r="F116" s="333">
        <v>5.917</v>
      </c>
      <c r="G116" s="334">
        <v>-0.006695876729291876</v>
      </c>
      <c r="H116" s="281">
        <v>-0.004826490167281612</v>
      </c>
      <c r="I116" s="281">
        <v>-0.001977452518145554</v>
      </c>
      <c r="J116" s="281">
        <v>-6.261887709681687E-4</v>
      </c>
      <c r="K116" s="281">
        <v>0.01054392983137146</v>
      </c>
    </row>
    <row r="117">
      <c r="A117" s="184">
        <v>43955.98319719908</v>
      </c>
      <c r="B117" s="332">
        <v>5.754</v>
      </c>
      <c r="C117" s="332">
        <v>48.97</v>
      </c>
      <c r="D117" s="332">
        <v>205.97</v>
      </c>
      <c r="E117" s="332">
        <v>148.64</v>
      </c>
      <c r="F117" s="333">
        <v>5.741</v>
      </c>
      <c r="G117" s="334">
        <v>-0.005894462287075204</v>
      </c>
      <c r="H117" s="281">
        <v>-0.01010390077958312</v>
      </c>
      <c r="I117" s="281">
        <v>-0.0024616097080367347</v>
      </c>
      <c r="J117" s="281">
        <v>-0.0021901641296701766</v>
      </c>
      <c r="K117" s="281">
        <v>0.001210729027503632</v>
      </c>
    </row>
    <row r="118">
      <c r="A118" s="184">
        <v>43951.98270328704</v>
      </c>
      <c r="B118" s="332">
        <v>5.784</v>
      </c>
      <c r="C118" s="332">
        <v>50.49</v>
      </c>
      <c r="D118" s="332">
        <v>205.76</v>
      </c>
      <c r="E118" s="332">
        <v>147.87</v>
      </c>
      <c r="F118" s="333">
        <v>5.767</v>
      </c>
      <c r="G118" s="334">
        <v>-0.0029611856498676925</v>
      </c>
      <c r="H118" s="281">
        <v>0.001101676377902372</v>
      </c>
      <c r="I118" s="281">
        <v>-0.0018536281832298347</v>
      </c>
      <c r="J118" s="281">
        <v>-0.005543382257596911</v>
      </c>
      <c r="K118" s="281">
        <v>0.004759965310584276</v>
      </c>
    </row>
    <row r="119">
      <c r="A119" s="184">
        <v>43950.98311217593</v>
      </c>
      <c r="B119" s="332">
        <v>5.865</v>
      </c>
      <c r="C119" s="332">
        <v>51.29</v>
      </c>
      <c r="D119" s="332">
        <v>207.4</v>
      </c>
      <c r="E119" s="332">
        <v>149.37</v>
      </c>
      <c r="F119" s="333">
        <v>5.73</v>
      </c>
      <c r="G119" s="334">
        <v>-0.002349119861906631</v>
      </c>
      <c r="H119" s="281">
        <v>0.014400211792260772</v>
      </c>
      <c r="I119" s="281">
        <v>-0.0015328833561758144</v>
      </c>
      <c r="J119" s="281">
        <v>-0.003957963002907627</v>
      </c>
      <c r="K119" s="281">
        <v>-0.0023038812589020186</v>
      </c>
    </row>
    <row r="120">
      <c r="A120" s="184">
        <v>43949.98310431713</v>
      </c>
      <c r="B120" s="332">
        <v>5.856</v>
      </c>
      <c r="C120" s="332">
        <v>50.44</v>
      </c>
      <c r="D120" s="332">
        <v>207.49</v>
      </c>
      <c r="E120" s="332">
        <v>149.61</v>
      </c>
      <c r="F120" s="333">
        <v>5.72</v>
      </c>
      <c r="G120" s="334">
        <v>-0.002296231025752604</v>
      </c>
      <c r="H120" s="281">
        <v>0.0052779689170957544</v>
      </c>
      <c r="I120" s="281">
        <v>-8.762762897555806E-4</v>
      </c>
      <c r="J120" s="281">
        <v>-0.00531895095736649</v>
      </c>
      <c r="K120" s="281">
        <v>-0.00843250336713719</v>
      </c>
    </row>
    <row r="121">
      <c r="A121" s="184">
        <v>43948.98310358796</v>
      </c>
      <c r="B121" s="332">
        <v>5.835</v>
      </c>
      <c r="C121" s="332">
        <v>50.31</v>
      </c>
      <c r="D121" s="332">
        <v>206.9</v>
      </c>
      <c r="E121" s="332">
        <v>150.34</v>
      </c>
      <c r="F121" s="333">
        <v>5.685</v>
      </c>
      <c r="G121" s="334">
        <v>-0.0023608761310755324</v>
      </c>
      <c r="H121" s="281">
        <v>0.009254647195462281</v>
      </c>
      <c r="I121" s="281">
        <v>-0.0016478565036454433</v>
      </c>
      <c r="J121" s="281">
        <v>5.177493631444522E-4</v>
      </c>
      <c r="K121" s="281">
        <v>-0.007346242370390203</v>
      </c>
    </row>
    <row r="122">
      <c r="A122" s="184">
        <v>43945.98313090278</v>
      </c>
      <c r="B122" s="332">
        <v>5.906</v>
      </c>
      <c r="C122" s="332">
        <v>49.1</v>
      </c>
      <c r="D122" s="332">
        <v>208.35</v>
      </c>
      <c r="E122" s="332">
        <v>151.15</v>
      </c>
      <c r="F122" s="333">
        <v>5.769</v>
      </c>
      <c r="G122" s="334">
        <v>-0.0018220239622212715</v>
      </c>
      <c r="H122" s="281">
        <v>0.008870753229145953</v>
      </c>
      <c r="I122" s="281">
        <v>4.4773856634986825E-4</v>
      </c>
      <c r="J122" s="281">
        <v>0.008732049789732299</v>
      </c>
      <c r="K122" s="281">
        <v>0.002742510681773188</v>
      </c>
    </row>
    <row r="123">
      <c r="A123" s="184">
        <v>43944.98310631944</v>
      </c>
      <c r="B123" s="332">
        <v>5.896</v>
      </c>
      <c r="C123" s="332">
        <v>49.63</v>
      </c>
      <c r="D123" s="332">
        <v>208.03</v>
      </c>
      <c r="E123" s="332">
        <v>152.01</v>
      </c>
      <c r="F123" s="333">
        <v>5.865</v>
      </c>
      <c r="G123" s="334">
        <v>0.005191887445233208</v>
      </c>
      <c r="H123" s="281">
        <v>-0.0022483130297057765</v>
      </c>
      <c r="I123" s="281">
        <v>0.002130553717655285</v>
      </c>
      <c r="J123" s="281">
        <v>0.008364127771581612</v>
      </c>
      <c r="K123" s="281">
        <v>-0.0021418362072539074</v>
      </c>
    </row>
    <row r="124">
      <c r="A124" s="184">
        <v>43943.98310791666</v>
      </c>
      <c r="B124" s="332">
        <v>5.876</v>
      </c>
      <c r="C124" s="332">
        <v>48.91</v>
      </c>
      <c r="D124" s="332">
        <v>207.92</v>
      </c>
      <c r="E124" s="332">
        <v>150.09</v>
      </c>
      <c r="F124" s="333">
        <v>5.81</v>
      </c>
      <c r="G124" s="334">
        <v>2.700348468057297E-4</v>
      </c>
      <c r="H124" s="281">
        <v>-0.004478887416440203</v>
      </c>
      <c r="I124" s="281">
        <v>0.0014866305826000865</v>
      </c>
      <c r="J124" s="281">
        <v>0.004941102917314273</v>
      </c>
      <c r="K124" s="281">
        <v>-0.0063978592947664765</v>
      </c>
    </row>
    <row r="125">
      <c r="A125" s="184">
        <v>43942.98312209491</v>
      </c>
      <c r="B125" s="332">
        <v>5.938</v>
      </c>
      <c r="C125" s="332">
        <v>47.79</v>
      </c>
      <c r="D125" s="332">
        <v>208.07</v>
      </c>
      <c r="E125" s="332">
        <v>147.2</v>
      </c>
      <c r="F125" s="333">
        <v>5.72</v>
      </c>
      <c r="G125" s="334">
        <v>0.003787166682521622</v>
      </c>
      <c r="H125" s="281">
        <v>-0.00773573466326057</v>
      </c>
      <c r="I125" s="281">
        <v>4.065930105316233E-4</v>
      </c>
      <c r="J125" s="281">
        <v>-0.008579060639306912</v>
      </c>
      <c r="K125" s="281">
        <v>-0.011730317939714796</v>
      </c>
    </row>
    <row r="126">
      <c r="A126" s="184">
        <v>43941.98310591435</v>
      </c>
      <c r="B126" s="332">
        <v>5.803</v>
      </c>
      <c r="C126" s="332">
        <v>49.9</v>
      </c>
      <c r="D126" s="332">
        <v>206.7</v>
      </c>
      <c r="E126" s="332">
        <v>148.2</v>
      </c>
      <c r="F126" s="333">
        <v>5.899</v>
      </c>
      <c r="G126" s="334">
        <v>0.0027971462362995267</v>
      </c>
      <c r="H126" s="281">
        <v>0.011211202851120131</v>
      </c>
      <c r="I126" s="281">
        <v>0.0019171265489750233</v>
      </c>
      <c r="J126" s="281">
        <v>-0.003665561263167194</v>
      </c>
      <c r="K126" s="281">
        <v>0.001458994717682997</v>
      </c>
    </row>
    <row r="127">
      <c r="A127" s="184">
        <v>43938.98311165509</v>
      </c>
      <c r="B127" s="332">
        <v>5.869</v>
      </c>
      <c r="C127" s="332">
        <v>49.51</v>
      </c>
      <c r="D127" s="332">
        <v>206.99</v>
      </c>
      <c r="E127" s="332">
        <v>147.85</v>
      </c>
      <c r="F127" s="333">
        <v>5.919</v>
      </c>
      <c r="G127" s="334">
        <v>0.015627051133635755</v>
      </c>
      <c r="H127" s="281">
        <v>0.004598253347912529</v>
      </c>
      <c r="I127" s="281">
        <v>0.0057262366877918565</v>
      </c>
      <c r="J127" s="281">
        <v>-0.005965914350534396</v>
      </c>
      <c r="K127" s="281">
        <v>-0.00291629051609806</v>
      </c>
    </row>
    <row r="128">
      <c r="A128" s="184">
        <v>43937.98311678241</v>
      </c>
      <c r="B128" s="332">
        <v>5.869</v>
      </c>
      <c r="C128" s="332">
        <v>48.86</v>
      </c>
      <c r="D128" s="332">
        <v>207.81</v>
      </c>
      <c r="E128" s="332">
        <v>151.0</v>
      </c>
      <c r="F128" s="333">
        <v>5.922</v>
      </c>
      <c r="G128" s="334">
        <v>0.010981705412713852</v>
      </c>
      <c r="H128" s="281">
        <v>0.0030897102371987284</v>
      </c>
      <c r="I128" s="281">
        <v>0.006211124154485474</v>
      </c>
      <c r="J128" s="281">
        <v>0.010572347969369974</v>
      </c>
      <c r="K128" s="281">
        <v>-0.0053157406020292175</v>
      </c>
    </row>
    <row r="129">
      <c r="A129" s="184">
        <v>43936.98317759259</v>
      </c>
      <c r="B129" s="332">
        <v>5.753</v>
      </c>
      <c r="C129" s="332">
        <v>48.24</v>
      </c>
      <c r="D129" s="332">
        <v>205.5</v>
      </c>
      <c r="E129" s="332">
        <v>149.8</v>
      </c>
      <c r="F129" s="333">
        <v>5.873</v>
      </c>
      <c r="G129" s="334">
        <v>0.002161404916490491</v>
      </c>
      <c r="H129" s="281">
        <v>0.005884731487546831</v>
      </c>
      <c r="I129" s="281">
        <v>0.0013290574118988892</v>
      </c>
      <c r="J129" s="281">
        <v>0.012186324066955523</v>
      </c>
      <c r="K129" s="281">
        <v>-0.0067440305941490015</v>
      </c>
    </row>
    <row r="130">
      <c r="A130" s="184">
        <v>43935.983222361116</v>
      </c>
      <c r="B130" s="332">
        <v>5.597</v>
      </c>
      <c r="C130" s="332">
        <v>48.82</v>
      </c>
      <c r="D130" s="332">
        <v>203.44</v>
      </c>
      <c r="E130" s="332">
        <v>150.48</v>
      </c>
      <c r="F130" s="333">
        <v>5.97</v>
      </c>
      <c r="G130" s="334">
        <v>-0.00466019193944156</v>
      </c>
      <c r="H130" s="281">
        <v>0.00975176422405651</v>
      </c>
      <c r="I130" s="281">
        <v>-0.0010514898191769095</v>
      </c>
      <c r="J130" s="281">
        <v>0.013791820769713858</v>
      </c>
      <c r="K130" s="281">
        <v>-0.0036306886358871138</v>
      </c>
    </row>
    <row r="131">
      <c r="A131" s="184">
        <v>43930.98312423611</v>
      </c>
      <c r="B131" s="332">
        <v>5.675</v>
      </c>
      <c r="C131" s="332">
        <v>48.4</v>
      </c>
      <c r="D131" s="332">
        <v>203.95</v>
      </c>
      <c r="E131" s="332">
        <v>146.22</v>
      </c>
      <c r="F131" s="333">
        <v>6.016</v>
      </c>
      <c r="G131" s="334">
        <v>-0.0071807786707956955</v>
      </c>
      <c r="H131" s="281">
        <v>0.018466365523586197</v>
      </c>
      <c r="I131" s="281">
        <v>-0.005311903375548617</v>
      </c>
      <c r="J131" s="281">
        <v>0.003177331265662812</v>
      </c>
      <c r="K131" s="281">
        <v>0.002417410647235626</v>
      </c>
    </row>
    <row r="132">
      <c r="A132" s="184">
        <v>43929.98314677083</v>
      </c>
      <c r="B132" s="332">
        <v>5.713</v>
      </c>
      <c r="C132" s="332">
        <v>47.38</v>
      </c>
      <c r="D132" s="332">
        <v>204.67</v>
      </c>
      <c r="E132" s="332">
        <v>144.35</v>
      </c>
      <c r="F132" s="333">
        <v>5.992</v>
      </c>
      <c r="G132" s="334">
        <v>-0.009261342393436123</v>
      </c>
      <c r="H132" s="281">
        <v>0.0255244373753228</v>
      </c>
      <c r="I132" s="281">
        <v>-0.006580446811289886</v>
      </c>
      <c r="J132" s="281">
        <v>0.004576549898964906</v>
      </c>
      <c r="K132" s="281">
        <v>0.0052180096601231645</v>
      </c>
    </row>
    <row r="133">
      <c r="A133" s="184">
        <v>43928.98324935185</v>
      </c>
      <c r="B133" s="332">
        <v>5.675</v>
      </c>
      <c r="C133" s="332">
        <v>47.4</v>
      </c>
      <c r="D133" s="332">
        <v>204.08</v>
      </c>
      <c r="E133" s="332">
        <v>144.31</v>
      </c>
      <c r="F133" s="333">
        <v>6.035</v>
      </c>
      <c r="G133" s="334">
        <v>-0.00846987940281907</v>
      </c>
      <c r="H133" s="281">
        <v>0.026577968915154366</v>
      </c>
      <c r="I133" s="281">
        <v>-0.00493817469440024</v>
      </c>
      <c r="J133" s="281">
        <v>0.00804323398035097</v>
      </c>
      <c r="K133" s="281">
        <v>0.0117922966450833</v>
      </c>
    </row>
    <row r="134">
      <c r="A134" s="184">
        <v>43927.98316011574</v>
      </c>
      <c r="B134" s="332">
        <v>5.797</v>
      </c>
      <c r="C134" s="332">
        <v>45.753</v>
      </c>
      <c r="D134" s="332">
        <v>207.2</v>
      </c>
      <c r="E134" s="332">
        <v>144.82</v>
      </c>
      <c r="F134" s="333">
        <v>5.972</v>
      </c>
      <c r="G134" s="334">
        <v>1.2814332842814302E-4</v>
      </c>
      <c r="H134" s="281">
        <v>0.01736029760424092</v>
      </c>
      <c r="I134" s="281">
        <v>0.00258837132928987</v>
      </c>
      <c r="J134" s="281">
        <v>0.01613216898123952</v>
      </c>
      <c r="K134" s="281">
        <v>0.01466561688325437</v>
      </c>
    </row>
    <row r="135">
      <c r="A135" s="184">
        <v>43924.983126631945</v>
      </c>
      <c r="B135" s="332">
        <v>5.872</v>
      </c>
      <c r="C135" s="332">
        <v>43.82</v>
      </c>
      <c r="D135" s="332">
        <v>208.72</v>
      </c>
      <c r="E135" s="332">
        <v>142.36</v>
      </c>
      <c r="F135" s="333">
        <v>5.898</v>
      </c>
      <c r="G135" s="334">
        <v>0.012264904737976479</v>
      </c>
      <c r="H135" s="281">
        <v>-0.012932139733951168</v>
      </c>
      <c r="I135" s="281">
        <v>0.008406245684959734</v>
      </c>
      <c r="J135" s="281">
        <v>0.007038026405870849</v>
      </c>
      <c r="K135" s="281">
        <v>0.003708694665730835</v>
      </c>
    </row>
    <row r="136">
      <c r="A136" s="184">
        <v>43923.983110960646</v>
      </c>
      <c r="B136" s="332">
        <v>5.819</v>
      </c>
      <c r="C136" s="332">
        <v>43.7</v>
      </c>
      <c r="D136" s="332">
        <v>207.09</v>
      </c>
      <c r="E136" s="332">
        <v>140.84</v>
      </c>
      <c r="F136" s="333">
        <v>5.824</v>
      </c>
      <c r="G136" s="334">
        <v>0.0025990357330005023</v>
      </c>
      <c r="H136" s="281">
        <v>-0.008423719506681046</v>
      </c>
      <c r="I136" s="281">
        <v>0.005737557100211399</v>
      </c>
      <c r="J136" s="281">
        <v>0.0024503153218173868</v>
      </c>
      <c r="K136" s="281">
        <v>0.0015276295180060757</v>
      </c>
    </row>
    <row r="137">
      <c r="A137" s="184">
        <v>43922.98347398148</v>
      </c>
      <c r="B137" s="332">
        <v>5.794</v>
      </c>
      <c r="C137" s="332">
        <v>43.39</v>
      </c>
      <c r="D137" s="332">
        <v>205.58</v>
      </c>
      <c r="E137" s="332">
        <v>137.92</v>
      </c>
      <c r="F137" s="333">
        <v>5.713</v>
      </c>
      <c r="G137" s="334">
        <v>0.009022314252042326</v>
      </c>
      <c r="H137" s="281">
        <v>-0.0022986037098455072</v>
      </c>
      <c r="I137" s="281">
        <v>0.006828063275851948</v>
      </c>
      <c r="J137" s="281">
        <v>-0.00500912032573364</v>
      </c>
      <c r="K137" s="281">
        <v>-0.007126226512359872</v>
      </c>
    </row>
    <row r="138">
      <c r="A138" s="184">
        <v>43921.9831580787</v>
      </c>
      <c r="B138" s="332">
        <v>5.658</v>
      </c>
      <c r="C138" s="332">
        <v>45.5</v>
      </c>
      <c r="D138" s="332">
        <v>203.5</v>
      </c>
      <c r="E138" s="332">
        <v>139.34</v>
      </c>
      <c r="F138" s="333">
        <v>5.83</v>
      </c>
      <c r="G138" s="334">
        <v>0.006936075665418873</v>
      </c>
      <c r="H138" s="281">
        <v>0.006422048932273124</v>
      </c>
      <c r="I138" s="281">
        <v>0.004233418107957669</v>
      </c>
      <c r="J138" s="281">
        <v>-0.002839083865673923</v>
      </c>
      <c r="K138" s="281">
        <v>-0.006983495169015826</v>
      </c>
    </row>
    <row r="139">
      <c r="A139" s="184">
        <v>43920.983203807875</v>
      </c>
      <c r="B139" s="332">
        <v>5.771</v>
      </c>
      <c r="C139" s="332">
        <v>44.76</v>
      </c>
      <c r="D139" s="332">
        <v>203.54</v>
      </c>
      <c r="E139" s="332">
        <v>139.77</v>
      </c>
      <c r="F139" s="333">
        <v>5.795</v>
      </c>
      <c r="G139" s="334">
        <v>0.004023074186259097</v>
      </c>
      <c r="H139" s="281">
        <v>0.004065078548396846</v>
      </c>
      <c r="I139" s="281">
        <v>-0.001192468024677466</v>
      </c>
      <c r="J139" s="281">
        <v>-0.005439543287554027</v>
      </c>
      <c r="K139" s="281">
        <v>-0.01626510462941407</v>
      </c>
    </row>
    <row r="140">
      <c r="A140" s="184">
        <v>43917.98325414352</v>
      </c>
      <c r="B140" s="332">
        <v>5.635</v>
      </c>
      <c r="C140" s="332">
        <v>43.62</v>
      </c>
      <c r="D140" s="332">
        <v>201.39</v>
      </c>
      <c r="E140" s="332">
        <v>140.0</v>
      </c>
      <c r="F140" s="333">
        <v>5.835</v>
      </c>
      <c r="G140" s="334">
        <v>0.004768723467937108</v>
      </c>
      <c r="H140" s="281">
        <v>0.005004336497204702</v>
      </c>
      <c r="I140" s="281">
        <v>-0.003799477268605337</v>
      </c>
      <c r="J140" s="281">
        <v>-0.007401699339712575</v>
      </c>
      <c r="K140" s="281">
        <v>-0.014402722840579937</v>
      </c>
    </row>
    <row r="141">
      <c r="A141" s="184">
        <v>43916.983197106485</v>
      </c>
      <c r="B141" s="332">
        <v>5.538</v>
      </c>
      <c r="C141" s="332">
        <v>44.6</v>
      </c>
      <c r="D141" s="332">
        <v>200.92</v>
      </c>
      <c r="E141" s="332">
        <v>140.53</v>
      </c>
      <c r="F141" s="333">
        <v>5.952</v>
      </c>
      <c r="G141" s="334">
        <v>-0.006674929590622769</v>
      </c>
      <c r="H141" s="281">
        <v>0.03811039614873365</v>
      </c>
      <c r="I141" s="281">
        <v>-0.009978297613474574</v>
      </c>
      <c r="J141" s="281">
        <v>0.008136271469375345</v>
      </c>
      <c r="K141" s="281">
        <v>0.002844847522848933</v>
      </c>
    </row>
    <row r="142">
      <c r="A142" s="184">
        <v>43915.98351332176</v>
      </c>
      <c r="B142" s="332">
        <v>5.697</v>
      </c>
      <c r="C142" s="332">
        <v>44.19</v>
      </c>
      <c r="D142" s="332">
        <v>204.23</v>
      </c>
      <c r="E142" s="332">
        <v>142.06</v>
      </c>
      <c r="F142" s="333">
        <v>6.082</v>
      </c>
      <c r="G142" s="334">
        <v>0.01836623059069627</v>
      </c>
      <c r="H142" s="281">
        <v>0.011669060902820863</v>
      </c>
      <c r="I142" s="281">
        <v>5.218860242450774E-4</v>
      </c>
      <c r="J142" s="281">
        <v>0.022787287617315855</v>
      </c>
      <c r="K142" s="281">
        <v>0.006846810278955395</v>
      </c>
    </row>
    <row r="143">
      <c r="A143" s="184">
        <v>43914.98346335648</v>
      </c>
      <c r="B143" s="332">
        <v>5.55</v>
      </c>
      <c r="C143" s="332">
        <v>42.94</v>
      </c>
      <c r="D143" s="332">
        <v>203.67</v>
      </c>
      <c r="E143" s="332">
        <v>143.13</v>
      </c>
      <c r="F143" s="333">
        <v>6.09</v>
      </c>
      <c r="G143" s="334">
        <v>0.024193350476204262</v>
      </c>
      <c r="H143" s="281">
        <v>0.0017686042680777891</v>
      </c>
      <c r="I143" s="281">
        <v>0.003924571760252886</v>
      </c>
      <c r="J143" s="281">
        <v>0.028720122333535048</v>
      </c>
      <c r="K143" s="281">
        <v>0.011371464613553983</v>
      </c>
    </row>
    <row r="144">
      <c r="A144" s="184">
        <v>43913.98311645833</v>
      </c>
      <c r="B144" s="332">
        <v>5.645</v>
      </c>
      <c r="C144" s="332">
        <v>39.64</v>
      </c>
      <c r="D144" s="332">
        <v>206.97</v>
      </c>
      <c r="E144" s="332">
        <v>137.0</v>
      </c>
      <c r="F144" s="333">
        <v>5.897</v>
      </c>
      <c r="G144" s="334">
        <v>0.029704881424628533</v>
      </c>
      <c r="H144" s="281">
        <v>-0.018669628206263427</v>
      </c>
      <c r="I144" s="281">
        <v>0.01760827356594219</v>
      </c>
      <c r="J144" s="281">
        <v>0.015994916886865496</v>
      </c>
      <c r="K144" s="281">
        <v>0.010271600044777784</v>
      </c>
    </row>
    <row r="145">
      <c r="A145" s="184">
        <v>43910.98322962963</v>
      </c>
      <c r="B145" s="332">
        <v>5.383</v>
      </c>
      <c r="C145" s="332">
        <v>42.42</v>
      </c>
      <c r="D145" s="332">
        <v>203.86</v>
      </c>
      <c r="E145" s="332">
        <v>132.47</v>
      </c>
      <c r="F145" s="333">
        <v>5.955</v>
      </c>
      <c r="G145" s="334">
        <v>-0.0049781462428878</v>
      </c>
      <c r="H145" s="281">
        <v>-0.008284756743136779</v>
      </c>
      <c r="I145" s="281">
        <v>0.0074692002000364965</v>
      </c>
      <c r="J145" s="281">
        <v>-0.0014893053167123564</v>
      </c>
      <c r="K145" s="281">
        <v>0.0036346760002302636</v>
      </c>
    </row>
    <row r="146">
      <c r="A146" s="184">
        <v>43909.98347266203</v>
      </c>
      <c r="B146" s="332">
        <v>5.15</v>
      </c>
      <c r="C146" s="332">
        <v>42.48</v>
      </c>
      <c r="D146" s="332">
        <v>201.22</v>
      </c>
      <c r="E146" s="332">
        <v>131.11</v>
      </c>
      <c r="F146" s="333">
        <v>5.882</v>
      </c>
      <c r="G146" s="334">
        <v>-0.01169986218973825</v>
      </c>
      <c r="H146" s="281">
        <v>-0.003210289079372227</v>
      </c>
      <c r="I146" s="281">
        <v>0.007017198083015004</v>
      </c>
      <c r="J146" s="281">
        <v>0.005587421170446231</v>
      </c>
      <c r="K146" s="281">
        <v>0.0012477092732365858</v>
      </c>
    </row>
    <row r="147">
      <c r="A147" s="184">
        <v>43908.98312024305</v>
      </c>
      <c r="B147" s="332">
        <v>5.153</v>
      </c>
      <c r="C147" s="332">
        <v>41.82</v>
      </c>
      <c r="D147" s="332">
        <v>196.22</v>
      </c>
      <c r="E147" s="332">
        <v>130.5</v>
      </c>
      <c r="F147" s="333">
        <v>5.715</v>
      </c>
      <c r="G147" s="334">
        <v>-0.0065595316598547155</v>
      </c>
      <c r="H147" s="281">
        <v>-0.015545945147599513</v>
      </c>
      <c r="I147" s="281">
        <v>-2.500208245893217E-4</v>
      </c>
      <c r="J147" s="281">
        <v>-0.002560769451799727</v>
      </c>
      <c r="K147" s="281">
        <v>-0.022164384322290842</v>
      </c>
    </row>
    <row r="148">
      <c r="A148" s="184">
        <v>43907.98342488426</v>
      </c>
      <c r="B148" s="332">
        <v>5.45</v>
      </c>
      <c r="C148" s="332">
        <v>43.45</v>
      </c>
      <c r="D148" s="332">
        <v>199.24</v>
      </c>
      <c r="E148" s="332">
        <v>133.03</v>
      </c>
      <c r="F148" s="333">
        <v>5.885</v>
      </c>
      <c r="G148" s="334">
        <v>0.01583020727935236</v>
      </c>
      <c r="H148" s="281">
        <v>2.640030982362281E-4</v>
      </c>
      <c r="I148" s="281">
        <v>0.006374358193145653</v>
      </c>
      <c r="J148" s="281">
        <v>-0.0051554509188564595</v>
      </c>
      <c r="K148" s="281">
        <v>-0.010882836865449774</v>
      </c>
    </row>
    <row r="149">
      <c r="A149" s="184">
        <v>43906.98310600694</v>
      </c>
      <c r="B149" s="332">
        <v>5.324</v>
      </c>
      <c r="C149" s="332">
        <v>42.85</v>
      </c>
      <c r="D149" s="332">
        <v>196.93</v>
      </c>
      <c r="E149" s="332">
        <v>128.84</v>
      </c>
      <c r="F149" s="333">
        <v>5.855</v>
      </c>
      <c r="G149" s="334">
        <v>-0.0086230867312966</v>
      </c>
      <c r="H149" s="281">
        <v>-0.030836684699062384</v>
      </c>
      <c r="I149" s="281">
        <v>0.003106585493588998</v>
      </c>
      <c r="J149" s="281">
        <v>-0.02439766723958714</v>
      </c>
      <c r="K149" s="281">
        <v>-0.024708272483893328</v>
      </c>
    </row>
    <row r="150">
      <c r="A150" s="184">
        <v>43903.98311412037</v>
      </c>
      <c r="B150" s="332">
        <v>5.245</v>
      </c>
      <c r="C150" s="332">
        <v>43.77</v>
      </c>
      <c r="D150" s="332">
        <v>196.33</v>
      </c>
      <c r="E150" s="332">
        <v>131.39</v>
      </c>
      <c r="F150" s="333">
        <v>6.1</v>
      </c>
      <c r="G150" s="334">
        <v>-0.02578820633576569</v>
      </c>
      <c r="H150" s="281">
        <v>-0.020243436885733563</v>
      </c>
      <c r="I150" s="281">
        <v>-0.0015652484629575432</v>
      </c>
      <c r="J150" s="281">
        <v>-0.018546426267192977</v>
      </c>
      <c r="K150" s="281">
        <v>-0.007848178319216878</v>
      </c>
    </row>
    <row r="151">
      <c r="A151" s="184">
        <v>43902.98312346065</v>
      </c>
      <c r="B151" s="332">
        <v>5.195</v>
      </c>
      <c r="C151" s="332">
        <v>43.4</v>
      </c>
      <c r="D151" s="332">
        <v>195.45</v>
      </c>
      <c r="E151" s="332">
        <v>134.96</v>
      </c>
      <c r="F151" s="333">
        <v>6.075</v>
      </c>
      <c r="G151" s="334">
        <v>-0.03238403478692079</v>
      </c>
      <c r="H151" s="281">
        <v>-0.024685915115708685</v>
      </c>
      <c r="I151" s="281">
        <v>-0.001115844770061473</v>
      </c>
      <c r="J151" s="281">
        <v>-0.008480847537387573</v>
      </c>
      <c r="K151" s="281">
        <v>-0.0033925819325512454</v>
      </c>
    </row>
    <row r="152">
      <c r="A152" s="184">
        <v>43901.98199244213</v>
      </c>
      <c r="B152" s="332">
        <v>5.456</v>
      </c>
      <c r="C152" s="332">
        <v>46.85</v>
      </c>
      <c r="D152" s="332">
        <v>195.1</v>
      </c>
      <c r="E152" s="332">
        <v>138.5</v>
      </c>
      <c r="F152" s="333">
        <v>6.296</v>
      </c>
      <c r="G152" s="334">
        <v>-0.003678231514723166</v>
      </c>
      <c r="H152" s="281">
        <v>-0.02048770631058468</v>
      </c>
      <c r="I152" s="281">
        <v>-0.0020017408265737093</v>
      </c>
      <c r="J152" s="281">
        <v>-0.002579725395450446</v>
      </c>
      <c r="K152" s="281">
        <v>-0.009096344693645286</v>
      </c>
    </row>
    <row r="153">
      <c r="A153" s="184">
        <v>43900.98310751157</v>
      </c>
      <c r="B153" s="332">
        <v>5.656</v>
      </c>
      <c r="C153" s="332">
        <v>46.367</v>
      </c>
      <c r="D153" s="332">
        <v>197.24</v>
      </c>
      <c r="E153" s="332">
        <v>138.81</v>
      </c>
      <c r="F153" s="333">
        <v>6.241</v>
      </c>
      <c r="G153" s="334">
        <v>0.023183438192378336</v>
      </c>
      <c r="H153" s="281">
        <v>-0.0408892698150544</v>
      </c>
      <c r="I153" s="281">
        <v>0.0024187960996462365</v>
      </c>
      <c r="J153" s="281">
        <v>-0.005439950979151879</v>
      </c>
      <c r="K153" s="281">
        <v>-0.025733736626276094</v>
      </c>
    </row>
    <row r="154">
      <c r="A154" s="184">
        <v>43899.983149699074</v>
      </c>
      <c r="B154" s="332">
        <v>5.714</v>
      </c>
      <c r="C154" s="332">
        <v>46.593</v>
      </c>
      <c r="D154" s="332">
        <v>196.09</v>
      </c>
      <c r="E154" s="332">
        <v>138.39</v>
      </c>
      <c r="F154" s="333">
        <v>6.132</v>
      </c>
      <c r="G154" s="334">
        <v>0.02552575588179466</v>
      </c>
      <c r="H154" s="281">
        <v>-0.040094055934911076</v>
      </c>
      <c r="I154" s="281">
        <v>-5.290656740040885E-4</v>
      </c>
      <c r="J154" s="281">
        <v>-0.003731389362198264</v>
      </c>
      <c r="K154" s="281">
        <v>-0.034875901244208064</v>
      </c>
    </row>
    <row r="155">
      <c r="A155" s="184">
        <v>43896.98312738426</v>
      </c>
      <c r="B155" s="332">
        <v>5.509</v>
      </c>
      <c r="C155" s="332">
        <v>49.71</v>
      </c>
      <c r="D155" s="332">
        <v>196.26</v>
      </c>
      <c r="E155" s="332">
        <v>139.57</v>
      </c>
      <c r="F155" s="333">
        <v>6.46</v>
      </c>
      <c r="G155" s="334">
        <v>0.016468666640756746</v>
      </c>
      <c r="H155" s="281">
        <v>-0.014993983310516304</v>
      </c>
      <c r="I155" s="281">
        <v>0.001677771994263851</v>
      </c>
      <c r="J155" s="281">
        <v>-3.4128715258000913E-4</v>
      </c>
      <c r="K155" s="281">
        <v>-0.015819185178685524</v>
      </c>
    </row>
    <row r="156">
      <c r="A156" s="184">
        <v>43895.98228765046</v>
      </c>
      <c r="B156" s="332">
        <v>5.267</v>
      </c>
      <c r="C156" s="332">
        <v>52.24</v>
      </c>
      <c r="D156" s="332">
        <v>195.81</v>
      </c>
      <c r="E156" s="332">
        <v>141.08</v>
      </c>
      <c r="F156" s="333">
        <v>6.726</v>
      </c>
      <c r="G156" s="334">
        <v>0.002653248534390862</v>
      </c>
      <c r="H156" s="281">
        <v>0.005180529344298949</v>
      </c>
      <c r="I156" s="281">
        <v>0.0029789958518765904</v>
      </c>
      <c r="J156" s="281">
        <v>0.012117330033549534</v>
      </c>
      <c r="K156" s="281">
        <v>0.0020434208566363723</v>
      </c>
    </row>
    <row r="157">
      <c r="A157" s="184">
        <v>43894.98311025463</v>
      </c>
      <c r="B157" s="332">
        <v>5.284</v>
      </c>
      <c r="C157" s="332">
        <v>52.37</v>
      </c>
      <c r="D157" s="332">
        <v>196.4</v>
      </c>
      <c r="E157" s="332">
        <v>139.93</v>
      </c>
      <c r="F157" s="333">
        <v>6.793</v>
      </c>
      <c r="G157" s="334">
        <v>4.755412909815959E-4</v>
      </c>
      <c r="H157" s="281">
        <v>0.012361709610135496</v>
      </c>
      <c r="I157" s="281">
        <v>0.0011148422074812592</v>
      </c>
      <c r="J157" s="281">
        <v>0.006140151916547006</v>
      </c>
      <c r="K157" s="281">
        <v>0.005264128195076563</v>
      </c>
    </row>
    <row r="158">
      <c r="A158" s="184">
        <v>43893.983123784725</v>
      </c>
      <c r="B158" s="332">
        <v>5.238</v>
      </c>
      <c r="C158" s="332">
        <v>51.93</v>
      </c>
      <c r="D158" s="332">
        <v>195.27</v>
      </c>
      <c r="E158" s="332">
        <v>139.7</v>
      </c>
      <c r="F158" s="333">
        <v>6.768</v>
      </c>
      <c r="G158" s="334">
        <v>0.0036389001619023067</v>
      </c>
      <c r="H158" s="281">
        <v>-0.00629616040688837</v>
      </c>
      <c r="I158" s="281">
        <v>0.0015131032268850264</v>
      </c>
      <c r="J158" s="281">
        <v>-0.007297342009698449</v>
      </c>
      <c r="K158" s="281">
        <v>-0.002393973922649321</v>
      </c>
    </row>
    <row r="159">
      <c r="A159" s="184">
        <v>43892.98301008102</v>
      </c>
      <c r="B159" s="332">
        <v>5.225</v>
      </c>
      <c r="C159" s="332">
        <v>51.43</v>
      </c>
      <c r="D159" s="332">
        <v>194.06</v>
      </c>
      <c r="E159" s="332">
        <v>135.99</v>
      </c>
      <c r="F159" s="333">
        <v>6.684</v>
      </c>
      <c r="G159" s="334">
        <v>0.003069012650433948</v>
      </c>
      <c r="H159" s="281">
        <v>-0.02571500668996733</v>
      </c>
      <c r="I159" s="281">
        <v>-0.0012726886588105835</v>
      </c>
      <c r="J159" s="281">
        <v>-0.017084464259439363</v>
      </c>
      <c r="K159" s="281">
        <v>-0.016753638062210714</v>
      </c>
    </row>
    <row r="160">
      <c r="A160" s="184">
        <v>43889.975480567125</v>
      </c>
      <c r="B160" s="332">
        <v>5.276</v>
      </c>
      <c r="C160" s="332">
        <v>50.45</v>
      </c>
      <c r="D160" s="332">
        <v>195.73</v>
      </c>
      <c r="E160" s="332">
        <v>137.32</v>
      </c>
      <c r="F160" s="333">
        <v>6.686</v>
      </c>
      <c r="G160" s="334">
        <v>0.005099005082687791</v>
      </c>
      <c r="H160" s="281">
        <v>-0.03441240567189078</v>
      </c>
      <c r="I160" s="281">
        <v>0.0010140168149609756</v>
      </c>
      <c r="J160" s="281">
        <v>-0.016085018638521815</v>
      </c>
      <c r="K160" s="281">
        <v>-0.018125043933142182</v>
      </c>
    </row>
    <row r="161">
      <c r="A161" s="184">
        <v>43888.97548252315</v>
      </c>
      <c r="B161" s="332">
        <v>5.18</v>
      </c>
      <c r="C161" s="332">
        <v>52.85</v>
      </c>
      <c r="D161" s="332">
        <v>194.37</v>
      </c>
      <c r="E161" s="332">
        <v>142.63</v>
      </c>
      <c r="F161" s="333">
        <v>6.815</v>
      </c>
      <c r="G161" s="334">
        <v>-3.887174825302579E-4</v>
      </c>
      <c r="H161" s="281">
        <v>-0.024468040063601704</v>
      </c>
      <c r="I161" s="281">
        <v>-9.091984631821592E-4</v>
      </c>
      <c r="J161" s="281">
        <v>-0.00909819548417031</v>
      </c>
      <c r="K161" s="281">
        <v>-0.013583607437039014</v>
      </c>
    </row>
    <row r="162">
      <c r="A162" s="184">
        <v>43887.97548005787</v>
      </c>
      <c r="B162" s="332">
        <v>5.176</v>
      </c>
      <c r="C162" s="332">
        <v>55.42</v>
      </c>
      <c r="D162" s="332">
        <v>194.79</v>
      </c>
      <c r="E162" s="332">
        <v>143.03</v>
      </c>
      <c r="F162" s="333">
        <v>7.024</v>
      </c>
      <c r="G162" s="334">
        <v>0.004817309435799055</v>
      </c>
      <c r="H162" s="281">
        <v>-0.019056764462978066</v>
      </c>
      <c r="I162" s="281">
        <v>0.0022567759484181473</v>
      </c>
      <c r="J162" s="281">
        <v>-0.0021358538951048445</v>
      </c>
      <c r="K162" s="281">
        <v>-0.010079405389951113</v>
      </c>
    </row>
    <row r="163">
      <c r="A163" s="184">
        <v>43886.97584920139</v>
      </c>
      <c r="B163" s="332">
        <v>5.195</v>
      </c>
      <c r="C163" s="332">
        <v>55.81</v>
      </c>
      <c r="D163" s="332">
        <v>195.13</v>
      </c>
      <c r="E163" s="332">
        <v>144.0</v>
      </c>
      <c r="F163" s="333">
        <v>7.055</v>
      </c>
      <c r="G163" s="334">
        <v>0.006759718824872474</v>
      </c>
      <c r="H163" s="281">
        <v>-0.01875742561780565</v>
      </c>
      <c r="I163" s="281">
        <v>0.0017531595053632183</v>
      </c>
      <c r="J163" s="281">
        <v>0.002116868274933218</v>
      </c>
      <c r="K163" s="281">
        <v>-0.01270699698606396</v>
      </c>
    </row>
    <row r="164">
      <c r="A164" s="184">
        <v>43885.97547398148</v>
      </c>
      <c r="B164" s="332">
        <v>5.186</v>
      </c>
      <c r="C164" s="332">
        <v>56.8</v>
      </c>
      <c r="D164" s="332">
        <v>194.9</v>
      </c>
      <c r="E164" s="332">
        <v>146.55</v>
      </c>
      <c r="F164" s="333">
        <v>7.095</v>
      </c>
      <c r="G164" s="334">
        <v>0.00978407414108314</v>
      </c>
      <c r="H164" s="281">
        <v>-0.01696880057136581</v>
      </c>
      <c r="I164" s="281">
        <v>0.00283716098642095</v>
      </c>
      <c r="J164" s="281">
        <v>0.011841420847640097</v>
      </c>
      <c r="K164" s="281">
        <v>-0.00963424466930407</v>
      </c>
    </row>
    <row r="165">
      <c r="A165" s="184">
        <v>43882.9754755787</v>
      </c>
      <c r="B165" s="332">
        <v>5.101</v>
      </c>
      <c r="C165" s="332">
        <v>58.64</v>
      </c>
      <c r="D165" s="332">
        <v>193.47</v>
      </c>
      <c r="E165" s="332">
        <v>143.9</v>
      </c>
      <c r="F165" s="333">
        <v>7.238</v>
      </c>
      <c r="G165" s="334">
        <v>0.003393801549928225</v>
      </c>
      <c r="H165" s="281">
        <v>-0.0025432439389770542</v>
      </c>
      <c r="I165" s="281">
        <v>5.122102848260646E-4</v>
      </c>
      <c r="J165" s="281">
        <v>0.006803997965126614</v>
      </c>
      <c r="K165" s="281">
        <v>2.800108201036859E-4</v>
      </c>
    </row>
    <row r="166">
      <c r="A166" s="184">
        <v>43881.975497418985</v>
      </c>
      <c r="B166" s="332">
        <v>5.09</v>
      </c>
      <c r="C166" s="332">
        <v>59.0</v>
      </c>
      <c r="D166" s="332">
        <v>194.1</v>
      </c>
      <c r="E166" s="332">
        <v>143.04</v>
      </c>
      <c r="F166" s="333">
        <v>7.327</v>
      </c>
      <c r="G166" s="334">
        <v>0.006108011286213595</v>
      </c>
      <c r="H166" s="281">
        <v>-0.0028101067925606995</v>
      </c>
      <c r="I166" s="281">
        <v>0.0033405016074215346</v>
      </c>
      <c r="J166" s="281">
        <v>0.009706185054652816</v>
      </c>
      <c r="K166" s="281">
        <v>0.005577292270296426</v>
      </c>
    </row>
    <row r="167">
      <c r="A167" s="184">
        <v>43880.97547686343</v>
      </c>
      <c r="B167" s="332">
        <v>5.035</v>
      </c>
      <c r="C167" s="332">
        <v>59.73</v>
      </c>
      <c r="D167" s="332">
        <v>193.24</v>
      </c>
      <c r="E167" s="332">
        <v>141.4</v>
      </c>
      <c r="F167" s="333">
        <v>7.301</v>
      </c>
      <c r="G167" s="334">
        <v>0.0027062976974840947</v>
      </c>
      <c r="H167" s="281">
        <v>0.002658950818603086</v>
      </c>
      <c r="I167" s="281">
        <v>0.002002372911359518</v>
      </c>
      <c r="J167" s="281">
        <v>0.0061483701378222495</v>
      </c>
      <c r="K167" s="281">
        <v>0.005689849260323195</v>
      </c>
    </row>
    <row r="168">
      <c r="A168" s="184">
        <v>43879.975484027775</v>
      </c>
      <c r="B168" s="332">
        <v>5.049</v>
      </c>
      <c r="C168" s="332">
        <v>59.08</v>
      </c>
      <c r="D168" s="332">
        <v>193.17</v>
      </c>
      <c r="E168" s="332">
        <v>140.98</v>
      </c>
      <c r="F168" s="333">
        <v>7.231</v>
      </c>
      <c r="G168" s="334">
        <v>0.0066367474380997216</v>
      </c>
      <c r="H168" s="281">
        <v>-6.871897958780071E-4</v>
      </c>
      <c r="I168" s="281">
        <v>0.0030096271853711962</v>
      </c>
      <c r="J168" s="281">
        <v>0.006671239427633109</v>
      </c>
      <c r="K168" s="281">
        <v>0.0030977206195660356</v>
      </c>
    </row>
    <row r="169">
      <c r="A169" s="184">
        <v>43878.97510631944</v>
      </c>
      <c r="B169" s="332">
        <v>4.997</v>
      </c>
      <c r="C169" s="332">
        <v>59.49</v>
      </c>
      <c r="D169" s="332">
        <v>192.16</v>
      </c>
      <c r="E169" s="332">
        <v>138.91</v>
      </c>
      <c r="F169" s="333">
        <v>7.205</v>
      </c>
      <c r="G169" s="334">
        <v>0.005156980947378376</v>
      </c>
      <c r="H169" s="281">
        <v>0.003258940660916032</v>
      </c>
      <c r="I169" s="281">
        <v>0.0028513407551289025</v>
      </c>
      <c r="J169" s="281">
        <v>0.0046719126172690695</v>
      </c>
      <c r="K169" s="281">
        <v>0.004877029534748038</v>
      </c>
    </row>
    <row r="170">
      <c r="A170" s="184">
        <v>43875.97547909722</v>
      </c>
      <c r="B170" s="332">
        <v>4.994</v>
      </c>
      <c r="C170" s="332">
        <v>59.25</v>
      </c>
      <c r="D170" s="332">
        <v>192.08</v>
      </c>
      <c r="E170" s="332">
        <v>138.8</v>
      </c>
      <c r="F170" s="333">
        <v>7.177</v>
      </c>
      <c r="G170" s="334">
        <v>0.0033308446151724866</v>
      </c>
      <c r="H170" s="281">
        <v>0.0037814319700144963</v>
      </c>
      <c r="I170" s="281">
        <v>0.0022926640883976037</v>
      </c>
      <c r="J170" s="281">
        <v>0.006135825022638912</v>
      </c>
      <c r="K170" s="281">
        <v>0.006914966152837265</v>
      </c>
    </row>
    <row r="171">
      <c r="A171" s="184">
        <v>43874.97560451389</v>
      </c>
      <c r="B171" s="332">
        <v>4.949</v>
      </c>
      <c r="C171" s="332">
        <v>59.2</v>
      </c>
      <c r="D171" s="332">
        <v>191.43</v>
      </c>
      <c r="E171" s="332">
        <v>138.17</v>
      </c>
      <c r="F171" s="333">
        <v>7.164</v>
      </c>
      <c r="G171" s="334">
        <v>-0.0013583044780868248</v>
      </c>
      <c r="H171" s="281">
        <v>0.005946934421612797</v>
      </c>
      <c r="I171" s="281">
        <v>3.6085953257932363E-4</v>
      </c>
      <c r="J171" s="281">
        <v>0.0022988682694801512</v>
      </c>
      <c r="K171" s="281">
        <v>0.006690566218487515</v>
      </c>
    </row>
    <row r="172">
      <c r="A172" s="184">
        <v>43873.975479976856</v>
      </c>
      <c r="B172" s="332">
        <v>4.92</v>
      </c>
      <c r="C172" s="332">
        <v>58.91</v>
      </c>
      <c r="D172" s="332">
        <v>190.52</v>
      </c>
      <c r="E172" s="332">
        <v>136.97</v>
      </c>
      <c r="F172" s="333">
        <v>7.1</v>
      </c>
      <c r="G172" s="334">
        <v>-2.9284498878704807E-4</v>
      </c>
      <c r="H172" s="281">
        <v>0.0053458658121607145</v>
      </c>
      <c r="I172" s="281">
        <v>9.378533549344592E-4</v>
      </c>
      <c r="J172" s="281">
        <v>0.0020518929644383808</v>
      </c>
      <c r="K172" s="281">
        <v>0.0020985089903686007</v>
      </c>
    </row>
    <row r="173">
      <c r="A173" s="184">
        <v>43872.97546798611</v>
      </c>
      <c r="B173" s="332">
        <v>4.944</v>
      </c>
      <c r="C173" s="332">
        <v>58.58</v>
      </c>
      <c r="D173" s="332">
        <v>190.76</v>
      </c>
      <c r="E173" s="332">
        <v>136.26</v>
      </c>
      <c r="F173" s="333">
        <v>7.029</v>
      </c>
      <c r="G173" s="334">
        <v>0.006342648661031625</v>
      </c>
      <c r="H173" s="281">
        <v>0.00388111772108235</v>
      </c>
      <c r="I173" s="281">
        <v>0.003691335750372504</v>
      </c>
      <c r="J173" s="281">
        <v>0.0018422888757001488</v>
      </c>
      <c r="K173" s="281">
        <v>-0.0013293199725419313</v>
      </c>
    </row>
    <row r="174">
      <c r="A174" s="184">
        <v>43871.97547528935</v>
      </c>
      <c r="B174" s="332">
        <v>4.969</v>
      </c>
      <c r="C174" s="332">
        <v>58.15</v>
      </c>
      <c r="D174" s="332">
        <v>191.22</v>
      </c>
      <c r="E174" s="332">
        <v>137.21</v>
      </c>
      <c r="F174" s="333">
        <v>7.021</v>
      </c>
      <c r="G174" s="334">
        <v>0.008371836040784545</v>
      </c>
      <c r="H174" s="281">
        <v>0.004312847511892426</v>
      </c>
      <c r="I174" s="281">
        <v>0.004689501544563786</v>
      </c>
      <c r="J174" s="281">
        <v>0.005863694303316791</v>
      </c>
      <c r="K174" s="281">
        <v>2.751451932259119E-4</v>
      </c>
    </row>
    <row r="175">
      <c r="A175" s="184">
        <v>43868.97547746528</v>
      </c>
      <c r="B175" s="332">
        <v>4.924</v>
      </c>
      <c r="C175" s="332">
        <v>57.97</v>
      </c>
      <c r="D175" s="332">
        <v>189.98</v>
      </c>
      <c r="E175" s="332">
        <v>136.12</v>
      </c>
      <c r="F175" s="333">
        <v>7.055</v>
      </c>
      <c r="G175" s="334">
        <v>0.0036331337612298675</v>
      </c>
      <c r="H175" s="281">
        <v>0.006358849730912238</v>
      </c>
      <c r="I175" s="281">
        <v>0.0026693801472614056</v>
      </c>
      <c r="J175" s="281">
        <v>0.005465765528912721</v>
      </c>
      <c r="K175" s="281">
        <v>0.005073004271863413</v>
      </c>
    </row>
    <row r="176">
      <c r="A176" s="184">
        <v>43867.97548303241</v>
      </c>
      <c r="B176" s="332">
        <v>4.85</v>
      </c>
      <c r="C176" s="332">
        <v>57.9</v>
      </c>
      <c r="D176" s="332">
        <v>188.65</v>
      </c>
      <c r="E176" s="332">
        <v>135.5</v>
      </c>
      <c r="F176" s="333">
        <v>7.057</v>
      </c>
      <c r="G176" s="334">
        <v>-0.003977301876201785</v>
      </c>
      <c r="H176" s="281">
        <v>0.01181766382882432</v>
      </c>
      <c r="I176" s="281">
        <v>-4.424364714412654E-4</v>
      </c>
      <c r="J176" s="281">
        <v>-3.591992055236304E-4</v>
      </c>
      <c r="K176" s="281">
        <v>0.007710198039993695</v>
      </c>
    </row>
    <row r="177">
      <c r="A177" s="184">
        <v>43866.97547539352</v>
      </c>
      <c r="B177" s="332">
        <v>4.845</v>
      </c>
      <c r="C177" s="332">
        <v>57.4</v>
      </c>
      <c r="D177" s="332">
        <v>188.54</v>
      </c>
      <c r="E177" s="332">
        <v>134.81</v>
      </c>
      <c r="F177" s="333">
        <v>7.015</v>
      </c>
      <c r="G177" s="334">
        <v>-0.004320944487885632</v>
      </c>
      <c r="H177" s="281">
        <v>0.01108698084168184</v>
      </c>
      <c r="I177" s="281">
        <v>-2.662334938424715E-4</v>
      </c>
      <c r="J177" s="281">
        <v>-0.0037032528628264303</v>
      </c>
      <c r="K177" s="281">
        <v>0.0010853079782022397</v>
      </c>
    </row>
    <row r="178">
      <c r="A178" s="184">
        <v>43865.97547152778</v>
      </c>
      <c r="B178" s="332">
        <v>4.87</v>
      </c>
      <c r="C178" s="332">
        <v>56.87</v>
      </c>
      <c r="D178" s="332">
        <v>188.46</v>
      </c>
      <c r="E178" s="332">
        <v>133.9</v>
      </c>
      <c r="F178" s="333">
        <v>6.948</v>
      </c>
      <c r="G178" s="334">
        <v>-0.0030763725373707342</v>
      </c>
      <c r="H178" s="281">
        <v>0.00476650536886732</v>
      </c>
      <c r="I178" s="281">
        <v>-0.0013262855138602703</v>
      </c>
      <c r="J178" s="281">
        <v>-0.006589185509461896</v>
      </c>
      <c r="K178" s="281">
        <v>-0.00410092083534989</v>
      </c>
    </row>
    <row r="179">
      <c r="A179" s="184">
        <v>43864.97546056713</v>
      </c>
      <c r="B179" s="332">
        <v>4.908</v>
      </c>
      <c r="C179" s="332">
        <v>55.87</v>
      </c>
      <c r="D179" s="332">
        <v>188.9</v>
      </c>
      <c r="E179" s="332">
        <v>135.63</v>
      </c>
      <c r="F179" s="333">
        <v>6.895</v>
      </c>
      <c r="G179" s="334">
        <v>0.0017626325059287111</v>
      </c>
      <c r="H179" s="281">
        <v>-0.005079353388142582</v>
      </c>
      <c r="I179" s="281">
        <v>2.2710496004404077E-4</v>
      </c>
      <c r="J179" s="281">
        <v>-5.494290205270147E-4</v>
      </c>
      <c r="K179" s="281">
        <v>-0.010624850311881096</v>
      </c>
    </row>
    <row r="180">
      <c r="A180" s="184">
        <v>43861.97547103009</v>
      </c>
      <c r="B180" s="332">
        <v>4.908</v>
      </c>
      <c r="C180" s="332">
        <v>55.51</v>
      </c>
      <c r="D180" s="332">
        <v>188.69</v>
      </c>
      <c r="E180" s="332">
        <v>136.3</v>
      </c>
      <c r="F180" s="333">
        <v>6.991</v>
      </c>
      <c r="G180" s="334">
        <v>0.0035378612373229887</v>
      </c>
      <c r="H180" s="281">
        <v>-0.006286905105226411</v>
      </c>
      <c r="I180" s="281">
        <v>8.277380424734174E-4</v>
      </c>
      <c r="J180" s="281">
        <v>0.001465260662238066</v>
      </c>
      <c r="K180" s="281">
        <v>-0.008278780551191764</v>
      </c>
    </row>
    <row r="181">
      <c r="A181" s="184">
        <v>43860.97547587963</v>
      </c>
      <c r="B181" s="332">
        <v>4.915</v>
      </c>
      <c r="C181" s="332">
        <v>56.05</v>
      </c>
      <c r="D181" s="332">
        <v>189.21</v>
      </c>
      <c r="E181" s="332">
        <v>136.56</v>
      </c>
      <c r="F181" s="333">
        <v>7.033</v>
      </c>
      <c r="G181" s="334">
        <v>0.002571759876176897</v>
      </c>
      <c r="H181" s="281">
        <v>6.686251622661418E-4</v>
      </c>
      <c r="I181" s="281">
        <v>0.0013390275863210954</v>
      </c>
      <c r="J181" s="281">
        <v>-4.535419270912759E-4</v>
      </c>
      <c r="K181" s="281">
        <v>-0.00446208356831194</v>
      </c>
    </row>
    <row r="182">
      <c r="A182" s="184">
        <v>43859.97549466435</v>
      </c>
      <c r="B182" s="332">
        <v>4.882</v>
      </c>
      <c r="C182" s="332">
        <v>56.72</v>
      </c>
      <c r="D182" s="332">
        <v>188.77</v>
      </c>
      <c r="E182" s="332">
        <v>135.85</v>
      </c>
      <c r="F182" s="333">
        <v>7.117</v>
      </c>
      <c r="G182" s="334">
        <v>0.005118075051810019</v>
      </c>
      <c r="H182" s="281">
        <v>-0.002260240881845436</v>
      </c>
      <c r="I182" s="281">
        <v>0.0028102707957467685</v>
      </c>
      <c r="J182" s="281">
        <v>1.7798298058609627E-4</v>
      </c>
      <c r="K182" s="281">
        <v>-0.005625606919076172</v>
      </c>
    </row>
    <row r="183">
      <c r="A183" s="184">
        <v>43858.97546988426</v>
      </c>
      <c r="B183" s="332">
        <v>4.856</v>
      </c>
      <c r="C183" s="332">
        <v>56.56</v>
      </c>
      <c r="D183" s="332">
        <v>188.22</v>
      </c>
      <c r="E183" s="332">
        <v>135.7</v>
      </c>
      <c r="F183" s="333">
        <v>7.166</v>
      </c>
      <c r="G183" s="334">
        <v>0.005215115927239185</v>
      </c>
      <c r="H183" s="281">
        <v>-0.0019743981980963796</v>
      </c>
      <c r="I183" s="281">
        <v>0.002782904306643482</v>
      </c>
      <c r="J183" s="281">
        <v>0.0017249332953828873</v>
      </c>
      <c r="K183" s="281">
        <v>-0.006646923725730132</v>
      </c>
    </row>
    <row r="184">
      <c r="A184" s="184">
        <v>43857.975588125</v>
      </c>
      <c r="B184" s="332">
        <v>4.877</v>
      </c>
      <c r="C184" s="332">
        <v>55.93</v>
      </c>
      <c r="D184" s="332">
        <v>188.45</v>
      </c>
      <c r="E184" s="332">
        <v>136.74</v>
      </c>
      <c r="F184" s="333">
        <v>7.127</v>
      </c>
      <c r="G184" s="334">
        <v>0.011886757100993073</v>
      </c>
      <c r="H184" s="281">
        <v>-0.006660077736514373</v>
      </c>
      <c r="I184" s="281">
        <v>0.006172638212120625</v>
      </c>
      <c r="J184" s="281">
        <v>0.007588475249390066</v>
      </c>
      <c r="K184" s="281">
        <v>-0.009783616316720497</v>
      </c>
    </row>
    <row r="185">
      <c r="A185" s="184">
        <v>43854.97547130787</v>
      </c>
      <c r="B185" s="332">
        <v>4.807</v>
      </c>
      <c r="C185" s="332">
        <v>57.09</v>
      </c>
      <c r="D185" s="332">
        <v>187.18</v>
      </c>
      <c r="E185" s="332">
        <v>135.77</v>
      </c>
      <c r="F185" s="333">
        <v>7.237</v>
      </c>
      <c r="G185" s="334">
        <v>0.008377634237168566</v>
      </c>
      <c r="H185" s="281">
        <v>9.486711997328164E-4</v>
      </c>
      <c r="I185" s="281">
        <v>0.004214561632227405</v>
      </c>
      <c r="J185" s="281">
        <v>0.005598001877706538</v>
      </c>
      <c r="K185" s="281">
        <v>-0.005865353860194045</v>
      </c>
    </row>
    <row r="186">
      <c r="A186" s="184">
        <v>43853.97548150463</v>
      </c>
      <c r="B186" s="332">
        <v>4.78</v>
      </c>
      <c r="C186" s="332">
        <v>56.88</v>
      </c>
      <c r="D186" s="332">
        <v>186.65</v>
      </c>
      <c r="E186" s="332">
        <v>134.99</v>
      </c>
      <c r="F186" s="333">
        <v>7.309</v>
      </c>
      <c r="G186" s="334">
        <v>0.00885228163482569</v>
      </c>
      <c r="H186" s="281">
        <v>-4.941147096415577E-4</v>
      </c>
      <c r="I186" s="281">
        <v>0.004028222379362623</v>
      </c>
      <c r="J186" s="281">
        <v>0.002334683956536243</v>
      </c>
      <c r="K186" s="281">
        <v>-0.0032279492052100047</v>
      </c>
    </row>
    <row r="187">
      <c r="A187" s="184">
        <v>43852.975480625</v>
      </c>
      <c r="B187" s="332">
        <v>4.705</v>
      </c>
      <c r="C187" s="332">
        <v>57.046</v>
      </c>
      <c r="D187" s="332">
        <v>184.98</v>
      </c>
      <c r="E187" s="332">
        <v>133.65</v>
      </c>
      <c r="F187" s="333">
        <v>7.338</v>
      </c>
      <c r="G187" s="334">
        <v>0.00469650076157672</v>
      </c>
      <c r="H187" s="281">
        <v>9.409738122279817E-4</v>
      </c>
      <c r="I187" s="281">
        <v>0.0015338826500058318</v>
      </c>
      <c r="J187" s="281">
        <v>1.4486581312744828E-4</v>
      </c>
      <c r="K187" s="281">
        <v>-0.0028087212249063853</v>
      </c>
    </row>
    <row r="188">
      <c r="A188" s="184">
        <v>43851.97547001157</v>
      </c>
      <c r="B188" s="332">
        <v>4.687</v>
      </c>
      <c r="C188" s="332">
        <v>56.927</v>
      </c>
      <c r="D188" s="332">
        <v>184.82</v>
      </c>
      <c r="E188" s="332">
        <v>133.5</v>
      </c>
      <c r="F188" s="333">
        <v>7.365</v>
      </c>
      <c r="G188" s="334">
        <v>0.0023434431588787996</v>
      </c>
      <c r="H188" s="281">
        <v>0.003234114076320719</v>
      </c>
      <c r="I188" s="281">
        <v>0.002295545994052165</v>
      </c>
      <c r="J188" s="281">
        <v>0.002540422716257318</v>
      </c>
      <c r="K188" s="281">
        <v>-0.0015371839476453857</v>
      </c>
    </row>
    <row r="189">
      <c r="A189" s="184">
        <v>43850.97548146991</v>
      </c>
      <c r="B189" s="332">
        <v>4.654</v>
      </c>
      <c r="C189" s="332">
        <v>56.964</v>
      </c>
      <c r="D189" s="332">
        <v>184.4</v>
      </c>
      <c r="E189" s="332">
        <v>134.04</v>
      </c>
      <c r="F189" s="333">
        <v>7.38</v>
      </c>
      <c r="G189" s="334">
        <v>-6.480806354599208E-4</v>
      </c>
      <c r="H189" s="281">
        <v>0.005059043712544842</v>
      </c>
      <c r="I189" s="281">
        <v>0.0015562125722655324</v>
      </c>
      <c r="J189" s="281">
        <v>0.004366796904319255</v>
      </c>
      <c r="K189" s="281">
        <v>-0.001218706385999968</v>
      </c>
    </row>
    <row r="190">
      <c r="A190" s="184">
        <v>43847.97548009259</v>
      </c>
      <c r="B190" s="332">
        <v>4.639</v>
      </c>
      <c r="C190" s="332">
        <v>56.885</v>
      </c>
      <c r="D190" s="332">
        <v>184.13</v>
      </c>
      <c r="E190" s="332">
        <v>133.59</v>
      </c>
      <c r="F190" s="333">
        <v>7.4</v>
      </c>
      <c r="G190" s="334">
        <v>-3.642152630632574E-4</v>
      </c>
      <c r="H190" s="281">
        <v>0.004733416859191264</v>
      </c>
      <c r="I190" s="281">
        <v>9.228523948090483E-4</v>
      </c>
      <c r="J190" s="281">
        <v>0.004104431676176319</v>
      </c>
      <c r="K190" s="281">
        <v>-0.0026554927263217807</v>
      </c>
    </row>
    <row r="191">
      <c r="A191" s="184">
        <v>43846.97549677083</v>
      </c>
      <c r="B191" s="332">
        <v>4.654</v>
      </c>
      <c r="C191" s="332">
        <v>56.375</v>
      </c>
      <c r="D191" s="332">
        <v>183.55</v>
      </c>
      <c r="E191" s="332">
        <v>132.48</v>
      </c>
      <c r="F191" s="333">
        <v>7.399</v>
      </c>
      <c r="G191" s="334">
        <v>0.002866919339106507</v>
      </c>
      <c r="H191" s="281">
        <v>0.003106082055229775</v>
      </c>
      <c r="I191" s="281">
        <v>9.80228994466074E-4</v>
      </c>
      <c r="J191" s="281">
        <v>-1.8096236583287073E-4</v>
      </c>
      <c r="K191" s="281">
        <v>-0.001717385427442301</v>
      </c>
    </row>
    <row r="192">
      <c r="A192" s="184">
        <v>43845.975512951394</v>
      </c>
      <c r="B192" s="332">
        <v>4.663</v>
      </c>
      <c r="C192" s="332">
        <v>56.103</v>
      </c>
      <c r="D192" s="332">
        <v>183.54</v>
      </c>
      <c r="E192" s="332">
        <v>132.29</v>
      </c>
      <c r="F192" s="333">
        <v>7.407</v>
      </c>
      <c r="G192" s="334">
        <v>0.0011274775810670528</v>
      </c>
      <c r="H192" s="281">
        <v>8.532319890436716E-4</v>
      </c>
      <c r="I192" s="281">
        <v>-4.4040481465797604E-4</v>
      </c>
      <c r="J192" s="281">
        <v>-0.003022909788219582</v>
      </c>
      <c r="K192" s="281">
        <v>-0.0035532024399773654</v>
      </c>
    </row>
    <row r="193">
      <c r="A193" s="184">
        <v>43844.975512453704</v>
      </c>
      <c r="B193" s="332">
        <v>4.644</v>
      </c>
      <c r="C193" s="332">
        <v>56.08</v>
      </c>
      <c r="D193" s="332">
        <v>183.62</v>
      </c>
      <c r="E193" s="332">
        <v>131.95</v>
      </c>
      <c r="F193" s="333">
        <v>7.459</v>
      </c>
      <c r="G193" s="334">
        <v>0.00457523556694069</v>
      </c>
      <c r="H193" s="281">
        <v>6.987083454012E-4</v>
      </c>
      <c r="I193" s="281">
        <v>0.0010289328161133815</v>
      </c>
      <c r="J193" s="281">
        <v>-0.00235640326674084</v>
      </c>
      <c r="K193" s="281">
        <v>-5.896878570414247E-4</v>
      </c>
    </row>
    <row r="194">
      <c r="A194" s="184">
        <v>43843.97413259259</v>
      </c>
      <c r="B194" s="332">
        <v>4.614</v>
      </c>
      <c r="C194" s="332">
        <v>55.851</v>
      </c>
      <c r="D194" s="332">
        <v>183.01</v>
      </c>
      <c r="E194" s="332">
        <v>132.55</v>
      </c>
      <c r="F194" s="333">
        <v>7.437</v>
      </c>
      <c r="G194" s="334">
        <v>-0.0010715303215231842</v>
      </c>
      <c r="H194" s="281">
        <v>0.0021609020206387144</v>
      </c>
      <c r="I194" s="281">
        <v>-0.0014259636883446891</v>
      </c>
      <c r="J194" s="281">
        <v>-0.004202106471201746</v>
      </c>
      <c r="K194" s="281">
        <v>-0.0030003919497167595</v>
      </c>
    </row>
    <row r="195">
      <c r="A195" s="184">
        <v>43840.97548270834</v>
      </c>
      <c r="B195" s="332">
        <v>4.647</v>
      </c>
      <c r="C195" s="332">
        <v>55.959</v>
      </c>
      <c r="D195" s="332">
        <v>183.78</v>
      </c>
      <c r="E195" s="332">
        <v>133.49</v>
      </c>
      <c r="F195" s="333">
        <v>7.486</v>
      </c>
      <c r="G195" s="334">
        <v>0.0013125182263744966</v>
      </c>
      <c r="H195" s="281">
        <v>0.004325322321196608</v>
      </c>
      <c r="I195" s="281">
        <v>7.201120645625725E-4</v>
      </c>
      <c r="J195" s="281">
        <v>-0.00141602620973121</v>
      </c>
      <c r="K195" s="281">
        <v>-0.0020479469674210917</v>
      </c>
    </row>
    <row r="196">
      <c r="A196" s="184">
        <v>43839.97445622685</v>
      </c>
      <c r="B196" s="332">
        <v>4.58</v>
      </c>
      <c r="C196" s="332">
        <v>55.962</v>
      </c>
      <c r="D196" s="332">
        <v>183.05</v>
      </c>
      <c r="E196" s="332">
        <v>132.88</v>
      </c>
      <c r="F196" s="333">
        <v>7.472</v>
      </c>
      <c r="G196" s="334">
        <v>-0.002557120193644439</v>
      </c>
      <c r="H196" s="281">
        <v>0.0065036584357871146</v>
      </c>
      <c r="I196" s="281">
        <v>8.320633065030206E-4</v>
      </c>
      <c r="J196" s="281">
        <v>-5.023347841014806E-4</v>
      </c>
      <c r="K196" s="281">
        <v>-0.0021845210181764183</v>
      </c>
    </row>
    <row r="197">
      <c r="A197" s="184">
        <v>43838.97547960648</v>
      </c>
      <c r="B197" s="332">
        <v>4.628</v>
      </c>
      <c r="C197" s="332">
        <v>55.488</v>
      </c>
      <c r="D197" s="332">
        <v>183.79</v>
      </c>
      <c r="E197" s="332">
        <v>134.22</v>
      </c>
      <c r="F197" s="333">
        <v>7.504</v>
      </c>
      <c r="G197" s="334">
        <v>6.959069310704298E-5</v>
      </c>
      <c r="H197" s="281">
        <v>0.0029939305355858314</v>
      </c>
      <c r="I197" s="281">
        <v>0.0017232044766987882</v>
      </c>
      <c r="J197" s="281">
        <v>0.005514338181127713</v>
      </c>
      <c r="K197" s="281">
        <v>-3.523362409681615E-6</v>
      </c>
    </row>
    <row r="198">
      <c r="A198" s="184">
        <v>43837.97549438657</v>
      </c>
      <c r="B198" s="332">
        <v>4.628</v>
      </c>
      <c r="C198" s="332">
        <v>55.235</v>
      </c>
      <c r="D198" s="332">
        <v>183.38</v>
      </c>
      <c r="E198" s="332">
        <v>134.05</v>
      </c>
      <c r="F198" s="333">
        <v>7.532</v>
      </c>
      <c r="G198" s="334">
        <v>0.00424796400915058</v>
      </c>
      <c r="H198" s="281">
        <v>0.001855970016183502</v>
      </c>
      <c r="I198" s="281">
        <v>0.0029485367645902074</v>
      </c>
      <c r="J198" s="281">
        <v>0.010091767001538502</v>
      </c>
      <c r="K198" s="281">
        <v>0.003638978414420476</v>
      </c>
    </row>
    <row r="199">
      <c r="A199" s="184">
        <v>43836.97545784722</v>
      </c>
      <c r="B199" s="332">
        <v>4.615</v>
      </c>
      <c r="C199" s="332">
        <v>54.877</v>
      </c>
      <c r="D199" s="332">
        <v>182.59</v>
      </c>
      <c r="E199" s="332">
        <v>133.07</v>
      </c>
      <c r="F199" s="333">
        <v>7.521</v>
      </c>
      <c r="G199" s="334">
        <v>0.005573252572445157</v>
      </c>
      <c r="H199" s="281">
        <v>0.0028451390980598714</v>
      </c>
      <c r="I199" s="281">
        <v>0.003291441237177765</v>
      </c>
      <c r="J199" s="281">
        <v>0.0103209167719569</v>
      </c>
      <c r="K199" s="281">
        <v>0.002704739296253774</v>
      </c>
    </row>
    <row r="200">
      <c r="A200" s="184">
        <v>43833.975468993056</v>
      </c>
      <c r="B200" s="332">
        <v>4.627</v>
      </c>
      <c r="C200" s="332">
        <v>54.99</v>
      </c>
      <c r="D200" s="332">
        <v>182.84</v>
      </c>
      <c r="E200" s="332">
        <v>132.01</v>
      </c>
      <c r="F200" s="333">
        <v>7.504</v>
      </c>
      <c r="G200" s="334">
        <v>0.006439991467353042</v>
      </c>
      <c r="H200" s="281">
        <v>0.0028269693340085</v>
      </c>
      <c r="I200" s="281">
        <v>0.004374715500068442</v>
      </c>
      <c r="J200" s="281">
        <v>0.008854395304843369</v>
      </c>
      <c r="K200" s="281">
        <v>0.002308755408898263</v>
      </c>
    </row>
    <row r="201">
      <c r="A201" s="184">
        <v>43832.975469895835</v>
      </c>
      <c r="B201" s="332">
        <v>4.569</v>
      </c>
      <c r="C201" s="332">
        <v>54.927</v>
      </c>
      <c r="D201" s="332">
        <v>181.76</v>
      </c>
      <c r="E201" s="332">
        <v>130.03</v>
      </c>
      <c r="F201" s="333">
        <v>7.45</v>
      </c>
      <c r="G201" s="334">
        <v>-0.0015579793218797693</v>
      </c>
      <c r="H201" s="281">
        <v>-0.0012047541310127678</v>
      </c>
      <c r="I201" s="281">
        <v>-2.1729103730453817E-4</v>
      </c>
      <c r="J201" s="281">
        <v>0.002921139893017677</v>
      </c>
      <c r="K201" s="281">
        <v>-0.0021475784421287614</v>
      </c>
    </row>
    <row r="202">
      <c r="A202" s="184">
        <v>43830.97546976852</v>
      </c>
      <c r="B202" s="332">
        <v>4.538</v>
      </c>
      <c r="C202" s="332">
        <v>54.408</v>
      </c>
      <c r="D202" s="332">
        <v>180.79</v>
      </c>
      <c r="E202" s="332">
        <v>128.99</v>
      </c>
      <c r="F202" s="333">
        <v>7.46</v>
      </c>
      <c r="G202" s="334">
        <v>-0.004400570603182071</v>
      </c>
      <c r="H202" s="281">
        <v>-0.005170789681615477</v>
      </c>
      <c r="I202" s="281">
        <v>-0.003077552098964209</v>
      </c>
      <c r="J202" s="281">
        <v>0.002763687532788476</v>
      </c>
      <c r="K202" s="281">
        <v>-6.77656261538262E-4</v>
      </c>
    </row>
    <row r="203">
      <c r="A203" s="184">
        <v>43829.975490729164</v>
      </c>
      <c r="B203" s="332">
        <v>4.538</v>
      </c>
      <c r="C203" s="332">
        <v>54.523</v>
      </c>
      <c r="D203" s="332">
        <v>180.45</v>
      </c>
      <c r="E203" s="332">
        <v>128.53</v>
      </c>
      <c r="F203" s="333">
        <v>7.452</v>
      </c>
      <c r="G203" s="334">
        <v>-0.004400570603182071</v>
      </c>
      <c r="H203" s="281">
        <v>-0.004466236429642685</v>
      </c>
      <c r="I203" s="281">
        <v>-0.003704430429255353</v>
      </c>
      <c r="J203" s="281">
        <v>0.0015749648927905202</v>
      </c>
      <c r="K203" s="281">
        <v>-0.0010351182811986586</v>
      </c>
    </row>
    <row r="204">
      <c r="A204" s="184">
        <v>43826.975554282406</v>
      </c>
      <c r="B204" s="332">
        <v>4.59</v>
      </c>
      <c r="C204" s="332">
        <v>55.12</v>
      </c>
      <c r="D204" s="332">
        <v>181.87</v>
      </c>
      <c r="E204" s="332">
        <v>128.89</v>
      </c>
      <c r="F204" s="333">
        <v>7.498</v>
      </c>
      <c r="G204" s="334">
        <v>-5.809731299927604E-4</v>
      </c>
      <c r="H204" s="281">
        <v>-8.164005805515462E-4</v>
      </c>
      <c r="I204" s="281">
        <v>-0.001081358479500046</v>
      </c>
      <c r="J204" s="281">
        <v>0.00250859906380115</v>
      </c>
      <c r="K204" s="281">
        <v>0.0010224948875255935</v>
      </c>
    </row>
    <row r="205">
      <c r="A205" s="184">
        <v>43824.975497141204</v>
      </c>
      <c r="B205" s="332">
        <v>4.598</v>
      </c>
      <c r="C205" s="332">
        <v>55.255</v>
      </c>
      <c r="D205" s="332">
        <v>182.46</v>
      </c>
      <c r="E205" s="332">
        <v>127.92</v>
      </c>
      <c r="F205" s="333">
        <v>7.475</v>
      </c>
      <c r="G205" s="334">
        <v>2.8998115122513823E-4</v>
      </c>
      <c r="H205" s="281">
        <v>-1.2585601285364234E-5</v>
      </c>
      <c r="I205" s="281">
        <v>-4.2020745056237097E-4</v>
      </c>
      <c r="J205" s="281">
        <v>0.002504790753716198</v>
      </c>
      <c r="K205" s="281">
        <v>3.094580742669291E-4</v>
      </c>
    </row>
    <row r="206">
      <c r="A206" s="184">
        <v>43823.975485821764</v>
      </c>
      <c r="B206" s="332">
        <v>4.598</v>
      </c>
      <c r="C206" s="332">
        <v>55.255</v>
      </c>
      <c r="D206" s="332">
        <v>182.46</v>
      </c>
      <c r="E206" s="332">
        <v>127.92</v>
      </c>
      <c r="F206" s="333">
        <v>7.475</v>
      </c>
      <c r="G206" s="334">
        <v>0.0017411493416184716</v>
      </c>
      <c r="H206" s="281">
        <v>0.0037637082016113896</v>
      </c>
      <c r="I206" s="281">
        <v>8.205099760437337E-4</v>
      </c>
      <c r="J206" s="281">
        <v>0.0040275800836889015</v>
      </c>
      <c r="K206" s="281">
        <v>0.0012914255800694496</v>
      </c>
    </row>
    <row r="207">
      <c r="A207" s="184">
        <v>43822.97548353009</v>
      </c>
      <c r="B207" s="332">
        <v>4.598</v>
      </c>
      <c r="C207" s="332">
        <v>55.187</v>
      </c>
      <c r="D207" s="332">
        <v>182.45</v>
      </c>
      <c r="E207" s="332">
        <v>127.17</v>
      </c>
      <c r="F207" s="333">
        <v>7.45</v>
      </c>
      <c r="G207" s="334">
        <v>0.002032652038018353</v>
      </c>
      <c r="H207" s="281">
        <v>0.00398804926867354</v>
      </c>
      <c r="I207" s="281">
        <v>0.001186835384793768</v>
      </c>
      <c r="J207" s="281">
        <v>0.0024161148747302206</v>
      </c>
      <c r="K207" s="281">
        <v>0.0010719336813567182</v>
      </c>
    </row>
    <row r="208">
      <c r="A208" s="184">
        <v>43819.97547927083</v>
      </c>
      <c r="B208" s="332">
        <v>4.594</v>
      </c>
      <c r="C208" s="332">
        <v>55.257</v>
      </c>
      <c r="D208" s="332">
        <v>182.69</v>
      </c>
      <c r="E208" s="332">
        <v>126.96</v>
      </c>
      <c r="F208" s="333">
        <v>7.468</v>
      </c>
      <c r="G208" s="334">
        <v>-2.9963400015057634E-4</v>
      </c>
      <c r="H208" s="281">
        <v>0.005682395472221084</v>
      </c>
      <c r="I208" s="281">
        <v>0.0012952786763688422</v>
      </c>
      <c r="J208" s="281">
        <v>0.0025521392344202884</v>
      </c>
      <c r="K208" s="281">
        <v>0.002505725467999135</v>
      </c>
    </row>
    <row r="209">
      <c r="A209" s="184">
        <v>43818.975129259255</v>
      </c>
      <c r="B209" s="332">
        <v>4.574</v>
      </c>
      <c r="C209" s="332">
        <v>54.631</v>
      </c>
      <c r="D209" s="332">
        <v>182.01</v>
      </c>
      <c r="E209" s="332">
        <v>126.38</v>
      </c>
      <c r="F209" s="333">
        <v>7.446</v>
      </c>
      <c r="G209" s="334">
        <v>-0.0021132786295753325</v>
      </c>
      <c r="H209" s="281">
        <v>0.0013231257922524664</v>
      </c>
      <c r="I209" s="281">
        <v>-1.286090619931901E-4</v>
      </c>
      <c r="J209" s="281">
        <v>0.0010822641569015283</v>
      </c>
      <c r="K209" s="281">
        <v>0.0018385627832075608</v>
      </c>
    </row>
    <row r="210">
      <c r="A210" s="184">
        <v>43817.974304351854</v>
      </c>
      <c r="B210" s="332">
        <v>4.57</v>
      </c>
      <c r="C210" s="332">
        <v>54.527</v>
      </c>
      <c r="D210" s="332">
        <v>181.8</v>
      </c>
      <c r="E210" s="332">
        <v>126.25</v>
      </c>
      <c r="F210" s="333">
        <v>7.426</v>
      </c>
      <c r="G210" s="334">
        <v>-0.007184272961864894</v>
      </c>
      <c r="H210" s="281">
        <v>0.003984285902947453</v>
      </c>
      <c r="I210" s="281">
        <v>-0.0025452771287644005</v>
      </c>
      <c r="J210" s="281">
        <v>-1.338408841219015E-4</v>
      </c>
      <c r="K210" s="281">
        <v>0.004139266192718131</v>
      </c>
    </row>
    <row r="211">
      <c r="A211" s="184">
        <v>43816.975931168985</v>
      </c>
      <c r="B211" s="332">
        <v>4.598</v>
      </c>
      <c r="C211" s="332">
        <v>54.319</v>
      </c>
      <c r="D211" s="332">
        <v>181.98</v>
      </c>
      <c r="E211" s="332">
        <v>125.99</v>
      </c>
      <c r="F211" s="333">
        <v>7.412</v>
      </c>
      <c r="G211" s="334">
        <v>2.838904244006901E-4</v>
      </c>
      <c r="H211" s="281">
        <v>0.002570442510651564</v>
      </c>
      <c r="I211" s="281">
        <v>-7.413645468845598E-4</v>
      </c>
      <c r="J211" s="281">
        <v>0.0011063201866170491</v>
      </c>
      <c r="K211" s="281">
        <v>0.004692554287160385</v>
      </c>
    </row>
    <row r="212">
      <c r="A212" s="184">
        <v>43815.975489432865</v>
      </c>
      <c r="B212" s="332">
        <v>4.603</v>
      </c>
      <c r="C212" s="332">
        <v>54.414</v>
      </c>
      <c r="D212" s="332">
        <v>182.08</v>
      </c>
      <c r="E212" s="332">
        <v>125.97</v>
      </c>
      <c r="F212" s="333">
        <v>7.405</v>
      </c>
      <c r="G212" s="334">
        <v>-0.010530061034093078</v>
      </c>
      <c r="H212" s="281">
        <v>0.003796596677982341</v>
      </c>
      <c r="I212" s="281">
        <v>-0.0030255700438795254</v>
      </c>
      <c r="J212" s="281">
        <v>-9.906067015513775E-4</v>
      </c>
      <c r="K212" s="281">
        <v>0.006339070392987571</v>
      </c>
    </row>
    <row r="213">
      <c r="A213" s="184">
        <v>43812.97549459491</v>
      </c>
      <c r="B213" s="332">
        <v>4.669</v>
      </c>
      <c r="C213" s="332">
        <v>53.876</v>
      </c>
      <c r="D213" s="332">
        <v>183.19</v>
      </c>
      <c r="E213" s="332">
        <v>126.3</v>
      </c>
      <c r="F213" s="333">
        <v>7.334</v>
      </c>
      <c r="G213" s="334">
        <v>-0.003222657032498799</v>
      </c>
      <c r="H213" s="281">
        <v>3.211816945688876E-4</v>
      </c>
      <c r="I213" s="281">
        <v>-2.8593622364000054E-4</v>
      </c>
      <c r="J213" s="281">
        <v>0.0017031014890444007</v>
      </c>
      <c r="K213" s="281">
        <v>0.0023171541855677344</v>
      </c>
    </row>
    <row r="214">
      <c r="A214" s="184">
        <v>43811.97549092592</v>
      </c>
      <c r="B214" s="332">
        <v>4.593</v>
      </c>
      <c r="C214" s="332">
        <v>53.899</v>
      </c>
      <c r="D214" s="332">
        <v>182.38</v>
      </c>
      <c r="E214" s="332">
        <v>125.57</v>
      </c>
      <c r="F214" s="333">
        <v>7.308</v>
      </c>
      <c r="G214" s="334">
        <v>-0.009922130475569224</v>
      </c>
      <c r="H214" s="281">
        <v>-0.0010104559833189846</v>
      </c>
      <c r="I214" s="281">
        <v>-0.002959772167442735</v>
      </c>
      <c r="J214" s="281">
        <v>-1.969995112226878E-4</v>
      </c>
      <c r="K214" s="281">
        <v>0.0015931302826566924</v>
      </c>
    </row>
    <row r="215">
      <c r="A215" s="184">
        <v>43810.97546834491</v>
      </c>
      <c r="B215" s="332">
        <v>4.747</v>
      </c>
      <c r="C215" s="332">
        <v>53.795</v>
      </c>
      <c r="D215" s="332">
        <v>183.73</v>
      </c>
      <c r="E215" s="332">
        <v>126.34</v>
      </c>
      <c r="F215" s="333">
        <v>7.265</v>
      </c>
      <c r="G215" s="334">
        <v>0.0013388819007040809</v>
      </c>
      <c r="H215" s="281">
        <v>-0.0027696368878603237</v>
      </c>
      <c r="I215" s="281">
        <v>-7.460195470975576E-4</v>
      </c>
      <c r="J215" s="281">
        <v>0.0015817048362608925</v>
      </c>
      <c r="K215" s="281">
        <v>-0.001238991322489354</v>
      </c>
    </row>
    <row r="216">
      <c r="A216" s="184">
        <v>43809.97548283565</v>
      </c>
      <c r="B216" s="332">
        <v>4.711</v>
      </c>
      <c r="C216" s="332">
        <v>53.824</v>
      </c>
      <c r="D216" s="332">
        <v>183.34</v>
      </c>
      <c r="E216" s="332">
        <v>125.65</v>
      </c>
      <c r="F216" s="333">
        <v>7.283</v>
      </c>
      <c r="G216" s="334">
        <v>-9.211116303064296E-4</v>
      </c>
      <c r="H216" s="281">
        <v>0.003291000794629998</v>
      </c>
      <c r="I216" s="281">
        <v>-7.294928080368024E-4</v>
      </c>
      <c r="J216" s="281">
        <v>-0.0028367330198101706</v>
      </c>
      <c r="K216" s="281">
        <v>0.0014153740129047392</v>
      </c>
    </row>
    <row r="217">
      <c r="A217" s="184">
        <v>43808.97547055555</v>
      </c>
      <c r="B217" s="332">
        <v>4.729</v>
      </c>
      <c r="C217" s="332">
        <v>54.062</v>
      </c>
      <c r="D217" s="332">
        <v>184.0</v>
      </c>
      <c r="E217" s="332">
        <v>125.64</v>
      </c>
      <c r="F217" s="333">
        <v>7.273</v>
      </c>
      <c r="G217" s="334">
        <v>-9.176067627643855E-4</v>
      </c>
      <c r="H217" s="281">
        <v>0.003645196776292566</v>
      </c>
      <c r="I217" s="281">
        <v>-4.3661528610676E-4</v>
      </c>
      <c r="J217" s="281">
        <v>-0.0023108627472477514</v>
      </c>
      <c r="K217" s="281">
        <v>0.0024285457759637787</v>
      </c>
    </row>
    <row r="218">
      <c r="A218" s="184">
        <v>43805.975469756944</v>
      </c>
      <c r="B218" s="332">
        <v>4.7278</v>
      </c>
      <c r="C218" s="332">
        <v>54.243</v>
      </c>
      <c r="D218" s="332">
        <v>184.14</v>
      </c>
      <c r="E218" s="332">
        <v>125.74</v>
      </c>
      <c r="F218" s="333">
        <v>7.292</v>
      </c>
      <c r="G218" s="334">
        <v>-0.0060492578105211985</v>
      </c>
      <c r="H218" s="281">
        <v>0.009144129033020162</v>
      </c>
      <c r="I218" s="281">
        <v>-0.0021007804896535642</v>
      </c>
      <c r="J218" s="281">
        <v>-0.0035210636414265695</v>
      </c>
      <c r="K218" s="281">
        <v>0.0056077490396824565</v>
      </c>
    </row>
    <row r="219">
      <c r="A219" s="184">
        <v>43804.97548811343</v>
      </c>
      <c r="B219" s="332">
        <v>4.724</v>
      </c>
      <c r="C219" s="332">
        <v>53.286</v>
      </c>
      <c r="D219" s="332">
        <v>183.74</v>
      </c>
      <c r="E219" s="332">
        <v>126.72</v>
      </c>
      <c r="F219" s="333">
        <v>7.252</v>
      </c>
      <c r="G219" s="334">
        <v>5.237405250816026E-4</v>
      </c>
      <c r="H219" s="281">
        <v>-7.61175097010384E-4</v>
      </c>
      <c r="I219" s="281">
        <v>1.6128135262993837E-4</v>
      </c>
      <c r="J219" s="281">
        <v>0.002146064278253331</v>
      </c>
      <c r="K219" s="281">
        <v>0.0035468111758817</v>
      </c>
    </row>
    <row r="220">
      <c r="A220" s="184">
        <v>43803.97549827547</v>
      </c>
      <c r="B220" s="332">
        <v>4.742</v>
      </c>
      <c r="C220" s="332">
        <v>53.465</v>
      </c>
      <c r="D220" s="332">
        <v>184.24</v>
      </c>
      <c r="E220" s="332">
        <v>126.51</v>
      </c>
      <c r="F220" s="333">
        <v>7.22</v>
      </c>
      <c r="G220" s="334">
        <v>-0.003649769052299634</v>
      </c>
      <c r="H220" s="281">
        <v>-0.005072244635522878</v>
      </c>
      <c r="I220" s="281">
        <v>-0.0016725096218364044</v>
      </c>
      <c r="J220" s="281">
        <v>2.4338728994292383E-4</v>
      </c>
      <c r="K220" s="281">
        <v>-2.469278094949419E-4</v>
      </c>
    </row>
    <row r="221">
      <c r="A221" s="184">
        <v>43802.97550107639</v>
      </c>
      <c r="B221" s="332">
        <v>4.814</v>
      </c>
      <c r="C221" s="332">
        <v>52.762</v>
      </c>
      <c r="D221" s="332">
        <v>185.3</v>
      </c>
      <c r="E221" s="332">
        <v>127.07</v>
      </c>
      <c r="F221" s="333">
        <v>7.17</v>
      </c>
      <c r="G221" s="334">
        <v>4.375412805175394E-4</v>
      </c>
      <c r="H221" s="281">
        <v>-0.01048707094088804</v>
      </c>
      <c r="I221" s="281">
        <v>-4.38851214580908E-4</v>
      </c>
      <c r="J221" s="281">
        <v>0.003010988342721621</v>
      </c>
      <c r="K221" s="281">
        <v>-0.006015538007362542</v>
      </c>
    </row>
    <row r="222">
      <c r="A222" s="184">
        <v>43801.97547090278</v>
      </c>
      <c r="B222" s="332">
        <v>4.715</v>
      </c>
      <c r="C222" s="332">
        <v>53.399</v>
      </c>
      <c r="D222" s="332">
        <v>183.64</v>
      </c>
      <c r="E222" s="332">
        <v>125.9</v>
      </c>
      <c r="F222" s="333">
        <v>7.175</v>
      </c>
      <c r="G222" s="334">
        <v>-0.007111042423909956</v>
      </c>
      <c r="H222" s="281">
        <v>-0.006309627817898973</v>
      </c>
      <c r="I222" s="281">
        <v>-0.003999929283762249</v>
      </c>
      <c r="J222" s="281">
        <v>4.4477871736196367E-4</v>
      </c>
      <c r="K222" s="281">
        <v>-0.006605005792336731</v>
      </c>
    </row>
    <row r="223">
      <c r="A223" s="184">
        <v>43798.97547179398</v>
      </c>
      <c r="B223" s="332">
        <v>4.792</v>
      </c>
      <c r="C223" s="332">
        <v>54.269</v>
      </c>
      <c r="D223" s="332">
        <v>185.15</v>
      </c>
      <c r="E223" s="332">
        <v>126.41</v>
      </c>
      <c r="F223" s="333">
        <v>7.225</v>
      </c>
      <c r="G223" s="334">
        <v>-0.0022903463583619685</v>
      </c>
      <c r="H223" s="281">
        <v>6.772148004723366E-4</v>
      </c>
      <c r="I223" s="281">
        <v>-0.0016357073002778073</v>
      </c>
      <c r="J223" s="281">
        <v>4.4295300146498146E-4</v>
      </c>
      <c r="K223" s="281">
        <v>-0.004509874350255923</v>
      </c>
    </row>
    <row r="224">
      <c r="A224" s="184">
        <v>43797.97546743056</v>
      </c>
      <c r="B224" s="332">
        <v>4.806</v>
      </c>
      <c r="C224" s="332">
        <v>54.437</v>
      </c>
      <c r="D224" s="332">
        <v>185.53</v>
      </c>
      <c r="E224" s="332">
        <v>125.92</v>
      </c>
      <c r="F224" s="333">
        <v>7.3</v>
      </c>
      <c r="G224" s="334">
        <v>3.415300274393444E-4</v>
      </c>
      <c r="H224" s="281">
        <v>0.0023922976962664397</v>
      </c>
      <c r="I224" s="281">
        <v>-4.320316493082732E-4</v>
      </c>
      <c r="J224" s="281">
        <v>-4.266631612570941E-4</v>
      </c>
      <c r="K224" s="281">
        <v>-0.001004148052378806</v>
      </c>
    </row>
    <row r="225">
      <c r="A225" s="184">
        <v>43796.97549200231</v>
      </c>
      <c r="B225" s="332">
        <v>4.816</v>
      </c>
      <c r="C225" s="332">
        <v>54.412</v>
      </c>
      <c r="D225" s="332">
        <v>185.85</v>
      </c>
      <c r="E225" s="332">
        <v>125.73</v>
      </c>
      <c r="F225" s="333">
        <v>7.318</v>
      </c>
      <c r="G225" s="334">
        <v>0.0024237070973491073</v>
      </c>
      <c r="H225" s="281">
        <v>0.0057053345353303975</v>
      </c>
      <c r="I225" s="281">
        <v>7.709145551856681E-4</v>
      </c>
      <c r="J225" s="281">
        <v>-0.0018285281758663545</v>
      </c>
      <c r="K225" s="281">
        <v>-7.285290696171417E-4</v>
      </c>
    </row>
    <row r="226">
      <c r="A226" s="184">
        <v>43795.975486875</v>
      </c>
      <c r="B226" s="332">
        <v>4.825</v>
      </c>
      <c r="C226" s="332">
        <v>54.158</v>
      </c>
      <c r="D226" s="332">
        <v>186.06</v>
      </c>
      <c r="E226" s="332">
        <v>126.24</v>
      </c>
      <c r="F226" s="333">
        <v>7.323</v>
      </c>
      <c r="G226" s="334">
        <v>0.005068522897618055</v>
      </c>
      <c r="H226" s="281">
        <v>0.0057323035765162915</v>
      </c>
      <c r="I226" s="281">
        <v>0.0022981035033283006</v>
      </c>
      <c r="J226" s="281">
        <v>1.0365253047920724E-4</v>
      </c>
      <c r="K226" s="281">
        <v>0.0014081372311109213</v>
      </c>
    </row>
    <row r="227">
      <c r="A227" s="184">
        <v>43794.97548758102</v>
      </c>
      <c r="B227" s="332">
        <v>4.801</v>
      </c>
      <c r="C227" s="332">
        <v>54.047</v>
      </c>
      <c r="D227" s="332">
        <v>185.77</v>
      </c>
      <c r="E227" s="332">
        <v>126.08</v>
      </c>
      <c r="F227" s="333">
        <v>7.322</v>
      </c>
      <c r="G227" s="334">
        <v>0.0024284491608257777</v>
      </c>
      <c r="H227" s="281">
        <v>0.0032707050149865338</v>
      </c>
      <c r="I227" s="281">
        <v>0.0015620841927220057</v>
      </c>
      <c r="J227" s="281">
        <v>-7.678458924344304E-4</v>
      </c>
      <c r="K227" s="281">
        <v>0.002139725877926768</v>
      </c>
    </row>
    <row r="228">
      <c r="A228" s="184">
        <v>43791.97563813657</v>
      </c>
      <c r="B228" s="332">
        <v>4.781</v>
      </c>
      <c r="C228" s="332">
        <v>53.485</v>
      </c>
      <c r="D228" s="332">
        <v>185.42</v>
      </c>
      <c r="E228" s="332">
        <v>126.42</v>
      </c>
      <c r="F228" s="333">
        <v>7.334</v>
      </c>
      <c r="G228" s="334">
        <v>0.004117203039530226</v>
      </c>
      <c r="H228" s="281">
        <v>-2.8261694510981855E-4</v>
      </c>
      <c r="I228" s="281">
        <v>0.0021419275740947783</v>
      </c>
      <c r="J228" s="281">
        <v>-3.437419565128404E-4</v>
      </c>
      <c r="K228" s="281">
        <v>0.00465624234370506</v>
      </c>
    </row>
    <row r="229">
      <c r="A229" s="184">
        <v>43790.975477361106</v>
      </c>
      <c r="B229" s="332">
        <v>4.752</v>
      </c>
      <c r="C229" s="332">
        <v>53.231</v>
      </c>
      <c r="D229" s="332">
        <v>184.78</v>
      </c>
      <c r="E229" s="332">
        <v>126.2</v>
      </c>
      <c r="F229" s="333">
        <v>7.292</v>
      </c>
      <c r="G229" s="334">
        <v>0.004213057544793841</v>
      </c>
      <c r="H229" s="281">
        <v>-0.0018344795229149706</v>
      </c>
      <c r="I229" s="281">
        <v>0.0015703728721399024</v>
      </c>
      <c r="J229" s="281">
        <v>-9.238189485499445E-4</v>
      </c>
      <c r="K229" s="281">
        <v>9.958500463033149E-4</v>
      </c>
    </row>
    <row r="230">
      <c r="A230" s="184">
        <v>43789.97546880787</v>
      </c>
      <c r="B230" s="332">
        <v>4.766</v>
      </c>
      <c r="C230" s="332">
        <v>53.515</v>
      </c>
      <c r="D230" s="332">
        <v>184.9</v>
      </c>
      <c r="E230" s="332">
        <v>126.37</v>
      </c>
      <c r="F230" s="333">
        <v>7.275</v>
      </c>
      <c r="G230" s="334">
        <v>0.005195100193503184</v>
      </c>
      <c r="H230" s="281">
        <v>-4.6709775998687864E-4</v>
      </c>
      <c r="I230" s="281">
        <v>0.0012974767160278307</v>
      </c>
      <c r="J230" s="281">
        <v>-5.335543254569863E-5</v>
      </c>
      <c r="K230" s="281">
        <v>-0.00354100052298012</v>
      </c>
    </row>
    <row r="231">
      <c r="A231" s="184">
        <v>43788.97427358796</v>
      </c>
      <c r="B231" s="332">
        <v>4.722</v>
      </c>
      <c r="C231" s="332">
        <v>53.529</v>
      </c>
      <c r="D231" s="332">
        <v>184.23</v>
      </c>
      <c r="E231" s="332">
        <v>126.55</v>
      </c>
      <c r="F231" s="333">
        <v>7.232</v>
      </c>
      <c r="G231" s="334">
        <v>-1.3540580035109606E-5</v>
      </c>
      <c r="H231" s="281">
        <v>0.0011626815562233068</v>
      </c>
      <c r="I231" s="281">
        <v>-0.0014125370787637277</v>
      </c>
      <c r="J231" s="281">
        <v>-0.0020049114950664673</v>
      </c>
      <c r="K231" s="281">
        <v>-0.006100626940957736</v>
      </c>
    </row>
    <row r="232">
      <c r="A232" s="184">
        <v>43787.97550137731</v>
      </c>
      <c r="B232" s="332">
        <v>4.692</v>
      </c>
      <c r="C232" s="332">
        <v>53.524</v>
      </c>
      <c r="D232" s="332">
        <v>183.91</v>
      </c>
      <c r="E232" s="332">
        <v>126.55</v>
      </c>
      <c r="F232" s="333">
        <v>7.27</v>
      </c>
      <c r="G232" s="334">
        <v>0.0012571074504603708</v>
      </c>
      <c r="H232" s="281">
        <v>8.878353885213297E-4</v>
      </c>
      <c r="I232" s="281">
        <v>-0.004676063065113774</v>
      </c>
      <c r="J232" s="281">
        <v>-1.459321009366077E-4</v>
      </c>
      <c r="K232" s="281">
        <v>-0.004575447556681933</v>
      </c>
    </row>
    <row r="233">
      <c r="A233" s="184">
        <v>43784.97570582176</v>
      </c>
      <c r="B233" s="332">
        <v>4.692</v>
      </c>
      <c r="C233" s="332">
        <v>53.59</v>
      </c>
      <c r="D233" s="332">
        <v>184.18</v>
      </c>
      <c r="E233" s="332">
        <v>126.39</v>
      </c>
      <c r="F233" s="333">
        <v>7.352</v>
      </c>
      <c r="G233" s="334">
        <v>0.0054647811061442715</v>
      </c>
      <c r="H233" s="281">
        <v>7.181349825548337E-4</v>
      </c>
      <c r="I233" s="281">
        <v>-0.002327890762433782</v>
      </c>
      <c r="J233" s="281">
        <v>0.0021709104053295736</v>
      </c>
      <c r="K233" s="281">
        <v>-5.89562302447888E-4</v>
      </c>
    </row>
    <row r="234">
      <c r="A234" s="184">
        <v>43783.97547734954</v>
      </c>
      <c r="B234" s="332">
        <v>4.722</v>
      </c>
      <c r="C234" s="332">
        <v>53.342</v>
      </c>
      <c r="D234" s="332">
        <v>185.01</v>
      </c>
      <c r="E234" s="332">
        <v>127.31</v>
      </c>
      <c r="F234" s="333">
        <v>7.365</v>
      </c>
      <c r="G234" s="334">
        <v>0.00889617674603386</v>
      </c>
      <c r="H234" s="281">
        <v>0.0018622225551461942</v>
      </c>
      <c r="I234" s="281">
        <v>-1.7869727925597564E-4</v>
      </c>
      <c r="J234" s="281">
        <v>0.004650358166780759</v>
      </c>
      <c r="K234" s="281">
        <v>-3.1696728356001014E-4</v>
      </c>
    </row>
    <row r="235">
      <c r="A235" s="184">
        <v>43782.97433885417</v>
      </c>
      <c r="B235" s="332">
        <v>4.674</v>
      </c>
      <c r="C235" s="332">
        <v>53.381</v>
      </c>
      <c r="D235" s="332">
        <v>186.5</v>
      </c>
      <c r="E235" s="332">
        <v>126.6</v>
      </c>
      <c r="F235" s="333">
        <v>7.37</v>
      </c>
      <c r="G235" s="334">
        <v>0.0026798507385287587</v>
      </c>
      <c r="H235" s="281">
        <v>0.0014586593565704131</v>
      </c>
      <c r="I235" s="281">
        <v>0.001245262428442695</v>
      </c>
      <c r="J235" s="281">
        <v>-5.807204254798896E-4</v>
      </c>
      <c r="K235" s="281">
        <v>-0.0020349654655828684</v>
      </c>
    </row>
    <row r="236">
      <c r="A236" s="184">
        <v>43781.97571761574</v>
      </c>
      <c r="B236" s="332">
        <v>4.615</v>
      </c>
      <c r="C236" s="332">
        <v>53.474</v>
      </c>
      <c r="D236" s="332">
        <v>185.46</v>
      </c>
      <c r="E236" s="332">
        <v>125.56</v>
      </c>
      <c r="F236" s="333">
        <v>7.365</v>
      </c>
      <c r="G236" s="334">
        <v>-3.7740589098322896E-4</v>
      </c>
      <c r="H236" s="281">
        <v>0.0015940761622563009</v>
      </c>
      <c r="I236" s="281">
        <v>6.064096929828308E-4</v>
      </c>
      <c r="J236" s="281">
        <v>-0.003240145598267019</v>
      </c>
      <c r="K236" s="281">
        <v>-0.0036097251496611063</v>
      </c>
    </row>
    <row r="237">
      <c r="A237" s="184">
        <v>43780.97593681713</v>
      </c>
      <c r="B237" s="332">
        <v>4.597</v>
      </c>
      <c r="C237" s="332">
        <v>53.043</v>
      </c>
      <c r="D237" s="332">
        <v>185.1</v>
      </c>
      <c r="E237" s="332">
        <v>125.54</v>
      </c>
      <c r="F237" s="333">
        <v>7.372</v>
      </c>
      <c r="G237" s="334">
        <v>-0.006078668634499462</v>
      </c>
      <c r="H237" s="281">
        <v>0.0018325426791294674</v>
      </c>
      <c r="I237" s="281">
        <v>-0.001355092790831569</v>
      </c>
      <c r="J237" s="281">
        <v>-0.006658650960322698</v>
      </c>
      <c r="K237" s="281">
        <v>-0.003830184728702779</v>
      </c>
    </row>
    <row r="238">
      <c r="A238" s="184">
        <v>43777.97559938657</v>
      </c>
      <c r="B238" s="332">
        <v>4.636</v>
      </c>
      <c r="C238" s="332">
        <v>53.146</v>
      </c>
      <c r="D238" s="332">
        <v>185.8</v>
      </c>
      <c r="E238" s="332">
        <v>126.81</v>
      </c>
      <c r="F238" s="333">
        <v>7.415</v>
      </c>
      <c r="G238" s="334">
        <v>-0.0016841205552145337</v>
      </c>
      <c r="H238" s="281">
        <v>0.002151222277925339</v>
      </c>
      <c r="I238" s="281">
        <v>2.103924655582808E-4</v>
      </c>
      <c r="J238" s="281">
        <v>-0.002089196355871977</v>
      </c>
      <c r="K238" s="281">
        <v>-0.0025564019340302835</v>
      </c>
    </row>
    <row r="239">
      <c r="A239" s="184">
        <v>43776.97559756944</v>
      </c>
      <c r="B239" s="332">
        <v>4.62</v>
      </c>
      <c r="C239" s="332">
        <v>53.217</v>
      </c>
      <c r="D239" s="332">
        <v>185.12</v>
      </c>
      <c r="E239" s="332">
        <v>126.78</v>
      </c>
      <c r="F239" s="333">
        <v>7.445</v>
      </c>
      <c r="G239" s="334">
        <v>-0.004694736479576411</v>
      </c>
      <c r="H239" s="281">
        <v>0.004477778316084868</v>
      </c>
      <c r="I239" s="281">
        <v>-4.7099633611469294E-4</v>
      </c>
      <c r="J239" s="281">
        <v>-0.005015494406493959</v>
      </c>
      <c r="K239" s="281">
        <v>4.4282244235442175E-4</v>
      </c>
    </row>
    <row r="240">
      <c r="A240" s="184">
        <v>43775.97560157407</v>
      </c>
      <c r="B240" s="332">
        <v>4.681</v>
      </c>
      <c r="C240" s="332">
        <v>52.75</v>
      </c>
      <c r="D240" s="332">
        <v>185.85</v>
      </c>
      <c r="E240" s="332">
        <v>128.06</v>
      </c>
      <c r="F240" s="333">
        <v>7.457</v>
      </c>
      <c r="G240" s="334">
        <v>-0.002748224554409262</v>
      </c>
      <c r="H240" s="281">
        <v>0.004606383463710451</v>
      </c>
      <c r="I240" s="281">
        <v>1.961473343618699E-4</v>
      </c>
      <c r="J240" s="281">
        <v>-0.001960908971970617</v>
      </c>
      <c r="K240" s="281">
        <v>0.005015065517891992</v>
      </c>
    </row>
    <row r="241">
      <c r="A241" s="184">
        <v>43774.975603935185</v>
      </c>
      <c r="B241" s="332">
        <v>4.659</v>
      </c>
      <c r="C241" s="332">
        <v>52.802</v>
      </c>
      <c r="D241" s="332">
        <v>185.68</v>
      </c>
      <c r="E241" s="332">
        <v>127.6</v>
      </c>
      <c r="F241" s="333">
        <v>7.472</v>
      </c>
      <c r="G241" s="334">
        <v>-0.0068927980786303395</v>
      </c>
      <c r="H241" s="281">
        <v>0.00795287339119699</v>
      </c>
      <c r="I241" s="281">
        <v>-0.0012752632058581348</v>
      </c>
      <c r="J241" s="281">
        <v>-0.0038310899870683812</v>
      </c>
      <c r="K241" s="281">
        <v>0.008953105378465942</v>
      </c>
    </row>
    <row r="242">
      <c r="A242" s="184">
        <v>43773.97487291667</v>
      </c>
      <c r="B242" s="332">
        <v>4.685</v>
      </c>
      <c r="C242" s="332">
        <v>52.504</v>
      </c>
      <c r="D242" s="332">
        <v>185.38</v>
      </c>
      <c r="E242" s="332">
        <v>128.69</v>
      </c>
      <c r="F242" s="333">
        <v>7.435</v>
      </c>
      <c r="G242" s="334">
        <v>2.9400580974744034E-4</v>
      </c>
      <c r="H242" s="281">
        <v>0.004287025684160506</v>
      </c>
      <c r="I242" s="281">
        <v>-2.2217941176279807E-4</v>
      </c>
      <c r="J242" s="281">
        <v>0.0020121403273122653</v>
      </c>
      <c r="K242" s="281">
        <v>0.004002622414332284</v>
      </c>
    </row>
    <row r="243">
      <c r="A243" s="184">
        <v>43770.97546878472</v>
      </c>
      <c r="B243" s="332">
        <v>4.7195</v>
      </c>
      <c r="C243" s="332">
        <v>52.023</v>
      </c>
      <c r="D243" s="332">
        <v>185.74</v>
      </c>
      <c r="E243" s="332">
        <v>128.81</v>
      </c>
      <c r="F243" s="333">
        <v>7.345</v>
      </c>
      <c r="G243" s="334">
        <v>0.004671725208811613</v>
      </c>
      <c r="H243" s="281">
        <v>-4.01528308424659E-5</v>
      </c>
      <c r="I243" s="281">
        <v>8.743759069206695E-4</v>
      </c>
      <c r="J243" s="281">
        <v>0.0031308244822108033</v>
      </c>
      <c r="K243" s="281">
        <v>-8.038472099388313E-4</v>
      </c>
    </row>
    <row r="244">
      <c r="A244" s="184">
        <v>43769.97547957176</v>
      </c>
      <c r="B244" s="332">
        <v>4.756</v>
      </c>
      <c r="C244" s="332">
        <v>51.552</v>
      </c>
      <c r="D244" s="332">
        <v>186.39</v>
      </c>
      <c r="E244" s="332">
        <v>129.07</v>
      </c>
      <c r="F244" s="333">
        <v>7.273</v>
      </c>
      <c r="G244" s="334">
        <v>0.007894427238861135</v>
      </c>
      <c r="H244" s="281">
        <v>-0.0026287762182729915</v>
      </c>
      <c r="I244" s="281">
        <v>0.0022028243773276612</v>
      </c>
      <c r="J244" s="281">
        <v>0.002915457823486012</v>
      </c>
      <c r="K244" s="281">
        <v>-0.003528045524504364</v>
      </c>
    </row>
    <row r="245">
      <c r="A245" s="184">
        <v>43768.975503946756</v>
      </c>
      <c r="B245" s="332">
        <v>4.68</v>
      </c>
      <c r="C245" s="332">
        <v>51.828</v>
      </c>
      <c r="D245" s="332">
        <v>185.5</v>
      </c>
      <c r="E245" s="332">
        <v>127.91</v>
      </c>
      <c r="F245" s="333">
        <v>7.345</v>
      </c>
      <c r="G245" s="334">
        <v>-0.002456582000537185</v>
      </c>
      <c r="H245" s="281">
        <v>2.4001779062121642E-4</v>
      </c>
      <c r="I245" s="281">
        <v>-0.0014771043884939476</v>
      </c>
      <c r="J245" s="281">
        <v>-0.004118683884999401</v>
      </c>
      <c r="K245" s="281">
        <v>-0.0015887134875510005</v>
      </c>
    </row>
    <row r="246">
      <c r="A246" s="184">
        <v>43767.97580962963</v>
      </c>
      <c r="B246" s="332">
        <v>4.653</v>
      </c>
      <c r="C246" s="332">
        <v>52.026</v>
      </c>
      <c r="D246" s="332">
        <v>185.25</v>
      </c>
      <c r="E246" s="332">
        <v>127.6</v>
      </c>
      <c r="F246" s="333">
        <v>7.362</v>
      </c>
      <c r="G246" s="334">
        <v>-0.006218154185953247</v>
      </c>
      <c r="H246" s="281">
        <v>0.003244811685880015</v>
      </c>
      <c r="I246" s="281">
        <v>-0.0024272709859137764</v>
      </c>
      <c r="J246" s="281">
        <v>-0.0029958925624902952</v>
      </c>
      <c r="K246" s="281">
        <v>0.0014411423158856573</v>
      </c>
    </row>
    <row r="247">
      <c r="A247" s="184">
        <v>43766.97551363426</v>
      </c>
      <c r="B247" s="332">
        <v>4.644</v>
      </c>
      <c r="C247" s="332">
        <v>51.959</v>
      </c>
      <c r="D247" s="332">
        <v>185.16</v>
      </c>
      <c r="E247" s="332">
        <v>127.94</v>
      </c>
      <c r="F247" s="333">
        <v>7.35</v>
      </c>
      <c r="G247" s="334">
        <v>-0.006370635095234538</v>
      </c>
      <c r="H247" s="281">
        <v>0.004698266574197289</v>
      </c>
      <c r="I247" s="281">
        <v>-0.001874673398284843</v>
      </c>
      <c r="J247" s="281">
        <v>-6.223398045198299E-5</v>
      </c>
      <c r="K247" s="281">
        <v>0.0034898990116201123</v>
      </c>
    </row>
    <row r="248">
      <c r="A248" s="184">
        <v>43763.975490937504</v>
      </c>
      <c r="B248" s="332">
        <v>4.714</v>
      </c>
      <c r="C248" s="332">
        <v>51.79</v>
      </c>
      <c r="D248" s="332">
        <v>186.32</v>
      </c>
      <c r="E248" s="332">
        <v>129.49</v>
      </c>
      <c r="F248" s="333">
        <v>7.38</v>
      </c>
      <c r="G248" s="334">
        <v>0.0015412964446301913</v>
      </c>
      <c r="H248" s="281">
        <v>0.003282241585821651</v>
      </c>
      <c r="I248" s="281">
        <v>0.0019142908804488101</v>
      </c>
      <c r="J248" s="281">
        <v>0.006867871921695616</v>
      </c>
      <c r="K248" s="281">
        <v>0.006454549741979602</v>
      </c>
    </row>
    <row r="249">
      <c r="A249" s="184">
        <v>43762.975511145836</v>
      </c>
      <c r="B249" s="332">
        <v>4.74</v>
      </c>
      <c r="C249" s="332">
        <v>51.521</v>
      </c>
      <c r="D249" s="332">
        <v>186.6</v>
      </c>
      <c r="E249" s="332">
        <v>128.74</v>
      </c>
      <c r="F249" s="333">
        <v>7.33</v>
      </c>
      <c r="G249" s="334">
        <v>0.004942735725156355</v>
      </c>
      <c r="H249" s="281">
        <v>0.002389407806768551</v>
      </c>
      <c r="I249" s="281">
        <v>0.0023612400729630854</v>
      </c>
      <c r="J249" s="281">
        <v>0.004779541940547157</v>
      </c>
      <c r="K249" s="281">
        <v>0.00571595066399296</v>
      </c>
    </row>
    <row r="250">
      <c r="A250" s="184">
        <v>43761.975526168986</v>
      </c>
      <c r="B250" s="332">
        <v>4.733</v>
      </c>
      <c r="C250" s="332">
        <v>51.23</v>
      </c>
      <c r="D250" s="332">
        <v>186.2</v>
      </c>
      <c r="E250" s="332">
        <v>127.95</v>
      </c>
      <c r="F250" s="333">
        <v>7.273</v>
      </c>
      <c r="G250" s="334">
        <v>7.388367620888939E-4</v>
      </c>
      <c r="H250" s="281">
        <v>0.0019207664976421679</v>
      </c>
      <c r="I250" s="281">
        <v>4.772978989446101E-4</v>
      </c>
      <c r="J250" s="281">
        <v>0.0011580314967757725</v>
      </c>
      <c r="K250" s="281">
        <v>0.001504617457523098</v>
      </c>
    </row>
    <row r="251">
      <c r="A251" s="184">
        <v>43760.97548800926</v>
      </c>
      <c r="B251" s="332">
        <v>4.692</v>
      </c>
      <c r="C251" s="332">
        <v>51.281</v>
      </c>
      <c r="D251" s="332">
        <v>185.25</v>
      </c>
      <c r="E251" s="332">
        <v>126.84</v>
      </c>
      <c r="F251" s="333">
        <v>7.238</v>
      </c>
      <c r="G251" s="334">
        <v>-0.002501648314814068</v>
      </c>
      <c r="H251" s="281">
        <v>0.0011138971178397867</v>
      </c>
      <c r="I251" s="281">
        <v>-0.001510228677328825</v>
      </c>
      <c r="J251" s="281">
        <v>-0.002701043356299504</v>
      </c>
      <c r="K251" s="281">
        <v>7.752807422723995E-4</v>
      </c>
    </row>
    <row r="252">
      <c r="A252" s="184">
        <v>43759.97547949074</v>
      </c>
      <c r="B252" s="332">
        <v>4.67</v>
      </c>
      <c r="C252" s="332">
        <v>51.152</v>
      </c>
      <c r="D252" s="332">
        <v>185.28</v>
      </c>
      <c r="E252" s="332">
        <v>126.9</v>
      </c>
      <c r="F252" s="333">
        <v>7.205</v>
      </c>
      <c r="G252" s="334">
        <v>-0.005615963886488107</v>
      </c>
      <c r="H252" s="281">
        <v>-9.898897242047362E-4</v>
      </c>
      <c r="I252" s="281">
        <v>-0.003211670573922465</v>
      </c>
      <c r="J252" s="281">
        <v>-0.0030907953752672412</v>
      </c>
      <c r="K252" s="281">
        <v>-0.003006397344844536</v>
      </c>
    </row>
    <row r="253">
      <c r="A253" s="184">
        <v>43756.97548054398</v>
      </c>
      <c r="B253" s="332">
        <v>4.722</v>
      </c>
      <c r="C253" s="332">
        <v>50.935</v>
      </c>
      <c r="D253" s="332">
        <v>185.93</v>
      </c>
      <c r="E253" s="332">
        <v>127.5</v>
      </c>
      <c r="F253" s="333">
        <v>7.24</v>
      </c>
      <c r="G253" s="334">
        <v>-0.003588894511350841</v>
      </c>
      <c r="H253" s="281">
        <v>-0.0037944078551357396</v>
      </c>
      <c r="I253" s="281">
        <v>-0.002755014981895639</v>
      </c>
      <c r="J253" s="281">
        <v>-0.003752935714072425</v>
      </c>
      <c r="K253" s="281">
        <v>-0.002533414632816089</v>
      </c>
    </row>
    <row r="254">
      <c r="A254" s="184">
        <v>43755.97548087963</v>
      </c>
      <c r="B254" s="332">
        <v>4.727</v>
      </c>
      <c r="C254" s="332">
        <v>51.109</v>
      </c>
      <c r="D254" s="332">
        <v>186.09</v>
      </c>
      <c r="E254" s="332">
        <v>127.87</v>
      </c>
      <c r="F254" s="333">
        <v>7.221</v>
      </c>
      <c r="G254" s="334">
        <v>-0.006238939728105149</v>
      </c>
      <c r="H254" s="281">
        <v>-1.9049600069923991E-4</v>
      </c>
      <c r="I254" s="281">
        <v>-0.0038194960012138957</v>
      </c>
      <c r="J254" s="281">
        <v>-0.0027339118178689357</v>
      </c>
      <c r="K254" s="281">
        <v>-0.0036366514167582853</v>
      </c>
    </row>
    <row r="255">
      <c r="A255" s="184">
        <v>43754.97549733796</v>
      </c>
      <c r="B255" s="332">
        <v>4.749</v>
      </c>
      <c r="C255" s="332">
        <v>51.303</v>
      </c>
      <c r="D255" s="332">
        <v>187.07</v>
      </c>
      <c r="E255" s="332">
        <v>128.08</v>
      </c>
      <c r="F255" s="333">
        <v>7.27</v>
      </c>
      <c r="G255" s="334">
        <v>-0.001642163966423249</v>
      </c>
      <c r="H255" s="281">
        <v>-7.113131233926021E-4</v>
      </c>
      <c r="I255" s="281">
        <v>-4.7027817252816756E-4</v>
      </c>
      <c r="J255" s="281">
        <v>0.001536758384844535</v>
      </c>
      <c r="K255" s="281">
        <v>-0.0014660543694603085</v>
      </c>
    </row>
    <row r="256">
      <c r="A256" s="184">
        <v>43753.9754819213</v>
      </c>
      <c r="B256" s="332">
        <v>4.773</v>
      </c>
      <c r="C256" s="332">
        <v>51.517</v>
      </c>
      <c r="D256" s="332">
        <v>187.47</v>
      </c>
      <c r="E256" s="332">
        <v>128.94</v>
      </c>
      <c r="F256" s="333">
        <v>7.295</v>
      </c>
      <c r="G256" s="334">
        <v>-0.005406048082318593</v>
      </c>
      <c r="H256" s="281">
        <v>0.004757443465304452</v>
      </c>
      <c r="I256" s="281">
        <v>-0.003334108593663454</v>
      </c>
      <c r="J256" s="281">
        <v>-0.001062417255889958</v>
      </c>
      <c r="K256" s="281">
        <v>0.001825739717341272</v>
      </c>
    </row>
    <row r="257">
      <c r="A257" s="184">
        <v>43752.9754815625</v>
      </c>
      <c r="B257" s="332">
        <v>4.816</v>
      </c>
      <c r="C257" s="332">
        <v>51.136</v>
      </c>
      <c r="D257" s="332">
        <v>188.23</v>
      </c>
      <c r="E257" s="332">
        <v>128.92</v>
      </c>
      <c r="F257" s="333">
        <v>7.3</v>
      </c>
      <c r="G257" s="334">
        <v>-0.00831369800027774</v>
      </c>
      <c r="H257" s="281">
        <v>0.0050819951289703775</v>
      </c>
      <c r="I257" s="281">
        <v>-0.004975633634533942</v>
      </c>
      <c r="J257" s="281">
        <v>-0.004825556752404518</v>
      </c>
      <c r="K257" s="281">
        <v>-5.646768247392261E-4</v>
      </c>
    </row>
    <row r="258">
      <c r="A258" s="184">
        <v>43749.97548219908</v>
      </c>
      <c r="B258" s="332">
        <v>4.772</v>
      </c>
      <c r="C258" s="332">
        <v>51.41</v>
      </c>
      <c r="D258" s="332">
        <v>187.33</v>
      </c>
      <c r="E258" s="332">
        <v>127.48</v>
      </c>
      <c r="F258" s="333">
        <v>7.302</v>
      </c>
      <c r="G258" s="334">
        <v>-0.0157486213872949</v>
      </c>
      <c r="H258" s="281">
        <v>0.00790734898912726</v>
      </c>
      <c r="I258" s="281">
        <v>-0.008593437393570028</v>
      </c>
      <c r="J258" s="281">
        <v>-0.008599776062798123</v>
      </c>
      <c r="K258" s="281">
        <v>8.942622558238966E-4</v>
      </c>
    </row>
    <row r="259">
      <c r="A259" s="184">
        <v>43748.975473900464</v>
      </c>
      <c r="B259" s="332">
        <v>4.85</v>
      </c>
      <c r="C259" s="332">
        <v>50.781</v>
      </c>
      <c r="D259" s="332">
        <v>189.34</v>
      </c>
      <c r="E259" s="332">
        <v>129.33</v>
      </c>
      <c r="F259" s="333">
        <v>7.255</v>
      </c>
      <c r="G259" s="334">
        <v>-0.008233918683800967</v>
      </c>
      <c r="H259" s="281">
        <v>-0.0014366847353176986</v>
      </c>
      <c r="I259" s="281">
        <v>-0.003230527617715806</v>
      </c>
      <c r="J259" s="281">
        <v>-0.0017999825365853095</v>
      </c>
      <c r="K259" s="281">
        <v>-5.646440952569906E-4</v>
      </c>
    </row>
    <row r="260">
      <c r="A260" s="184">
        <v>43747.97562680556</v>
      </c>
      <c r="B260" s="332">
        <v>4.936</v>
      </c>
      <c r="C260" s="332">
        <v>50.356</v>
      </c>
      <c r="D260" s="332">
        <v>191.04</v>
      </c>
      <c r="E260" s="332">
        <v>130.77</v>
      </c>
      <c r="F260" s="333">
        <v>7.312</v>
      </c>
      <c r="G260" s="334">
        <v>-0.0031280947366818523</v>
      </c>
      <c r="H260" s="281">
        <v>-0.002624883644859355</v>
      </c>
      <c r="I260" s="281">
        <v>-0.001057190170277537</v>
      </c>
      <c r="J260" s="281">
        <v>5.783250884821752E-4</v>
      </c>
      <c r="K260" s="281">
        <v>0.0015955448780482495</v>
      </c>
    </row>
    <row r="261">
      <c r="A261" s="184">
        <v>43746.975523506946</v>
      </c>
      <c r="B261" s="332">
        <v>5.001</v>
      </c>
      <c r="C261" s="332">
        <v>50.199</v>
      </c>
      <c r="D261" s="332">
        <v>192.2</v>
      </c>
      <c r="E261" s="332">
        <v>130.79</v>
      </c>
      <c r="F261" s="333">
        <v>7.282</v>
      </c>
      <c r="G261" s="334">
        <v>0.00346937305715452</v>
      </c>
      <c r="H261" s="281">
        <v>0.0020898839913835823</v>
      </c>
      <c r="I261" s="281">
        <v>0.0018365049804919265</v>
      </c>
      <c r="J261" s="281">
        <v>-3.4102319879554993E-4</v>
      </c>
      <c r="K261" s="281">
        <v>0.0023808318352358895</v>
      </c>
    </row>
    <row r="262">
      <c r="A262" s="184">
        <v>43745.97550310185</v>
      </c>
      <c r="B262" s="332">
        <v>4.97</v>
      </c>
      <c r="C262" s="332">
        <v>50.992</v>
      </c>
      <c r="D262" s="332">
        <v>191.17</v>
      </c>
      <c r="E262" s="332">
        <v>130.02</v>
      </c>
      <c r="F262" s="333">
        <v>7.267</v>
      </c>
      <c r="G262" s="334">
        <v>0.0014031196411710134</v>
      </c>
      <c r="H262" s="281">
        <v>0.00686098371000458</v>
      </c>
      <c r="I262" s="281">
        <v>4.861519078802612E-4</v>
      </c>
      <c r="J262" s="281">
        <v>-0.0014632488557687247</v>
      </c>
      <c r="K262" s="281">
        <v>7.721233719060935E-4</v>
      </c>
    </row>
    <row r="263">
      <c r="A263" s="184">
        <v>43742.975501319444</v>
      </c>
      <c r="B263" s="332">
        <v>4.982</v>
      </c>
      <c r="C263" s="332">
        <v>50.747</v>
      </c>
      <c r="D263" s="332">
        <v>191.64</v>
      </c>
      <c r="E263" s="332">
        <v>130.54</v>
      </c>
      <c r="F263" s="333">
        <v>7.277</v>
      </c>
      <c r="G263" s="334">
        <v>0.0030161927047291925</v>
      </c>
      <c r="H263" s="281">
        <v>-0.004311102284725569</v>
      </c>
      <c r="I263" s="281">
        <v>0.001340590952128758</v>
      </c>
      <c r="J263" s="281">
        <v>0.0032136780382882404</v>
      </c>
      <c r="K263" s="281">
        <v>-0.0010680326475109119</v>
      </c>
    </row>
    <row r="264">
      <c r="A264" s="184">
        <v>43741.97547913194</v>
      </c>
      <c r="B264" s="332">
        <v>4.949</v>
      </c>
      <c r="C264" s="332">
        <v>49.871</v>
      </c>
      <c r="D264" s="332">
        <v>191.14</v>
      </c>
      <c r="E264" s="332">
        <v>130.92</v>
      </c>
      <c r="F264" s="333">
        <v>7.23</v>
      </c>
      <c r="G264" s="334">
        <v>0.0032388699758807427</v>
      </c>
      <c r="H264" s="281">
        <v>-0.012945691318062927</v>
      </c>
      <c r="I264" s="281">
        <v>0.001309171618134893</v>
      </c>
      <c r="J264" s="281">
        <v>0.006839740741272249</v>
      </c>
      <c r="K264" s="281">
        <v>-0.004316824895307307</v>
      </c>
    </row>
    <row r="265">
      <c r="A265" s="184">
        <v>43740.975478113425</v>
      </c>
      <c r="B265" s="332">
        <v>4.949</v>
      </c>
      <c r="C265" s="332">
        <v>49.945</v>
      </c>
      <c r="D265" s="332">
        <v>190.89</v>
      </c>
      <c r="E265" s="332">
        <v>130.59</v>
      </c>
      <c r="F265" s="333">
        <v>7.25</v>
      </c>
      <c r="G265" s="334">
        <v>0.004531123257523991</v>
      </c>
      <c r="H265" s="281">
        <v>-0.011666359536186036</v>
      </c>
      <c r="I265" s="281">
        <v>0.0024138881760196926</v>
      </c>
      <c r="J265" s="281">
        <v>0.0019449520841217094</v>
      </c>
      <c r="K265" s="281">
        <v>-0.004578065216510756</v>
      </c>
    </row>
    <row r="266">
      <c r="A266" s="184">
        <v>43739.97547013889</v>
      </c>
      <c r="B266" s="332">
        <v>4.937</v>
      </c>
      <c r="C266" s="332">
        <v>51.379</v>
      </c>
      <c r="D266" s="332">
        <v>190.87</v>
      </c>
      <c r="E266" s="332">
        <v>129.28</v>
      </c>
      <c r="F266" s="333">
        <v>7.3</v>
      </c>
      <c r="G266" s="334">
        <v>0.0032449329708950834</v>
      </c>
      <c r="H266" s="281">
        <v>-6.77419674976291E-4</v>
      </c>
      <c r="I266" s="281">
        <v>0.0020271796221829064</v>
      </c>
      <c r="J266" s="281">
        <v>-0.005866915289069278</v>
      </c>
      <c r="K266" s="281">
        <v>-0.0021885116939523255</v>
      </c>
    </row>
    <row r="267">
      <c r="A267" s="184">
        <v>43738.97547076389</v>
      </c>
      <c r="B267" s="332">
        <v>4.901</v>
      </c>
      <c r="C267" s="332">
        <v>51.823</v>
      </c>
      <c r="D267" s="332">
        <v>190.39</v>
      </c>
      <c r="E267" s="332">
        <v>128.25</v>
      </c>
      <c r="F267" s="333">
        <v>7.324</v>
      </c>
      <c r="G267" s="334">
        <v>0.001700650576922665</v>
      </c>
      <c r="H267" s="281">
        <v>8.498845707293201E-4</v>
      </c>
      <c r="I267" s="281">
        <v>0.001751174436642892</v>
      </c>
      <c r="J267" s="281">
        <v>-0.00902942777036301</v>
      </c>
      <c r="K267" s="281">
        <v>-0.0026803549066551913</v>
      </c>
    </row>
    <row r="268">
      <c r="A268" s="184">
        <v>43735.97497361111</v>
      </c>
      <c r="B268" s="332">
        <v>4.882</v>
      </c>
      <c r="C268" s="332">
        <v>51.701</v>
      </c>
      <c r="D268" s="332">
        <v>189.51</v>
      </c>
      <c r="E268" s="332">
        <v>129.81</v>
      </c>
      <c r="F268" s="333">
        <v>7.35</v>
      </c>
      <c r="G268" s="334">
        <v>6.658706831748813E-5</v>
      </c>
      <c r="H268" s="281">
        <v>-5.023234371372606E-4</v>
      </c>
      <c r="I268" s="281">
        <v>0.001196097772081887</v>
      </c>
      <c r="J268" s="281">
        <v>-0.0059615641412290215</v>
      </c>
      <c r="K268" s="281">
        <v>-0.0022645596838976414</v>
      </c>
    </row>
    <row r="269">
      <c r="A269" s="184">
        <v>43734.97548858797</v>
      </c>
      <c r="B269" s="332">
        <v>4.889</v>
      </c>
      <c r="C269" s="332">
        <v>51.481</v>
      </c>
      <c r="D269" s="332">
        <v>189.71</v>
      </c>
      <c r="E269" s="332">
        <v>131.55</v>
      </c>
      <c r="F269" s="333">
        <v>7.348</v>
      </c>
      <c r="G269" s="334">
        <v>0.0017054975485067219</v>
      </c>
      <c r="H269" s="281">
        <v>-0.0021911208236520263</v>
      </c>
      <c r="I269" s="281">
        <v>0.0017597129458182998</v>
      </c>
      <c r="J269" s="281">
        <v>-0.0010646573244095976</v>
      </c>
      <c r="K269" s="281">
        <v>-0.003481388757869519</v>
      </c>
    </row>
    <row r="270">
      <c r="A270" s="184">
        <v>43733.97549216435</v>
      </c>
      <c r="B270" s="332">
        <v>4.876</v>
      </c>
      <c r="C270" s="332">
        <v>51.69</v>
      </c>
      <c r="D270" s="332">
        <v>189.39</v>
      </c>
      <c r="E270" s="332">
        <v>131.75</v>
      </c>
      <c r="F270" s="333">
        <v>7.383</v>
      </c>
      <c r="G270" s="334">
        <v>0.005547772477366042</v>
      </c>
      <c r="H270" s="281">
        <v>-0.0026840048110604218</v>
      </c>
      <c r="I270" s="281">
        <v>0.0038293555810664515</v>
      </c>
      <c r="J270" s="281">
        <v>0.004190674797736567</v>
      </c>
      <c r="K270" s="281">
        <v>-0.0011753610825804284</v>
      </c>
    </row>
    <row r="271">
      <c r="A271" s="184">
        <v>43732.97548393518</v>
      </c>
      <c r="B271" s="332">
        <v>4.881</v>
      </c>
      <c r="C271" s="332">
        <v>51.778</v>
      </c>
      <c r="D271" s="332">
        <v>188.83</v>
      </c>
      <c r="E271" s="332">
        <v>132.14</v>
      </c>
      <c r="F271" s="333">
        <v>7.4</v>
      </c>
      <c r="G271" s="334">
        <v>0.008322672728658831</v>
      </c>
      <c r="H271" s="281">
        <v>-0.0017326935697671668</v>
      </c>
      <c r="I271" s="281">
        <v>0.004695389105727088</v>
      </c>
      <c r="J271" s="281">
        <v>0.007150385121378111</v>
      </c>
      <c r="K271" s="281">
        <v>0.0010318583920509254</v>
      </c>
    </row>
    <row r="272">
      <c r="A272" s="184">
        <v>43731.97415458334</v>
      </c>
      <c r="B272" s="332">
        <v>4.864</v>
      </c>
      <c r="C272" s="332">
        <v>51.82</v>
      </c>
      <c r="D272" s="332">
        <v>188.71</v>
      </c>
      <c r="E272" s="332">
        <v>131.97</v>
      </c>
      <c r="F272" s="333">
        <v>7.425</v>
      </c>
      <c r="G272" s="334">
        <v>0.0071617084453834785</v>
      </c>
      <c r="H272" s="281">
        <v>0.0017527343497431385</v>
      </c>
      <c r="I272" s="281">
        <v>0.004018059020935512</v>
      </c>
      <c r="J272" s="281">
        <v>0.004943013150903175</v>
      </c>
      <c r="K272" s="281">
        <v>0.002564653895972898</v>
      </c>
    </row>
    <row r="273">
      <c r="A273" s="184">
        <v>43728.975497685184</v>
      </c>
      <c r="B273" s="332">
        <v>4.795</v>
      </c>
      <c r="C273" s="332">
        <v>52.107</v>
      </c>
      <c r="D273" s="332">
        <v>187.22</v>
      </c>
      <c r="E273" s="332">
        <v>130.09</v>
      </c>
      <c r="F273" s="333">
        <v>7.409</v>
      </c>
      <c r="G273" s="334">
        <v>0.004744014394078788</v>
      </c>
      <c r="H273" s="281">
        <v>0.002952184276380887</v>
      </c>
      <c r="I273" s="281">
        <v>0.0022622184797555698</v>
      </c>
      <c r="J273" s="281">
        <v>0.0012456603762704594</v>
      </c>
      <c r="K273" s="281">
        <v>-0.0016824132284014581</v>
      </c>
    </row>
    <row r="274">
      <c r="A274" s="184">
        <v>43727.97547965278</v>
      </c>
      <c r="B274" s="332">
        <v>4.76</v>
      </c>
      <c r="C274" s="332">
        <v>52.047</v>
      </c>
      <c r="D274" s="332">
        <v>186.18</v>
      </c>
      <c r="E274" s="332">
        <v>129.32</v>
      </c>
      <c r="F274" s="333">
        <v>7.377</v>
      </c>
      <c r="G274" s="334">
        <v>0.003932812812029803</v>
      </c>
      <c r="H274" s="281">
        <v>0.0012323145391831176</v>
      </c>
      <c r="I274" s="281">
        <v>-1.092885528923097E-4</v>
      </c>
      <c r="J274" s="281">
        <v>-0.0021419417333169433</v>
      </c>
      <c r="K274" s="281">
        <v>-0.007195879323924181</v>
      </c>
    </row>
    <row r="275">
      <c r="A275" s="184">
        <v>43726.975490729164</v>
      </c>
      <c r="B275" s="332">
        <v>4.76</v>
      </c>
      <c r="C275" s="332">
        <v>51.545</v>
      </c>
      <c r="D275" s="332">
        <v>186.44</v>
      </c>
      <c r="E275" s="332">
        <v>130.01</v>
      </c>
      <c r="F275" s="333">
        <v>7.368</v>
      </c>
      <c r="G275" s="334">
        <v>0.007050726644229344</v>
      </c>
      <c r="H275" s="281">
        <v>-0.0015391581134557668</v>
      </c>
      <c r="I275" s="281">
        <v>0.0028440401088359137</v>
      </c>
      <c r="J275" s="281">
        <v>0.003990542706009441</v>
      </c>
      <c r="K275" s="281">
        <v>0.003586695471469984</v>
      </c>
    </row>
    <row r="276">
      <c r="A276" s="184">
        <v>43725.97548028935</v>
      </c>
      <c r="B276" s="332">
        <v>4.727</v>
      </c>
      <c r="C276" s="332">
        <v>51.645</v>
      </c>
      <c r="D276" s="332">
        <v>185.95</v>
      </c>
      <c r="E276" s="332">
        <v>129.6</v>
      </c>
      <c r="F276" s="333">
        <v>7.446</v>
      </c>
      <c r="G276" s="334">
        <v>-0.0024132735481222634</v>
      </c>
      <c r="H276" s="281">
        <v>-0.0015361858866195233</v>
      </c>
      <c r="I276" s="281">
        <v>-0.0011156049650318984</v>
      </c>
      <c r="J276" s="281">
        <v>-8.234715107608981E-4</v>
      </c>
      <c r="K276" s="281">
        <v>0.007984954174822848</v>
      </c>
    </row>
    <row r="277">
      <c r="A277" s="184">
        <v>43724.97548815972</v>
      </c>
      <c r="B277" s="332">
        <v>4.704</v>
      </c>
      <c r="C277" s="332">
        <v>51.852</v>
      </c>
      <c r="D277" s="332">
        <v>186.24</v>
      </c>
      <c r="E277" s="332">
        <v>130.15</v>
      </c>
      <c r="F277" s="333">
        <v>7.537</v>
      </c>
      <c r="G277" s="334">
        <v>-0.007746646584241734</v>
      </c>
      <c r="H277" s="281">
        <v>6.222213984985089E-4</v>
      </c>
      <c r="I277" s="281">
        <v>-0.0031686507572650235</v>
      </c>
      <c r="J277" s="281">
        <v>0.0016945504244409253</v>
      </c>
      <c r="K277" s="281">
        <v>0.00921404065490857</v>
      </c>
    </row>
    <row r="278">
      <c r="A278" s="184">
        <v>43721.975469004625</v>
      </c>
      <c r="B278" s="332">
        <v>4.66</v>
      </c>
      <c r="C278" s="332">
        <v>51.783</v>
      </c>
      <c r="D278" s="332">
        <v>184.85</v>
      </c>
      <c r="E278" s="332">
        <v>128.45</v>
      </c>
      <c r="F278" s="333">
        <v>7.284</v>
      </c>
      <c r="G278" s="334">
        <v>-0.012561353823186868</v>
      </c>
      <c r="H278" s="281">
        <v>0.005189439244870438</v>
      </c>
      <c r="I278" s="281">
        <v>-0.005479175116895589</v>
      </c>
      <c r="J278" s="281">
        <v>-0.0018097824733667167</v>
      </c>
      <c r="K278" s="281">
        <v>-0.0015202651624286467</v>
      </c>
    </row>
    <row r="279">
      <c r="A279" s="184">
        <v>43720.97546011574</v>
      </c>
      <c r="B279" s="332">
        <v>4.76</v>
      </c>
      <c r="C279" s="332">
        <v>51.883</v>
      </c>
      <c r="D279" s="332">
        <v>186.56</v>
      </c>
      <c r="E279" s="332">
        <v>129.9</v>
      </c>
      <c r="F279" s="333">
        <v>7.265</v>
      </c>
      <c r="G279" s="334">
        <v>-0.008061163444166297</v>
      </c>
      <c r="H279" s="281">
        <v>0.0034006816000833697</v>
      </c>
      <c r="I279" s="281">
        <v>-0.0033535501945407185</v>
      </c>
      <c r="J279" s="281">
        <v>0.0015400420658055654</v>
      </c>
      <c r="K279" s="281">
        <v>-5.675103484078884E-4</v>
      </c>
    </row>
    <row r="280">
      <c r="A280" s="184">
        <v>43719.97476195602</v>
      </c>
      <c r="B280" s="332">
        <v>4.813</v>
      </c>
      <c r="C280" s="332">
        <v>51.755</v>
      </c>
      <c r="D280" s="332">
        <v>188.0</v>
      </c>
      <c r="E280" s="332">
        <v>129.47</v>
      </c>
      <c r="F280" s="333">
        <v>7.327</v>
      </c>
      <c r="G280" s="334">
        <v>-0.008519763619265023</v>
      </c>
      <c r="H280" s="281">
        <v>0.002578318462510998</v>
      </c>
      <c r="I280" s="281">
        <v>-0.0027618301966136536</v>
      </c>
      <c r="J280" s="281">
        <v>-0.004049063004606686</v>
      </c>
      <c r="K280" s="281">
        <v>0.004704919169679263</v>
      </c>
    </row>
    <row r="281">
      <c r="A281" s="184">
        <v>43718.97553638888</v>
      </c>
      <c r="B281" s="332">
        <v>4.8375</v>
      </c>
      <c r="C281" s="332">
        <v>50.977</v>
      </c>
      <c r="D281" s="332">
        <v>187.9</v>
      </c>
      <c r="E281" s="332">
        <v>129.14</v>
      </c>
      <c r="F281" s="333">
        <v>7.317</v>
      </c>
      <c r="G281" s="334">
        <v>-0.004257309554900039</v>
      </c>
      <c r="H281" s="281">
        <v>-0.002205266159109357</v>
      </c>
      <c r="I281" s="281">
        <v>-0.0023060902149614946</v>
      </c>
      <c r="J281" s="281">
        <v>-0.004720617998591618</v>
      </c>
      <c r="K281" s="281">
        <v>0.0023581388057054196</v>
      </c>
    </row>
  </sheetData>
  <conditionalFormatting sqref="G2:K281">
    <cfRule type="expression" dxfId="17" priority="1">
      <formula>G2&lt;AVERAGEIFS(G:G,G:G,"&lt;0")*2</formula>
    </cfRule>
  </conditionalFormatting>
  <conditionalFormatting sqref="G2:K281">
    <cfRule type="expression" dxfId="15" priority="2">
      <formula>G2&gt;AVERAGEIFS(G:G,G:G,"&gt;0")*2</formula>
    </cfRule>
  </conditionalFormatting>
  <conditionalFormatting sqref="B2:F281">
    <cfRule type="expression" dxfId="18" priority="3">
      <formula>B2=MAX(B:B)</formula>
    </cfRule>
  </conditionalFormatting>
  <conditionalFormatting sqref="B2:F281">
    <cfRule type="expression" dxfId="19" priority="4">
      <formula>B2=MIN(B:B)</formula>
    </cfRule>
  </conditionalFormatting>
  <conditionalFormatting sqref="B2:F281">
    <cfRule type="expression" dxfId="20" priority="5">
      <formula>B2&gt;AVERAGEIFS(B:B,$A:$A,"&gt;" &amp; DATE(YEAR(TODAY())-1,MONTH(TODAY()),DAY(TODAY())))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5" max="5" width="19.71"/>
    <col customWidth="1" min="11" max="11" width="23.43"/>
    <col customWidth="1" min="14" max="14" width="10.71"/>
    <col customWidth="1" min="15" max="15" width="15.43"/>
    <col customWidth="1" min="16" max="16" width="22.14"/>
    <col customWidth="1" min="17" max="17" width="12.14"/>
    <col customWidth="1" min="18" max="18" width="23.14"/>
    <col customWidth="1" min="19" max="19" width="30.29"/>
    <col customWidth="1" min="20" max="20" width="22.14"/>
    <col customWidth="1" min="21" max="21" width="21.71"/>
    <col customWidth="1" min="22" max="22" width="44.71"/>
  </cols>
  <sheetData>
    <row r="1">
      <c r="A1" s="63" t="s">
        <v>174</v>
      </c>
      <c r="B1" s="63" t="s">
        <v>1524</v>
      </c>
      <c r="C1" s="63" t="s">
        <v>1525</v>
      </c>
      <c r="D1" s="63" t="s">
        <v>1526</v>
      </c>
      <c r="E1" s="63" t="s">
        <v>1527</v>
      </c>
      <c r="F1" s="63" t="s">
        <v>1528</v>
      </c>
      <c r="G1" s="63" t="s">
        <v>1529</v>
      </c>
      <c r="H1" s="63" t="s">
        <v>1530</v>
      </c>
      <c r="I1" s="63" t="s">
        <v>1531</v>
      </c>
      <c r="J1" s="63" t="s">
        <v>282</v>
      </c>
      <c r="K1" s="335" t="s">
        <v>1532</v>
      </c>
      <c r="L1" s="139" t="s">
        <v>1533</v>
      </c>
      <c r="M1" s="139" t="s">
        <v>1534</v>
      </c>
      <c r="N1" s="336" t="s">
        <v>1535</v>
      </c>
      <c r="O1" s="139" t="s">
        <v>1536</v>
      </c>
      <c r="P1" s="139" t="s">
        <v>1537</v>
      </c>
      <c r="Q1" s="139" t="s">
        <v>1538</v>
      </c>
      <c r="R1" s="139" t="s">
        <v>1539</v>
      </c>
      <c r="S1" s="139" t="s">
        <v>1540</v>
      </c>
      <c r="T1" s="139" t="s">
        <v>1541</v>
      </c>
      <c r="U1" s="139" t="s">
        <v>1542</v>
      </c>
      <c r="V1" s="139" t="s">
        <v>1543</v>
      </c>
    </row>
    <row r="2">
      <c r="A2" s="8" t="s">
        <v>1544</v>
      </c>
      <c r="B2" s="286">
        <v>-300.0</v>
      </c>
      <c r="C2" s="286">
        <f t="shared" ref="C2:C4" si="1">SUM(INDIRECT($A2&amp;"!$K:$K"))-$D2</f>
        <v>-227.5743379</v>
      </c>
      <c r="D2" s="286">
        <f>SUMIFS(ExpensesHistoric!$C:$C,ExpensesHistoric!$B:$B,"*don*"&amp;$A2&amp;"*")</f>
        <v>-434.68</v>
      </c>
      <c r="E2" s="286" t="str">
        <f>ROUNDUP((DateTime!$B$2-MIN(INDIRECT($A2&amp;"!$A:$A")))/365.25*12) &amp; " months (" &amp; ROUNDUP((DateTime!$B$2-MIN(INDIRECT($A2&amp;"!$A:$A")))/365.25,1) &amp;  " years)"</f>
        <v>35 months (2.9 years)</v>
      </c>
      <c r="F2" s="286">
        <f>SUMIFS(ClientHistoric!$C:$C,ClientHistoric!$B:$B,$A2,ClientHistoric!$C:$C,"&gt;0")</f>
        <v>20000</v>
      </c>
      <c r="G2" s="286">
        <f>SUMIFS(ClientHistoric!$C:$C,ClientHistoric!$B:$B,$A2,ClientHistoric!$C:$C,"&lt;0")</f>
        <v>-12550</v>
      </c>
      <c r="H2" s="286">
        <f t="shared" ref="H2:H4" si="2">INDIRECT($A2&amp;"!J2")</f>
        <v>11151.80234</v>
      </c>
      <c r="I2" s="337">
        <f t="shared" ref="I2:I4" si="3">INDIRECT($A2&amp;"!H2")</f>
        <v>0.2539805043</v>
      </c>
      <c r="J2" s="338">
        <f t="shared" ref="J2:J4" si="4">INDIRECT($A2&amp;"!N2")+INDIRECT($A2&amp;"!C2")</f>
        <v>18621.48984</v>
      </c>
      <c r="K2" s="339" t="s">
        <v>1545</v>
      </c>
      <c r="L2" s="8" t="s">
        <v>1546</v>
      </c>
      <c r="M2" s="8" t="s">
        <v>1547</v>
      </c>
      <c r="N2" s="340">
        <v>26764.0</v>
      </c>
      <c r="O2" s="8" t="s">
        <v>1548</v>
      </c>
      <c r="P2" s="8" t="s">
        <v>1549</v>
      </c>
      <c r="Q2" s="8">
        <v>29550.0</v>
      </c>
      <c r="R2" s="8" t="s">
        <v>1550</v>
      </c>
      <c r="S2" s="8" t="s">
        <v>1551</v>
      </c>
      <c r="T2" s="8" t="s">
        <v>1552</v>
      </c>
      <c r="U2" s="8" t="s">
        <v>1553</v>
      </c>
      <c r="V2" s="341" t="s">
        <v>1554</v>
      </c>
    </row>
    <row r="3">
      <c r="A3" s="8" t="s">
        <v>1555</v>
      </c>
      <c r="B3" s="286"/>
      <c r="C3" s="286">
        <f t="shared" si="1"/>
        <v>-2.057821371</v>
      </c>
      <c r="D3" s="286">
        <f>SUMIFS(ExpensesHistoric!$C:$C,ExpensesHistoric!$B:$B,"*don*"&amp;$A3&amp;"*")</f>
        <v>0</v>
      </c>
      <c r="E3" s="286" t="str">
        <f>ROUNDUP((DateTime!$B$2-MIN(INDIRECT($A3&amp;"!$A:$A")))/365.25*12) &amp; " months (" &amp; ROUNDUP((DateTime!$B$2-MIN(INDIRECT($A3&amp;"!$A:$A")))/365.25,1) &amp;  " years)"</f>
        <v>15 months (1.2 years)</v>
      </c>
      <c r="F3" s="286">
        <f>SUMIFS(ClientHistoric!$C:$C,ClientHistoric!$B:$B,$A3,ClientHistoric!$C:$C,"&gt;0")</f>
        <v>300</v>
      </c>
      <c r="G3" s="286">
        <f>SUMIFS(ClientHistoric!$C:$C,ClientHistoric!$B:$B,$A3,ClientHistoric!$C:$C,"&lt;0")</f>
        <v>0</v>
      </c>
      <c r="H3" s="286">
        <f t="shared" si="2"/>
        <v>32.82839371</v>
      </c>
      <c r="I3" s="337">
        <f t="shared" si="3"/>
        <v>0.2600072144</v>
      </c>
      <c r="J3" s="338">
        <f t="shared" si="4"/>
        <v>332.9325604</v>
      </c>
      <c r="K3" s="339" t="s">
        <v>1556</v>
      </c>
      <c r="L3" s="8" t="s">
        <v>1557</v>
      </c>
      <c r="M3" s="8" t="s">
        <v>1558</v>
      </c>
      <c r="N3" s="340">
        <v>20148.0</v>
      </c>
      <c r="O3" s="8" t="s">
        <v>1559</v>
      </c>
      <c r="P3" s="8" t="s">
        <v>1560</v>
      </c>
      <c r="Q3" s="8">
        <v>88600.0</v>
      </c>
      <c r="R3" s="342" t="s">
        <v>1561</v>
      </c>
      <c r="S3" s="8"/>
      <c r="T3" s="8"/>
      <c r="U3" s="8"/>
      <c r="V3" s="8"/>
    </row>
    <row r="4">
      <c r="A4" s="8" t="s">
        <v>1562</v>
      </c>
      <c r="B4" s="286"/>
      <c r="C4" s="286">
        <f t="shared" si="1"/>
        <v>0</v>
      </c>
      <c r="D4" s="286">
        <f>SUMIFS(ExpensesHistoric!$C:$C,ExpensesHistoric!$B:$B,"*don*"&amp;$A4&amp;"*")</f>
        <v>0</v>
      </c>
      <c r="E4" s="286" t="str">
        <f>ROUNDUP((DateTime!$B$2-MIN(INDIRECT($A4&amp;"!$A:$A")))/365.25*12) &amp; " months (" &amp; ROUNDUP((DateTime!$B$2-MIN(INDIRECT($A4&amp;"!$A:$A")))/365.25,1) &amp;  " years)"</f>
        <v>1 months (0.1 years)</v>
      </c>
      <c r="F4" s="286">
        <f>SUMIFS(ClientHistoric!$C:$C,ClientHistoric!$B:$B,$A4,ClientHistoric!$C:$C,"&gt;0")</f>
        <v>40000</v>
      </c>
      <c r="G4" s="286">
        <f>SUMIFS(ClientHistoric!$C:$C,ClientHistoric!$B:$B,$A4,ClientHistoric!$C:$C,"&lt;0")</f>
        <v>0</v>
      </c>
      <c r="H4" s="286">
        <f t="shared" si="2"/>
        <v>0</v>
      </c>
      <c r="I4" s="337">
        <f t="shared" si="3"/>
        <v>0</v>
      </c>
      <c r="J4" s="338">
        <f t="shared" si="4"/>
        <v>40000</v>
      </c>
      <c r="K4" s="339" t="s">
        <v>1563</v>
      </c>
      <c r="L4" s="8" t="s">
        <v>1564</v>
      </c>
      <c r="M4" s="8" t="s">
        <v>1565</v>
      </c>
      <c r="N4" s="340">
        <v>25023.0</v>
      </c>
      <c r="O4" s="8"/>
      <c r="P4" s="8" t="s">
        <v>1566</v>
      </c>
      <c r="Q4" s="8">
        <v>91470.0</v>
      </c>
      <c r="R4" s="8" t="s">
        <v>1567</v>
      </c>
      <c r="S4" s="8" t="s">
        <v>1568</v>
      </c>
      <c r="T4" s="8" t="s">
        <v>1569</v>
      </c>
      <c r="U4" s="8" t="s">
        <v>1570</v>
      </c>
      <c r="V4" s="343" t="s">
        <v>1571</v>
      </c>
    </row>
  </sheetData>
  <dataValidations>
    <dataValidation type="decimal" operator="lessThan" allowBlank="1" showDropDown="1" showInputMessage="1" showErrorMessage="1" prompt="The recurrent amount can only be negative (withdraw)" sqref="B2:B4">
      <formula1>0.0</formula1>
    </dataValidation>
  </dataValidations>
  <hyperlinks>
    <hyperlink r:id="rId2" ref="V2"/>
    <hyperlink r:id="rId3" ref="V4"/>
  </hyperlinks>
  <drawing r:id="rId4"/>
  <legacyDrawing r:id="rId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3" width="14.43"/>
  </cols>
  <sheetData>
    <row r="1">
      <c r="A1" s="141" t="s">
        <v>46</v>
      </c>
      <c r="B1" s="63" t="s">
        <v>5</v>
      </c>
      <c r="C1" s="63" t="s">
        <v>1572</v>
      </c>
    </row>
    <row r="2">
      <c r="A2" s="340">
        <v>44115.0</v>
      </c>
      <c r="B2" s="8" t="s">
        <v>1544</v>
      </c>
      <c r="C2" s="286">
        <v>-300.0</v>
      </c>
    </row>
    <row r="3">
      <c r="A3" s="340">
        <v>44092.0</v>
      </c>
      <c r="B3" s="8" t="s">
        <v>1562</v>
      </c>
      <c r="C3" s="286">
        <v>40000.0</v>
      </c>
    </row>
    <row r="4">
      <c r="A4" s="340">
        <v>44091.0</v>
      </c>
      <c r="B4" s="8" t="s">
        <v>1555</v>
      </c>
      <c r="C4" s="286">
        <v>100.0</v>
      </c>
    </row>
    <row r="5">
      <c r="A5" s="340">
        <v>44054.0</v>
      </c>
      <c r="B5" s="8" t="s">
        <v>1544</v>
      </c>
      <c r="C5" s="286">
        <v>-300.0</v>
      </c>
    </row>
    <row r="6">
      <c r="A6" s="340">
        <v>44053.0</v>
      </c>
      <c r="B6" s="8" t="s">
        <v>1544</v>
      </c>
      <c r="C6" s="286">
        <v>-300.0</v>
      </c>
    </row>
    <row r="7">
      <c r="A7" s="344">
        <v>44048.0</v>
      </c>
      <c r="B7" s="8" t="s">
        <v>1544</v>
      </c>
      <c r="C7" s="286">
        <v>-1500.0</v>
      </c>
    </row>
    <row r="8">
      <c r="A8" s="344">
        <v>44046.0</v>
      </c>
      <c r="B8" s="8" t="s">
        <v>1544</v>
      </c>
      <c r="C8" s="286">
        <v>-2200.0</v>
      </c>
    </row>
    <row r="9">
      <c r="A9" s="344">
        <v>44035.0</v>
      </c>
      <c r="B9" s="8" t="s">
        <v>1544</v>
      </c>
      <c r="C9" s="286">
        <v>-500.0</v>
      </c>
    </row>
    <row r="10">
      <c r="A10" s="344">
        <v>44029.0</v>
      </c>
      <c r="B10" s="8" t="s">
        <v>1544</v>
      </c>
      <c r="C10" s="286">
        <v>-300.0</v>
      </c>
    </row>
    <row r="11">
      <c r="A11" s="340">
        <v>44014.0</v>
      </c>
      <c r="B11" s="8" t="s">
        <v>1544</v>
      </c>
      <c r="C11" s="286">
        <v>-300.0</v>
      </c>
    </row>
    <row r="12">
      <c r="A12" s="340">
        <v>44008.0</v>
      </c>
      <c r="B12" s="8" t="s">
        <v>1544</v>
      </c>
      <c r="C12" s="286">
        <v>3000.0</v>
      </c>
    </row>
    <row r="13">
      <c r="A13" s="340">
        <v>43990.0</v>
      </c>
      <c r="B13" s="8" t="s">
        <v>1544</v>
      </c>
      <c r="C13" s="286">
        <v>-300.0</v>
      </c>
    </row>
    <row r="14">
      <c r="A14" s="340">
        <v>43959.0</v>
      </c>
      <c r="B14" s="8" t="s">
        <v>1544</v>
      </c>
      <c r="C14" s="286">
        <v>-300.0</v>
      </c>
    </row>
    <row r="15">
      <c r="A15" s="340">
        <v>43935.0</v>
      </c>
      <c r="B15" s="8" t="s">
        <v>1544</v>
      </c>
      <c r="C15" s="286">
        <v>-300.0</v>
      </c>
    </row>
    <row r="16">
      <c r="A16" s="340">
        <v>43899.0</v>
      </c>
      <c r="B16" s="8" t="s">
        <v>1544</v>
      </c>
      <c r="C16" s="286">
        <v>-300.0</v>
      </c>
    </row>
    <row r="17">
      <c r="A17" s="340">
        <v>43871.0</v>
      </c>
      <c r="B17" s="8" t="s">
        <v>1555</v>
      </c>
      <c r="C17" s="286">
        <v>100.0</v>
      </c>
    </row>
    <row r="18">
      <c r="A18" s="340">
        <v>43850.0</v>
      </c>
      <c r="B18" s="8" t="s">
        <v>1544</v>
      </c>
      <c r="C18" s="286">
        <v>-1000.0</v>
      </c>
    </row>
    <row r="19">
      <c r="A19" s="340">
        <v>43804.0</v>
      </c>
      <c r="B19" s="8" t="s">
        <v>1544</v>
      </c>
      <c r="C19" s="286">
        <v>-700.0</v>
      </c>
    </row>
    <row r="20">
      <c r="A20" s="340">
        <v>43775.0</v>
      </c>
      <c r="B20" s="8" t="s">
        <v>1544</v>
      </c>
      <c r="C20" s="286">
        <v>-300.0</v>
      </c>
    </row>
    <row r="21">
      <c r="A21" s="344">
        <v>43756.0</v>
      </c>
      <c r="B21" s="8" t="s">
        <v>1544</v>
      </c>
      <c r="C21" s="286">
        <v>-150.0</v>
      </c>
    </row>
    <row r="22">
      <c r="A22" s="340">
        <v>43706.0</v>
      </c>
      <c r="B22" s="8" t="s">
        <v>1544</v>
      </c>
      <c r="C22" s="286">
        <v>-1000.0</v>
      </c>
    </row>
    <row r="23">
      <c r="A23" s="340">
        <v>43675.0</v>
      </c>
      <c r="B23" s="8" t="s">
        <v>1555</v>
      </c>
      <c r="C23" s="286">
        <v>100.0</v>
      </c>
    </row>
    <row r="24">
      <c r="A24" s="340">
        <v>43601.0</v>
      </c>
      <c r="B24" s="8" t="s">
        <v>1544</v>
      </c>
      <c r="C24" s="286">
        <v>-500.0</v>
      </c>
    </row>
    <row r="25">
      <c r="A25" s="340">
        <v>43474.0</v>
      </c>
      <c r="B25" s="8" t="s">
        <v>1544</v>
      </c>
      <c r="C25" s="286">
        <v>-1000.0</v>
      </c>
    </row>
    <row r="26">
      <c r="A26" s="340">
        <v>43444.0</v>
      </c>
      <c r="B26" s="8" t="s">
        <v>1544</v>
      </c>
      <c r="C26" s="286">
        <v>-1000.0</v>
      </c>
    </row>
    <row r="27">
      <c r="A27" s="340">
        <v>43395.0</v>
      </c>
      <c r="B27" s="8" t="s">
        <v>1544</v>
      </c>
      <c r="C27" s="286">
        <v>7000.0</v>
      </c>
    </row>
    <row r="28">
      <c r="A28" s="340">
        <v>43068.0</v>
      </c>
      <c r="B28" s="8" t="s">
        <v>1544</v>
      </c>
      <c r="C28" s="286">
        <v>10000.0</v>
      </c>
    </row>
  </sheetData>
  <autoFilter ref="$A$1:$C$28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4" width="14.43"/>
  </cols>
  <sheetData>
    <row r="1">
      <c r="A1" s="9" t="s">
        <v>46</v>
      </c>
      <c r="B1" s="9" t="s">
        <v>1572</v>
      </c>
      <c r="C1" s="9" t="s">
        <v>1573</v>
      </c>
      <c r="D1" s="9" t="s">
        <v>1574</v>
      </c>
      <c r="E1" s="9" t="s">
        <v>1575</v>
      </c>
      <c r="F1" s="9" t="s">
        <v>1576</v>
      </c>
      <c r="G1" s="9" t="s">
        <v>1577</v>
      </c>
      <c r="H1" s="9" t="s">
        <v>1531</v>
      </c>
      <c r="I1" s="9" t="s">
        <v>1578</v>
      </c>
      <c r="J1" s="9" t="s">
        <v>1530</v>
      </c>
      <c r="K1" s="9" t="s">
        <v>1525</v>
      </c>
      <c r="L1" s="9" t="s">
        <v>1579</v>
      </c>
      <c r="M1" s="9" t="s">
        <v>1580</v>
      </c>
      <c r="N1" s="9" t="s">
        <v>282</v>
      </c>
    </row>
    <row r="2">
      <c r="A2" s="184">
        <f>EOMONTH(IF(ISDATE($A1),$A1-1,DateTime!B2),-1)+1</f>
        <v>44105</v>
      </c>
      <c r="B2" s="233">
        <f>SUMIFS(ClientHistoric!$C:$C,ClientHistoric!$A:$A,"&gt;"&amp;EOMONTH($A2,-2),ClientHistoric!$A:$A,"&lt;"&amp;$A2,ClientHistoric!$B:$B,SHEETNAME(),ClientHistoric!$C:$C,"&gt;0")+SUMIFS(ClientHistoric!$C:$C,ClientHistoric!$A:$A,"&gt;="&amp;$A2,ClientHistoric!$A:$A,"&lt;="&amp;EOMONTH($A2,0),ClientHistoric!$B:$B,SHEETNAME(),ClientHistoric!$C:$C,"&lt;0")+$C3*(1+Dashboard!$B$56/12)</f>
        <v>-300</v>
      </c>
      <c r="C2" s="233">
        <f>MAX($B2+IF($B2&gt;0,SUMIFS(Historic!$G:$G,Historic!$D:$D,"BUY",Historic!$A:$A,"&gt;"&amp;MAX(EOMONTH($A2,-2),MAXIFS(ClientHistoric!$A:$A,ClientHistoric!$A:$A,"&gt;"&amp;EOMONTH($A2,-2),ClientHistoric!$A:$A,"&lt;"&amp;$A2,ClientHistoric!$B:$B,SHEETNAME(),ClientHistoric!$C:$C,"&gt;0")),Historic!$A:$A,"&lt;"&amp;$A2),0),0)</f>
        <v>0</v>
      </c>
      <c r="D2" s="233">
        <f>$B2-$C2</f>
        <v>-300</v>
      </c>
      <c r="E2" s="233">
        <f>$E3+$D2</f>
        <v>7469.6875</v>
      </c>
      <c r="F2" s="281">
        <f>IF($A3,MAXIFS(AllocationHistoric!$I:$I,AllocationHistoric!$A:$A,$A2),0)</f>
        <v>-0.003035883482</v>
      </c>
      <c r="G2" s="281">
        <f>$F2+$G3</f>
        <v>0.7196114289</v>
      </c>
      <c r="H2" s="281">
        <f>IF($A3,$G2/ROWS($A3:$A36)*12,0)</f>
        <v>0.2539805043</v>
      </c>
      <c r="I2" s="233">
        <f>$N3*$F2</f>
        <v>-57.60871267</v>
      </c>
      <c r="J2" s="233">
        <f>$N2-$E2</f>
        <v>11151.80234</v>
      </c>
      <c r="K2" s="233">
        <f>-$I2*5.5/100</f>
        <v>3.168479197</v>
      </c>
      <c r="L2" s="233">
        <f>IF($L3,$E2*Dashboard!$B$56/12+$D2+$L3,$D2)</f>
        <v>7869.653537</v>
      </c>
      <c r="M2" s="233">
        <f>$M3+$D2+$M3*$F2+$K2</f>
        <v>18621.48984</v>
      </c>
      <c r="N2" s="303">
        <f>MAX($M2,$L2)</f>
        <v>18621.48984</v>
      </c>
    </row>
    <row r="3">
      <c r="A3" s="184">
        <v>44075.0</v>
      </c>
      <c r="B3" s="233">
        <v>0.0</v>
      </c>
      <c r="C3" s="233">
        <v>0.0</v>
      </c>
      <c r="D3" s="233">
        <v>0.0</v>
      </c>
      <c r="E3" s="233">
        <v>7769.687499999998</v>
      </c>
      <c r="F3" s="281">
        <v>0.0695011442271417</v>
      </c>
      <c r="G3" s="281">
        <v>0.7226473123343545</v>
      </c>
      <c r="H3" s="281">
        <v>0.2627808408488562</v>
      </c>
      <c r="I3" s="233">
        <v>1237.567195225565</v>
      </c>
      <c r="J3" s="233">
        <v>11206.242573245314</v>
      </c>
      <c r="K3" s="233">
        <v>-68.06619573740608</v>
      </c>
      <c r="L3" s="233">
        <v>8161.872612847221</v>
      </c>
      <c r="M3" s="233">
        <v>18975.930073245312</v>
      </c>
      <c r="N3" s="303">
        <v>18975.930073245312</v>
      </c>
    </row>
    <row r="4">
      <c r="A4" s="184">
        <v>44044.0</v>
      </c>
      <c r="B4" s="233">
        <v>-2398.0208333333335</v>
      </c>
      <c r="C4" s="233">
        <v>0.0</v>
      </c>
      <c r="D4" s="233">
        <v>-2398.0208333333335</v>
      </c>
      <c r="E4" s="233">
        <v>7769.687499999998</v>
      </c>
      <c r="F4" s="281">
        <v>-0.0011851593150153932</v>
      </c>
      <c r="G4" s="281">
        <v>0.6531461681072128</v>
      </c>
      <c r="H4" s="281">
        <v>0.2449298130402048</v>
      </c>
      <c r="I4" s="233">
        <v>-23.972340447392014</v>
      </c>
      <c r="J4" s="233">
        <v>10036.741573757155</v>
      </c>
      <c r="K4" s="233">
        <v>1.3184787246065608</v>
      </c>
      <c r="L4" s="233">
        <v>8153.779188368054</v>
      </c>
      <c r="M4" s="233">
        <v>17806.429073757154</v>
      </c>
      <c r="N4" s="303">
        <v>17806.429073757154</v>
      </c>
    </row>
    <row r="5">
      <c r="A5" s="184">
        <v>44013.0</v>
      </c>
      <c r="B5" s="233">
        <v>1900.0</v>
      </c>
      <c r="C5" s="233">
        <v>1900.0</v>
      </c>
      <c r="D5" s="233">
        <v>0.0</v>
      </c>
      <c r="E5" s="233">
        <v>10167.708333333332</v>
      </c>
      <c r="F5" s="281">
        <v>0.01670595001387467</v>
      </c>
      <c r="G5" s="281">
        <v>0.6543313274222282</v>
      </c>
      <c r="H5" s="281">
        <v>0.25328954609892707</v>
      </c>
      <c r="I5" s="233">
        <v>332.66122095353046</v>
      </c>
      <c r="J5" s="233">
        <v>10059.395435479939</v>
      </c>
      <c r="K5" s="233">
        <v>-18.296367152444176</v>
      </c>
      <c r="L5" s="233">
        <v>10543.70659722222</v>
      </c>
      <c r="M5" s="233">
        <v>20227.10376881327</v>
      </c>
      <c r="N5" s="303">
        <v>20227.10376881327</v>
      </c>
    </row>
    <row r="6">
      <c r="A6" s="184">
        <v>43983.0</v>
      </c>
      <c r="B6" s="233">
        <v>-300.0</v>
      </c>
      <c r="C6" s="233">
        <v>0.0</v>
      </c>
      <c r="D6" s="233">
        <v>-300.0</v>
      </c>
      <c r="E6" s="233">
        <v>10167.708333333332</v>
      </c>
      <c r="F6" s="281">
        <v>-0.00659387295460559</v>
      </c>
      <c r="G6" s="281">
        <v>0.6376253774083536</v>
      </c>
      <c r="H6" s="281">
        <v>0.25505015096334144</v>
      </c>
      <c r="I6" s="233">
        <v>-134.1159370304211</v>
      </c>
      <c r="J6" s="233">
        <v>9745.030581678853</v>
      </c>
      <c r="K6" s="233">
        <v>7.376376536673161</v>
      </c>
      <c r="L6" s="233">
        <v>10533.115234374998</v>
      </c>
      <c r="M6" s="233">
        <v>19912.738915012185</v>
      </c>
      <c r="N6" s="303">
        <v>19912.738915012185</v>
      </c>
    </row>
    <row r="7">
      <c r="A7" s="184">
        <v>43952.0</v>
      </c>
      <c r="B7" s="233">
        <v>-300.0</v>
      </c>
      <c r="C7" s="233">
        <v>0.0</v>
      </c>
      <c r="D7" s="233">
        <v>-300.0</v>
      </c>
      <c r="E7" s="233">
        <v>10467.708333333332</v>
      </c>
      <c r="F7" s="281">
        <v>0.17167870410952307</v>
      </c>
      <c r="G7" s="281">
        <v>0.6442192503629591</v>
      </c>
      <c r="H7" s="281">
        <v>0.26657348290881067</v>
      </c>
      <c r="I7" s="233">
        <v>3048.742057313481</v>
      </c>
      <c r="J7" s="233">
        <v>9871.770142172598</v>
      </c>
      <c r="K7" s="233">
        <v>-167.68081315224146</v>
      </c>
      <c r="L7" s="233">
        <v>10822.523871527776</v>
      </c>
      <c r="M7" s="233">
        <v>20339.47847550593</v>
      </c>
      <c r="N7" s="303">
        <v>20339.47847550593</v>
      </c>
    </row>
    <row r="8">
      <c r="A8" s="184">
        <v>43922.0</v>
      </c>
      <c r="B8" s="233">
        <v>-300.0</v>
      </c>
      <c r="C8" s="233">
        <v>0.0</v>
      </c>
      <c r="D8" s="233">
        <v>-300.0</v>
      </c>
      <c r="E8" s="233">
        <v>10767.708333333332</v>
      </c>
      <c r="F8" s="281">
        <v>-0.09031985768405248</v>
      </c>
      <c r="G8" s="281">
        <v>0.4725405462534361</v>
      </c>
      <c r="H8" s="281">
        <v>0.20251737696575833</v>
      </c>
      <c r="I8" s="233">
        <v>-1783.2369915028476</v>
      </c>
      <c r="J8" s="233">
        <v>6990.7088980113585</v>
      </c>
      <c r="K8" s="233">
        <v>98.07803453265662</v>
      </c>
      <c r="L8" s="233">
        <v>11111.620008680553</v>
      </c>
      <c r="M8" s="233">
        <v>17758.41723134469</v>
      </c>
      <c r="N8" s="303">
        <v>17758.41723134469</v>
      </c>
    </row>
    <row r="9">
      <c r="A9" s="184">
        <v>43891.0</v>
      </c>
      <c r="B9" s="233">
        <v>-300.0</v>
      </c>
      <c r="C9" s="233">
        <v>0.0</v>
      </c>
      <c r="D9" s="233">
        <v>-300.0</v>
      </c>
      <c r="E9" s="233">
        <v>11067.708333333332</v>
      </c>
      <c r="F9" s="281">
        <v>-6.988944889106389E-4</v>
      </c>
      <c r="G9" s="281">
        <v>0.5628604039374886</v>
      </c>
      <c r="H9" s="281">
        <v>0.2501601795277727</v>
      </c>
      <c r="I9" s="233">
        <v>-14.017602936114379</v>
      </c>
      <c r="J9" s="233">
        <v>8675.867854981549</v>
      </c>
      <c r="K9" s="233">
        <v>0.7709681614862909</v>
      </c>
      <c r="L9" s="233">
        <v>11400.40364583333</v>
      </c>
      <c r="M9" s="233">
        <v>19743.57618831488</v>
      </c>
      <c r="N9" s="303">
        <v>19743.57618831488</v>
      </c>
    </row>
    <row r="10">
      <c r="A10" s="184">
        <v>43862.0</v>
      </c>
      <c r="B10" s="233">
        <v>0.0</v>
      </c>
      <c r="C10" s="233">
        <v>0.0</v>
      </c>
      <c r="D10" s="233">
        <v>0.0</v>
      </c>
      <c r="E10" s="233">
        <v>11367.708333333332</v>
      </c>
      <c r="F10" s="281">
        <v>-0.013571483773815925</v>
      </c>
      <c r="G10" s="281">
        <v>0.5635592984263992</v>
      </c>
      <c r="H10" s="281">
        <v>0.260104291581415</v>
      </c>
      <c r="I10" s="233">
        <v>-275.73718933526175</v>
      </c>
      <c r="J10" s="233">
        <v>8689.114489756175</v>
      </c>
      <c r="K10" s="233">
        <v>15.165545413439395</v>
      </c>
      <c r="L10" s="233">
        <v>11688.874782986108</v>
      </c>
      <c r="M10" s="233">
        <v>20056.822823089507</v>
      </c>
      <c r="N10" s="303">
        <v>20056.822823089507</v>
      </c>
    </row>
    <row r="11">
      <c r="A11" s="184">
        <v>43831.0</v>
      </c>
      <c r="B11" s="233">
        <v>-1000.0</v>
      </c>
      <c r="C11" s="233">
        <v>0.0</v>
      </c>
      <c r="D11" s="233">
        <v>-1000.0</v>
      </c>
      <c r="E11" s="233">
        <v>11367.708333333332</v>
      </c>
      <c r="F11" s="281">
        <v>0.06953970791992178</v>
      </c>
      <c r="G11" s="281">
        <v>0.5771307822002151</v>
      </c>
      <c r="H11" s="281">
        <v>0.27702277545610327</v>
      </c>
      <c r="I11" s="233">
        <v>1390.9960463047082</v>
      </c>
      <c r="J11" s="233">
        <v>8949.686133677998</v>
      </c>
      <c r="K11" s="233">
        <v>-76.50478254675895</v>
      </c>
      <c r="L11" s="233">
        <v>11677.033420138885</v>
      </c>
      <c r="M11" s="233">
        <v>20317.39446701133</v>
      </c>
      <c r="N11" s="303">
        <v>20317.39446701133</v>
      </c>
    </row>
    <row r="12">
      <c r="A12" s="184">
        <v>43800.0</v>
      </c>
      <c r="B12" s="233">
        <v>-700.0</v>
      </c>
      <c r="C12" s="233">
        <v>0.0</v>
      </c>
      <c r="D12" s="233">
        <v>-700.0</v>
      </c>
      <c r="E12" s="233">
        <v>12367.708333333332</v>
      </c>
      <c r="F12" s="281">
        <v>0.02764486097227171</v>
      </c>
      <c r="G12" s="281">
        <v>0.5075910742802933</v>
      </c>
      <c r="H12" s="281">
        <v>0.25379553714014663</v>
      </c>
      <c r="I12" s="233">
        <v>557.7577965551782</v>
      </c>
      <c r="J12" s="233">
        <v>7635.194869920051</v>
      </c>
      <c r="K12" s="233">
        <v>-30.6766788105348</v>
      </c>
      <c r="L12" s="233">
        <v>12665.192057291662</v>
      </c>
      <c r="M12" s="233">
        <v>20002.903203253383</v>
      </c>
      <c r="N12" s="303">
        <v>20002.903203253383</v>
      </c>
    </row>
    <row r="13">
      <c r="A13" s="184">
        <v>43770.0</v>
      </c>
      <c r="B13" s="233">
        <v>-300.0</v>
      </c>
      <c r="C13" s="233">
        <v>0.0</v>
      </c>
      <c r="D13" s="233">
        <v>-300.0</v>
      </c>
      <c r="E13" s="233">
        <v>13067.708333333332</v>
      </c>
      <c r="F13" s="281">
        <v>-0.031204251937763165</v>
      </c>
      <c r="G13" s="281">
        <v>0.4799462133080215</v>
      </c>
      <c r="H13" s="281">
        <v>0.25040671998679387</v>
      </c>
      <c r="I13" s="233">
        <v>-658.3460306443476</v>
      </c>
      <c r="J13" s="233">
        <v>7108.113752175406</v>
      </c>
      <c r="K13" s="233">
        <v>36.209031685439115</v>
      </c>
      <c r="L13" s="233">
        <v>13352.309027777774</v>
      </c>
      <c r="M13" s="233">
        <v>20175.82208550874</v>
      </c>
      <c r="N13" s="303">
        <v>20175.82208550874</v>
      </c>
    </row>
    <row r="14">
      <c r="A14" s="184">
        <v>43739.0</v>
      </c>
      <c r="B14" s="233">
        <v>-150.0</v>
      </c>
      <c r="C14" s="233">
        <v>0.0</v>
      </c>
      <c r="D14" s="233">
        <v>-150.0</v>
      </c>
      <c r="E14" s="233">
        <v>13367.708333333332</v>
      </c>
      <c r="F14" s="281">
        <v>-0.0017577640676155197</v>
      </c>
      <c r="G14" s="281">
        <v>0.5111504652457847</v>
      </c>
      <c r="H14" s="281">
        <v>0.2788093446795189</v>
      </c>
      <c r="I14" s="233">
        <v>-37.41104198598358</v>
      </c>
      <c r="J14" s="233">
        <v>7730.250751134317</v>
      </c>
      <c r="K14" s="233">
        <v>2.057607309229097</v>
      </c>
      <c r="L14" s="233">
        <v>13638.696831597219</v>
      </c>
      <c r="M14" s="233">
        <v>21097.95908446765</v>
      </c>
      <c r="N14" s="303">
        <v>21097.95908446765</v>
      </c>
    </row>
    <row r="15">
      <c r="A15" s="184">
        <v>43709.0</v>
      </c>
      <c r="B15" s="233">
        <v>0.0</v>
      </c>
      <c r="C15" s="233">
        <v>0.0</v>
      </c>
      <c r="D15" s="233">
        <v>0.0</v>
      </c>
      <c r="E15" s="233">
        <v>13517.708333333332</v>
      </c>
      <c r="F15" s="281">
        <v>0.09663855056374034</v>
      </c>
      <c r="G15" s="281">
        <v>0.5129082293134002</v>
      </c>
      <c r="H15" s="281">
        <v>0.2930904167505144</v>
      </c>
      <c r="I15" s="233">
        <v>1884.6736136805578</v>
      </c>
      <c r="J15" s="233">
        <v>7765.604185811069</v>
      </c>
      <c r="K15" s="233">
        <v>-103.65704875243067</v>
      </c>
      <c r="L15" s="233">
        <v>13774.772135416664</v>
      </c>
      <c r="M15" s="233">
        <v>21283.3125191444</v>
      </c>
      <c r="N15" s="303">
        <v>21283.3125191444</v>
      </c>
    </row>
    <row r="16">
      <c r="A16" s="184">
        <v>43678.0</v>
      </c>
      <c r="B16" s="233">
        <v>-1000.0</v>
      </c>
      <c r="C16" s="233">
        <v>0.0</v>
      </c>
      <c r="D16" s="233">
        <v>-1000.0</v>
      </c>
      <c r="E16" s="233">
        <v>13517.708333333332</v>
      </c>
      <c r="F16" s="281">
        <v>0.07804921004485675</v>
      </c>
      <c r="G16" s="281">
        <v>0.4162696787496598</v>
      </c>
      <c r="H16" s="281">
        <v>0.2497618072497959</v>
      </c>
      <c r="I16" s="233">
        <v>1490.270837129122</v>
      </c>
      <c r="J16" s="233">
        <v>5984.5876208829395</v>
      </c>
      <c r="K16" s="233">
        <v>-81.9648960421017</v>
      </c>
      <c r="L16" s="233">
        <v>13760.69118923611</v>
      </c>
      <c r="M16" s="233">
        <v>19502.29595421627</v>
      </c>
      <c r="N16" s="303">
        <v>19502.29595421627</v>
      </c>
    </row>
    <row r="17">
      <c r="A17" s="184">
        <v>43647.0</v>
      </c>
      <c r="B17" s="233">
        <v>0.0</v>
      </c>
      <c r="C17" s="233">
        <v>0.0</v>
      </c>
      <c r="D17" s="233">
        <v>0.0</v>
      </c>
      <c r="E17" s="233">
        <v>14517.708333333332</v>
      </c>
      <c r="F17" s="281">
        <v>0.05571063566313939</v>
      </c>
      <c r="G17" s="281">
        <v>0.33822046870480305</v>
      </c>
      <c r="H17" s="281">
        <v>0.21361292760303352</v>
      </c>
      <c r="I17" s="233">
        <v>1010.5370318916691</v>
      </c>
      <c r="J17" s="233">
        <v>4576.281679795917</v>
      </c>
      <c r="K17" s="233">
        <v>-55.579536754041804</v>
      </c>
      <c r="L17" s="233">
        <v>14746.610243055555</v>
      </c>
      <c r="M17" s="233">
        <v>19093.99001312925</v>
      </c>
      <c r="N17" s="303">
        <v>19093.99001312925</v>
      </c>
    </row>
    <row r="18">
      <c r="A18" s="184">
        <v>43617.0</v>
      </c>
      <c r="B18" s="233">
        <v>0.0</v>
      </c>
      <c r="C18" s="233">
        <v>0.0</v>
      </c>
      <c r="D18" s="233">
        <v>0.0</v>
      </c>
      <c r="E18" s="233">
        <v>14517.708333333332</v>
      </c>
      <c r="F18" s="281">
        <v>0.03999771844904346</v>
      </c>
      <c r="G18" s="281">
        <v>0.28250983304166366</v>
      </c>
      <c r="H18" s="281">
        <v>0.18833988869444246</v>
      </c>
      <c r="I18" s="233">
        <v>699.0956088732934</v>
      </c>
      <c r="J18" s="233">
        <v>3621.3241846582896</v>
      </c>
      <c r="K18" s="233">
        <v>-38.45025848803114</v>
      </c>
      <c r="L18" s="233">
        <v>14731.487630208332</v>
      </c>
      <c r="M18" s="233">
        <v>18139.03251799162</v>
      </c>
      <c r="N18" s="303">
        <v>18139.03251799162</v>
      </c>
    </row>
    <row r="19">
      <c r="A19" s="184">
        <v>43586.0</v>
      </c>
      <c r="B19" s="233">
        <v>-500.0</v>
      </c>
      <c r="C19" s="233">
        <v>0.0</v>
      </c>
      <c r="D19" s="233">
        <v>-500.0</v>
      </c>
      <c r="E19" s="233">
        <v>14517.708333333332</v>
      </c>
      <c r="F19" s="281">
        <v>0.026231385182183264</v>
      </c>
      <c r="G19" s="281">
        <v>0.24251211459262018</v>
      </c>
      <c r="H19" s="281">
        <v>0.17118502206537894</v>
      </c>
      <c r="I19" s="233">
        <v>460.1904935300506</v>
      </c>
      <c r="J19" s="233">
        <v>2960.6788342730288</v>
      </c>
      <c r="K19" s="233">
        <v>-25.310477144152784</v>
      </c>
      <c r="L19" s="233">
        <v>14716.36501736111</v>
      </c>
      <c r="M19" s="233">
        <v>17478.38716760636</v>
      </c>
      <c r="N19" s="303">
        <v>17478.38716760636</v>
      </c>
    </row>
    <row r="20">
      <c r="A20" s="184">
        <v>43556.0</v>
      </c>
      <c r="B20" s="233">
        <v>0.0</v>
      </c>
      <c r="C20" s="233">
        <v>0.0</v>
      </c>
      <c r="D20" s="233">
        <v>0.0</v>
      </c>
      <c r="E20" s="233">
        <v>15017.708333333332</v>
      </c>
      <c r="F20" s="281">
        <v>0.10199738482836891</v>
      </c>
      <c r="G20" s="281">
        <v>0.2162807294104369</v>
      </c>
      <c r="H20" s="281">
        <v>0.16221054705782767</v>
      </c>
      <c r="I20" s="233">
        <v>1632.0797194078618</v>
      </c>
      <c r="J20" s="233">
        <v>2525.798817887131</v>
      </c>
      <c r="K20" s="233">
        <v>-89.7643845674324</v>
      </c>
      <c r="L20" s="233">
        <v>15201.242404513887</v>
      </c>
      <c r="M20" s="233">
        <v>17543.507151220463</v>
      </c>
      <c r="N20" s="303">
        <v>17543.507151220463</v>
      </c>
    </row>
    <row r="21">
      <c r="A21" s="184">
        <v>43525.0</v>
      </c>
      <c r="B21" s="233">
        <v>0.0</v>
      </c>
      <c r="C21" s="233">
        <v>0.0</v>
      </c>
      <c r="D21" s="233">
        <v>0.0</v>
      </c>
      <c r="E21" s="233">
        <v>15017.708333333332</v>
      </c>
      <c r="F21" s="281">
        <v>0.03449682927674902</v>
      </c>
      <c r="G21" s="281">
        <v>0.11428334458206801</v>
      </c>
      <c r="H21" s="281">
        <v>0.09142667566565442</v>
      </c>
      <c r="I21" s="233">
        <v>534.5638656170008</v>
      </c>
      <c r="J21" s="233">
        <v>983.4834830467025</v>
      </c>
      <c r="K21" s="233">
        <v>-29.401012608935044</v>
      </c>
      <c r="L21" s="233">
        <v>15185.598958333332</v>
      </c>
      <c r="M21" s="233">
        <v>16001.191816380035</v>
      </c>
      <c r="N21" s="303">
        <v>16001.191816380035</v>
      </c>
    </row>
    <row r="22">
      <c r="A22" s="184">
        <v>43497.0</v>
      </c>
      <c r="B22" s="233">
        <v>0.0</v>
      </c>
      <c r="C22" s="233">
        <v>0.0</v>
      </c>
      <c r="D22" s="233">
        <v>0.0</v>
      </c>
      <c r="E22" s="233">
        <v>15017.708333333332</v>
      </c>
      <c r="F22" s="281">
        <v>0.04107233145116107</v>
      </c>
      <c r="G22" s="281">
        <v>0.079786515305319</v>
      </c>
      <c r="H22" s="281">
        <v>0.06838844169027342</v>
      </c>
      <c r="I22" s="233">
        <v>622.4229280879406</v>
      </c>
      <c r="J22" s="233">
        <v>478.3206300386355</v>
      </c>
      <c r="K22" s="233">
        <v>-34.23326104483673</v>
      </c>
      <c r="L22" s="233">
        <v>15169.955512152777</v>
      </c>
      <c r="M22" s="233">
        <v>15496.028963371968</v>
      </c>
      <c r="N22" s="303">
        <v>15496.028963371968</v>
      </c>
    </row>
    <row r="23">
      <c r="A23" s="184">
        <v>43466.0</v>
      </c>
      <c r="B23" s="233">
        <v>-1000.0</v>
      </c>
      <c r="C23" s="233">
        <v>0.0</v>
      </c>
      <c r="D23" s="233">
        <v>-1000.0</v>
      </c>
      <c r="E23" s="233">
        <v>15017.708333333332</v>
      </c>
      <c r="F23" s="281">
        <v>-0.024314741161841652</v>
      </c>
      <c r="G23" s="281">
        <v>0.038714183854157924</v>
      </c>
      <c r="H23" s="281">
        <v>0.035736169711530395</v>
      </c>
      <c r="I23" s="233">
        <v>-396.13355863731977</v>
      </c>
      <c r="J23" s="233">
        <v>136.6037326388905</v>
      </c>
      <c r="K23" s="233">
        <v>21.78734572505259</v>
      </c>
      <c r="L23" s="233">
        <v>15154.312065972223</v>
      </c>
      <c r="M23" s="233">
        <v>14917.563127212321</v>
      </c>
      <c r="N23" s="303">
        <v>15154.312065972223</v>
      </c>
    </row>
    <row r="24">
      <c r="A24" s="184">
        <v>43435.0</v>
      </c>
      <c r="B24" s="233">
        <v>6007.291666666666</v>
      </c>
      <c r="C24" s="233">
        <v>0.0</v>
      </c>
      <c r="D24" s="233">
        <v>6007.291666666666</v>
      </c>
      <c r="E24" s="233">
        <v>16017.708333333332</v>
      </c>
      <c r="F24" s="281">
        <v>0.059176449934818486</v>
      </c>
      <c r="G24" s="281">
        <v>0.06302892501599958</v>
      </c>
      <c r="H24" s="281">
        <v>0.06302892501599958</v>
      </c>
      <c r="I24" s="233">
        <v>598.551555292315</v>
      </c>
      <c r="J24" s="233">
        <v>274.2010067912561</v>
      </c>
      <c r="K24" s="233">
        <v>-32.92033554107732</v>
      </c>
      <c r="L24" s="233">
        <v>16138.668619791668</v>
      </c>
      <c r="M24" s="233">
        <v>16291.909340124588</v>
      </c>
      <c r="N24" s="303">
        <v>16291.909340124588</v>
      </c>
    </row>
    <row r="25">
      <c r="A25" s="184">
        <v>43405.0</v>
      </c>
      <c r="B25" s="233">
        <v>7000.0</v>
      </c>
      <c r="C25" s="233">
        <v>7000.0</v>
      </c>
      <c r="D25" s="233">
        <v>0.0</v>
      </c>
      <c r="E25" s="233">
        <v>10010.416666666666</v>
      </c>
      <c r="F25" s="281">
        <v>-0.06412073646906129</v>
      </c>
      <c r="G25" s="281">
        <v>0.0038524750811810976</v>
      </c>
      <c r="H25" s="281">
        <v>0.004202700088561198</v>
      </c>
      <c r="I25" s="233">
        <v>-664.8948636737381</v>
      </c>
      <c r="J25" s="233">
        <v>104.27517361111313</v>
      </c>
      <c r="K25" s="233">
        <v>36.569217502055594</v>
      </c>
      <c r="L25" s="233">
        <v>10114.69184027778</v>
      </c>
      <c r="M25" s="233">
        <v>9741.094611416198</v>
      </c>
      <c r="N25" s="303">
        <v>10114.69184027778</v>
      </c>
    </row>
    <row r="26">
      <c r="A26" s="184">
        <v>43374.0</v>
      </c>
      <c r="B26" s="233">
        <v>0.0</v>
      </c>
      <c r="C26" s="233">
        <v>0.0</v>
      </c>
      <c r="D26" s="233">
        <v>0.0</v>
      </c>
      <c r="E26" s="233">
        <v>10010.416666666666</v>
      </c>
      <c r="F26" s="281">
        <v>-0.028896114427261484</v>
      </c>
      <c r="G26" s="281">
        <v>0.06797321155024239</v>
      </c>
      <c r="H26" s="281">
        <v>0.08156785386029086</v>
      </c>
      <c r="I26" s="233">
        <v>-308.0477615903607</v>
      </c>
      <c r="J26" s="233">
        <v>359.0035909212147</v>
      </c>
      <c r="K26" s="233">
        <v>16.94262688746984</v>
      </c>
      <c r="L26" s="233">
        <v>10104.264322916668</v>
      </c>
      <c r="M26" s="233">
        <v>10369.42025758788</v>
      </c>
      <c r="N26" s="303">
        <v>10369.42025758788</v>
      </c>
    </row>
    <row r="27">
      <c r="A27" s="184">
        <v>43344.0</v>
      </c>
      <c r="B27" s="233">
        <v>0.0</v>
      </c>
      <c r="C27" s="233">
        <v>0.0</v>
      </c>
      <c r="D27" s="233">
        <v>0.0</v>
      </c>
      <c r="E27" s="233">
        <v>10010.416666666666</v>
      </c>
      <c r="F27" s="281">
        <v>0.08865378226331043</v>
      </c>
      <c r="G27" s="281">
        <v>0.09686932597750388</v>
      </c>
      <c r="H27" s="281">
        <v>0.1291591013033385</v>
      </c>
      <c r="I27" s="233">
        <v>893.9323715074323</v>
      </c>
      <c r="J27" s="233">
        <v>650.1087256241044</v>
      </c>
      <c r="K27" s="233">
        <v>-49.16628043290878</v>
      </c>
      <c r="L27" s="233">
        <v>10093.836805555557</v>
      </c>
      <c r="M27" s="233">
        <v>10660.52539229077</v>
      </c>
      <c r="N27" s="303">
        <v>10660.52539229077</v>
      </c>
    </row>
    <row r="28">
      <c r="A28" s="184">
        <v>43313.0</v>
      </c>
      <c r="B28" s="233">
        <v>0.0</v>
      </c>
      <c r="C28" s="233">
        <v>0.0</v>
      </c>
      <c r="D28" s="233">
        <v>0.0</v>
      </c>
      <c r="E28" s="233">
        <v>10010.416666666666</v>
      </c>
      <c r="F28" s="281">
        <v>-0.02448824447309521</v>
      </c>
      <c r="G28" s="281">
        <v>0.00821554371419345</v>
      </c>
      <c r="H28" s="281">
        <v>0.012323315571290175</v>
      </c>
      <c r="I28" s="233">
        <v>-246.6696401771982</v>
      </c>
      <c r="J28" s="233">
        <v>72.99262152777919</v>
      </c>
      <c r="K28" s="233">
        <v>13.566830209745902</v>
      </c>
      <c r="L28" s="233">
        <v>10083.409288194445</v>
      </c>
      <c r="M28" s="233">
        <v>9837.555196343725</v>
      </c>
      <c r="N28" s="303">
        <v>10083.409288194445</v>
      </c>
    </row>
    <row r="29">
      <c r="A29" s="184">
        <v>43282.0</v>
      </c>
      <c r="B29" s="233">
        <v>0.0</v>
      </c>
      <c r="C29" s="233">
        <v>0.0</v>
      </c>
      <c r="D29" s="233">
        <v>0.0</v>
      </c>
      <c r="E29" s="233">
        <v>10010.416666666666</v>
      </c>
      <c r="F29" s="281">
        <v>0.010858996309905966</v>
      </c>
      <c r="G29" s="281">
        <v>0.03270378818728866</v>
      </c>
      <c r="H29" s="281">
        <v>0.056063636892494856</v>
      </c>
      <c r="I29" s="233">
        <v>109.26923950668345</v>
      </c>
      <c r="J29" s="233">
        <v>62.56510416666788</v>
      </c>
      <c r="K29" s="233">
        <v>-6.00980817286759</v>
      </c>
      <c r="L29" s="233">
        <v>10072.981770833334</v>
      </c>
      <c r="M29" s="233">
        <v>10070.599672914994</v>
      </c>
      <c r="N29" s="303">
        <v>10072.981770833334</v>
      </c>
    </row>
    <row r="30">
      <c r="A30" s="184">
        <v>43252.0</v>
      </c>
      <c r="B30" s="233">
        <v>0.0</v>
      </c>
      <c r="C30" s="233">
        <v>0.0</v>
      </c>
      <c r="D30" s="233">
        <v>0.0</v>
      </c>
      <c r="E30" s="233">
        <v>10010.416666666666</v>
      </c>
      <c r="F30" s="281">
        <v>0.12647428034130279</v>
      </c>
      <c r="G30" s="281">
        <v>0.021844791877382697</v>
      </c>
      <c r="H30" s="281">
        <v>0.04368958375476539</v>
      </c>
      <c r="I30" s="233">
        <v>1271.3354948492217</v>
      </c>
      <c r="J30" s="233">
        <v>52.137586805556566</v>
      </c>
      <c r="K30" s="233">
        <v>-69.92345221670719</v>
      </c>
      <c r="L30" s="233">
        <v>10062.554253472223</v>
      </c>
      <c r="M30" s="233">
        <v>9968.363063366958</v>
      </c>
      <c r="N30" s="303">
        <v>10062.554253472223</v>
      </c>
    </row>
    <row r="31">
      <c r="A31" s="184">
        <v>43221.0</v>
      </c>
      <c r="B31" s="233">
        <v>0.0</v>
      </c>
      <c r="C31" s="233">
        <v>0.0</v>
      </c>
      <c r="D31" s="233">
        <v>0.0</v>
      </c>
      <c r="E31" s="233">
        <v>10010.416666666666</v>
      </c>
      <c r="F31" s="281">
        <v>0.07661146740532812</v>
      </c>
      <c r="G31" s="281">
        <v>-0.10462948846392009</v>
      </c>
      <c r="H31" s="281">
        <v>-0.25111077231340817</v>
      </c>
      <c r="I31" s="233">
        <v>769.3093123913745</v>
      </c>
      <c r="J31" s="233">
        <v>41.71006944444525</v>
      </c>
      <c r="K31" s="233">
        <v>-42.312012181525596</v>
      </c>
      <c r="L31" s="233">
        <v>10052.126736111111</v>
      </c>
      <c r="M31" s="233">
        <v>8911.243417419379</v>
      </c>
      <c r="N31" s="303">
        <v>10052.126736111111</v>
      </c>
    </row>
    <row r="32">
      <c r="A32" s="184">
        <v>43191.0</v>
      </c>
      <c r="B32" s="233">
        <v>0.0</v>
      </c>
      <c r="C32" s="233">
        <v>0.0</v>
      </c>
      <c r="D32" s="233">
        <v>0.0</v>
      </c>
      <c r="E32" s="233">
        <v>10010.416666666666</v>
      </c>
      <c r="F32" s="281">
        <v>-0.0394470506102503</v>
      </c>
      <c r="G32" s="281">
        <v>-0.1812409558692482</v>
      </c>
      <c r="H32" s="281">
        <v>-0.5437228676077446</v>
      </c>
      <c r="I32" s="233">
        <v>-395.7040824898591</v>
      </c>
      <c r="J32" s="233">
        <v>31.28255208333394</v>
      </c>
      <c r="K32" s="233">
        <v>21.76372453694225</v>
      </c>
      <c r="L32" s="233">
        <v>10041.69921875</v>
      </c>
      <c r="M32" s="233">
        <v>8316.422126897172</v>
      </c>
      <c r="N32" s="303">
        <v>10041.69921875</v>
      </c>
    </row>
    <row r="33">
      <c r="A33" s="184">
        <v>43160.0</v>
      </c>
      <c r="B33" s="233">
        <v>0.0</v>
      </c>
      <c r="C33" s="233">
        <v>0.0</v>
      </c>
      <c r="D33" s="233">
        <v>0.0</v>
      </c>
      <c r="E33" s="233">
        <v>10010.416666666666</v>
      </c>
      <c r="F33" s="281">
        <v>-0.052153074609364886</v>
      </c>
      <c r="G33" s="281">
        <v>-0.1417939052589979</v>
      </c>
      <c r="H33" s="281">
        <v>-0.5671756210359916</v>
      </c>
      <c r="I33" s="233">
        <v>-522.6178343784209</v>
      </c>
      <c r="J33" s="233">
        <v>20.855034722222626</v>
      </c>
      <c r="K33" s="233">
        <v>28.743980890813145</v>
      </c>
      <c r="L33" s="233">
        <v>10031.271701388889</v>
      </c>
      <c r="M33" s="233">
        <v>8635.29533445285</v>
      </c>
      <c r="N33" s="303">
        <v>10031.271701388889</v>
      </c>
    </row>
    <row r="34">
      <c r="A34" s="184">
        <v>43132.0</v>
      </c>
      <c r="B34" s="233">
        <v>0.0</v>
      </c>
      <c r="C34" s="233">
        <v>0.0</v>
      </c>
      <c r="D34" s="233">
        <v>0.0</v>
      </c>
      <c r="E34" s="233">
        <v>10010.416666666666</v>
      </c>
      <c r="F34" s="281">
        <v>-0.09834304329279307</v>
      </c>
      <c r="G34" s="281">
        <v>-0.08964083064963302</v>
      </c>
      <c r="H34" s="281">
        <v>-0.5378449838977981</v>
      </c>
      <c r="I34" s="233">
        <v>-984.4548396288973</v>
      </c>
      <c r="J34" s="233">
        <v>10.427517361111313</v>
      </c>
      <c r="K34" s="233">
        <v>54.14501617958935</v>
      </c>
      <c r="L34" s="233">
        <v>10020.844184027777</v>
      </c>
      <c r="M34" s="233">
        <v>9080.106843217358</v>
      </c>
      <c r="N34" s="303">
        <v>10020.844184027777</v>
      </c>
    </row>
    <row r="35">
      <c r="A35" s="184">
        <v>43101.0</v>
      </c>
      <c r="B35" s="233">
        <v>10010.416666666666</v>
      </c>
      <c r="C35" s="233">
        <v>0.0</v>
      </c>
      <c r="D35" s="233">
        <v>10010.416666666666</v>
      </c>
      <c r="E35" s="233">
        <v>10010.416666666666</v>
      </c>
      <c r="F35" s="281">
        <v>0.008702212643160052</v>
      </c>
      <c r="G35" s="281">
        <v>0.008702212643160052</v>
      </c>
      <c r="H35" s="281">
        <v>0.10442655171792062</v>
      </c>
      <c r="I35" s="233">
        <v>0.0</v>
      </c>
      <c r="J35" s="233">
        <v>0.0</v>
      </c>
      <c r="K35" s="233">
        <v>0.0</v>
      </c>
      <c r="L35" s="233">
        <v>10010.416666666666</v>
      </c>
      <c r="M35" s="233">
        <v>10010.416666666666</v>
      </c>
      <c r="N35" s="303">
        <v>10010.416666666666</v>
      </c>
    </row>
    <row r="36">
      <c r="A36" s="184">
        <v>43070.0</v>
      </c>
      <c r="B36" s="233">
        <v>10000.0</v>
      </c>
      <c r="C36" s="233">
        <v>10000.0</v>
      </c>
      <c r="D36" s="233">
        <v>0.0</v>
      </c>
      <c r="E36" s="233">
        <v>0.0</v>
      </c>
      <c r="F36" s="281">
        <v>0.0</v>
      </c>
      <c r="G36" s="281">
        <v>0.0</v>
      </c>
      <c r="H36" s="281">
        <v>0.0</v>
      </c>
      <c r="I36" s="233">
        <v>0.0</v>
      </c>
      <c r="J36" s="233">
        <v>0.0</v>
      </c>
      <c r="K36" s="233">
        <v>0.0</v>
      </c>
      <c r="L36" s="233">
        <v>0.0</v>
      </c>
      <c r="M36" s="233">
        <v>0.0</v>
      </c>
      <c r="N36" s="303">
        <v>0.0</v>
      </c>
    </row>
  </sheetData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4" width="14.43"/>
  </cols>
  <sheetData>
    <row r="1">
      <c r="A1" s="9" t="s">
        <v>46</v>
      </c>
      <c r="B1" s="9" t="s">
        <v>1572</v>
      </c>
      <c r="C1" s="9" t="s">
        <v>1573</v>
      </c>
      <c r="D1" s="9" t="s">
        <v>1574</v>
      </c>
      <c r="E1" s="9" t="s">
        <v>1575</v>
      </c>
      <c r="F1" s="9" t="s">
        <v>1576</v>
      </c>
      <c r="G1" s="9" t="s">
        <v>1577</v>
      </c>
      <c r="H1" s="9" t="s">
        <v>1531</v>
      </c>
      <c r="I1" s="9" t="s">
        <v>1578</v>
      </c>
      <c r="J1" s="9" t="s">
        <v>1530</v>
      </c>
      <c r="K1" s="9" t="s">
        <v>1525</v>
      </c>
      <c r="L1" s="9" t="s">
        <v>1579</v>
      </c>
      <c r="M1" s="9" t="s">
        <v>1580</v>
      </c>
      <c r="N1" s="9" t="s">
        <v>282</v>
      </c>
    </row>
    <row r="2">
      <c r="A2" s="184">
        <f>EOMONTH(IF(ISDATE($A1),$A1-1,DateTime!B2),-1)+1</f>
        <v>44105</v>
      </c>
      <c r="B2" s="233">
        <f>SUMIFS(ClientHistoric!$C:$C,ClientHistoric!$A:$A,"&gt;"&amp;EOMONTH($A2,-2),ClientHistoric!$A:$A,"&lt;"&amp;$A2,ClientHistoric!$B:$B,SHEETNAME(),ClientHistoric!$C:$C,"&gt;0")+SUMIFS(ClientHistoric!$C:$C,ClientHistoric!$A:$A,"&gt;="&amp;$A2,ClientHistoric!$A:$A,"&lt;="&amp;EOMONTH($A2,0),ClientHistoric!$B:$B,SHEETNAME(),ClientHistoric!$C:$C,"&lt;0")+$C3*(1+Dashboard!$B$56/12)</f>
        <v>100</v>
      </c>
      <c r="C2" s="233">
        <f>MAX($B2+IF($B2&gt;0,SUMIFS(Historic!$G:$G,Historic!$D:$D,"BUY",Historic!$A:$A,"&gt;"&amp;MAX(EOMONTH($A2,-2),MAXIFS(ClientHistoric!$A:$A,ClientHistoric!$A:$A,"&gt;"&amp;EOMONTH($A2,-2),ClientHistoric!$A:$A,"&lt;"&amp;$A2,ClientHistoric!$B:$B,SHEETNAME(),ClientHistoric!$C:$C,"&gt;0")),Historic!$A:$A,"&lt;"&amp;$A2),0),0)</f>
        <v>0</v>
      </c>
      <c r="D2" s="233">
        <f>$B2-$C2</f>
        <v>100</v>
      </c>
      <c r="E2" s="233">
        <f>$E3+$D2</f>
        <v>300.1041667</v>
      </c>
      <c r="F2" s="281">
        <f>IF($A3,MAXIFS(AllocationHistoric!$I:$I,AllocationHistoric!$A:$A,$A2),0)</f>
        <v>-0.003035883482</v>
      </c>
      <c r="G2" s="281">
        <f>$F2+$G3</f>
        <v>0.3033417501</v>
      </c>
      <c r="H2" s="281">
        <f>IF($A3,$G2/ROWS($A3:$A16)*12,0)</f>
        <v>0.2600072144</v>
      </c>
      <c r="I2" s="233">
        <f>$N3*$F2</f>
        <v>-0.7091907168</v>
      </c>
      <c r="J2" s="233">
        <f>$N2-$E2</f>
        <v>32.82839371</v>
      </c>
      <c r="K2" s="233">
        <f>-$I2*5.5/100</f>
        <v>0.03900548942</v>
      </c>
      <c r="L2" s="233">
        <f>IF($L3,$E2*Dashboard!$B$56/12+$D2+$L3,$D2)</f>
        <v>302.3972439</v>
      </c>
      <c r="M2" s="233">
        <f>$M3+$D2+$M3*$F2+$K2</f>
        <v>332.9325604</v>
      </c>
      <c r="N2" s="303">
        <f>MAX($M2,$L2)</f>
        <v>332.9325604</v>
      </c>
    </row>
    <row r="3">
      <c r="A3" s="184">
        <v>44075.0</v>
      </c>
      <c r="B3" s="233">
        <v>0.0</v>
      </c>
      <c r="C3" s="233">
        <v>0.0</v>
      </c>
      <c r="D3" s="233">
        <v>0.0</v>
      </c>
      <c r="E3" s="233">
        <v>200.10416666666666</v>
      </c>
      <c r="F3" s="281">
        <v>0.0695011442271417</v>
      </c>
      <c r="G3" s="281">
        <v>0.30637763358469455</v>
      </c>
      <c r="H3" s="281">
        <v>0.28281012330894884</v>
      </c>
      <c r="I3" s="233">
        <v>15.235042158811899</v>
      </c>
      <c r="J3" s="233">
        <v>33.49857893282888</v>
      </c>
      <c r="K3" s="233">
        <v>-0.8379273187346544</v>
      </c>
      <c r="L3" s="233">
        <v>202.08463541666663</v>
      </c>
      <c r="M3" s="233">
        <v>233.60274559949553</v>
      </c>
      <c r="N3" s="303">
        <v>233.60274559949553</v>
      </c>
    </row>
    <row r="4">
      <c r="A4" s="184">
        <v>44044.0</v>
      </c>
      <c r="B4" s="233">
        <v>0.0</v>
      </c>
      <c r="C4" s="233">
        <v>0.0</v>
      </c>
      <c r="D4" s="233">
        <v>0.0</v>
      </c>
      <c r="E4" s="233">
        <v>200.10416666666666</v>
      </c>
      <c r="F4" s="281">
        <v>-0.0011851593150153932</v>
      </c>
      <c r="G4" s="281">
        <v>0.23687648935755287</v>
      </c>
      <c r="H4" s="281">
        <v>0.2368764893575529</v>
      </c>
      <c r="I4" s="233">
        <v>-0.2600848839099526</v>
      </c>
      <c r="J4" s="233">
        <v>19.101464092751627</v>
      </c>
      <c r="K4" s="233">
        <v>0.014304668615047393</v>
      </c>
      <c r="L4" s="233">
        <v>201.87619357638886</v>
      </c>
      <c r="M4" s="233">
        <v>219.20563075941828</v>
      </c>
      <c r="N4" s="303">
        <v>219.20563075941828</v>
      </c>
    </row>
    <row r="5">
      <c r="A5" s="184">
        <v>44013.0</v>
      </c>
      <c r="B5" s="233">
        <v>0.0</v>
      </c>
      <c r="C5" s="233">
        <v>0.0</v>
      </c>
      <c r="D5" s="233">
        <v>0.0</v>
      </c>
      <c r="E5" s="233">
        <v>200.10416666666666</v>
      </c>
      <c r="F5" s="281">
        <v>0.01670595001387467</v>
      </c>
      <c r="G5" s="281">
        <v>0.23806164867256827</v>
      </c>
      <c r="H5" s="281">
        <v>0.25970361673371084</v>
      </c>
      <c r="I5" s="233">
        <v>3.609165956194933</v>
      </c>
      <c r="J5" s="233">
        <v>19.347244308046527</v>
      </c>
      <c r="K5" s="233">
        <v>-0.1985041275907213</v>
      </c>
      <c r="L5" s="233">
        <v>201.6677517361111</v>
      </c>
      <c r="M5" s="233">
        <v>219.45141097471318</v>
      </c>
      <c r="N5" s="303">
        <v>219.45141097471318</v>
      </c>
    </row>
    <row r="6">
      <c r="A6" s="184">
        <v>43983.0</v>
      </c>
      <c r="B6" s="233">
        <v>0.0</v>
      </c>
      <c r="C6" s="233">
        <v>0.0</v>
      </c>
      <c r="D6" s="233">
        <v>0.0</v>
      </c>
      <c r="E6" s="233">
        <v>200.10416666666666</v>
      </c>
      <c r="F6" s="281">
        <v>-0.00659387295460559</v>
      </c>
      <c r="G6" s="281">
        <v>0.2213556986586936</v>
      </c>
      <c r="H6" s="281">
        <v>0.26562683839043233</v>
      </c>
      <c r="I6" s="233">
        <v>-1.4334775524639525</v>
      </c>
      <c r="J6" s="233">
        <v>15.936582479442308</v>
      </c>
      <c r="K6" s="233">
        <v>0.07884126538551739</v>
      </c>
      <c r="L6" s="233">
        <v>201.45930989583331</v>
      </c>
      <c r="M6" s="233">
        <v>216.04074914610896</v>
      </c>
      <c r="N6" s="303">
        <v>216.04074914610896</v>
      </c>
    </row>
    <row r="7">
      <c r="A7" s="184">
        <v>43952.0</v>
      </c>
      <c r="B7" s="233">
        <v>0.0</v>
      </c>
      <c r="C7" s="233">
        <v>0.0</v>
      </c>
      <c r="D7" s="233">
        <v>0.0</v>
      </c>
      <c r="E7" s="233">
        <v>200.10416666666666</v>
      </c>
      <c r="F7" s="281">
        <v>0.17167870410952307</v>
      </c>
      <c r="G7" s="281">
        <v>0.22794957161329918</v>
      </c>
      <c r="H7" s="281">
        <v>0.30393276215106557</v>
      </c>
      <c r="I7" s="233">
        <v>34.5147032036733</v>
      </c>
      <c r="J7" s="233">
        <v>17.291218766520757</v>
      </c>
      <c r="K7" s="233">
        <v>-1.8983086762020316</v>
      </c>
      <c r="L7" s="233">
        <v>201.25086805555554</v>
      </c>
      <c r="M7" s="233">
        <v>217.3953854331874</v>
      </c>
      <c r="N7" s="303">
        <v>217.3953854331874</v>
      </c>
    </row>
    <row r="8">
      <c r="A8" s="184">
        <v>43922.0</v>
      </c>
      <c r="B8" s="233">
        <v>0.0</v>
      </c>
      <c r="C8" s="233">
        <v>0.0</v>
      </c>
      <c r="D8" s="233">
        <v>0.0</v>
      </c>
      <c r="E8" s="233">
        <v>200.10416666666666</v>
      </c>
      <c r="F8" s="281">
        <v>-0.09031985768405248</v>
      </c>
      <c r="G8" s="281">
        <v>0.056270867503776106</v>
      </c>
      <c r="H8" s="281">
        <v>0.08440630125566416</v>
      </c>
      <c r="I8" s="233">
        <v>-18.48191585590162</v>
      </c>
      <c r="J8" s="233">
        <v>0.9382595486111143</v>
      </c>
      <c r="K8" s="233">
        <v>1.0165053720745891</v>
      </c>
      <c r="L8" s="233">
        <v>201.04242621527777</v>
      </c>
      <c r="M8" s="233">
        <v>187.16196969377611</v>
      </c>
      <c r="N8" s="303">
        <v>201.04242621527777</v>
      </c>
    </row>
    <row r="9">
      <c r="A9" s="184">
        <v>43891.0</v>
      </c>
      <c r="B9" s="233">
        <v>100.0</v>
      </c>
      <c r="C9" s="233">
        <v>0.0</v>
      </c>
      <c r="D9" s="233">
        <v>100.0</v>
      </c>
      <c r="E9" s="233">
        <v>200.10416666666666</v>
      </c>
      <c r="F9" s="281">
        <v>-6.988944889106389E-4</v>
      </c>
      <c r="G9" s="281">
        <v>0.1465907251878286</v>
      </c>
      <c r="H9" s="281">
        <v>0.2512983860362776</v>
      </c>
      <c r="I9" s="233">
        <v>-0.07317182611506956</v>
      </c>
      <c r="J9" s="233">
        <v>4.5232135109365</v>
      </c>
      <c r="K9" s="233">
        <v>0.004024450436328826</v>
      </c>
      <c r="L9" s="233">
        <v>200.833984375</v>
      </c>
      <c r="M9" s="233">
        <v>204.62738017760316</v>
      </c>
      <c r="N9" s="303">
        <v>204.62738017760316</v>
      </c>
    </row>
    <row r="10">
      <c r="A10" s="184">
        <v>43862.0</v>
      </c>
      <c r="B10" s="233">
        <v>0.0</v>
      </c>
      <c r="C10" s="233">
        <v>0.0</v>
      </c>
      <c r="D10" s="233">
        <v>0.0</v>
      </c>
      <c r="E10" s="233">
        <v>100.10416666666666</v>
      </c>
      <c r="F10" s="281">
        <v>-0.013571483773815925</v>
      </c>
      <c r="G10" s="281">
        <v>0.14728961967673923</v>
      </c>
      <c r="H10" s="281">
        <v>0.29457923935347846</v>
      </c>
      <c r="I10" s="233">
        <v>-1.4393469242531236</v>
      </c>
      <c r="J10" s="233">
        <v>4.592360886615225</v>
      </c>
      <c r="K10" s="233">
        <v>0.0791640808339218</v>
      </c>
      <c r="L10" s="233">
        <v>100.62554253472223</v>
      </c>
      <c r="M10" s="233">
        <v>104.69652755328188</v>
      </c>
      <c r="N10" s="303">
        <v>104.69652755328188</v>
      </c>
    </row>
    <row r="11">
      <c r="A11" s="184">
        <v>43831.0</v>
      </c>
      <c r="B11" s="233">
        <v>0.0</v>
      </c>
      <c r="C11" s="233">
        <v>0.0</v>
      </c>
      <c r="D11" s="233">
        <v>0.0</v>
      </c>
      <c r="E11" s="233">
        <v>100.10416666666666</v>
      </c>
      <c r="F11" s="281">
        <v>0.06953970791992178</v>
      </c>
      <c r="G11" s="281">
        <v>0.16086110345055515</v>
      </c>
      <c r="H11" s="281">
        <v>0.3860666482813324</v>
      </c>
      <c r="I11" s="233">
        <v>6.982968306915818</v>
      </c>
      <c r="J11" s="233">
        <v>5.952543730034435</v>
      </c>
      <c r="K11" s="233">
        <v>-0.38406325688037</v>
      </c>
      <c r="L11" s="233">
        <v>100.52126736111111</v>
      </c>
      <c r="M11" s="233">
        <v>106.05671039670109</v>
      </c>
      <c r="N11" s="303">
        <v>106.05671039670109</v>
      </c>
    </row>
    <row r="12">
      <c r="A12" s="184">
        <v>43800.0</v>
      </c>
      <c r="B12" s="233">
        <v>0.0</v>
      </c>
      <c r="C12" s="233">
        <v>0.0</v>
      </c>
      <c r="D12" s="233">
        <v>0.0</v>
      </c>
      <c r="E12" s="233">
        <v>100.10416666666666</v>
      </c>
      <c r="F12" s="281">
        <v>0.02764486097227171</v>
      </c>
      <c r="G12" s="281">
        <v>0.09132139553063337</v>
      </c>
      <c r="H12" s="281">
        <v>0.27396418659190014</v>
      </c>
      <c r="I12" s="233">
        <v>2.7731311155997935</v>
      </c>
      <c r="J12" s="233">
        <v>0.3128255208333428</v>
      </c>
      <c r="K12" s="233">
        <v>-0.15252221135798863</v>
      </c>
      <c r="L12" s="233">
        <v>100.4169921875</v>
      </c>
      <c r="M12" s="233">
        <v>99.52017009316204</v>
      </c>
      <c r="N12" s="303">
        <v>100.4169921875</v>
      </c>
    </row>
    <row r="13">
      <c r="A13" s="184">
        <v>43770.0</v>
      </c>
      <c r="B13" s="233">
        <v>0.0</v>
      </c>
      <c r="C13" s="233">
        <v>0.0</v>
      </c>
      <c r="D13" s="233">
        <v>0.0</v>
      </c>
      <c r="E13" s="233">
        <v>100.10416666666666</v>
      </c>
      <c r="F13" s="281">
        <v>-0.031204251937763165</v>
      </c>
      <c r="G13" s="281">
        <v>0.06367653455836166</v>
      </c>
      <c r="H13" s="281">
        <v>0.2547061382334466</v>
      </c>
      <c r="I13" s="233">
        <v>-3.126929465474715</v>
      </c>
      <c r="J13" s="233">
        <v>0.20855034722222854</v>
      </c>
      <c r="K13" s="233">
        <v>0.17198112060110934</v>
      </c>
      <c r="L13" s="233">
        <v>100.31271701388889</v>
      </c>
      <c r="M13" s="233">
        <v>96.99137911342062</v>
      </c>
      <c r="N13" s="303">
        <v>100.31271701388889</v>
      </c>
    </row>
    <row r="14">
      <c r="A14" s="184">
        <v>43739.0</v>
      </c>
      <c r="B14" s="233">
        <v>0.0</v>
      </c>
      <c r="C14" s="233">
        <v>0.0</v>
      </c>
      <c r="D14" s="233">
        <v>0.0</v>
      </c>
      <c r="E14" s="233">
        <v>100.10416666666666</v>
      </c>
      <c r="F14" s="281">
        <v>-0.0017577640676155197</v>
      </c>
      <c r="G14" s="281">
        <v>0.09488078649612482</v>
      </c>
      <c r="H14" s="281">
        <v>0.5692847189767489</v>
      </c>
      <c r="I14" s="233">
        <v>-0.1759595071852619</v>
      </c>
      <c r="J14" s="233">
        <v>0.10427517361111427</v>
      </c>
      <c r="K14" s="233">
        <v>0.009677772895189405</v>
      </c>
      <c r="L14" s="233">
        <v>100.20844184027777</v>
      </c>
      <c r="M14" s="233">
        <v>99.93788493237658</v>
      </c>
      <c r="N14" s="303">
        <v>100.20844184027777</v>
      </c>
    </row>
    <row r="15">
      <c r="A15" s="184">
        <v>43709.0</v>
      </c>
      <c r="B15" s="233">
        <v>100.10416666666666</v>
      </c>
      <c r="C15" s="233">
        <v>0.0</v>
      </c>
      <c r="D15" s="233">
        <v>100.10416666666666</v>
      </c>
      <c r="E15" s="233">
        <v>100.10416666666666</v>
      </c>
      <c r="F15" s="281">
        <v>0.09663855056374034</v>
      </c>
      <c r="G15" s="281">
        <v>0.09663855056374034</v>
      </c>
      <c r="H15" s="281">
        <v>1.159662606764884</v>
      </c>
      <c r="I15" s="233">
        <v>0.0</v>
      </c>
      <c r="J15" s="233">
        <v>0.0</v>
      </c>
      <c r="K15" s="233">
        <v>0.0</v>
      </c>
      <c r="L15" s="233">
        <v>100.10416666666666</v>
      </c>
      <c r="M15" s="233">
        <v>100.10416666666666</v>
      </c>
      <c r="N15" s="303">
        <v>100.10416666666666</v>
      </c>
    </row>
    <row r="16">
      <c r="A16" s="184">
        <v>43678.0</v>
      </c>
      <c r="B16" s="233">
        <v>100.0</v>
      </c>
      <c r="C16" s="233">
        <v>100.0</v>
      </c>
      <c r="D16" s="233">
        <v>0.0</v>
      </c>
      <c r="E16" s="233">
        <v>0.0</v>
      </c>
      <c r="F16" s="281">
        <v>0.0</v>
      </c>
      <c r="G16" s="281">
        <v>0.0</v>
      </c>
      <c r="H16" s="281">
        <v>0.0</v>
      </c>
      <c r="I16" s="233">
        <v>0.0</v>
      </c>
      <c r="J16" s="233">
        <v>0.0</v>
      </c>
      <c r="K16" s="233">
        <v>0.0</v>
      </c>
      <c r="L16" s="233">
        <v>0.0</v>
      </c>
      <c r="M16" s="233">
        <v>0.0</v>
      </c>
      <c r="N16" s="303">
        <v>0.0</v>
      </c>
    </row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4" width="14.43"/>
  </cols>
  <sheetData>
    <row r="1">
      <c r="A1" s="9" t="s">
        <v>46</v>
      </c>
      <c r="B1" s="9" t="s">
        <v>1572</v>
      </c>
      <c r="C1" s="9" t="s">
        <v>1573</v>
      </c>
      <c r="D1" s="9" t="s">
        <v>1574</v>
      </c>
      <c r="E1" s="9" t="s">
        <v>1575</v>
      </c>
      <c r="F1" s="9" t="s">
        <v>1576</v>
      </c>
      <c r="G1" s="9" t="s">
        <v>1577</v>
      </c>
      <c r="H1" s="9" t="s">
        <v>1531</v>
      </c>
      <c r="I1" s="9" t="s">
        <v>1578</v>
      </c>
      <c r="J1" s="9" t="s">
        <v>1530</v>
      </c>
      <c r="K1" s="9" t="s">
        <v>1525</v>
      </c>
      <c r="L1" s="9" t="s">
        <v>1579</v>
      </c>
      <c r="M1" s="9" t="s">
        <v>1580</v>
      </c>
      <c r="N1" s="9" t="s">
        <v>282</v>
      </c>
    </row>
    <row r="2">
      <c r="A2" s="184">
        <f>EOMONTH(IF(ISDATE($A1),$A1-1,DateTime!B2),-1)+1</f>
        <v>44105</v>
      </c>
      <c r="B2" s="233">
        <f>SUMIFS(ClientHistoric!$C:$C,ClientHistoric!$A:$A,"&gt;"&amp;EOMONTH($A2,-2),ClientHistoric!$A:$A,"&lt;"&amp;$A2,ClientHistoric!$B:$B,SHEETNAME(),ClientHistoric!$C:$C,"&gt;0")+SUMIFS(ClientHistoric!$C:$C,ClientHistoric!$A:$A,"&gt;="&amp;$A2,ClientHistoric!$A:$A,"&lt;="&amp;EOMONTH($A2,0),ClientHistoric!$B:$B,SHEETNAME(),ClientHistoric!$C:$C,"&lt;0")+$C3*(1+Dashboard!$B$56/12)</f>
        <v>40000</v>
      </c>
      <c r="C2" s="233">
        <f>MAX($B2+IF($B2&gt;0,SUMIFS(Historic!$G:$G,Historic!$D:$D,"BUY",Historic!$A:$A,"&gt;"&amp;MAX(EOMONTH($A2,-2),MAXIFS(ClientHistoric!$A:$A,ClientHistoric!$A:$A,"&gt;"&amp;EOMONTH($A2,-2),ClientHistoric!$A:$A,"&lt;"&amp;$A2,ClientHistoric!$B:$B,SHEETNAME(),ClientHistoric!$C:$C,"&gt;0")),Historic!$A:$A,"&lt;"&amp;$A2),0),0)</f>
        <v>28196.38</v>
      </c>
      <c r="D2" s="233">
        <f>$B2-$C2</f>
        <v>11803.62</v>
      </c>
      <c r="E2" s="233">
        <f>$E3+$D2</f>
        <v>11803.62</v>
      </c>
      <c r="F2" s="281">
        <f>IF($A3,MAXIFS(AllocationHistoric!$I:$I,AllocationHistoric!$A:$A,$A2),0)</f>
        <v>0</v>
      </c>
      <c r="G2" s="281">
        <f>$F2+$G3</f>
        <v>0</v>
      </c>
      <c r="H2" s="281">
        <f>IF($A3,$G2/ROWS($A2:$A3)*12,0)</f>
        <v>0</v>
      </c>
      <c r="I2" s="233">
        <f>$N3*$F2</f>
        <v>0</v>
      </c>
      <c r="J2" s="233">
        <f>$N2-$E2</f>
        <v>0</v>
      </c>
      <c r="K2" s="233">
        <f>-$I2*5.5/100</f>
        <v>0</v>
      </c>
      <c r="L2" s="233">
        <f>IF($L3,$E2*Dashboard!$B$56/12+$D2+$L3,$D2)</f>
        <v>11803.62</v>
      </c>
      <c r="M2" s="233">
        <f>$M3+$D2+$M3*$F2+$K2</f>
        <v>11803.62</v>
      </c>
      <c r="N2" s="303">
        <f>MAX($M2,$L2)</f>
        <v>11803.62</v>
      </c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4" width="14.43"/>
  </cols>
  <sheetData>
    <row r="1">
      <c r="A1" s="9" t="s">
        <v>46</v>
      </c>
      <c r="B1" s="9" t="s">
        <v>1572</v>
      </c>
      <c r="C1" s="9" t="s">
        <v>1573</v>
      </c>
      <c r="D1" s="9" t="s">
        <v>1574</v>
      </c>
      <c r="E1" s="9" t="s">
        <v>1575</v>
      </c>
      <c r="F1" s="9" t="s">
        <v>1576</v>
      </c>
      <c r="G1" s="9" t="s">
        <v>1577</v>
      </c>
      <c r="H1" s="9" t="s">
        <v>1531</v>
      </c>
      <c r="I1" s="9" t="s">
        <v>1578</v>
      </c>
      <c r="J1" s="9" t="s">
        <v>1530</v>
      </c>
      <c r="K1" s="9" t="s">
        <v>1525</v>
      </c>
      <c r="L1" s="9" t="s">
        <v>1579</v>
      </c>
      <c r="M1" s="9" t="s">
        <v>1580</v>
      </c>
      <c r="N1" s="9" t="s">
        <v>282</v>
      </c>
    </row>
    <row r="2">
      <c r="A2" s="184">
        <f>EOMONTH(IF(ISDATE($A1),$A1-1,DateTime!B2),-1)+1</f>
        <v>44105</v>
      </c>
      <c r="B2" s="233">
        <f>SUMIFS(ClientHistoric!$C:$C,ClientHistoric!$A:$A,"&gt;"&amp;EOMONTH($A2,-2),ClientHistoric!$A:$A,"&lt;"&amp;$A2,ClientHistoric!$B:$B,SHEETNAME(),ClientHistoric!$C:$C,"&gt;0")+SUMIFS(ClientHistoric!$C:$C,ClientHistoric!$A:$A,"&gt;="&amp;$A2,ClientHistoric!$A:$A,"&lt;="&amp;EOMONTH($A2,0),ClientHistoric!$B:$B,SHEETNAME(),ClientHistoric!$C:$C,"&lt;0")+$C3*(1+Dashboard!$B$56/12)</f>
        <v>0</v>
      </c>
      <c r="C2" s="233">
        <f>MAX($B2+IF($B2&gt;0,SUMIFS(Historic!$G:$G,Historic!$D:$D,"BUY",Historic!$A:$A,"&gt;"&amp;MAX(EOMONTH($A2,-2),MAXIFS(ClientHistoric!$A:$A,ClientHistoric!$A:$A,"&gt;"&amp;EOMONTH($A2,-2),ClientHistoric!$A:$A,"&lt;"&amp;$A2,ClientHistoric!$B:$B,SHEETNAME(),ClientHistoric!$C:$C,"&gt;0")),Historic!$A:$A,"&lt;"&amp;$A2),0),0)</f>
        <v>0</v>
      </c>
      <c r="D2" s="233">
        <f>$B2-$C2</f>
        <v>0</v>
      </c>
      <c r="E2" s="233">
        <f>$E3+$D2</f>
        <v>0</v>
      </c>
      <c r="F2" s="281">
        <f>IF($A3,MAXIFS(AllocationHistoric!$I:$I,AllocationHistoric!$A:$A,$A2),0)</f>
        <v>0</v>
      </c>
      <c r="G2" s="281">
        <f>$F2+$G3</f>
        <v>0</v>
      </c>
      <c r="H2" s="281">
        <f>IF($A3,$G2/ROWS($A2:$A3)*12,0)</f>
        <v>0</v>
      </c>
      <c r="I2" s="233">
        <f>$N3*$F2</f>
        <v>0</v>
      </c>
      <c r="J2" s="233">
        <f>$N2-$E2</f>
        <v>0</v>
      </c>
      <c r="K2" s="233">
        <f>-$I2*5.5/100</f>
        <v>0</v>
      </c>
      <c r="L2" s="233">
        <f>IF($L3,$E2*Dashboard!$B$56/12+$D2+$L3,$D2)</f>
        <v>0</v>
      </c>
      <c r="M2" s="233">
        <f>$M3+$D2+$M3*$F2+$K2</f>
        <v>0</v>
      </c>
      <c r="N2" s="303">
        <f>MAX($M2,$L2)</f>
        <v>0</v>
      </c>
    </row>
  </sheetData>
  <drawing r:id="rId2"/>
  <legacyDrawing r:id="rId3"/>
</worksheet>
</file>