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Wallet" sheetId="4" r:id="rId7"/>
    <sheet state="visible" name="Transfer" sheetId="5" r:id="rId8"/>
    <sheet state="visible" name="Price" sheetId="6" r:id="rId9"/>
    <sheet state="visible" name="Historic" sheetId="7" r:id="rId10"/>
    <sheet state="visible" name="Swap" sheetId="8" r:id="rId11"/>
    <sheet state="hidden" name="_Larix" sheetId="9" r:id="rId12"/>
    <sheet state="visible" name="PriceCache" sheetId="10" r:id="rId13"/>
    <sheet state="visible" name="Friktion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https://app.friktion.fi/analytics/fcSOL</t>
      </text>
    </comment>
    <comment authorId="0" ref="B8">
      <text>
        <t xml:space="preserve">Dollar to Euro conversion (if &gt; 1, Euro is stronger than Dollar)</t>
      </text>
    </comment>
    <comment authorId="0" ref="E8">
      <text>
        <t xml:space="preserve">Bough price vs Current price</t>
      </text>
    </comment>
    <comment authorId="0" ref="B9">
      <text>
        <t xml:space="preserve">Friktion breakeven price</t>
      </text>
    </comment>
    <comment authorId="0" ref="E9">
      <text>
        <t xml:space="preserve">Friktion breakeven ratio</t>
      </text>
    </comment>
    <comment authorId="0" ref="A10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D3">
      <text>
        <t xml:space="preserve">If empty, use CoinGecko, otherwise Friktion</t>
      </text>
    </comment>
    <comment authorId="0" ref="B4">
      <text>
        <t xml:space="preserve">Change HERE the price of FiMs Token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<sst xmlns="http://schemas.openxmlformats.org/spreadsheetml/2006/main" count="1286" uniqueCount="959">
  <si>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</si>
  <si>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</si>
  <si>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</si>
  <si>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</si>
  <si>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</si>
  <si>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</si>
  <si>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</si>
  <si>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</si>
  <si>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</si>
  <si>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</si>
  <si>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</si>
  <si>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</si>
  <si>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</si>
  <si>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</si>
  <si>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</si>
  <si>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</si>
  <si>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</si>
  <si>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</si>
  <si>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Prevision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</si>
  <si>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</si>
  <si>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</si>
  <si>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</si>
  <si>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</si>
  <si>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</si>
  <si>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</si>
  <si>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</si>
  <si>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</si>
  <si>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</si>
  <si>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</si>
  <si>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</si>
  <si>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</si>
  <si>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</si>
  <si>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</si>
  <si>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</si>
  <si>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</si>
  <si>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</si>
  <si>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</si>
  <si>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Tokenaddress</t>
  </si>
  <si>
    <t>Tokenamount Amount</t>
  </si>
  <si>
    <t>Tokenamount Decimals</t>
  </si>
  <si>
    <t>Tokenamount Uiamount</t>
  </si>
  <si>
    <t>Tokenamount Uiamountstring</t>
  </si>
  <si>
    <t>Tokenaccount</t>
  </si>
  <si>
    <t>Tokenname</t>
  </si>
  <si>
    <t>Tokenicon</t>
  </si>
  <si>
    <t>Rentepoch</t>
  </si>
  <si>
    <t>Lamports</t>
  </si>
  <si>
    <t>Tokensymbol</t>
  </si>
  <si>
    <t>So11111111111111111111111111111111111111112</t>
  </si>
  <si>
    <t>CCLcWAJX6fubUqGyZWz8dyUGEddRj8h4XZZCNSDzMVx4</t>
  </si>
  <si>
    <t>0</t>
  </si>
  <si>
    <t>6</t>
  </si>
  <si>
    <t>6oBi6N1uZ7AvH2j6EgQNcFmmBXjTrMG2dnuYgvzySHAc</t>
  </si>
  <si>
    <t>USD Coin</t>
  </si>
  <si>
    <t>https://raw.githubusercontent.com/solana-labs/token-list/main/assets/mainnet/EPjFWdd5AufqSSqeM2qN1xzybapC8G4wEGGkZwyTDt1v/logo.png</t>
  </si>
  <si>
    <t>361</t>
  </si>
  <si>
    <t>2039280</t>
  </si>
  <si>
    <t>USDC</t>
  </si>
  <si>
    <t>D84wZMJRoievKkRaquXXrYSMuU5mA46RznCSrJ9HSK1u</t>
  </si>
  <si>
    <t>9</t>
  </si>
  <si>
    <t>Fi52NvPesbFV32kspxinKc3ztmddFmTzuRv96cbprrYb</t>
  </si>
  <si>
    <t/>
  </si>
  <si>
    <t>Je6yu7yHQ4YozsrXtQS5vKteX8rV73yPxMU2muLUX1U</t>
  </si>
  <si>
    <t>4BgyicPnmEdZrpr7oo2tchAaEsyGRBV9LrG33jtjYrfX</t>
  </si>
  <si>
    <t>CbNYA9n3927uXUukee2Hf4tm3xxkffJPPZvGazc2EAH1</t>
  </si>
  <si>
    <t>7007000000</t>
  </si>
  <si>
    <t>8</t>
  </si>
  <si>
    <t>70.07</t>
  </si>
  <si>
    <t>DVTJ7ndZDJ3zw5fiJUw3aRbZp6L6xfdGHtdUo8AF2SAJ</t>
  </si>
  <si>
    <t>agEUR (Portal)</t>
  </si>
  <si>
    <t>https://raw.githubusercontent.com/solana-labs/token-list/main/assets/mainnet/CbNYA9n3927uXUukee2Hf4tm3xxkffJPPZvGazc2EAH1/logo.png</t>
  </si>
  <si>
    <t>agEUR</t>
  </si>
  <si>
    <t>EkBq3DgudXH4FA9MUiY1kSTV7kbQ1oPh5rxuQr5fepYq</t>
  </si>
  <si>
    <t>1</t>
  </si>
  <si>
    <t>GqVr5xvaBsk1m13h99c9GxrdznMPNZcZGEK2vg3coMjB</t>
  </si>
  <si>
    <t>4Hnh1UCC6HLzx9NaGKnTVHR2bANcRrhydumdHCnrT3i2</t>
  </si>
  <si>
    <t>74BtqYTPJgn7RyCt8y5Jc4W6kkkCwmtB2AwLGk8v6ydf</t>
  </si>
  <si>
    <t>Friktion SOL (Volt 01 Call)</t>
  </si>
  <si>
    <t>https://raw.githubusercontent.com/solana-labs/token-list/main/assets/mainnet/4Hnh1UCC6HLzx9NaGKnTVHR2bANcRrhydumdHCnrT3i2/logo.png</t>
  </si>
  <si>
    <t>fcSOL</t>
  </si>
  <si>
    <t>BUrfnpqKnWfbxumNmEiUj1bmQkSRAPK6VZAuzeS1cEcE</t>
  </si>
  <si>
    <t>EigxYvTUzYycU23FZ2ebahGpMvwxVcmgtrFmytH6g648</t>
  </si>
  <si>
    <t>5hb6MukyGYhZPJWAKN2jksjPXmycriToT8h8mHqSgyB8</t>
  </si>
  <si>
    <t>AawDbiaX3oGLaQ6GCZQCCoGRWkWFxTFmzadkkt3MZeEG</t>
  </si>
  <si>
    <t>C7DT47JcfLWZgD6qwXTbVkHAHF7JsWLqDiwRquTqHE2u</t>
  </si>
  <si>
    <t>FgrEbnGSVxZy8HfN712XxChKQTd5BbPZWvPQErB3BD1g</t>
  </si>
  <si>
    <t>DNa849drqW19uBV5X9ohpJ5brRGzq856gk3HDRqveFrA</t>
  </si>
  <si>
    <t>4099113807524</t>
  </si>
  <si>
    <t>4099.113807524</t>
  </si>
  <si>
    <t>BqviyKupFoNSH7BfnUVNmBje7G6GqNvBM2YiB46wMzyj</t>
  </si>
  <si>
    <t>Es9vMFrzaCERmJfrF4H2FYD4KCoNkY11McCe8BenwNYB</t>
  </si>
  <si>
    <t>Cbwqe6XLUWyg1FUzE712Kjj57FMdUhr1ksadhgKxRerU</t>
  </si>
  <si>
    <t>USDT</t>
  </si>
  <si>
    <t>https://raw.githubusercontent.com/solana-labs/token-list/main/assets/mainnet/Es9vMFrzaCERmJfrF4H2FYD4KCoNkY11McCe8BenwNYB/logo.svg</t>
  </si>
  <si>
    <t>86nx2WyrdC6VuWyfdG1gMLiiBduktBTJgToKZAYwcbct</t>
  </si>
  <si>
    <t>B5W81R5kC2ZhzeHezrM4fBZmf3Sky6LSRd12mCQKNW5v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</si>
  <si>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</si>
  <si>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</si>
  <si>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</si>
  <si>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</si>
  <si>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</si>
  <si>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</si>
  <si>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</si>
  <si>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Solana (SOL)</t>
  </si>
  <si>
    <t>FiMs Token (FiMs)</t>
  </si>
  <si>
    <t>Friktion Low (fcSOL)</t>
  </si>
  <si>
    <t>Friktion High (fcSOLHigh)</t>
  </si>
  <si>
    <t>Friktion Protection (fprotSOL)</t>
  </si>
  <si>
    <t>Friktion Crab (fcrabBTC)</t>
  </si>
  <si>
    <t>Profit rate</t>
  </si>
  <si>
    <t>Token</t>
  </si>
  <si>
    <t>Name</t>
  </si>
  <si>
    <t>Value</t>
  </si>
  <si>
    <t>MintAddress</t>
  </si>
  <si>
    <t>Yearly Yield</t>
  </si>
  <si>
    <t>Inception Yield</t>
  </si>
  <si>
    <t>Available</t>
  </si>
  <si>
    <t>Duration</t>
  </si>
  <si>
    <t>Function</t>
  </si>
  <si>
    <t>Formula</t>
  </si>
  <si>
    <t>Euro</t>
  </si>
  <si>
    <t>Dollar (Circle)</t>
  </si>
  <si>
    <t>EPjFWdd5AufqSSqeM2qN1xzybapC8G4wEGGkZwyTDt1v</t>
  </si>
  <si>
    <t>Dollar (Tether)</t>
  </si>
  <si>
    <t>Sol</t>
  </si>
  <si>
    <t>fprotSOL</t>
  </si>
  <si>
    <t>Sécurité</t>
  </si>
  <si>
    <t>fcrabBTC</t>
  </si>
  <si>
    <t>Sécurité +</t>
  </si>
  <si>
    <t>Performance</t>
  </si>
  <si>
    <t>fcSOLHigh</t>
  </si>
  <si>
    <t>Performance +</t>
  </si>
  <si>
    <t>FiMs</t>
  </si>
  <si>
    <t>FiMs Token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</si>
  <si>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</si>
  <si>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</si>
  <si>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</si>
  <si>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</si>
  <si>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</si>
  <si>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</si>
  <si>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</si>
  <si>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</si>
  <si>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</si>
  <si>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</si>
  <si>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</si>
  <si>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</si>
  <si>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</si>
  <si>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</si>
  <si>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</si>
  <si>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</si>
  <si>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</si>
  <si>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</si>
  <si>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</si>
  <si>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</si>
  <si>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</si>
  <si>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</si>
  <si>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</si>
  <si>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</si>
  <si>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</si>
  <si>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</si>
  <si>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</si>
  <si>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</si>
  <si>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</si>
  <si>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</si>
  <si>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</si>
  <si>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</si>
  <si>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</si>
  <si>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</si>
  <si>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</si>
  <si>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</si>
  <si>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</si>
  <si>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</si>
  <si>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</si>
  <si>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</si>
  <si>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</si>
  <si>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</si>
  <si>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</si>
  <si>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</si>
  <si>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</si>
  <si>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</si>
  <si>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</si>
  <si>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</si>
  <si>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</si>
  <si>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</si>
  <si>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</si>
  <si>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</si>
  <si>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</si>
  <si>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</si>
  <si>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</si>
  <si>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</si>
  <si>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</si>
  <si>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</si>
  <si>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</si>
  <si>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</si>
  <si>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</si>
  <si>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</si>
  <si>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</si>
  <si>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</si>
  <si>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</si>
  <si>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</si>
  <si>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</si>
  <si>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</si>
  <si>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</si>
  <si>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</si>
  <si>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</si>
  <si>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</si>
  <si>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</si>
  <si>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</si>
  <si>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</si>
  <si>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Price</t>
  </si>
  <si>
    <t>Last updated</t>
  </si>
  <si>
    <t xml:space="preserve"> </t>
  </si>
  <si>
    <t>Low Interest</t>
  </si>
  <si>
    <t>High Interest</t>
  </si>
  <si>
    <t>Protection Interest</t>
  </si>
  <si>
    <t>Crab Interest</t>
  </si>
  <si>
    <t>/allMainnetVolts/shareTokenMint</t>
  </si>
  <si>
    <t>/allMainnetVolts/shareTokenSymbol</t>
  </si>
  <si>
    <t>/allMainnetVolts/depositTokenSymbol</t>
  </si>
  <si>
    <t>/allMainnetVolts/shareTokenPrice</t>
  </si>
  <si>
    <t>/allMainnetVolts/depositTokenPrice</t>
  </si>
  <si>
    <t>/allMainnetVolts/tvlDepositToken</t>
  </si>
  <si>
    <t>/allMainnetVolts/capacityDepositToken</t>
  </si>
  <si>
    <t>/allMainnetVolts/latestEpochYield</t>
  </si>
  <si>
    <t>mainnet_income_call_btc</t>
  </si>
  <si>
    <t>3BjcHXvyzMsjmeqE2qFLx45K4XFx3JPiyRnjJiF5MAHt</t>
  </si>
  <si>
    <t>fcBTC</t>
  </si>
  <si>
    <t>BTC</t>
  </si>
  <si>
    <t>1.177641456716864</t>
  </si>
  <si>
    <t>20751</t>
  </si>
  <si>
    <t>178.978282</t>
  </si>
  <si>
    <t>800</t>
  </si>
  <si>
    <t>0.25</t>
  </si>
  <si>
    <t>mainnet_income_call_sol</t>
  </si>
  <si>
    <t>1.231597294640359</t>
  </si>
  <si>
    <t>32.72</t>
  </si>
  <si>
    <t>178913.124373249</t>
  </si>
  <si>
    <t>290000</t>
  </si>
  <si>
    <t>0.2</t>
  </si>
  <si>
    <t>mainnet_income_call_sol_high</t>
  </si>
  <si>
    <t>1.1969145249127917</t>
  </si>
  <si>
    <t>33447.561855235</t>
  </si>
  <si>
    <t>75000</t>
  </si>
  <si>
    <t>0.39</t>
  </si>
  <si>
    <t>mainnet_income_call_marinade</t>
  </si>
  <si>
    <t>6UA3yn28XecAHLTwoCtjfzy3WcyQj1x13bxnH8urUiKt</t>
  </si>
  <si>
    <t>fcmSOL</t>
  </si>
  <si>
    <t>mSOL</t>
  </si>
  <si>
    <t>1.1877791127825073</t>
  </si>
  <si>
    <t>35.01</t>
  </si>
  <si>
    <t>67601.379375006</t>
  </si>
  <si>
    <t>90000</t>
  </si>
  <si>
    <t>0.22</t>
  </si>
  <si>
    <t>mainnet_income_call_samo</t>
  </si>
  <si>
    <t>9Wtfq4A7nGxQ6c89xhPBj4ipQyj1jeXntPBzDQknhHas</t>
  </si>
  <si>
    <t>fcSAMO</t>
  </si>
  <si>
    <t>SAMO</t>
  </si>
  <si>
    <t>0.8189570409067526</t>
  </si>
  <si>
    <t>0.00976205</t>
  </si>
  <si>
    <t>11921428.902805215</t>
  </si>
  <si>
    <t>20000000</t>
  </si>
  <si>
    <t>0.36</t>
  </si>
  <si>
    <t>mainnet_income_call_near</t>
  </si>
  <si>
    <t>9w6ntom9RfZLxX1uVdmjD6yHi8VJezJQYVWP9pMTHXfd</t>
  </si>
  <si>
    <t>fcNEAR</t>
  </si>
  <si>
    <t>NEAR</t>
  </si>
  <si>
    <t>3.05</t>
  </si>
  <si>
    <t>949.596619596</t>
  </si>
  <si>
    <t>200000</t>
  </si>
  <si>
    <t>mainnet_income_call_eth</t>
  </si>
  <si>
    <t>GjnoPUjQiEUYWuKAbMax2cM1Eony8Yutc133wuSun9hS</t>
  </si>
  <si>
    <t>fcETH</t>
  </si>
  <si>
    <t>ETH</t>
  </si>
  <si>
    <t>1.0144975192937604</t>
  </si>
  <si>
    <t>1610.24</t>
  </si>
  <si>
    <t>896.97925923</t>
  </si>
  <si>
    <t>1300</t>
  </si>
  <si>
    <t>0.27</t>
  </si>
  <si>
    <t>mainnet_income_call_ftt</t>
  </si>
  <si>
    <t>7wDh4VCTPwx41kvbLE6fkFgMEjnqw7NpGJvQtNabCm2B</t>
  </si>
  <si>
    <t>fcFTT</t>
  </si>
  <si>
    <t>FTT</t>
  </si>
  <si>
    <t>1.154740958918444</t>
  </si>
  <si>
    <t>25.33</t>
  </si>
  <si>
    <t>156196.8581014</t>
  </si>
  <si>
    <t>185000</t>
  </si>
  <si>
    <t>0.16</t>
  </si>
  <si>
    <t>mainnet_income_call_srm</t>
  </si>
  <si>
    <t>5SLqZSywodLS8ih6U2AAioZrxpgR149hR8SApmCB7r5X</t>
  </si>
  <si>
    <t>fcSRM</t>
  </si>
  <si>
    <t>SRM</t>
  </si>
  <si>
    <t>0.779374332857215</t>
  </si>
  <si>
    <t>0.796226</t>
  </si>
  <si>
    <t>3897192.253738</t>
  </si>
  <si>
    <t>5690000</t>
  </si>
  <si>
    <t>mainnet_income_call_mngo</t>
  </si>
  <si>
    <t>4sTuzTYfcE2NF7zy6Sy8XhVcNLa6JQSLrx3roy97n4sD</t>
  </si>
  <si>
    <t>fcMNGO</t>
  </si>
  <si>
    <t>MNGO</t>
  </si>
  <si>
    <t>1.086054497771025</t>
  </si>
  <si>
    <t>0.0173364</t>
  </si>
  <si>
    <t>4176497.056817</t>
  </si>
  <si>
    <t>10000000</t>
  </si>
  <si>
    <t>0.02</t>
  </si>
  <si>
    <t>mainnet_income_call_socean</t>
  </si>
  <si>
    <t>5VmdHqvRMbXivuC34w4Hux9zb1y9moiBEQmXDrTR1kV</t>
  </si>
  <si>
    <t>fcscnSOL</t>
  </si>
  <si>
    <t>scnSOL</t>
  </si>
  <si>
    <t>1.159934299973894</t>
  </si>
  <si>
    <t>35.62</t>
  </si>
  <si>
    <t>13638.635698686</t>
  </si>
  <si>
    <t>42000</t>
  </si>
  <si>
    <t>mainnet_income_call_sbr</t>
  </si>
  <si>
    <t>DPMCwE9z9jXaDVDti5aKhdgCWGgsvioz6ZvB9eZjH7UE</t>
  </si>
  <si>
    <t>fcSBR</t>
  </si>
  <si>
    <t>SBR</t>
  </si>
  <si>
    <t>1.229198999898963</t>
  </si>
  <si>
    <t>0.00194909</t>
  </si>
  <si>
    <t>12065888.711945</t>
  </si>
  <si>
    <t>80000000</t>
  </si>
  <si>
    <t>0.35</t>
  </si>
  <si>
    <t>mainnet_income_call_luna</t>
  </si>
  <si>
    <t>95sn4kgeJnnBfRCD8S2quu4HS9Y6vb7JDuXrarnmEjYE</t>
  </si>
  <si>
    <t>fcLUNA</t>
  </si>
  <si>
    <t>LUNA</t>
  </si>
  <si>
    <t>1.0605569962957027</t>
  </si>
  <si>
    <t>0.00023604</t>
  </si>
  <si>
    <t>129584.696908</t>
  </si>
  <si>
    <t>180000</t>
  </si>
  <si>
    <t>mainnet_income_call_ray</t>
  </si>
  <si>
    <t>SoAnGsHVqSyaN4MjWoPCcftC1V6oSeNxLJjF5TXrtuL</t>
  </si>
  <si>
    <t>fcRAY</t>
  </si>
  <si>
    <t>RAY</t>
  </si>
  <si>
    <t>1.0987889210316975</t>
  </si>
  <si>
    <t>0.525294</t>
  </si>
  <si>
    <t>149195.031565</t>
  </si>
  <si>
    <t>0.3</t>
  </si>
  <si>
    <t>mainnet_income_call_step</t>
  </si>
  <si>
    <t>AQFLXqLLofcbUCoi5HPfuuvX6vMPafubZfBNBMumnKq2</t>
  </si>
  <si>
    <t>fcSTEP</t>
  </si>
  <si>
    <t>STEP</t>
  </si>
  <si>
    <t>1.0597378119608034</t>
  </si>
  <si>
    <t>0.02736973</t>
  </si>
  <si>
    <t>5626784.522239153</t>
  </si>
  <si>
    <t>0.1</t>
  </si>
  <si>
    <t>mainnet_income_call_stsol</t>
  </si>
  <si>
    <t>EPoDdEcDQ478YNRAiMYMHLs7mEnmo5z9322Q2D5exKFU</t>
  </si>
  <si>
    <t>fcstSOL</t>
  </si>
  <si>
    <t>stSOL</t>
  </si>
  <si>
    <t>1.1102041688848887</t>
  </si>
  <si>
    <t>34.78</t>
  </si>
  <si>
    <t>37824.602214675</t>
  </si>
  <si>
    <t>69000</t>
  </si>
  <si>
    <t>mainnet_income_call_avax</t>
  </si>
  <si>
    <t>HLfkEc6E2HEcABaWm3QZSfDvswzXjh1onF9xEzUAtWNS</t>
  </si>
  <si>
    <t>fcAVAX</t>
  </si>
  <si>
    <t>AVAX</t>
  </si>
  <si>
    <t>1.137010072240902</t>
  </si>
  <si>
    <t>18.22</t>
  </si>
  <si>
    <t>12186.04603818</t>
  </si>
  <si>
    <t>35000</t>
  </si>
  <si>
    <t>0.14</t>
  </si>
  <si>
    <t>mainnet_income_call_aptos</t>
  </si>
  <si>
    <t>BVdUrHg3W3NRW4BPWEH1EzXhBQgpp17QEyW2iCHmqwJq</t>
  </si>
  <si>
    <t>fcAPT</t>
  </si>
  <si>
    <t>APT</t>
  </si>
  <si>
    <t>1.0049775749058214</t>
  </si>
  <si>
    <t>7.92</t>
  </si>
  <si>
    <t>4250.6720356</t>
  </si>
  <si>
    <t>100000</t>
  </si>
  <si>
    <t>0.73</t>
  </si>
  <si>
    <t>mainnet_income_put_luna</t>
  </si>
  <si>
    <t>74ozhToAS71nDVBtFZMMucdkNB95tV2o5fhtFGQeixwS</t>
  </si>
  <si>
    <t>fpLUNA</t>
  </si>
  <si>
    <t>UST</t>
  </si>
  <si>
    <t>0.000005787070097987454</t>
  </si>
  <si>
    <t>0.03815678</t>
  </si>
  <si>
    <t>131.561125</t>
  </si>
  <si>
    <t>9000000</t>
  </si>
  <si>
    <t>mainnet_income_put_sol</t>
  </si>
  <si>
    <t>EBPM7fvPN8EuA65Uc7DT9eGyDUZ1sqMLM8Rb8y2YxBYU</t>
  </si>
  <si>
    <t>fpSOL</t>
  </si>
  <si>
    <t>0.76384158700085</t>
  </si>
  <si>
    <t>964028.870009</t>
  </si>
  <si>
    <t>2000000</t>
  </si>
  <si>
    <t>mainnet_income_put_sol_high</t>
  </si>
  <si>
    <t>G8jsAWUA2KdDn7XmV1sBqUdbEXESaPdjPWDEYCsnkRX2</t>
  </si>
  <si>
    <t>fpSOLHigh</t>
  </si>
  <si>
    <t>0.8380870524505502</t>
  </si>
  <si>
    <t>1333577.967221</t>
  </si>
  <si>
    <t>mainnet_income_put_mngo</t>
  </si>
  <si>
    <t>CxHG1tPkeEHsAVmPF2UrjZK3W719J5DGFgMaLtUkBoeP</t>
  </si>
  <si>
    <t>fpMNGO</t>
  </si>
  <si>
    <t>0.7160698048826717</t>
  </si>
  <si>
    <t>50217.145513</t>
  </si>
  <si>
    <t>550000</t>
  </si>
  <si>
    <t>0.51</t>
  </si>
  <si>
    <t>mainnet_income_put_btc</t>
  </si>
  <si>
    <t>THjfJ7GUeW6aMU6dzYYFVs5LnKNvmPzgk2wbh3bWagC</t>
  </si>
  <si>
    <t>fpBTC</t>
  </si>
  <si>
    <t>0.9153080598153157</t>
  </si>
  <si>
    <t>385873.208421</t>
  </si>
  <si>
    <t>1500000</t>
  </si>
  <si>
    <t>0.21</t>
  </si>
  <si>
    <t>mainnet_income_put_tsUSDC</t>
  </si>
  <si>
    <t>Fw8mw9zNyfngvBYuS2L6XWfvFE8fExQ3apZVw4Ery5oy</t>
  </si>
  <si>
    <t>fptsUSDCSOL</t>
  </si>
  <si>
    <t>tsUSDC</t>
  </si>
  <si>
    <t>0.7965103498723295</t>
  </si>
  <si>
    <t>0.999861</t>
  </si>
  <si>
    <t>110779.959898</t>
  </si>
  <si>
    <t>500000</t>
  </si>
  <si>
    <t>mainnet_income_put_pai</t>
  </si>
  <si>
    <t>8R2L3r6N6odiUkztEzhxr9wkFio8UikYWbp36qdZvA9U</t>
  </si>
  <si>
    <t>fpPAISOL</t>
  </si>
  <si>
    <t>PAI</t>
  </si>
  <si>
    <t>0.7324622811592064</t>
  </si>
  <si>
    <t>176087.599926</t>
  </si>
  <si>
    <t>0.24</t>
  </si>
  <si>
    <t>mainnet_income_put_uxd</t>
  </si>
  <si>
    <t>7q415NG2DBRLTcTqMdRLWZ6FTVUzSunjfsjMkT3xneNL</t>
  </si>
  <si>
    <t>fpUXDSOL</t>
  </si>
  <si>
    <t>UXD</t>
  </si>
  <si>
    <t>202.445251</t>
  </si>
  <si>
    <t>5000000</t>
  </si>
  <si>
    <t>mainnet_income_put_eth</t>
  </si>
  <si>
    <t>2uTkms42P62dJ7JRaefc1HFkvyBeMP28J6MPmH1gVHoT</t>
  </si>
  <si>
    <t>fpETH</t>
  </si>
  <si>
    <t>0.7829392026600138</t>
  </si>
  <si>
    <t>249319.705958</t>
  </si>
  <si>
    <t>1000000</t>
  </si>
  <si>
    <t>mainnet_income_perp_btc</t>
  </si>
  <si>
    <t>1.1402778925105437</t>
  </si>
  <si>
    <t>1078525.1664602077</t>
  </si>
  <si>
    <t>1100000</t>
  </si>
  <si>
    <t>0.33</t>
  </si>
  <si>
    <t>mainnet_basis_usdc_sol</t>
  </si>
  <si>
    <t>5CNnTMrMmWHnpswWYdFANvP6QCu58azbRG1enAjeWohx</t>
  </si>
  <si>
    <t>fbasisSOL</t>
  </si>
  <si>
    <t>1.063178110195608</t>
  </si>
  <si>
    <t>210339.52527227323</t>
  </si>
  <si>
    <t>mainnet_basis_usdc_btc</t>
  </si>
  <si>
    <t>GjHfbkNE4WbCeiyq8SteXJgtgNH46zWX7zXMKjPbL4Py</t>
  </si>
  <si>
    <t>fbasisBTC</t>
  </si>
  <si>
    <t>1.0093439721807551</t>
  </si>
  <si>
    <t>23602.235576</t>
  </si>
  <si>
    <t>0.09</t>
  </si>
  <si>
    <t>mainnet_protection_usdc_sol</t>
  </si>
  <si>
    <t>1.0049828900263464</t>
  </si>
  <si>
    <t>286869.913443</t>
  </si>
  <si>
    <t>mainnet_income_call_sol_step_circuits</t>
  </si>
  <si>
    <t>FGyxuV712gvc8DtxBrSSFXAU6yfqEzqs2intBYUNobWo</t>
  </si>
  <si>
    <t>fcSOL_StepFinanceTreasury</t>
  </si>
  <si>
    <t>0.0026360439999989745</t>
  </si>
  <si>
    <t>mainnet_income_call_btc_step_circuits</t>
  </si>
  <si>
    <t>5TMXqdmLGfdbmeWDQ1BxZ16xxTcHTA766gnojnS1Cx2g</t>
  </si>
  <si>
    <t>fcBTC_StepFinanceTreasury</t>
  </si>
  <si>
    <t>1.0387647413605041</t>
  </si>
  <si>
    <t>80.94782</t>
  </si>
  <si>
    <t>100</t>
  </si>
  <si>
    <t>0.17</t>
  </si>
  <si>
    <t>mainnet_income_put_sol_step_circuits</t>
  </si>
  <si>
    <t>Bikt7D3nMQmJSpxX7oczCDKgevrpWk3g4D3VhQZzqAT</t>
  </si>
  <si>
    <t>fpSOL_StepFinanceTreasury</t>
  </si>
  <si>
    <t>11000000</t>
  </si>
  <si>
    <t>0.23</t>
  </si>
  <si>
    <t>mainnet_income_call_sol_parrot_circuits</t>
  </si>
  <si>
    <t>89JuYPSHEhskTvVf4rkdfmXyr6bdNA6Q21XtjSU7Urdi</t>
  </si>
  <si>
    <t>fcSOL_ParrotTreasury</t>
  </si>
  <si>
    <t>0.0001</t>
  </si>
  <si>
    <t>mainnet_income_put_sol_parrot_circuits</t>
  </si>
  <si>
    <t>J1TX6c1R6WykW2wonvrL6xA2g8vZ2FLDqDDF1mLYrMYK</t>
  </si>
  <si>
    <t>fpSOL_ParrotTreasury</t>
  </si>
  <si>
    <t>mainnet_income_put_btc_step_circuits</t>
  </si>
  <si>
    <t>ET4nQ6we7KDemfzni8dy2EkNCuYo1RryiRPjC6XwnnC3</t>
  </si>
  <si>
    <t>fpBTC_StepFinanceTreasury</t>
  </si>
  <si>
    <t>mainnet_income_put_btc_circuits_e262dc86</t>
  </si>
  <si>
    <t>sMFGiogTQCHXyC27MoUZvPtNsQcvWesYK3H8TYQNzoC</t>
  </si>
  <si>
    <t>fpBTC_e262dc86</t>
  </si>
  <si>
    <t>1.0052389835496127</t>
  </si>
  <si>
    <t>30127.226283</t>
  </si>
  <si>
    <t>mainnet_income_put_sol_uxd_circuits</t>
  </si>
  <si>
    <t>BAyzqZuKUQ4k93Yfm3xp85SkAKtr4xghBsqZLBTZT14z</t>
  </si>
  <si>
    <t>fpSOL_UXDTreasury</t>
  </si>
  <si>
    <t>0.6685274407506567</t>
  </si>
  <si>
    <t>0.904412</t>
  </si>
  <si>
    <t>3000000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</si>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</sst>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0"/>
    <numFmt numFmtId="169" formatCode="0.000"/>
    <numFmt numFmtId="170" formatCode="#,##0.00[$ €]"/>
    <numFmt numFmtId="171" formatCode="dd/MM/yyyy"/>
    <numFmt numFmtId="172" formatCode="&quot;$&quot;#,##0.000"/>
    <numFmt numFmtId="173" formatCode="&quot;$&quot;#,##0.00000"/>
    <numFmt numFmtId="174" formatCode="#,##0.00 €"/>
    <numFmt numFmtId="175" formatCode="#,##0.000000"/>
    <numFmt numFmtId="176" formatCode="#,##0\ [$€-1]"/>
    <numFmt numFmtId="177" formatCode="M/d/yyyy H:mm:ss"/>
    <numFmt numFmtId="178" formatCode="#,##0.00000"/>
    <numFmt numFmtId="179" formatCode="#,##0.0000"/>
    <numFmt numFmtId="180" formatCode="&quot;$&quot;#,##0.000000"/>
    <numFmt numFmtId="181" formatCode="&quot;$&quot;#,##0"/>
    <numFmt numFmtId="182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Courier New"/>
    </font>
    <font>
      <u/>
      <color rgb="FF0000FF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1" fillId="0" fontId="1" numFmtId="168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70" xfId="0" applyAlignment="1" applyFill="1" applyFont="1" applyNumberFormat="1">
      <alignment horizontal="center" readingOrder="0"/>
    </xf>
    <xf borderId="6" fillId="3" fontId="1" numFmtId="170" xfId="0" applyAlignment="1" applyBorder="1" applyFont="1" applyNumberFormat="1">
      <alignment horizontal="center" readingOrder="0"/>
    </xf>
    <xf borderId="6" fillId="4" fontId="1" numFmtId="170" xfId="0" applyAlignment="1" applyBorder="1" applyFill="1" applyFont="1" applyNumberFormat="1">
      <alignment horizontal="center" readingOrder="0"/>
    </xf>
    <xf borderId="0" fillId="4" fontId="1" numFmtId="170" xfId="0" applyAlignment="1" applyFont="1" applyNumberFormat="1">
      <alignment horizontal="center" readingOrder="0"/>
    </xf>
    <xf borderId="6" fillId="5" fontId="1" numFmtId="170" xfId="0" applyAlignment="1" applyBorder="1" applyFill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1" fillId="6" fontId="1" numFmtId="168" xfId="0" applyAlignment="1" applyBorder="1" applyFill="1" applyFont="1" applyNumberForma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6" fillId="0" fontId="2" numFmtId="166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1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1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1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0" fillId="0" fontId="5" numFmtId="0" xfId="0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6" fillId="2" fontId="1" numFmtId="0" xfId="0" applyAlignment="1" applyBorder="1" applyFont="1">
      <alignment horizontal="center" readingOrder="0"/>
    </xf>
    <xf borderId="6" fillId="8" fontId="7" numFmtId="167" xfId="0" applyAlignment="1" applyBorder="1" applyFont="1" applyNumberFormat="1">
      <alignment horizontal="center" readingOrder="0"/>
    </xf>
    <xf borderId="0" fillId="8" fontId="7" numFmtId="167" xfId="0" applyAlignment="1" applyFont="1" applyNumberFormat="1">
      <alignment horizontal="center" readingOrder="0"/>
    </xf>
    <xf borderId="0" fillId="8" fontId="7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7" numFmtId="4" xfId="0" applyAlignment="1" applyBorder="1" applyFont="1" applyNumberFormat="1">
      <alignment horizontal="center" readingOrder="0"/>
    </xf>
    <xf borderId="0" fillId="8" fontId="7" numFmtId="165" xfId="0" applyAlignment="1" applyFont="1" applyNumberFormat="1">
      <alignment horizontal="center" readingOrder="0"/>
    </xf>
    <xf borderId="0" fillId="8" fontId="7" numFmtId="10" xfId="0" applyAlignment="1" applyFont="1" applyNumberFormat="1">
      <alignment horizontal="center" readingOrder="0"/>
    </xf>
    <xf borderId="0" fillId="0" fontId="2" numFmtId="17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8" numFmtId="4" xfId="0" applyAlignment="1" applyBorder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6" fillId="0" fontId="7" numFmtId="4" xfId="0" applyAlignment="1" applyBorder="1" applyFont="1" applyNumberFormat="1">
      <alignment readingOrder="0"/>
    </xf>
    <xf borderId="0" fillId="3" fontId="1" numFmtId="173" xfId="0" applyAlignment="1" applyFont="1" applyNumberFormat="1">
      <alignment horizontal="center" readingOrder="0"/>
    </xf>
    <xf borderId="0" fillId="3" fontId="1" numFmtId="168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3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0" fillId="0" fontId="4" numFmtId="17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9" numFmtId="171" xfId="0" applyAlignment="1" applyFill="1" applyFont="1" applyNumberFormat="1">
      <alignment horizontal="right" readingOrder="0" shrinkToFit="0" vertical="bottom" wrapText="0"/>
    </xf>
    <xf borderId="0" fillId="11" fontId="9" numFmtId="165" xfId="0" applyAlignment="1" applyFont="1" applyNumberFormat="1">
      <alignment horizontal="right" readingOrder="0" shrinkToFit="0" vertical="bottom" wrapText="0"/>
    </xf>
    <xf borderId="0" fillId="11" fontId="9" numFmtId="168" xfId="0" applyAlignment="1" applyFont="1" applyNumberFormat="1">
      <alignment horizontal="right" readingOrder="0" shrinkToFit="0" vertical="bottom" wrapText="0"/>
    </xf>
    <xf borderId="0" fillId="11" fontId="9" numFmtId="4" xfId="0" applyAlignment="1" applyFont="1" applyNumberFormat="1">
      <alignment horizontal="right" readingOrder="0" shrinkToFit="0" vertical="bottom" wrapText="0"/>
    </xf>
    <xf borderId="0" fillId="0" fontId="2" numFmtId="168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0" fontId="2" numFmtId="166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6" fillId="0" fontId="2" numFmtId="175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10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10" numFmtId="0" xfId="0" applyFont="1"/>
    <xf borderId="0" fillId="5" fontId="2" numFmtId="170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69" xfId="0" applyFont="1" applyNumberFormat="1"/>
    <xf borderId="0" fillId="0" fontId="1" numFmtId="168" xfId="0" applyAlignment="1" applyFont="1" applyNumberFormat="1">
      <alignment readingOrder="0"/>
    </xf>
    <xf borderId="0" fillId="0" fontId="11" numFmtId="165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9" xfId="0" applyFont="1" applyNumberFormat="1"/>
    <xf borderId="0" fillId="0" fontId="2" numFmtId="181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6" fillId="0" fontId="7" numFmtId="10" xfId="0" applyBorder="1" applyFont="1" applyNumberFormat="1"/>
    <xf borderId="0" fillId="0" fontId="2" numFmtId="182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solana-labs/token-list/main/assets/mainnet/EPjFWdd5AufqSSqeM2qN1xzybapC8G4wEGGkZwyTDt1v/logo.png" TargetMode="External"/><Relationship Id="rId2" Type="http://schemas.openxmlformats.org/officeDocument/2006/relationships/hyperlink" Target="https://raw.githubusercontent.com/solana-labs/token-list/main/assets/mainnet/CbNYA9n3927uXUukee2Hf4tm3xxkffJPPZvGazc2EAH1/logo.png" TargetMode="External"/><Relationship Id="rId3" Type="http://schemas.openxmlformats.org/officeDocument/2006/relationships/hyperlink" Target="https://raw.githubusercontent.com/solana-labs/token-list/main/assets/mainnet/4Hnh1UCC6HLzx9NaGKnTVHR2bANcRrhydumdHCnrT3i2/logo.png" TargetMode="External"/><Relationship Id="rId4" Type="http://schemas.openxmlformats.org/officeDocument/2006/relationships/hyperlink" Target="https://raw.githubusercontent.com/solana-labs/token-list/main/assets/mainnet/Es9vMFrzaCERmJfrF4H2FYD4KCoNkY11McCe8BenwNYB/logo.sv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5473.315908</v>
      </c>
      <c r="C2" s="6">
        <f>Transfer!E2</f>
        <v>309294.47</v>
      </c>
      <c r="D2" s="7">
        <f>Transfer!B2</f>
        <v>292000</v>
      </c>
      <c r="E2" s="8">
        <f t="shared" ref="E2:E6" si="1">C2/$C$2</f>
        <v>1</v>
      </c>
    </row>
    <row r="3">
      <c r="A3" s="4" t="s">
        <v>6</v>
      </c>
      <c r="B3" s="5">
        <f t="shared" ref="B3:B4" si="2">$C3/$C$9</f>
        <v>-62.77046869</v>
      </c>
      <c r="C3" s="6">
        <f>-Transfer!$H$2</f>
        <v>-2053.849736</v>
      </c>
      <c r="D3" s="9">
        <f>$C$3/$C$2*$D$2</f>
        <v>-1939.006937</v>
      </c>
      <c r="E3" s="8">
        <f t="shared" si="1"/>
        <v>-0.006640434715</v>
      </c>
    </row>
    <row r="4">
      <c r="A4" s="4" t="s">
        <v>7</v>
      </c>
      <c r="B4" s="5">
        <f t="shared" si="2"/>
        <v>-504.2565837</v>
      </c>
      <c r="C4" s="6">
        <f t="shared" ref="C4:D4" si="3">C$7-(C$2+C$3+C$5)</f>
        <v>-16499.27542</v>
      </c>
      <c r="D4" s="9">
        <f t="shared" si="3"/>
        <v>1730.802227</v>
      </c>
      <c r="E4" s="8">
        <f t="shared" si="1"/>
        <v>-0.05334487687</v>
      </c>
    </row>
    <row r="5">
      <c r="A5" s="10" t="s">
        <v>8</v>
      </c>
      <c r="B5" s="11">
        <v>0.0</v>
      </c>
      <c r="C5" s="12">
        <f>(C$9-C$8)*Transfer!$G$2</f>
        <v>-130207.5735</v>
      </c>
      <c r="D5" s="13">
        <f>(D$9-D$8)*Transfer!$G$2</f>
        <v>-130678.0143</v>
      </c>
      <c r="E5" s="14">
        <f t="shared" si="1"/>
        <v>-0.4209825461</v>
      </c>
    </row>
    <row r="6">
      <c r="A6" s="15" t="str">
        <f t="array" ref="A6">INDEX(Price!$F:$F,1)</f>
        <v>Friktion High (fcSOLHigh)</v>
      </c>
      <c r="B6" s="16">
        <f>C6/$C$9</f>
        <v>4906.288855</v>
      </c>
      <c r="C6" s="17">
        <f>IFERROR(__xludf.DUMMYFUNCTION("SUMIFS(Swap!$G:$G,Swap!$A:$A,INDEX(SPLIT(A6,""()""),2))*Index(Price!$F:$F,2)*Index(Price!$C:$C,2)"),160533.7713518306)</f>
        <v>160533.7714</v>
      </c>
      <c r="D6" s="9">
        <f>$B6*D$9</f>
        <v>161113.781</v>
      </c>
      <c r="E6" s="8">
        <f t="shared" si="1"/>
        <v>0.5190321423</v>
      </c>
    </row>
    <row r="7">
      <c r="A7" s="18" t="s">
        <v>9</v>
      </c>
      <c r="B7" s="19">
        <f t="shared" ref="B7:E7" si="4">SUM(OFFSET(B:B,ROW(B$5),0,ROW()-1-ROW(B$5)))</f>
        <v>4906.288855</v>
      </c>
      <c r="C7" s="20">
        <f t="shared" si="4"/>
        <v>160533.7714</v>
      </c>
      <c r="D7" s="21">
        <f t="shared" si="4"/>
        <v>161113.781</v>
      </c>
      <c r="E7" s="22">
        <f t="shared" si="4"/>
        <v>0.5190321423</v>
      </c>
    </row>
    <row r="8">
      <c r="A8" s="4" t="s">
        <v>10</v>
      </c>
      <c r="B8" s="23">
        <f t="array" ref="B8">INDEX(Price!$B:$B,2)</f>
        <v>0.9964</v>
      </c>
      <c r="C8" s="17">
        <f>Transfer!$D$2</f>
        <v>56.78551704</v>
      </c>
      <c r="D8" s="24">
        <f>IFERROR(__xludf.DUMMYFUNCTION("$C8/HLOOKUP(""*""&amp;INDEX(SPLIT(D$1,"" ""),1)&amp;""*"",Price!$A:$CD,2,0)"),56.9906835029782)</f>
        <v>56.9906835</v>
      </c>
      <c r="E8" s="8">
        <f>-(1-$C$9/$C$8)</f>
        <v>-0.4237967407</v>
      </c>
    </row>
    <row r="9">
      <c r="A9" s="4" t="str">
        <f>IFERROR(__xludf.DUMMYFUNCTION("""Price @ ""&amp;TO_TEXT(MIN(OFFSET(PriceCache!$C:$C,1,0)))&amp;PriceCache!$D$2"),"Price @ 10/30/2022 1:12:00 ")</f>
        <v>Price @ 10/30/2022 1:12:00 </v>
      </c>
      <c r="B9" s="17">
        <f t="array" ref="B9">ImportJSON("https://api.friktion.fi/one_liner_v2?GlobalIDs=mainnet_income_call_sol_high"&amp;INDEX(PriceCache!D:D,2),"/breakeven","noHeaders")*1</f>
        <v>36.14</v>
      </c>
      <c r="C9" s="25">
        <f>IF(1,HLOOKUP("*("&amp;$B$1&amp;")",Price!$A:$CD,2,0),$C$8*1)</f>
        <v>32.72</v>
      </c>
      <c r="D9" s="24">
        <f>IFERROR(__xludf.DUMMYFUNCTION("$C9/HLOOKUP(""*""&amp;INDEX(SPLIT(D$1,"" ""),1)&amp;""*"",Price!$A:$CD,2,0)"),32.83821758329988)</f>
        <v>32.83821758</v>
      </c>
      <c r="E9" s="8">
        <f>-1+$B$9/$C$9</f>
        <v>0.1045232274</v>
      </c>
    </row>
    <row r="10">
      <c r="A10" s="18" t="s">
        <v>11</v>
      </c>
      <c r="B10" s="26">
        <f t="shared" ref="B10:E10" si="5">B7-B2</f>
        <v>-567.0270524</v>
      </c>
      <c r="C10" s="27">
        <f t="shared" si="5"/>
        <v>-148760.6986</v>
      </c>
      <c r="D10" s="28">
        <f t="shared" si="5"/>
        <v>-130886.219</v>
      </c>
      <c r="E10" s="29">
        <f t="shared" si="5"/>
        <v>-0.4809678577</v>
      </c>
    </row>
  </sheetData>
  <conditionalFormatting sqref="B10:E10">
    <cfRule type="cellIs" dxfId="0" priority="1" operator="lessThan">
      <formula>0</formula>
    </cfRule>
  </conditionalFormatting>
  <conditionalFormatting sqref="B10:E10">
    <cfRule type="cellIs" dxfId="1" priority="2" operator="greaterThan">
      <formula>0</formula>
    </cfRule>
  </conditionalFormatting>
  <conditionalFormatting sqref="C9">
    <cfRule type="expression" dxfId="2" priority="3">
      <formula>C9&gt;B9</formula>
    </cfRule>
  </conditionalFormatting>
  <conditionalFormatting sqref="A9">
    <cfRule type="expression" dxfId="2" priority="4">
      <formula>TO_DATE(INDEX(SPLIT($A$9,"@"),2))&lt;TO_DATE(NOW()-TIME(0,15,0))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8" width="11.25"/>
  </cols>
  <sheetData>
    <row r="1">
      <c r="A1" s="30" t="s">
        <v>9</v>
      </c>
      <c r="B1" s="31" t="s">
        <v>12</v>
      </c>
      <c r="C1" s="30" t="s">
        <v>13</v>
      </c>
      <c r="D1" s="32" t="s">
        <v>14</v>
      </c>
      <c r="E1" s="33" t="s">
        <v>15</v>
      </c>
      <c r="F1" s="33" t="s">
        <v>16</v>
      </c>
      <c r="G1" s="33" t="s">
        <v>17</v>
      </c>
      <c r="H1" s="34" t="s">
        <v>18</v>
      </c>
    </row>
    <row r="2">
      <c r="A2" s="35"/>
      <c r="B2" s="36">
        <v>1.0</v>
      </c>
      <c r="C2" s="30">
        <f>Dashboard!$D$7*$B$2</f>
        <v>161113.781</v>
      </c>
      <c r="D2" s="32">
        <f>SUM(OFFSET(D:D,ROW()+1,0,ROWS(D:D)))*Dashboard!$D$9/Dashboard!$C$9</f>
        <v>128.4439014</v>
      </c>
      <c r="E2" s="33">
        <f>SUM(OFFSET(E:E,ROW()+1,0,ROWS(E:E)))*Dashboard!$D$9/Dashboard!$C$9</f>
        <v>899.1073095</v>
      </c>
      <c r="F2" s="33">
        <f>SUM(OFFSET(F:F,ROW()+1,0,ROWS(F:F)))*Dashboard!$D$9/Dashboard!$C$9</f>
        <v>3909.511248</v>
      </c>
      <c r="G2" s="33">
        <f>SUM(OFFSET(G:G,ROW()+1,0,ROWS(G:G)))*Dashboard!$D$9/Dashboard!$C$9</f>
        <v>46914.13497</v>
      </c>
      <c r="H2" s="34">
        <f>SUM(OFFSET(H:H,ROW()+1,0,ROWS(H:H)))*Dashboard!$D$9/Dashboard!$C$9</f>
        <v>628.3437458</v>
      </c>
    </row>
    <row r="3">
      <c r="A3" s="37"/>
      <c r="B3" s="37">
        <f>$G$3/$C$3</f>
        <v>0.2911863572</v>
      </c>
      <c r="C3" s="38">
        <f>Dashboard!$C$7*$B$2</f>
        <v>160533.7714</v>
      </c>
      <c r="D3" s="39">
        <f t="shared" ref="D3:H3" si="1">SUM(OFFSET(D:D,ROW(),0,ROWS(D:D)))</f>
        <v>127.9815033</v>
      </c>
      <c r="E3" s="40">
        <f t="shared" si="1"/>
        <v>895.8705232</v>
      </c>
      <c r="F3" s="40">
        <f t="shared" si="1"/>
        <v>3895.437007</v>
      </c>
      <c r="G3" s="40">
        <f t="shared" si="1"/>
        <v>46745.24408</v>
      </c>
      <c r="H3" s="41">
        <f t="shared" si="1"/>
        <v>626.0817083</v>
      </c>
    </row>
    <row r="4">
      <c r="A4" s="42" t="str">
        <f>OFFSET(Dashboard!$A:$A,5,0,ROWS(Dashboard!A:A)-9)</f>
        <v>Friktion High (fcSOLHigh)</v>
      </c>
      <c r="B4" s="8">
        <f>IFERROR(__xludf.DUMMYFUNCTION("MAXIFS(Swap!$E:$E,Swap!$A:$A,INDEX(SPLIT($A4,""()""),2))"),0.2911863571837916)</f>
        <v>0.2911863572</v>
      </c>
      <c r="C4" s="6">
        <f t="array" ref="C4">INDEX(Dashboard!$C:$C,ROW()+2)*IF($B$2&lt;&gt;"",$B$2,1)</f>
        <v>160533.7714</v>
      </c>
      <c r="D4" s="43">
        <f>$G4/365.25</f>
        <v>127.9815033</v>
      </c>
      <c r="E4" s="44">
        <f>$G4/365.25*7</f>
        <v>895.8705232</v>
      </c>
      <c r="F4" s="44">
        <f>$G4/12</f>
        <v>3895.437007</v>
      </c>
      <c r="G4" s="44">
        <f t="array" ref="G4">INDEX($B:$B,ROW())*INDEX($C:$C,ROW())</f>
        <v>46745.24408</v>
      </c>
      <c r="H4" s="45">
        <f t="array" ref="H4">C4*INDEX(Price!$J:$J,2)/100</f>
        <v>626.0817083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6" t="s">
        <v>19</v>
      </c>
      <c r="B1" s="47" t="s">
        <v>20</v>
      </c>
      <c r="C1" s="48" t="s">
        <v>21</v>
      </c>
      <c r="D1" s="48" t="s">
        <v>22</v>
      </c>
      <c r="E1" s="49" t="s">
        <v>23</v>
      </c>
      <c r="F1" s="50" t="s">
        <v>21</v>
      </c>
      <c r="G1" s="51" t="s">
        <v>22</v>
      </c>
      <c r="H1" s="52" t="s">
        <v>24</v>
      </c>
      <c r="I1" s="52" t="s">
        <v>25</v>
      </c>
      <c r="J1" s="52" t="s">
        <v>26</v>
      </c>
      <c r="K1" s="52" t="s">
        <v>27</v>
      </c>
      <c r="L1" s="52" t="s">
        <v>25</v>
      </c>
      <c r="M1" s="52" t="s">
        <v>26</v>
      </c>
      <c r="N1" s="53" t="s">
        <v>28</v>
      </c>
      <c r="O1" s="54" t="s">
        <v>29</v>
      </c>
      <c r="P1" s="54" t="s">
        <v>10</v>
      </c>
      <c r="Q1" s="54" t="s">
        <v>30</v>
      </c>
      <c r="R1" s="54" t="s">
        <v>31</v>
      </c>
      <c r="S1" s="54" t="s">
        <v>26</v>
      </c>
      <c r="T1" s="54" t="s">
        <v>32</v>
      </c>
      <c r="U1" s="54" t="s">
        <v>33</v>
      </c>
      <c r="V1" s="54" t="s">
        <v>11</v>
      </c>
    </row>
    <row r="2">
      <c r="A2" s="55">
        <f>NOW()-TIME(1,0,0)</f>
        <v>44864.01324</v>
      </c>
      <c r="B2" s="56">
        <f t="array" ref="B2">INDEX($U:$U,ROW())/INDEX($T:$T,ROW())*INDEX($B:$B,ROWS($B:$B))</f>
        <v>2.88062839</v>
      </c>
      <c r="C2" s="8">
        <f t="array" ref="C2">INDEX(D:D,ROW())-INDEX(D:D,ROW()+1)</f>
        <v>-0.005076108971</v>
      </c>
      <c r="D2" s="57">
        <f t="array" ref="D2">-1+INDEX(B:B,ROW())/INDEX(B:B,ROWS(B:B))</f>
        <v>-0.4809678577</v>
      </c>
      <c r="E2" s="58">
        <f>Dashboard!$C$9</f>
        <v>32.72</v>
      </c>
      <c r="F2" s="8">
        <f t="array" ref="F2">INDEX(G:G,ROW())-INDEX(G:G,ROW()+1)</f>
        <v>-0.0056352397</v>
      </c>
      <c r="G2" s="57">
        <f t="array" ref="G2">-1+INDEX(E:E,ROW())/INDEX(P:P,ROW())</f>
        <v>-0.4237967407</v>
      </c>
      <c r="H2" s="6">
        <f>SUMIFS(Dashboard!$C$6,Dashboard!$A$6,IF(H$1="Stable","=","&lt;&gt;")&amp;"USD*")</f>
        <v>0</v>
      </c>
      <c r="I2" s="8">
        <f>$C2*J2</f>
        <v>0</v>
      </c>
      <c r="J2" s="8">
        <f>H2/($H2+$K2)</f>
        <v>0</v>
      </c>
      <c r="K2" s="6">
        <f>SUMIFS(OFFSET(Dashboard!$C:$C,5,0,ROWS(Dashboard!A:A)-9),OFFSET(Dashboard!$A:$A,5,0,ROWS(Dashboard!A:A)-10),IF(K$1="Stable","=","&lt;&gt;")&amp;"USD*")</f>
        <v>160533.7714</v>
      </c>
      <c r="L2" s="8">
        <f>$C2*M2</f>
        <v>-0.005076108971</v>
      </c>
      <c r="M2" s="8">
        <f>K2/($H2+$K2)</f>
        <v>1</v>
      </c>
      <c r="N2" s="59">
        <f t="shared" ref="N2:O2" si="1">C2-F2</f>
        <v>0.0005591307286</v>
      </c>
      <c r="O2" s="8">
        <f t="shared" si="1"/>
        <v>-0.057171117</v>
      </c>
      <c r="P2" s="6">
        <f>SUMIFS(OFFSET(Transfer!$F:$F,2,0),OFFSET(Transfer!$A:$A,2,0),"&lt;="&amp;$A2)/SUMIFS(OFFSET(Transfer!$G:$G,2,0),OFFSET(Transfer!$A:$A,2,0),"&lt;="&amp;$A2)</f>
        <v>56.78551704</v>
      </c>
      <c r="Q2" s="60">
        <f>$U2/$E2</f>
        <v>4906.288855</v>
      </c>
      <c r="R2" s="60">
        <f>SUMIFS(OFFSET(Transfer!$G:$G,2,0),OFFSET(Transfer!$A:$A,2,0),"&lt;="&amp;$A2)</f>
        <v>5410.545439</v>
      </c>
      <c r="S2" s="8">
        <f>(Q2-R2)/R2</f>
        <v>-0.09319884462</v>
      </c>
      <c r="T2" s="6">
        <f>SUMIFS(OFFSET(Transfer!$E:$E,2,0),OFFSET(Transfer!$A:$A,2,0),"&lt;="&amp;$A2)</f>
        <v>309294.47</v>
      </c>
      <c r="U2" s="6">
        <f>Dashboard!$C$7</f>
        <v>160533.7714</v>
      </c>
      <c r="V2" s="6">
        <f>$U2-$T2</f>
        <v>-148760.6986</v>
      </c>
    </row>
    <row r="3">
      <c r="A3" s="61">
        <v>44863.9599944213</v>
      </c>
      <c r="B3" s="62">
        <v>2.908800794476706</v>
      </c>
      <c r="C3" s="63">
        <v>0.0133247860489083</v>
      </c>
      <c r="D3" s="64">
        <v>-0.4758917487429358</v>
      </c>
      <c r="E3" s="58">
        <v>33.04</v>
      </c>
      <c r="F3" s="63">
        <v>0.014792504211474822</v>
      </c>
      <c r="G3" s="64">
        <v>-0.418161501015321</v>
      </c>
      <c r="H3" s="17">
        <v>0.0</v>
      </c>
      <c r="I3" s="63">
        <v>0.0</v>
      </c>
      <c r="J3" s="63">
        <v>0.0</v>
      </c>
      <c r="K3" s="17">
        <v>162103.78378558933</v>
      </c>
      <c r="L3" s="63">
        <v>0.0133247860489083</v>
      </c>
      <c r="M3" s="63">
        <v>1.0</v>
      </c>
      <c r="N3" s="65">
        <v>-0.0014677181625665225</v>
      </c>
      <c r="O3" s="63">
        <v>-0.057730247727614814</v>
      </c>
      <c r="P3" s="17">
        <v>56.78551704236747</v>
      </c>
      <c r="Q3" s="66">
        <v>4906.2888554960455</v>
      </c>
      <c r="R3" s="66">
        <v>5410.545439198374</v>
      </c>
      <c r="S3" s="63">
        <v>-0.09319884462092959</v>
      </c>
      <c r="T3" s="17">
        <v>309294.4699817</v>
      </c>
      <c r="U3" s="17">
        <v>162103.78378558933</v>
      </c>
      <c r="V3" s="17">
        <v>-147190.68619611068</v>
      </c>
    </row>
    <row r="4">
      <c r="A4" s="61">
        <v>44862.959960381944</v>
      </c>
      <c r="B4" s="62">
        <v>2.834848231905265</v>
      </c>
      <c r="C4" s="63">
        <v>0.01985892587185345</v>
      </c>
      <c r="D4" s="64">
        <v>-0.4892165347918441</v>
      </c>
      <c r="E4" s="58">
        <v>32.2</v>
      </c>
      <c r="F4" s="63">
        <v>0.025358578648242647</v>
      </c>
      <c r="G4" s="64">
        <v>-0.43295400522679583</v>
      </c>
      <c r="H4" s="17">
        <v>0.0</v>
      </c>
      <c r="I4" s="63">
        <v>0.0</v>
      </c>
      <c r="J4" s="63">
        <v>0.0</v>
      </c>
      <c r="K4" s="17">
        <v>157982.50114697267</v>
      </c>
      <c r="L4" s="63">
        <v>0.01985892587185345</v>
      </c>
      <c r="M4" s="63">
        <v>1.0</v>
      </c>
      <c r="N4" s="65">
        <v>-0.005499652776389197</v>
      </c>
      <c r="O4" s="63">
        <v>-0.05626252956504829</v>
      </c>
      <c r="P4" s="17">
        <v>56.78551704236747</v>
      </c>
      <c r="Q4" s="66">
        <v>4906.2888554960455</v>
      </c>
      <c r="R4" s="66">
        <v>5410.545439198374</v>
      </c>
      <c r="S4" s="63">
        <v>-0.09319884462092959</v>
      </c>
      <c r="T4" s="17">
        <v>309294.4699817</v>
      </c>
      <c r="U4" s="17">
        <v>157982.50114697267</v>
      </c>
      <c r="V4" s="17">
        <v>-151311.96883472733</v>
      </c>
    </row>
    <row r="5">
      <c r="A5" s="61">
        <v>44861.959965057875</v>
      </c>
      <c r="B5" s="62">
        <v>2.724631193316478</v>
      </c>
      <c r="C5" s="63">
        <v>-0.007022327610792245</v>
      </c>
      <c r="D5" s="64">
        <v>-0.5090754606636976</v>
      </c>
      <c r="E5" s="58">
        <v>30.76</v>
      </c>
      <c r="F5" s="63">
        <v>-0.007748454586962938</v>
      </c>
      <c r="G5" s="64">
        <v>-0.4583125838750385</v>
      </c>
      <c r="H5" s="17">
        <v>0.0</v>
      </c>
      <c r="I5" s="63">
        <v>0.0</v>
      </c>
      <c r="J5" s="63">
        <v>0.0</v>
      </c>
      <c r="K5" s="17">
        <v>151840.24519503186</v>
      </c>
      <c r="L5" s="63">
        <v>-0.007022327610792245</v>
      </c>
      <c r="M5" s="63">
        <v>1.0</v>
      </c>
      <c r="N5" s="65">
        <v>7.261269761706934E-4</v>
      </c>
      <c r="O5" s="63">
        <v>-0.050762876788659095</v>
      </c>
      <c r="P5" s="17">
        <v>56.78551704236747</v>
      </c>
      <c r="Q5" s="66">
        <v>4936.288855495184</v>
      </c>
      <c r="R5" s="66">
        <v>5410.545439198374</v>
      </c>
      <c r="S5" s="63">
        <v>-0.08765411713711725</v>
      </c>
      <c r="T5" s="17">
        <v>309294.4699817</v>
      </c>
      <c r="U5" s="17">
        <v>151840.24519503186</v>
      </c>
      <c r="V5" s="17">
        <v>-157454.22478666814</v>
      </c>
    </row>
    <row r="6">
      <c r="A6" s="61">
        <v>44860.95998134259</v>
      </c>
      <c r="B6" s="62">
        <v>2.7636051115563753</v>
      </c>
      <c r="C6" s="63">
        <v>0.0023939753218610305</v>
      </c>
      <c r="D6" s="64">
        <v>-0.5020531330529053</v>
      </c>
      <c r="E6" s="58">
        <v>31.2</v>
      </c>
      <c r="F6" s="63">
        <v>0.0026415186091919285</v>
      </c>
      <c r="G6" s="64">
        <v>-0.45056412928807554</v>
      </c>
      <c r="H6" s="17">
        <v>0.0</v>
      </c>
      <c r="I6" s="63">
        <v>0.0</v>
      </c>
      <c r="J6" s="63">
        <v>0.0</v>
      </c>
      <c r="K6" s="17">
        <v>154012.21229144974</v>
      </c>
      <c r="L6" s="63">
        <v>0.0023939753218610305</v>
      </c>
      <c r="M6" s="63">
        <v>1.0</v>
      </c>
      <c r="N6" s="65">
        <v>-2.4754328733089803E-4</v>
      </c>
      <c r="O6" s="63">
        <v>-0.05148900376482979</v>
      </c>
      <c r="P6" s="17">
        <v>56.78551704236747</v>
      </c>
      <c r="Q6" s="66">
        <v>4936.288855495184</v>
      </c>
      <c r="R6" s="66">
        <v>5410.545439198374</v>
      </c>
      <c r="S6" s="63">
        <v>-0.08765411713711725</v>
      </c>
      <c r="T6" s="17">
        <v>309294.4699817</v>
      </c>
      <c r="U6" s="17">
        <v>154012.21229144974</v>
      </c>
      <c r="V6" s="17">
        <v>-155282.25769025026</v>
      </c>
    </row>
    <row r="7">
      <c r="A7" s="61">
        <v>44859.95996788194</v>
      </c>
      <c r="B7" s="62">
        <v>2.7503185485200468</v>
      </c>
      <c r="C7" s="63">
        <v>0.0429319574387077</v>
      </c>
      <c r="D7" s="64">
        <v>-0.5044471083747664</v>
      </c>
      <c r="E7" s="58">
        <v>31.05</v>
      </c>
      <c r="F7" s="63">
        <v>0.0473712337248422</v>
      </c>
      <c r="G7" s="64">
        <v>-0.45320564789726747</v>
      </c>
      <c r="H7" s="17">
        <v>0.0</v>
      </c>
      <c r="I7" s="63">
        <v>0.0</v>
      </c>
      <c r="J7" s="63">
        <v>0.0</v>
      </c>
      <c r="K7" s="17">
        <v>153271.76896312548</v>
      </c>
      <c r="L7" s="63">
        <v>0.0429319574387077</v>
      </c>
      <c r="M7" s="63">
        <v>1.0</v>
      </c>
      <c r="N7" s="65">
        <v>-0.004439276286134497</v>
      </c>
      <c r="O7" s="63">
        <v>-0.05124146047749889</v>
      </c>
      <c r="P7" s="17">
        <v>56.78551704236747</v>
      </c>
      <c r="Q7" s="66">
        <v>4936.288855495184</v>
      </c>
      <c r="R7" s="66">
        <v>5410.545439198374</v>
      </c>
      <c r="S7" s="63">
        <v>-0.08765411713711725</v>
      </c>
      <c r="T7" s="17">
        <v>309294.4699817</v>
      </c>
      <c r="U7" s="17">
        <v>153271.76896312548</v>
      </c>
      <c r="V7" s="17">
        <v>-156022.70101857453</v>
      </c>
    </row>
    <row r="8">
      <c r="A8" s="61">
        <v>44858.95996091435</v>
      </c>
      <c r="B8" s="62">
        <v>2.5120461847352185</v>
      </c>
      <c r="C8" s="63">
        <v>-0.005125957994991603</v>
      </c>
      <c r="D8" s="64">
        <v>-0.5473790658134741</v>
      </c>
      <c r="E8" s="58">
        <v>28.36</v>
      </c>
      <c r="F8" s="63">
        <v>-0.007044049624511883</v>
      </c>
      <c r="G8" s="64">
        <v>-0.5005768816221097</v>
      </c>
      <c r="H8" s="17">
        <v>0.0</v>
      </c>
      <c r="I8" s="63">
        <v>0.0</v>
      </c>
      <c r="J8" s="63">
        <v>0.0</v>
      </c>
      <c r="K8" s="17">
        <v>139993.15194184342</v>
      </c>
      <c r="L8" s="63">
        <v>-0.005125957994991603</v>
      </c>
      <c r="M8" s="63">
        <v>1.0</v>
      </c>
      <c r="N8" s="65">
        <v>0.00191809162952028</v>
      </c>
      <c r="O8" s="63">
        <v>-0.04680218419136439</v>
      </c>
      <c r="P8" s="17">
        <v>56.78551704236747</v>
      </c>
      <c r="Q8" s="66">
        <v>4936.288855495184</v>
      </c>
      <c r="R8" s="66">
        <v>5410.545439198374</v>
      </c>
      <c r="S8" s="63">
        <v>-0.08765411713711725</v>
      </c>
      <c r="T8" s="17">
        <v>309294.4699817</v>
      </c>
      <c r="U8" s="17">
        <v>139993.15194184342</v>
      </c>
      <c r="V8" s="17">
        <v>-169301.3180398566</v>
      </c>
    </row>
    <row r="9">
      <c r="A9" s="61">
        <v>44857.95996648148</v>
      </c>
      <c r="B9" s="62">
        <v>2.540495251607422</v>
      </c>
      <c r="C9" s="63">
        <v>0.012096232199511725</v>
      </c>
      <c r="D9" s="64">
        <v>-0.5422531078184825</v>
      </c>
      <c r="E9" s="58">
        <v>28.76</v>
      </c>
      <c r="F9" s="63">
        <v>0.0133836942865726</v>
      </c>
      <c r="G9" s="64">
        <v>-0.4935328319975978</v>
      </c>
      <c r="H9" s="17">
        <v>0.0</v>
      </c>
      <c r="I9" s="63">
        <v>0.0</v>
      </c>
      <c r="J9" s="63">
        <v>0.0</v>
      </c>
      <c r="K9" s="17">
        <v>141578.58240305283</v>
      </c>
      <c r="L9" s="63">
        <v>0.012096232199511725</v>
      </c>
      <c r="M9" s="63">
        <v>1.0</v>
      </c>
      <c r="N9" s="65">
        <v>-0.0012874620870608755</v>
      </c>
      <c r="O9" s="63">
        <v>-0.04872027582088467</v>
      </c>
      <c r="P9" s="17">
        <v>56.78551704236747</v>
      </c>
      <c r="Q9" s="66">
        <v>4922.760167004619</v>
      </c>
      <c r="R9" s="66">
        <v>5410.545439198374</v>
      </c>
      <c r="S9" s="63">
        <v>-0.09015454683364149</v>
      </c>
      <c r="T9" s="17">
        <v>309294.4699817</v>
      </c>
      <c r="U9" s="17">
        <v>141578.58240305283</v>
      </c>
      <c r="V9" s="17">
        <v>-167715.88757864718</v>
      </c>
    </row>
    <row r="10">
      <c r="A10" s="61">
        <v>44856.95998175926</v>
      </c>
      <c r="B10" s="62">
        <v>2.473361162900132</v>
      </c>
      <c r="C10" s="63">
        <v>-0.003342379949865193</v>
      </c>
      <c r="D10" s="64">
        <v>-0.5543493400179942</v>
      </c>
      <c r="E10" s="58">
        <v>28.0</v>
      </c>
      <c r="F10" s="63">
        <v>-0.0036981260528687887</v>
      </c>
      <c r="G10" s="64">
        <v>-0.5069165262841704</v>
      </c>
      <c r="H10" s="17">
        <v>0.0</v>
      </c>
      <c r="I10" s="63">
        <v>0.0</v>
      </c>
      <c r="J10" s="63">
        <v>0.0</v>
      </c>
      <c r="K10" s="17">
        <v>137837.2846761293</v>
      </c>
      <c r="L10" s="63">
        <v>-0.003342379949865193</v>
      </c>
      <c r="M10" s="63">
        <v>1.0</v>
      </c>
      <c r="N10" s="65">
        <v>3.5574610300359577E-4</v>
      </c>
      <c r="O10" s="63">
        <v>-0.0474328137338238</v>
      </c>
      <c r="P10" s="17">
        <v>56.78551704236747</v>
      </c>
      <c r="Q10" s="66">
        <v>4922.760167004618</v>
      </c>
      <c r="R10" s="66">
        <v>5410.545439198374</v>
      </c>
      <c r="S10" s="63">
        <v>-0.09015454683364166</v>
      </c>
      <c r="T10" s="17">
        <v>309294.4699817</v>
      </c>
      <c r="U10" s="17">
        <v>137837.2846761293</v>
      </c>
      <c r="V10" s="17">
        <v>-171457.18530557072</v>
      </c>
    </row>
    <row r="11">
      <c r="A11" s="61">
        <v>44855.95996861111</v>
      </c>
      <c r="B11" s="62">
        <v>2.491911371621884</v>
      </c>
      <c r="C11" s="63">
        <v>1.6373726647200826E-5</v>
      </c>
      <c r="D11" s="64">
        <v>-0.551006960068129</v>
      </c>
      <c r="E11" s="58">
        <v>28.21</v>
      </c>
      <c r="F11" s="63">
        <v>-0.0022893161279663454</v>
      </c>
      <c r="G11" s="64">
        <v>-0.5032184002313016</v>
      </c>
      <c r="H11" s="17">
        <v>0.0</v>
      </c>
      <c r="I11" s="63">
        <v>0.0</v>
      </c>
      <c r="J11" s="63">
        <v>0.0</v>
      </c>
      <c r="K11" s="17">
        <v>138871.0643112003</v>
      </c>
      <c r="L11" s="63">
        <v>1.6373726647200826E-5</v>
      </c>
      <c r="M11" s="63">
        <v>1.0</v>
      </c>
      <c r="N11" s="65">
        <v>0.0023056898546135463</v>
      </c>
      <c r="O11" s="63">
        <v>-0.04778855983682739</v>
      </c>
      <c r="P11" s="17">
        <v>56.78551704236747</v>
      </c>
      <c r="Q11" s="66">
        <v>4922.760167004619</v>
      </c>
      <c r="R11" s="66">
        <v>5410.545439198374</v>
      </c>
      <c r="S11" s="63">
        <v>-0.09015454683364149</v>
      </c>
      <c r="T11" s="17">
        <v>309294.4699817</v>
      </c>
      <c r="U11" s="17">
        <v>138871.0643112003</v>
      </c>
      <c r="V11" s="17">
        <v>-170423.40567049972</v>
      </c>
    </row>
    <row r="12">
      <c r="A12" s="61">
        <v>44854.96000641204</v>
      </c>
      <c r="B12" s="62">
        <v>2.491820497438992</v>
      </c>
      <c r="C12" s="63">
        <v>-0.020436834841380924</v>
      </c>
      <c r="D12" s="64">
        <v>-0.5510233337947762</v>
      </c>
      <c r="E12" s="58">
        <v>28.34</v>
      </c>
      <c r="F12" s="63">
        <v>-0.022717060039050718</v>
      </c>
      <c r="G12" s="64">
        <v>-0.5009290841033353</v>
      </c>
      <c r="H12" s="17">
        <v>0.0</v>
      </c>
      <c r="I12" s="63">
        <v>0.0</v>
      </c>
      <c r="J12" s="63">
        <v>0.0</v>
      </c>
      <c r="K12" s="17">
        <v>138866.00000809532</v>
      </c>
      <c r="L12" s="63">
        <v>-0.020436834841380924</v>
      </c>
      <c r="M12" s="63">
        <v>1.0</v>
      </c>
      <c r="N12" s="65">
        <v>0.002280225197669794</v>
      </c>
      <c r="O12" s="63">
        <v>-0.05009424969144094</v>
      </c>
      <c r="P12" s="17">
        <v>56.78551704236747</v>
      </c>
      <c r="Q12" s="66">
        <v>4900.00000028565</v>
      </c>
      <c r="R12" s="66">
        <v>5410.545439198374</v>
      </c>
      <c r="S12" s="63">
        <v>-0.09436117756518958</v>
      </c>
      <c r="T12" s="17">
        <v>309294.4699817</v>
      </c>
      <c r="U12" s="17">
        <v>138866.00000809532</v>
      </c>
      <c r="V12" s="17">
        <v>-170428.4699736047</v>
      </c>
    </row>
    <row r="13">
      <c r="A13" s="61">
        <v>44853.95996366898</v>
      </c>
      <c r="B13" s="62">
        <v>2.6052449308086563</v>
      </c>
      <c r="C13" s="63">
        <v>-0.011751255976610642</v>
      </c>
      <c r="D13" s="64">
        <v>-0.5305864989533953</v>
      </c>
      <c r="E13" s="58">
        <v>29.63</v>
      </c>
      <c r="F13" s="63">
        <v>-0.010566074436767825</v>
      </c>
      <c r="G13" s="64">
        <v>-0.47821202406428454</v>
      </c>
      <c r="H13" s="17">
        <v>0.0</v>
      </c>
      <c r="I13" s="63">
        <v>0.0</v>
      </c>
      <c r="J13" s="63">
        <v>0.0</v>
      </c>
      <c r="K13" s="17">
        <v>145187.0000084638</v>
      </c>
      <c r="L13" s="63">
        <v>-0.011751255976610642</v>
      </c>
      <c r="M13" s="63">
        <v>1.0</v>
      </c>
      <c r="N13" s="65">
        <v>-0.0011851815398428167</v>
      </c>
      <c r="O13" s="63">
        <v>-0.052374474889110734</v>
      </c>
      <c r="P13" s="17">
        <v>56.78551704236747</v>
      </c>
      <c r="Q13" s="66">
        <v>4900.00000028565</v>
      </c>
      <c r="R13" s="66">
        <v>5410.545439198374</v>
      </c>
      <c r="S13" s="63">
        <v>-0.09436117756518958</v>
      </c>
      <c r="T13" s="17">
        <v>309294.4699817</v>
      </c>
      <c r="U13" s="17">
        <v>145187.0000084638</v>
      </c>
      <c r="V13" s="17">
        <v>-164107.4699732362</v>
      </c>
    </row>
    <row r="14">
      <c r="A14" s="61">
        <v>44852.95996346065</v>
      </c>
      <c r="B14" s="62">
        <v>2.6704644014788457</v>
      </c>
      <c r="C14" s="63">
        <v>-0.011778429381315902</v>
      </c>
      <c r="D14" s="64">
        <v>-0.5188352429767846</v>
      </c>
      <c r="E14" s="58">
        <v>30.23</v>
      </c>
      <c r="F14" s="63">
        <v>-0.013031491805346906</v>
      </c>
      <c r="G14" s="64">
        <v>-0.4676459496275167</v>
      </c>
      <c r="H14" s="17">
        <v>0.0</v>
      </c>
      <c r="I14" s="63">
        <v>0.0</v>
      </c>
      <c r="J14" s="63">
        <v>0.0</v>
      </c>
      <c r="K14" s="17">
        <v>148821.5984973689</v>
      </c>
      <c r="L14" s="63">
        <v>-0.011778429381315902</v>
      </c>
      <c r="M14" s="63">
        <v>1.0</v>
      </c>
      <c r="N14" s="65">
        <v>0.001253062424031004</v>
      </c>
      <c r="O14" s="63">
        <v>-0.05118929334926792</v>
      </c>
      <c r="P14" s="17">
        <v>56.78551704236747</v>
      </c>
      <c r="Q14" s="66">
        <v>4922.977125285111</v>
      </c>
      <c r="R14" s="66">
        <v>5410.545439198374</v>
      </c>
      <c r="S14" s="63">
        <v>-0.09011444768228423</v>
      </c>
      <c r="T14" s="17">
        <v>309294.4699817</v>
      </c>
      <c r="U14" s="17">
        <v>148821.5984973689</v>
      </c>
      <c r="V14" s="17">
        <v>-160472.87148433112</v>
      </c>
    </row>
    <row r="15">
      <c r="A15" s="61">
        <v>44851.959968587966</v>
      </c>
      <c r="B15" s="62">
        <v>2.7358346845451487</v>
      </c>
      <c r="C15" s="63">
        <v>0.012096765310540603</v>
      </c>
      <c r="D15" s="64">
        <v>-0.5070568135954687</v>
      </c>
      <c r="E15" s="58">
        <v>30.97</v>
      </c>
      <c r="F15" s="63">
        <v>0.01338369428657249</v>
      </c>
      <c r="G15" s="64">
        <v>-0.4546144578221698</v>
      </c>
      <c r="H15" s="17">
        <v>0.0</v>
      </c>
      <c r="I15" s="63">
        <v>0.0</v>
      </c>
      <c r="J15" s="63">
        <v>0.0</v>
      </c>
      <c r="K15" s="17">
        <v>152464.60157007986</v>
      </c>
      <c r="L15" s="63">
        <v>0.012096765310540603</v>
      </c>
      <c r="M15" s="63">
        <v>1.0</v>
      </c>
      <c r="N15" s="65">
        <v>-0.001286928976031887</v>
      </c>
      <c r="O15" s="63">
        <v>-0.05244235577329892</v>
      </c>
      <c r="P15" s="17">
        <v>56.78551704236747</v>
      </c>
      <c r="Q15" s="66">
        <v>4922.977125285111</v>
      </c>
      <c r="R15" s="66">
        <v>5410.545439198374</v>
      </c>
      <c r="S15" s="63">
        <v>-0.09011444768228423</v>
      </c>
      <c r="T15" s="17">
        <v>309294.4699817</v>
      </c>
      <c r="U15" s="17">
        <v>152464.60157007986</v>
      </c>
      <c r="V15" s="17">
        <v>-156829.86841162015</v>
      </c>
    </row>
    <row r="16">
      <c r="A16" s="61">
        <v>44850.96028706018</v>
      </c>
      <c r="B16" s="62">
        <v>2.668697637071648</v>
      </c>
      <c r="C16" s="63">
        <v>0.007003390442944513</v>
      </c>
      <c r="D16" s="64">
        <v>-0.5191535789060093</v>
      </c>
      <c r="E16" s="58">
        <v>30.21</v>
      </c>
      <c r="F16" s="63">
        <v>0.0077484545869630495</v>
      </c>
      <c r="G16" s="64">
        <v>-0.4679981521087423</v>
      </c>
      <c r="H16" s="17">
        <v>0.0</v>
      </c>
      <c r="I16" s="63">
        <v>0.0</v>
      </c>
      <c r="J16" s="63">
        <v>0.0</v>
      </c>
      <c r="K16" s="17">
        <v>148723.13895486319</v>
      </c>
      <c r="L16" s="63">
        <v>0.007003390442944513</v>
      </c>
      <c r="M16" s="63">
        <v>1.0</v>
      </c>
      <c r="N16" s="65">
        <v>-7.450641440185368E-4</v>
      </c>
      <c r="O16" s="63">
        <v>-0.051155426797267034</v>
      </c>
      <c r="P16" s="17">
        <v>56.78551704236747</v>
      </c>
      <c r="Q16" s="66">
        <v>4922.977125285111</v>
      </c>
      <c r="R16" s="66">
        <v>5410.545439198374</v>
      </c>
      <c r="S16" s="63">
        <v>-0.09011444768228423</v>
      </c>
      <c r="T16" s="17">
        <v>309294.4699817</v>
      </c>
      <c r="U16" s="17">
        <v>148723.13895486319</v>
      </c>
      <c r="V16" s="17">
        <v>-160571.33102683682</v>
      </c>
    </row>
    <row r="17">
      <c r="A17" s="61">
        <v>44849.959962974535</v>
      </c>
      <c r="B17" s="62">
        <v>2.629828820113306</v>
      </c>
      <c r="C17" s="63">
        <v>-0.00604838265527019</v>
      </c>
      <c r="D17" s="64">
        <v>-0.5261569693489538</v>
      </c>
      <c r="E17" s="58">
        <v>29.77</v>
      </c>
      <c r="F17" s="63">
        <v>-0.006691847143286189</v>
      </c>
      <c r="G17" s="64">
        <v>-0.47574660669570534</v>
      </c>
      <c r="H17" s="17">
        <v>0.0</v>
      </c>
      <c r="I17" s="63">
        <v>0.0</v>
      </c>
      <c r="J17" s="63">
        <v>0.0</v>
      </c>
      <c r="K17" s="17">
        <v>146557.02901973773</v>
      </c>
      <c r="L17" s="63">
        <v>-0.00604838265527019</v>
      </c>
      <c r="M17" s="63">
        <v>1.0</v>
      </c>
      <c r="N17" s="65">
        <v>6.43464488015999E-4</v>
      </c>
      <c r="O17" s="63">
        <v>-0.0504103626532485</v>
      </c>
      <c r="P17" s="17">
        <v>56.78551704236747</v>
      </c>
      <c r="Q17" s="66">
        <v>4922.977125285111</v>
      </c>
      <c r="R17" s="66">
        <v>5410.545439198374</v>
      </c>
      <c r="S17" s="63">
        <v>-0.09011444768228423</v>
      </c>
      <c r="T17" s="17">
        <v>309294.4699817</v>
      </c>
      <c r="U17" s="17">
        <v>146557.02901973773</v>
      </c>
      <c r="V17" s="17">
        <v>-162737.44096196227</v>
      </c>
    </row>
    <row r="18">
      <c r="A18" s="61">
        <v>44848.95997113426</v>
      </c>
      <c r="B18" s="62">
        <v>2.6633973438500558</v>
      </c>
      <c r="C18" s="63">
        <v>0.001763296468266673</v>
      </c>
      <c r="D18" s="64">
        <v>-0.5201085866936836</v>
      </c>
      <c r="E18" s="58">
        <v>30.15</v>
      </c>
      <c r="F18" s="63">
        <v>-5.283037218384301E-4</v>
      </c>
      <c r="G18" s="64">
        <v>-0.46905475955241915</v>
      </c>
      <c r="H18" s="17">
        <v>0.0</v>
      </c>
      <c r="I18" s="63">
        <v>0.0</v>
      </c>
      <c r="J18" s="63">
        <v>0.0</v>
      </c>
      <c r="K18" s="17">
        <v>148427.76032734607</v>
      </c>
      <c r="L18" s="63">
        <v>0.001763296468266673</v>
      </c>
      <c r="M18" s="63">
        <v>1.0</v>
      </c>
      <c r="N18" s="65">
        <v>0.002291600190105103</v>
      </c>
      <c r="O18" s="63">
        <v>-0.051053827141264496</v>
      </c>
      <c r="P18" s="17">
        <v>56.78551704236747</v>
      </c>
      <c r="Q18" s="66">
        <v>4922.977125285111</v>
      </c>
      <c r="R18" s="66">
        <v>5410.545439198374</v>
      </c>
      <c r="S18" s="63">
        <v>-0.09011444768228423</v>
      </c>
      <c r="T18" s="17">
        <v>309294.4699817</v>
      </c>
      <c r="U18" s="17">
        <v>148427.76032734607</v>
      </c>
      <c r="V18" s="17">
        <v>-160866.70965435394</v>
      </c>
    </row>
    <row r="19">
      <c r="A19" s="61">
        <v>44847.95996636574</v>
      </c>
      <c r="B19" s="62">
        <v>2.6536110484511757</v>
      </c>
      <c r="C19" s="63">
        <v>-0.016476250547103</v>
      </c>
      <c r="D19" s="64">
        <v>-0.5218718831619503</v>
      </c>
      <c r="E19" s="58">
        <v>30.18</v>
      </c>
      <c r="F19" s="63">
        <v>-0.018314529023730763</v>
      </c>
      <c r="G19" s="64">
        <v>-0.4685264558305807</v>
      </c>
      <c r="H19" s="17">
        <v>0.0</v>
      </c>
      <c r="I19" s="63">
        <v>0.0</v>
      </c>
      <c r="J19" s="63">
        <v>0.0</v>
      </c>
      <c r="K19" s="17">
        <v>147882.3824807729</v>
      </c>
      <c r="L19" s="63">
        <v>-0.016476250547103</v>
      </c>
      <c r="M19" s="63">
        <v>1.0</v>
      </c>
      <c r="N19" s="65">
        <v>0.0018382784766277638</v>
      </c>
      <c r="O19" s="63">
        <v>-0.0533454273313696</v>
      </c>
      <c r="P19" s="17">
        <v>56.78551704236747</v>
      </c>
      <c r="Q19" s="66">
        <v>4900.012673319182</v>
      </c>
      <c r="R19" s="66">
        <v>5410.545439198374</v>
      </c>
      <c r="S19" s="63">
        <v>-0.09435883528127852</v>
      </c>
      <c r="T19" s="17">
        <v>309294.4699817</v>
      </c>
      <c r="U19" s="17">
        <v>147882.3824807729</v>
      </c>
      <c r="V19" s="17">
        <v>-161412.0875009271</v>
      </c>
    </row>
    <row r="20">
      <c r="A20" s="61">
        <v>44846.959972592595</v>
      </c>
      <c r="B20" s="62">
        <v>2.7450542389875974</v>
      </c>
      <c r="C20" s="63">
        <v>6.350442502018883E-4</v>
      </c>
      <c r="D20" s="64">
        <v>-0.5053956326148473</v>
      </c>
      <c r="E20" s="58">
        <v>31.22</v>
      </c>
      <c r="F20" s="63">
        <v>7.044049624511661E-4</v>
      </c>
      <c r="G20" s="64">
        <v>-0.45021192680684996</v>
      </c>
      <c r="H20" s="17">
        <v>0.0</v>
      </c>
      <c r="I20" s="63">
        <v>0.0</v>
      </c>
      <c r="J20" s="63">
        <v>0.0</v>
      </c>
      <c r="K20" s="17">
        <v>152978.39566102484</v>
      </c>
      <c r="L20" s="63">
        <v>6.350442502018883E-4</v>
      </c>
      <c r="M20" s="63">
        <v>1.0</v>
      </c>
      <c r="N20" s="65">
        <v>-6.936071224927787E-5</v>
      </c>
      <c r="O20" s="63">
        <v>-0.05518370580799736</v>
      </c>
      <c r="P20" s="17">
        <v>56.78551704236747</v>
      </c>
      <c r="Q20" s="66">
        <v>4900.012673319182</v>
      </c>
      <c r="R20" s="66">
        <v>5410.545439198374</v>
      </c>
      <c r="S20" s="63">
        <v>-0.09435883528127852</v>
      </c>
      <c r="T20" s="17">
        <v>309294.4699817</v>
      </c>
      <c r="U20" s="17">
        <v>152978.39566102484</v>
      </c>
      <c r="V20" s="17">
        <v>-156316.07432067516</v>
      </c>
    </row>
    <row r="21">
      <c r="A21" s="61">
        <v>44845.959958935186</v>
      </c>
      <c r="B21" s="62">
        <v>2.741529743398977</v>
      </c>
      <c r="C21" s="63">
        <v>-0.019961556996473284</v>
      </c>
      <c r="D21" s="64">
        <v>-0.5060306768650492</v>
      </c>
      <c r="E21" s="58">
        <v>31.18</v>
      </c>
      <c r="F21" s="63">
        <v>-0.022188756317212288</v>
      </c>
      <c r="G21" s="64">
        <v>-0.4509163317693011</v>
      </c>
      <c r="H21" s="17">
        <v>0.0</v>
      </c>
      <c r="I21" s="63">
        <v>0.0</v>
      </c>
      <c r="J21" s="63">
        <v>0.0</v>
      </c>
      <c r="K21" s="17">
        <v>152781.9799862437</v>
      </c>
      <c r="L21" s="63">
        <v>-0.019961556996473284</v>
      </c>
      <c r="M21" s="63">
        <v>1.0</v>
      </c>
      <c r="N21" s="65">
        <v>0.002227199320739004</v>
      </c>
      <c r="O21" s="63">
        <v>-0.055114345095748085</v>
      </c>
      <c r="P21" s="17">
        <v>56.78551704236747</v>
      </c>
      <c r="Q21" s="66">
        <v>4899.999358121992</v>
      </c>
      <c r="R21" s="66">
        <v>5410.545439198374</v>
      </c>
      <c r="S21" s="63">
        <v>-0.09436129625260556</v>
      </c>
      <c r="T21" s="17">
        <v>309294.4699817</v>
      </c>
      <c r="U21" s="17">
        <v>152781.9799862437</v>
      </c>
      <c r="V21" s="17">
        <v>-156512.4899954563</v>
      </c>
    </row>
    <row r="22">
      <c r="A22" s="61">
        <v>44844.95996305556</v>
      </c>
      <c r="B22" s="62">
        <v>2.8523163847294035</v>
      </c>
      <c r="C22" s="63">
        <v>-0.007287552554268051</v>
      </c>
      <c r="D22" s="64">
        <v>-0.4860691198685759</v>
      </c>
      <c r="E22" s="58">
        <v>32.44</v>
      </c>
      <c r="F22" s="63">
        <v>-0.008100657068188633</v>
      </c>
      <c r="G22" s="64">
        <v>-0.42872757545208884</v>
      </c>
      <c r="H22" s="17">
        <v>0.0</v>
      </c>
      <c r="I22" s="63">
        <v>0.0</v>
      </c>
      <c r="J22" s="63">
        <v>0.0</v>
      </c>
      <c r="K22" s="17">
        <v>158955.97917747742</v>
      </c>
      <c r="L22" s="63">
        <v>-0.007287552554268051</v>
      </c>
      <c r="M22" s="63">
        <v>1.0</v>
      </c>
      <c r="N22" s="65">
        <v>8.131045139205817E-4</v>
      </c>
      <c r="O22" s="63">
        <v>-0.05734154441648709</v>
      </c>
      <c r="P22" s="17">
        <v>56.78551704236747</v>
      </c>
      <c r="Q22" s="66">
        <v>4899.999358121992</v>
      </c>
      <c r="R22" s="66">
        <v>5410.545439198374</v>
      </c>
      <c r="S22" s="63">
        <v>-0.09436129625260556</v>
      </c>
      <c r="T22" s="17">
        <v>309294.4699817</v>
      </c>
      <c r="U22" s="17">
        <v>158955.97917747742</v>
      </c>
      <c r="V22" s="17">
        <v>-150338.4908042226</v>
      </c>
    </row>
    <row r="23">
      <c r="A23" s="61">
        <v>44843.95996957176</v>
      </c>
      <c r="B23" s="62">
        <v>2.892762301405591</v>
      </c>
      <c r="C23" s="63">
        <v>0.004752684011131825</v>
      </c>
      <c r="D23" s="64">
        <v>-0.4787815673143079</v>
      </c>
      <c r="E23" s="58">
        <v>32.9</v>
      </c>
      <c r="F23" s="63">
        <v>0.005283037218383746</v>
      </c>
      <c r="G23" s="64">
        <v>-0.4206269183839002</v>
      </c>
      <c r="H23" s="17">
        <v>0.0</v>
      </c>
      <c r="I23" s="63">
        <v>0.0</v>
      </c>
      <c r="J23" s="63">
        <v>0.0</v>
      </c>
      <c r="K23" s="17">
        <v>161209.97888221353</v>
      </c>
      <c r="L23" s="63">
        <v>0.004752684011131825</v>
      </c>
      <c r="M23" s="63">
        <v>1.0</v>
      </c>
      <c r="N23" s="65">
        <v>-5.303532072519213E-4</v>
      </c>
      <c r="O23" s="63">
        <v>-0.05815464893040767</v>
      </c>
      <c r="P23" s="17">
        <v>56.78551704236747</v>
      </c>
      <c r="Q23" s="66">
        <v>4899.999358121992</v>
      </c>
      <c r="R23" s="66">
        <v>5410.545439198374</v>
      </c>
      <c r="S23" s="63">
        <v>-0.09436129625260556</v>
      </c>
      <c r="T23" s="17">
        <v>309294.4699817</v>
      </c>
      <c r="U23" s="17">
        <v>161209.97888221353</v>
      </c>
      <c r="V23" s="17">
        <v>-148084.49109948648</v>
      </c>
    </row>
    <row r="24">
      <c r="A24" s="61">
        <v>44842.959966689814</v>
      </c>
      <c r="B24" s="56">
        <v>2.8663849051438097</v>
      </c>
      <c r="C24" s="8">
        <v>-0.00459425895560428</v>
      </c>
      <c r="D24" s="57">
        <v>-0.4835342513254397</v>
      </c>
      <c r="E24" s="58">
        <v>32.6</v>
      </c>
      <c r="F24" s="8">
        <v>-0.00510693597777101</v>
      </c>
      <c r="G24" s="57">
        <v>-0.42590995560228395</v>
      </c>
      <c r="H24" s="17">
        <v>0.0</v>
      </c>
      <c r="I24" s="63">
        <v>0.0</v>
      </c>
      <c r="J24" s="63">
        <v>0.0</v>
      </c>
      <c r="K24" s="17">
        <v>159740.0</v>
      </c>
      <c r="L24" s="8">
        <v>-0.00459425895560428</v>
      </c>
      <c r="M24" s="8">
        <v>1.0</v>
      </c>
      <c r="N24" s="59">
        <v>5.126770221667298E-4</v>
      </c>
      <c r="O24" s="8">
        <v>-0.05762429572315575</v>
      </c>
      <c r="P24" s="6">
        <v>56.78551704236747</v>
      </c>
      <c r="Q24" s="66">
        <v>4900.0</v>
      </c>
      <c r="R24" s="60">
        <v>5410.545439198374</v>
      </c>
      <c r="S24" s="8">
        <v>-0.09436117761798454</v>
      </c>
      <c r="T24" s="6">
        <v>309294.4699817</v>
      </c>
      <c r="U24" s="6">
        <v>159740.0</v>
      </c>
      <c r="V24" s="6">
        <v>-149554.4699817</v>
      </c>
    </row>
    <row r="25">
      <c r="A25" s="61">
        <v>44841.95995695602</v>
      </c>
      <c r="B25" s="62">
        <v>2.891883042347413</v>
      </c>
      <c r="C25" s="63">
        <v>-0.009992686385558502</v>
      </c>
      <c r="D25" s="64">
        <v>-0.4789399923698354</v>
      </c>
      <c r="E25" s="58">
        <v>32.89</v>
      </c>
      <c r="F25" s="63">
        <v>-0.011622681880444463</v>
      </c>
      <c r="G25" s="64">
        <v>-0.42080301962451294</v>
      </c>
      <c r="H25" s="17">
        <v>0.0</v>
      </c>
      <c r="I25" s="63">
        <v>0.0</v>
      </c>
      <c r="J25" s="63">
        <v>0.0</v>
      </c>
      <c r="K25" s="17">
        <v>161160.97888863232</v>
      </c>
      <c r="L25" s="63">
        <v>-0.009992686385558502</v>
      </c>
      <c r="M25" s="63">
        <v>1.0</v>
      </c>
      <c r="N25" s="65">
        <v>0.0016299954948859607</v>
      </c>
      <c r="O25" s="63">
        <v>-0.05813697274532248</v>
      </c>
      <c r="P25" s="17">
        <v>56.78551704236747</v>
      </c>
      <c r="Q25" s="66">
        <v>4899.999358121992</v>
      </c>
      <c r="R25" s="66">
        <v>5410.545439198374</v>
      </c>
      <c r="S25" s="63">
        <v>-0.09436129625260556</v>
      </c>
      <c r="T25" s="17">
        <v>309294.4699817</v>
      </c>
      <c r="U25" s="17">
        <v>161160.97888863232</v>
      </c>
      <c r="V25" s="17">
        <v>-148133.49109306769</v>
      </c>
    </row>
    <row r="26">
      <c r="A26" s="61">
        <v>44840.96109304398</v>
      </c>
      <c r="B26" s="62">
        <v>2.947342451787263</v>
      </c>
      <c r="C26" s="63">
        <v>-0.0052234691214660955</v>
      </c>
      <c r="D26" s="64">
        <v>-0.4689473059842769</v>
      </c>
      <c r="E26" s="58">
        <v>33.55</v>
      </c>
      <c r="F26" s="63">
        <v>-0.005811340940222398</v>
      </c>
      <c r="G26" s="64">
        <v>-0.4091803377440685</v>
      </c>
      <c r="H26" s="17">
        <v>0.0</v>
      </c>
      <c r="I26" s="63">
        <v>0.0</v>
      </c>
      <c r="J26" s="63">
        <v>0.0</v>
      </c>
      <c r="K26" s="17">
        <v>164251.66152794697</v>
      </c>
      <c r="L26" s="63">
        <v>-0.0052234691214660955</v>
      </c>
      <c r="M26" s="63">
        <v>1.0</v>
      </c>
      <c r="N26" s="65">
        <v>5.878718187563026E-4</v>
      </c>
      <c r="O26" s="63">
        <v>-0.05976696824020844</v>
      </c>
      <c r="P26" s="17">
        <v>56.78551704236747</v>
      </c>
      <c r="Q26" s="66">
        <v>4895.727616332249</v>
      </c>
      <c r="R26" s="66">
        <v>5410.545439198374</v>
      </c>
      <c r="S26" s="63">
        <v>-0.09515081772280613</v>
      </c>
      <c r="T26" s="17">
        <v>309294.4699817</v>
      </c>
      <c r="U26" s="17">
        <v>164251.66152794697</v>
      </c>
      <c r="V26" s="17">
        <v>-145042.80845375304</v>
      </c>
    </row>
    <row r="27">
      <c r="A27" s="61">
        <v>44839.961237905096</v>
      </c>
      <c r="B27" s="62">
        <v>2.9763327054113997</v>
      </c>
      <c r="C27" s="63">
        <v>-0.0037988866337935745</v>
      </c>
      <c r="D27" s="64">
        <v>-0.4637238368628108</v>
      </c>
      <c r="E27" s="58">
        <v>33.88</v>
      </c>
      <c r="F27" s="63">
        <v>-0.004226429774706997</v>
      </c>
      <c r="G27" s="64">
        <v>-0.4033689968038461</v>
      </c>
      <c r="H27" s="17">
        <v>0.0</v>
      </c>
      <c r="I27" s="63">
        <v>0.0</v>
      </c>
      <c r="J27" s="63">
        <v>0.0</v>
      </c>
      <c r="K27" s="17">
        <v>165867.25164133662</v>
      </c>
      <c r="L27" s="63">
        <v>-0.0037988866337935745</v>
      </c>
      <c r="M27" s="63">
        <v>1.0</v>
      </c>
      <c r="N27" s="65">
        <v>4.2754314091342227E-4</v>
      </c>
      <c r="O27" s="63">
        <v>-0.06035484005896474</v>
      </c>
      <c r="P27" s="17">
        <v>56.78551704236747</v>
      </c>
      <c r="Q27" s="66">
        <v>4895.727616332249</v>
      </c>
      <c r="R27" s="66">
        <v>5410.545439198374</v>
      </c>
      <c r="S27" s="63">
        <v>-0.09515081772280613</v>
      </c>
      <c r="T27" s="17">
        <v>309294.4699817</v>
      </c>
      <c r="U27" s="17">
        <v>165867.25164133662</v>
      </c>
      <c r="V27" s="17">
        <v>-143427.21834036338</v>
      </c>
    </row>
    <row r="28">
      <c r="A28" s="61">
        <v>44838.95997777778</v>
      </c>
      <c r="B28" s="62">
        <v>2.997416526228954</v>
      </c>
      <c r="C28" s="63">
        <v>0.018202998453594188</v>
      </c>
      <c r="D28" s="64">
        <v>-0.45992495022901725</v>
      </c>
      <c r="E28" s="58">
        <v>34.12</v>
      </c>
      <c r="F28" s="63">
        <v>0.020251642670471526</v>
      </c>
      <c r="G28" s="64">
        <v>-0.3991425670291391</v>
      </c>
      <c r="H28" s="17">
        <v>0.0</v>
      </c>
      <c r="I28" s="63">
        <v>0.0</v>
      </c>
      <c r="J28" s="63">
        <v>0.0</v>
      </c>
      <c r="K28" s="17">
        <v>167042.22626925635</v>
      </c>
      <c r="L28" s="63">
        <v>0.018202998453594188</v>
      </c>
      <c r="M28" s="63">
        <v>1.0</v>
      </c>
      <c r="N28" s="65">
        <v>-0.0020486442168773378</v>
      </c>
      <c r="O28" s="63">
        <v>-0.060782383199878165</v>
      </c>
      <c r="P28" s="17">
        <v>56.78551704236747</v>
      </c>
      <c r="Q28" s="66">
        <v>4895.727616332249</v>
      </c>
      <c r="R28" s="66">
        <v>5410.545439198374</v>
      </c>
      <c r="S28" s="63">
        <v>-0.09515081772280613</v>
      </c>
      <c r="T28" s="17">
        <v>309294.4699817</v>
      </c>
      <c r="U28" s="17">
        <v>167042.22626925635</v>
      </c>
      <c r="V28" s="17">
        <v>-142252.24371244365</v>
      </c>
    </row>
    <row r="29">
      <c r="A29" s="61">
        <v>44837.959966319446</v>
      </c>
      <c r="B29" s="62">
        <v>2.8963898848115064</v>
      </c>
      <c r="C29" s="63">
        <v>0.007914347153736512</v>
      </c>
      <c r="D29" s="64">
        <v>-0.47812794868261144</v>
      </c>
      <c r="E29" s="58">
        <v>32.97</v>
      </c>
      <c r="F29" s="63">
        <v>0.008805062030639799</v>
      </c>
      <c r="G29" s="64">
        <v>-0.4193942096996106</v>
      </c>
      <c r="H29" s="17">
        <v>0.0</v>
      </c>
      <c r="I29" s="63">
        <v>0.0</v>
      </c>
      <c r="J29" s="63">
        <v>0.0</v>
      </c>
      <c r="K29" s="17">
        <v>161412.13951047426</v>
      </c>
      <c r="L29" s="63">
        <v>0.007914347153736512</v>
      </c>
      <c r="M29" s="63">
        <v>1.0</v>
      </c>
      <c r="N29" s="65">
        <v>-8.907148769032869E-4</v>
      </c>
      <c r="O29" s="63">
        <v>-0.05873373898300083</v>
      </c>
      <c r="P29" s="17">
        <v>56.78551704236747</v>
      </c>
      <c r="Q29" s="66">
        <v>4895.727616332249</v>
      </c>
      <c r="R29" s="66">
        <v>5410.545439198374</v>
      </c>
      <c r="S29" s="63">
        <v>-0.09515081772280613</v>
      </c>
      <c r="T29" s="17">
        <v>309294.4699817</v>
      </c>
      <c r="U29" s="17">
        <v>161412.13951047426</v>
      </c>
      <c r="V29" s="17">
        <v>-147882.33047122575</v>
      </c>
    </row>
    <row r="30">
      <c r="A30" s="61">
        <v>44836.95996633102</v>
      </c>
      <c r="B30" s="62">
        <v>2.852465258108269</v>
      </c>
      <c r="C30" s="63">
        <v>-0.003165738861494627</v>
      </c>
      <c r="D30" s="64">
        <v>-0.48604229583634795</v>
      </c>
      <c r="E30" s="58">
        <v>32.47</v>
      </c>
      <c r="F30" s="63">
        <v>-0.0035220248122559417</v>
      </c>
      <c r="G30" s="64">
        <v>-0.4281992717302504</v>
      </c>
      <c r="H30" s="17">
        <v>0.0</v>
      </c>
      <c r="I30" s="63">
        <v>0.0</v>
      </c>
      <c r="J30" s="63">
        <v>0.0</v>
      </c>
      <c r="K30" s="17">
        <v>158964.27570230814</v>
      </c>
      <c r="L30" s="63">
        <v>-0.003165738861494627</v>
      </c>
      <c r="M30" s="63">
        <v>1.0</v>
      </c>
      <c r="N30" s="65">
        <v>3.5628595076131475E-4</v>
      </c>
      <c r="O30" s="63">
        <v>-0.05784302410609754</v>
      </c>
      <c r="P30" s="17">
        <v>56.78551704236747</v>
      </c>
      <c r="Q30" s="66">
        <v>4895.727616332249</v>
      </c>
      <c r="R30" s="66">
        <v>5410.545439198374</v>
      </c>
      <c r="S30" s="63">
        <v>-0.09515081772280613</v>
      </c>
      <c r="T30" s="17">
        <v>309294.4699817</v>
      </c>
      <c r="U30" s="17">
        <v>158964.27570230814</v>
      </c>
      <c r="V30" s="17">
        <v>-150330.19427939187</v>
      </c>
    </row>
    <row r="31">
      <c r="A31" s="61">
        <v>44835.95997667824</v>
      </c>
      <c r="B31" s="62">
        <v>2.870035108789564</v>
      </c>
      <c r="C31" s="63">
        <v>-0.010446938242932302</v>
      </c>
      <c r="D31" s="64">
        <v>-0.4828765569748533</v>
      </c>
      <c r="E31" s="58">
        <v>32.67</v>
      </c>
      <c r="F31" s="63">
        <v>-0.011622681880444574</v>
      </c>
      <c r="G31" s="64">
        <v>-0.42467724691799447</v>
      </c>
      <c r="H31" s="17">
        <v>0.0</v>
      </c>
      <c r="I31" s="63">
        <v>0.0</v>
      </c>
      <c r="J31" s="63">
        <v>0.0</v>
      </c>
      <c r="K31" s="17">
        <v>159943.4212255746</v>
      </c>
      <c r="L31" s="63">
        <v>-0.010446938242932302</v>
      </c>
      <c r="M31" s="63">
        <v>1.0</v>
      </c>
      <c r="N31" s="65">
        <v>0.001175743637512272</v>
      </c>
      <c r="O31" s="63">
        <v>-0.058199310056858855</v>
      </c>
      <c r="P31" s="17">
        <v>56.78551704236747</v>
      </c>
      <c r="Q31" s="66">
        <v>4895.727616332249</v>
      </c>
      <c r="R31" s="66">
        <v>5410.545439198374</v>
      </c>
      <c r="S31" s="63">
        <v>-0.09515081772280613</v>
      </c>
      <c r="T31" s="17">
        <v>309294.4699817</v>
      </c>
      <c r="U31" s="17">
        <v>159943.4212255746</v>
      </c>
      <c r="V31" s="17">
        <v>-149351.0487561254</v>
      </c>
    </row>
    <row r="32">
      <c r="A32" s="61">
        <v>44834.95996640046</v>
      </c>
      <c r="B32" s="62">
        <v>2.9280156160378383</v>
      </c>
      <c r="C32" s="63">
        <v>-0.00918144034149293</v>
      </c>
      <c r="D32" s="64">
        <v>-0.472429618731921</v>
      </c>
      <c r="E32" s="58">
        <v>33.33</v>
      </c>
      <c r="F32" s="63">
        <v>-0.010213871955542131</v>
      </c>
      <c r="G32" s="64">
        <v>-0.4130545650375499</v>
      </c>
      <c r="H32" s="17">
        <v>0.0</v>
      </c>
      <c r="I32" s="63">
        <v>0.0</v>
      </c>
      <c r="J32" s="63">
        <v>0.0</v>
      </c>
      <c r="K32" s="17">
        <v>163174.60145235388</v>
      </c>
      <c r="L32" s="63">
        <v>-0.00918144034149293</v>
      </c>
      <c r="M32" s="63">
        <v>1.0</v>
      </c>
      <c r="N32" s="65">
        <v>0.0010324316140492007</v>
      </c>
      <c r="O32" s="63">
        <v>-0.05937505369437113</v>
      </c>
      <c r="P32" s="17">
        <v>56.78551704236747</v>
      </c>
      <c r="Q32" s="66">
        <v>4895.727616332249</v>
      </c>
      <c r="R32" s="66">
        <v>5410.545439198374</v>
      </c>
      <c r="S32" s="63">
        <v>-0.09515081772280613</v>
      </c>
      <c r="T32" s="17">
        <v>309294.4699817</v>
      </c>
      <c r="U32" s="17">
        <v>163174.60145235388</v>
      </c>
      <c r="V32" s="17">
        <v>-146119.86852934613</v>
      </c>
    </row>
    <row r="33">
      <c r="A33" s="61">
        <v>44833.95996902778</v>
      </c>
      <c r="B33" s="62">
        <v>2.978972609933124</v>
      </c>
      <c r="C33" s="63">
        <v>0.008864081984705341</v>
      </c>
      <c r="D33" s="64">
        <v>-0.4632481783904281</v>
      </c>
      <c r="E33" s="58">
        <v>33.91</v>
      </c>
      <c r="F33" s="63">
        <v>0.009861669474316548</v>
      </c>
      <c r="G33" s="64">
        <v>-0.40284069308200776</v>
      </c>
      <c r="H33" s="17">
        <v>0.0</v>
      </c>
      <c r="I33" s="63">
        <v>0.0</v>
      </c>
      <c r="J33" s="63">
        <v>0.0</v>
      </c>
      <c r="K33" s="17">
        <v>166014.37017644453</v>
      </c>
      <c r="L33" s="63">
        <v>0.008864081984705341</v>
      </c>
      <c r="M33" s="63">
        <v>1.0</v>
      </c>
      <c r="N33" s="65">
        <v>-9.97587489611207E-4</v>
      </c>
      <c r="O33" s="63">
        <v>-0.06040748530842033</v>
      </c>
      <c r="P33" s="17">
        <v>56.78551704236747</v>
      </c>
      <c r="Q33" s="66">
        <v>4895.734891667489</v>
      </c>
      <c r="R33" s="66">
        <v>5410.545439198374</v>
      </c>
      <c r="S33" s="63">
        <v>-0.09514947306443085</v>
      </c>
      <c r="T33" s="17">
        <v>309294.4699817</v>
      </c>
      <c r="U33" s="17">
        <v>166014.37017644453</v>
      </c>
      <c r="V33" s="17">
        <v>-143280.09980525548</v>
      </c>
    </row>
    <row r="34">
      <c r="A34" s="61">
        <v>44832.959975081016</v>
      </c>
      <c r="B34" s="62">
        <v>2.9297769549180095</v>
      </c>
      <c r="C34" s="63">
        <v>0.01044695376768856</v>
      </c>
      <c r="D34" s="64">
        <v>-0.47211226037513343</v>
      </c>
      <c r="E34" s="58">
        <v>33.35</v>
      </c>
      <c r="F34" s="63">
        <v>0.011622681880444574</v>
      </c>
      <c r="G34" s="64">
        <v>-0.4127023625563243</v>
      </c>
      <c r="H34" s="17">
        <v>0.0</v>
      </c>
      <c r="I34" s="63">
        <v>0.0</v>
      </c>
      <c r="J34" s="63">
        <v>0.0</v>
      </c>
      <c r="K34" s="17">
        <v>163272.75863711076</v>
      </c>
      <c r="L34" s="63">
        <v>0.01044695376768856</v>
      </c>
      <c r="M34" s="63">
        <v>1.0</v>
      </c>
      <c r="N34" s="65">
        <v>-0.0011757281127560137</v>
      </c>
      <c r="O34" s="63">
        <v>-0.05940989781880912</v>
      </c>
      <c r="P34" s="17">
        <v>56.78551704236747</v>
      </c>
      <c r="Q34" s="66">
        <v>4895.734891667489</v>
      </c>
      <c r="R34" s="66">
        <v>5410.545439198374</v>
      </c>
      <c r="S34" s="63">
        <v>-0.09514947306443085</v>
      </c>
      <c r="T34" s="17">
        <v>309294.4699817</v>
      </c>
      <c r="U34" s="17">
        <v>163272.75863711076</v>
      </c>
      <c r="V34" s="17">
        <v>-146021.71134458925</v>
      </c>
    </row>
    <row r="35">
      <c r="A35" s="61">
        <v>44831.95996450231</v>
      </c>
      <c r="B35" s="62">
        <v>2.871796361507338</v>
      </c>
      <c r="C35" s="63">
        <v>-0.011871538372373314</v>
      </c>
      <c r="D35" s="64">
        <v>-0.482559214142822</v>
      </c>
      <c r="E35" s="58">
        <v>32.69</v>
      </c>
      <c r="F35" s="63">
        <v>-0.013207593045959753</v>
      </c>
      <c r="G35" s="64">
        <v>-0.4243250444367689</v>
      </c>
      <c r="H35" s="17">
        <v>0.0</v>
      </c>
      <c r="I35" s="63">
        <v>0.0</v>
      </c>
      <c r="J35" s="63">
        <v>0.0</v>
      </c>
      <c r="K35" s="17">
        <v>160041.5736086102</v>
      </c>
      <c r="L35" s="63">
        <v>-0.011871538372373314</v>
      </c>
      <c r="M35" s="63">
        <v>1.0</v>
      </c>
      <c r="N35" s="65">
        <v>0.0013360546735864398</v>
      </c>
      <c r="O35" s="63">
        <v>-0.05823416970605311</v>
      </c>
      <c r="P35" s="17">
        <v>56.78551704236747</v>
      </c>
      <c r="Q35" s="66">
        <v>4895.734891667489</v>
      </c>
      <c r="R35" s="66">
        <v>5410.545439198374</v>
      </c>
      <c r="S35" s="63">
        <v>-0.09514947306443085</v>
      </c>
      <c r="T35" s="17">
        <v>309294.4699817</v>
      </c>
      <c r="U35" s="17">
        <v>160041.5736086102</v>
      </c>
      <c r="V35" s="17">
        <v>-149252.8963730898</v>
      </c>
    </row>
    <row r="36">
      <c r="A36" s="61">
        <v>44830.959966724535</v>
      </c>
      <c r="B36" s="62">
        <v>2.9376833994740097</v>
      </c>
      <c r="C36" s="63">
        <v>0.018044738326007392</v>
      </c>
      <c r="D36" s="64">
        <v>-0.4706876757704487</v>
      </c>
      <c r="E36" s="58">
        <v>33.44</v>
      </c>
      <c r="F36" s="63">
        <v>0.02007554142985879</v>
      </c>
      <c r="G36" s="64">
        <v>-0.41111745139080913</v>
      </c>
      <c r="H36" s="17">
        <v>0.0</v>
      </c>
      <c r="I36" s="63">
        <v>0.0</v>
      </c>
      <c r="J36" s="63">
        <v>0.0</v>
      </c>
      <c r="K36" s="17">
        <v>163713.37477736082</v>
      </c>
      <c r="L36" s="63">
        <v>0.018044738326007392</v>
      </c>
      <c r="M36" s="63">
        <v>1.0</v>
      </c>
      <c r="N36" s="65">
        <v>-0.0020308031038513974</v>
      </c>
      <c r="O36" s="63">
        <v>-0.05957022437963955</v>
      </c>
      <c r="P36" s="17">
        <v>56.78551704236747</v>
      </c>
      <c r="Q36" s="66">
        <v>4895.734891667489</v>
      </c>
      <c r="R36" s="66">
        <v>5410.545439198374</v>
      </c>
      <c r="S36" s="63">
        <v>-0.09514947306443085</v>
      </c>
      <c r="T36" s="17">
        <v>309294.4699817</v>
      </c>
      <c r="U36" s="17">
        <v>163713.37477736082</v>
      </c>
      <c r="V36" s="17">
        <v>-145581.0952043392</v>
      </c>
    </row>
    <row r="37">
      <c r="A37" s="61">
        <v>44829.96051819445</v>
      </c>
      <c r="B37" s="62">
        <v>2.8375351017646686</v>
      </c>
      <c r="C37" s="63">
        <v>-0.01994418446558721</v>
      </c>
      <c r="D37" s="64">
        <v>-0.48873241409645607</v>
      </c>
      <c r="E37" s="58">
        <v>32.3</v>
      </c>
      <c r="F37" s="63">
        <v>-0.0221887563172124</v>
      </c>
      <c r="G37" s="64">
        <v>-0.4311929928206679</v>
      </c>
      <c r="H37" s="17">
        <v>0.0</v>
      </c>
      <c r="I37" s="63">
        <v>0.0</v>
      </c>
      <c r="J37" s="63">
        <v>0.0</v>
      </c>
      <c r="K37" s="17">
        <v>158132.2370008599</v>
      </c>
      <c r="L37" s="63">
        <v>-0.01994418446558721</v>
      </c>
      <c r="M37" s="63">
        <v>1.0</v>
      </c>
      <c r="N37" s="65">
        <v>0.002244571851625188</v>
      </c>
      <c r="O37" s="63">
        <v>-0.05753942127578815</v>
      </c>
      <c r="P37" s="17">
        <v>56.78551704236747</v>
      </c>
      <c r="Q37" s="66">
        <v>4895.734891667489</v>
      </c>
      <c r="R37" s="66">
        <v>5410.545439198374</v>
      </c>
      <c r="S37" s="63">
        <v>-0.09514947306443085</v>
      </c>
      <c r="T37" s="17">
        <v>309294.4699817</v>
      </c>
      <c r="U37" s="17">
        <v>158132.2370008599</v>
      </c>
      <c r="V37" s="17">
        <v>-151162.2329808401</v>
      </c>
    </row>
    <row r="38">
      <c r="A38" s="61">
        <v>44828.96046752315</v>
      </c>
      <c r="B38" s="62">
        <v>2.9482253255486777</v>
      </c>
      <c r="C38" s="63">
        <v>0.003798892279159416</v>
      </c>
      <c r="D38" s="64">
        <v>-0.46878822963086886</v>
      </c>
      <c r="E38" s="58">
        <v>33.56</v>
      </c>
      <c r="F38" s="63">
        <v>0.004226429774707219</v>
      </c>
      <c r="G38" s="64">
        <v>-0.4090042365034555</v>
      </c>
      <c r="H38" s="17">
        <v>0.0</v>
      </c>
      <c r="I38" s="63">
        <v>0.0</v>
      </c>
      <c r="J38" s="63">
        <v>0.0</v>
      </c>
      <c r="K38" s="17">
        <v>164300.86296436095</v>
      </c>
      <c r="L38" s="63">
        <v>0.003798892279159416</v>
      </c>
      <c r="M38" s="63">
        <v>1.0</v>
      </c>
      <c r="N38" s="65">
        <v>-4.2753749554780285E-4</v>
      </c>
      <c r="O38" s="63">
        <v>-0.05978399312741334</v>
      </c>
      <c r="P38" s="17">
        <v>56.78551704236747</v>
      </c>
      <c r="Q38" s="66">
        <v>4895.734891667489</v>
      </c>
      <c r="R38" s="66">
        <v>5410.545439198374</v>
      </c>
      <c r="S38" s="63">
        <v>-0.09514947306443085</v>
      </c>
      <c r="T38" s="17">
        <v>309294.4699817</v>
      </c>
      <c r="U38" s="17">
        <v>164300.86296436095</v>
      </c>
      <c r="V38" s="17">
        <v>-144993.60701733906</v>
      </c>
    </row>
    <row r="39">
      <c r="A39" s="61">
        <v>44827.95996857639</v>
      </c>
      <c r="B39" s="62">
        <v>2.927141473399343</v>
      </c>
      <c r="C39" s="63">
        <v>0.02262670445588022</v>
      </c>
      <c r="D39" s="64">
        <v>-0.4725871219100283</v>
      </c>
      <c r="E39" s="58">
        <v>33.32</v>
      </c>
      <c r="F39" s="63">
        <v>0.021308250114148275</v>
      </c>
      <c r="G39" s="64">
        <v>-0.41323066627816274</v>
      </c>
      <c r="H39" s="17">
        <v>0.0</v>
      </c>
      <c r="I39" s="63">
        <v>0.0</v>
      </c>
      <c r="J39" s="63">
        <v>0.0</v>
      </c>
      <c r="K39" s="17">
        <v>163125.88659036075</v>
      </c>
      <c r="L39" s="63">
        <v>0.02262670445588022</v>
      </c>
      <c r="M39" s="63">
        <v>1.0</v>
      </c>
      <c r="N39" s="65">
        <v>0.001318454341731945</v>
      </c>
      <c r="O39" s="63">
        <v>-0.059356455631865535</v>
      </c>
      <c r="P39" s="17">
        <v>56.78551704236747</v>
      </c>
      <c r="Q39" s="66">
        <v>4895.734891667489</v>
      </c>
      <c r="R39" s="66">
        <v>5410.545439198374</v>
      </c>
      <c r="S39" s="63">
        <v>-0.09514947306443085</v>
      </c>
      <c r="T39" s="17">
        <v>309294.4699817</v>
      </c>
      <c r="U39" s="17">
        <v>163125.88659036075</v>
      </c>
      <c r="V39" s="17">
        <v>-146168.58339133926</v>
      </c>
    </row>
    <row r="40">
      <c r="A40" s="61">
        <v>44826.959970625</v>
      </c>
      <c r="B40" s="62">
        <v>2.8015632636692076</v>
      </c>
      <c r="C40" s="63">
        <v>0.02232315062474033</v>
      </c>
      <c r="D40" s="64">
        <v>-0.4952138263659085</v>
      </c>
      <c r="E40" s="58">
        <v>32.11</v>
      </c>
      <c r="F40" s="63">
        <v>0.025006376167017064</v>
      </c>
      <c r="G40" s="64">
        <v>-0.434538916392311</v>
      </c>
      <c r="H40" s="17">
        <v>0.0</v>
      </c>
      <c r="I40" s="63">
        <v>0.0</v>
      </c>
      <c r="J40" s="63">
        <v>0.0</v>
      </c>
      <c r="K40" s="17">
        <v>156127.5720282467</v>
      </c>
      <c r="L40" s="63">
        <v>0.02232315062474033</v>
      </c>
      <c r="M40" s="63">
        <v>1.0</v>
      </c>
      <c r="N40" s="65">
        <v>-0.002683225542276735</v>
      </c>
      <c r="O40" s="63">
        <v>-0.06067490997359748</v>
      </c>
      <c r="P40" s="17">
        <v>56.78551704236747</v>
      </c>
      <c r="Q40" s="66">
        <v>4862.272563944151</v>
      </c>
      <c r="R40" s="66">
        <v>5410.545439198374</v>
      </c>
      <c r="S40" s="63">
        <v>-0.1013341226712726</v>
      </c>
      <c r="T40" s="17">
        <v>309294.4699817</v>
      </c>
      <c r="U40" s="17">
        <v>156127.5720282467</v>
      </c>
      <c r="V40" s="17">
        <v>-153166.8979534533</v>
      </c>
    </row>
    <row r="41">
      <c r="A41" s="61">
        <v>44825.95997630787</v>
      </c>
      <c r="B41" s="62">
        <v>2.677669777701899</v>
      </c>
      <c r="C41" s="63">
        <v>-0.015877733895061752</v>
      </c>
      <c r="D41" s="64">
        <v>-0.5175369769906488</v>
      </c>
      <c r="E41" s="58">
        <v>30.69</v>
      </c>
      <c r="F41" s="63">
        <v>-0.017786225301892333</v>
      </c>
      <c r="G41" s="64">
        <v>-0.4595452925593281</v>
      </c>
      <c r="H41" s="17">
        <v>0.0</v>
      </c>
      <c r="I41" s="63">
        <v>0.0</v>
      </c>
      <c r="J41" s="63">
        <v>0.0</v>
      </c>
      <c r="K41" s="17">
        <v>149223.14498744602</v>
      </c>
      <c r="L41" s="63">
        <v>-0.015877733895061752</v>
      </c>
      <c r="M41" s="63">
        <v>1.0</v>
      </c>
      <c r="N41" s="65">
        <v>0.0019084914068305814</v>
      </c>
      <c r="O41" s="63">
        <v>-0.057991684431320745</v>
      </c>
      <c r="P41" s="17">
        <v>56.78551704236747</v>
      </c>
      <c r="Q41" s="66">
        <v>4862.272563944151</v>
      </c>
      <c r="R41" s="66">
        <v>5410.545439198374</v>
      </c>
      <c r="S41" s="63">
        <v>-0.1013341226712726</v>
      </c>
      <c r="T41" s="17">
        <v>309294.4699817</v>
      </c>
      <c r="U41" s="17">
        <v>149223.14498744602</v>
      </c>
      <c r="V41" s="17">
        <v>-160071.32499425398</v>
      </c>
    </row>
    <row r="42">
      <c r="A42" s="61">
        <v>44824.95999275463</v>
      </c>
      <c r="B42" s="56">
        <v>2.7657912008194914</v>
      </c>
      <c r="C42" s="8">
        <v>-0.01713537618377947</v>
      </c>
      <c r="D42" s="57">
        <v>-0.5016592430955871</v>
      </c>
      <c r="E42" s="58">
        <v>31.7</v>
      </c>
      <c r="F42" s="63">
        <v>-0.019195035226794888</v>
      </c>
      <c r="G42" s="64">
        <v>-0.44175906725743574</v>
      </c>
      <c r="H42" s="6">
        <v>0.0</v>
      </c>
      <c r="I42" s="8">
        <v>0.0</v>
      </c>
      <c r="J42" s="8">
        <v>0.0</v>
      </c>
      <c r="K42" s="6">
        <v>154134.0402770296</v>
      </c>
      <c r="L42" s="8">
        <v>-0.01713537618377947</v>
      </c>
      <c r="M42" s="8">
        <v>1.0</v>
      </c>
      <c r="N42" s="59">
        <v>0.002059659043015416</v>
      </c>
      <c r="O42" s="8">
        <v>-0.059900175838151326</v>
      </c>
      <c r="P42" s="6">
        <v>56.78551704236747</v>
      </c>
      <c r="Q42" s="66">
        <v>4862.272563944151</v>
      </c>
      <c r="R42" s="60">
        <v>5410.545439198374</v>
      </c>
      <c r="S42" s="8">
        <v>-0.1013341226712726</v>
      </c>
      <c r="T42" s="6">
        <v>309294.4699817</v>
      </c>
      <c r="U42" s="6">
        <v>154134.0402770296</v>
      </c>
      <c r="V42" s="6">
        <v>-155160.42970467042</v>
      </c>
    </row>
    <row r="43">
      <c r="A43" s="61">
        <v>44823.959966712966</v>
      </c>
      <c r="B43" s="62">
        <v>2.860892538639468</v>
      </c>
      <c r="C43" s="63">
        <v>0.01886463433076646</v>
      </c>
      <c r="D43" s="64">
        <v>-0.4845238669118076</v>
      </c>
      <c r="E43" s="58">
        <v>32.79</v>
      </c>
      <c r="F43" s="63">
        <v>0.02113214887353565</v>
      </c>
      <c r="G43" s="64">
        <v>-0.42256403203064086</v>
      </c>
      <c r="H43" s="17">
        <v>0.0</v>
      </c>
      <c r="I43" s="63">
        <v>0.0</v>
      </c>
      <c r="J43" s="63">
        <v>0.0</v>
      </c>
      <c r="K43" s="17">
        <v>159433.91737172872</v>
      </c>
      <c r="L43" s="63">
        <v>0.01886463433076646</v>
      </c>
      <c r="M43" s="63">
        <v>1.0</v>
      </c>
      <c r="N43" s="65">
        <v>-0.002267514542769189</v>
      </c>
      <c r="O43" s="63">
        <v>-0.06195983488116674</v>
      </c>
      <c r="P43" s="17">
        <v>56.78551704236747</v>
      </c>
      <c r="Q43" s="66">
        <v>4862.272563944151</v>
      </c>
      <c r="R43" s="66">
        <v>5410.545439198374</v>
      </c>
      <c r="S43" s="63">
        <v>-0.1013341226712726</v>
      </c>
      <c r="T43" s="17">
        <v>309294.4699817</v>
      </c>
      <c r="U43" s="17">
        <v>159433.91737172872</v>
      </c>
      <c r="V43" s="17">
        <v>-149860.5526099713</v>
      </c>
    </row>
    <row r="44">
      <c r="A44" s="61">
        <v>44822.95996357639</v>
      </c>
      <c r="B44" s="62">
        <v>2.7561938181037138</v>
      </c>
      <c r="C44" s="63">
        <v>-0.02766813035179083</v>
      </c>
      <c r="D44" s="64">
        <v>-0.5033885012425741</v>
      </c>
      <c r="E44" s="58">
        <v>31.59</v>
      </c>
      <c r="F44" s="63">
        <v>-0.030993818347852198</v>
      </c>
      <c r="G44" s="64">
        <v>-0.4436961809041765</v>
      </c>
      <c r="H44" s="17">
        <v>0.0</v>
      </c>
      <c r="I44" s="63">
        <v>0.0</v>
      </c>
      <c r="J44" s="63">
        <v>0.0</v>
      </c>
      <c r="K44" s="17">
        <v>153599.19029499573</v>
      </c>
      <c r="L44" s="63">
        <v>-0.02766813035179083</v>
      </c>
      <c r="M44" s="63">
        <v>1.0</v>
      </c>
      <c r="N44" s="65">
        <v>0.003325687996061366</v>
      </c>
      <c r="O44" s="63">
        <v>-0.05969232033839755</v>
      </c>
      <c r="P44" s="17">
        <v>56.78551704236747</v>
      </c>
      <c r="Q44" s="66">
        <v>4862.272563944151</v>
      </c>
      <c r="R44" s="66">
        <v>5410.545439198374</v>
      </c>
      <c r="S44" s="63">
        <v>-0.1013341226712726</v>
      </c>
      <c r="T44" s="17">
        <v>309294.4699817</v>
      </c>
      <c r="U44" s="17">
        <v>153599.19029499573</v>
      </c>
      <c r="V44" s="17">
        <v>-155695.27968670428</v>
      </c>
    </row>
    <row r="45">
      <c r="A45" s="61">
        <v>44821.95995809028</v>
      </c>
      <c r="B45" s="62">
        <v>2.909751941556153</v>
      </c>
      <c r="C45" s="63">
        <v>0.015877733895061752</v>
      </c>
      <c r="D45" s="64">
        <v>-0.47572037089078323</v>
      </c>
      <c r="E45" s="58">
        <v>33.35</v>
      </c>
      <c r="F45" s="63">
        <v>0.017786225301892333</v>
      </c>
      <c r="G45" s="64">
        <v>-0.4127023625563243</v>
      </c>
      <c r="H45" s="17">
        <v>0.0</v>
      </c>
      <c r="I45" s="63">
        <v>0.0</v>
      </c>
      <c r="J45" s="63">
        <v>0.0</v>
      </c>
      <c r="K45" s="17">
        <v>162156.79000753746</v>
      </c>
      <c r="L45" s="63">
        <v>0.015877733895061752</v>
      </c>
      <c r="M45" s="63">
        <v>1.0</v>
      </c>
      <c r="N45" s="65">
        <v>-0.0019084914068305814</v>
      </c>
      <c r="O45" s="63">
        <v>-0.06301800833445892</v>
      </c>
      <c r="P45" s="17">
        <v>56.78551704236747</v>
      </c>
      <c r="Q45" s="66">
        <v>4862.272563944151</v>
      </c>
      <c r="R45" s="66">
        <v>5410.545439198374</v>
      </c>
      <c r="S45" s="63">
        <v>-0.1013341226712726</v>
      </c>
      <c r="T45" s="17">
        <v>309294.4699817</v>
      </c>
      <c r="U45" s="17">
        <v>162156.79000753746</v>
      </c>
      <c r="V45" s="17">
        <v>-147137.67997416254</v>
      </c>
    </row>
    <row r="46">
      <c r="A46" s="61">
        <v>44820.959983078705</v>
      </c>
      <c r="B46" s="62">
        <v>2.8216305184385604</v>
      </c>
      <c r="C46" s="63">
        <v>-0.012671294433658664</v>
      </c>
      <c r="D46" s="64">
        <v>-0.491598104785845</v>
      </c>
      <c r="E46" s="58">
        <v>32.34</v>
      </c>
      <c r="F46" s="63">
        <v>-0.018666731504956346</v>
      </c>
      <c r="G46" s="64">
        <v>-0.43048858785821664</v>
      </c>
      <c r="H46" s="17">
        <v>0.0</v>
      </c>
      <c r="I46" s="63">
        <v>0.0</v>
      </c>
      <c r="J46" s="63">
        <v>0.0</v>
      </c>
      <c r="K46" s="17">
        <v>157245.89471795387</v>
      </c>
      <c r="L46" s="63">
        <v>-0.012671294433658664</v>
      </c>
      <c r="M46" s="63">
        <v>1.0</v>
      </c>
      <c r="N46" s="65">
        <v>0.005995437071297682</v>
      </c>
      <c r="O46" s="63">
        <v>-0.06110951692762834</v>
      </c>
      <c r="P46" s="17">
        <v>56.78551704236747</v>
      </c>
      <c r="Q46" s="66">
        <v>4862.272563944151</v>
      </c>
      <c r="R46" s="66">
        <v>5410.545439198374</v>
      </c>
      <c r="S46" s="63">
        <v>-0.1013341226712726</v>
      </c>
      <c r="T46" s="17">
        <v>309294.4699817</v>
      </c>
      <c r="U46" s="17">
        <v>157245.89471795387</v>
      </c>
      <c r="V46" s="17">
        <v>-152048.57526374614</v>
      </c>
    </row>
    <row r="47">
      <c r="A47" s="61">
        <v>44819.959963113426</v>
      </c>
      <c r="B47" s="62">
        <v>2.891956202545366</v>
      </c>
      <c r="C47" s="63">
        <v>-0.004992317984649719</v>
      </c>
      <c r="D47" s="64">
        <v>-0.4789268103521863</v>
      </c>
      <c r="E47" s="58">
        <v>33.4</v>
      </c>
      <c r="F47" s="63">
        <v>-0.00563523969960944</v>
      </c>
      <c r="G47" s="64">
        <v>-0.4118218563532603</v>
      </c>
      <c r="H47" s="17">
        <v>0.0</v>
      </c>
      <c r="I47" s="63">
        <v>0.0</v>
      </c>
      <c r="J47" s="63">
        <v>0.0</v>
      </c>
      <c r="K47" s="17">
        <v>161165.05601379438</v>
      </c>
      <c r="L47" s="63">
        <v>-0.004992317984649719</v>
      </c>
      <c r="M47" s="63">
        <v>1.0</v>
      </c>
      <c r="N47" s="65">
        <v>6.429217149597211E-4</v>
      </c>
      <c r="O47" s="63">
        <v>-0.06710495399892602</v>
      </c>
      <c r="P47" s="17">
        <v>56.78551704236747</v>
      </c>
      <c r="Q47" s="66">
        <v>4825.301078257317</v>
      </c>
      <c r="R47" s="66">
        <v>5410.545439198374</v>
      </c>
      <c r="S47" s="63">
        <v>-0.10816734976497422</v>
      </c>
      <c r="T47" s="17">
        <v>309294.4699817</v>
      </c>
      <c r="U47" s="17">
        <v>161165.05601379438</v>
      </c>
      <c r="V47" s="17">
        <v>-148129.41396790562</v>
      </c>
    </row>
    <row r="48">
      <c r="A48" s="61">
        <v>44818.95997418981</v>
      </c>
      <c r="B48" s="62">
        <v>2.9196635673601716</v>
      </c>
      <c r="C48" s="63">
        <v>-6.240397480812288E-4</v>
      </c>
      <c r="D48" s="64">
        <v>-0.4739344923675366</v>
      </c>
      <c r="E48" s="58">
        <v>33.72</v>
      </c>
      <c r="F48" s="63">
        <v>-7.044049624511661E-4</v>
      </c>
      <c r="G48" s="64">
        <v>-0.40618661665365086</v>
      </c>
      <c r="H48" s="17">
        <v>0.0</v>
      </c>
      <c r="I48" s="63">
        <v>0.0</v>
      </c>
      <c r="J48" s="63">
        <v>0.0</v>
      </c>
      <c r="K48" s="17">
        <v>162709.15235883673</v>
      </c>
      <c r="L48" s="63">
        <v>-6.240397480812288E-4</v>
      </c>
      <c r="M48" s="63">
        <v>1.0</v>
      </c>
      <c r="N48" s="65">
        <v>8.036521436993738E-5</v>
      </c>
      <c r="O48" s="63">
        <v>-0.06774787571388574</v>
      </c>
      <c r="P48" s="17">
        <v>56.78551704236747</v>
      </c>
      <c r="Q48" s="66">
        <v>4825.301078257317</v>
      </c>
      <c r="R48" s="66">
        <v>5410.545439198374</v>
      </c>
      <c r="S48" s="63">
        <v>-0.10816734976497422</v>
      </c>
      <c r="T48" s="17">
        <v>309294.4699817</v>
      </c>
      <c r="U48" s="17">
        <v>162709.15235883673</v>
      </c>
      <c r="V48" s="17">
        <v>-146585.31762286328</v>
      </c>
    </row>
    <row r="49">
      <c r="A49" s="61">
        <v>44817.95996974537</v>
      </c>
      <c r="B49" s="62">
        <v>2.9231269879620227</v>
      </c>
      <c r="C49" s="63">
        <v>-0.058166273406568214</v>
      </c>
      <c r="D49" s="64">
        <v>-0.47331045261945537</v>
      </c>
      <c r="E49" s="58">
        <v>33.76</v>
      </c>
      <c r="F49" s="63">
        <v>-0.06568576274857307</v>
      </c>
      <c r="G49" s="64">
        <v>-0.4054822116911997</v>
      </c>
      <c r="H49" s="17">
        <v>0.0</v>
      </c>
      <c r="I49" s="63">
        <v>0.0</v>
      </c>
      <c r="J49" s="63">
        <v>0.0</v>
      </c>
      <c r="K49" s="17">
        <v>162902.16440196702</v>
      </c>
      <c r="L49" s="63">
        <v>-0.058166273406568214</v>
      </c>
      <c r="M49" s="63">
        <v>1.0</v>
      </c>
      <c r="N49" s="65">
        <v>0.007519489342004859</v>
      </c>
      <c r="O49" s="63">
        <v>-0.06782824092825568</v>
      </c>
      <c r="P49" s="17">
        <v>56.78551704236747</v>
      </c>
      <c r="Q49" s="66">
        <v>4825.301078257317</v>
      </c>
      <c r="R49" s="66">
        <v>5410.545439198374</v>
      </c>
      <c r="S49" s="63">
        <v>-0.10816734976497422</v>
      </c>
      <c r="T49" s="17">
        <v>309294.4699817</v>
      </c>
      <c r="U49" s="17">
        <v>162902.16440196702</v>
      </c>
      <c r="V49" s="17">
        <v>-146392.305579733</v>
      </c>
    </row>
    <row r="50">
      <c r="A50" s="61">
        <v>44816.95995341435</v>
      </c>
      <c r="B50" s="62">
        <v>3.2459498053684763</v>
      </c>
      <c r="C50" s="63">
        <v>0.04368088285419891</v>
      </c>
      <c r="D50" s="64">
        <v>-0.41514417921288715</v>
      </c>
      <c r="E50" s="58">
        <v>37.49</v>
      </c>
      <c r="F50" s="63">
        <v>0.04930834737158307</v>
      </c>
      <c r="G50" s="64">
        <v>-0.3397964489426266</v>
      </c>
      <c r="H50" s="17">
        <v>0.0</v>
      </c>
      <c r="I50" s="63">
        <v>0.0</v>
      </c>
      <c r="J50" s="63">
        <v>0.0</v>
      </c>
      <c r="K50" s="17">
        <v>180900.5374168518</v>
      </c>
      <c r="L50" s="63">
        <v>0.04368088285419891</v>
      </c>
      <c r="M50" s="63">
        <v>1.0</v>
      </c>
      <c r="N50" s="65">
        <v>-0.005627464517384162</v>
      </c>
      <c r="O50" s="63">
        <v>-0.07534773027026054</v>
      </c>
      <c r="P50" s="17">
        <v>56.78551704236747</v>
      </c>
      <c r="Q50" s="66">
        <v>4825.3010780702</v>
      </c>
      <c r="R50" s="66">
        <v>5410.545439198374</v>
      </c>
      <c r="S50" s="63">
        <v>-0.1081673497995581</v>
      </c>
      <c r="T50" s="17">
        <v>309307.9199817</v>
      </c>
      <c r="U50" s="17">
        <v>180900.5374168518</v>
      </c>
      <c r="V50" s="17">
        <v>-128407.38256484823</v>
      </c>
    </row>
    <row r="51">
      <c r="A51" s="61">
        <v>44815.95995379629</v>
      </c>
      <c r="B51" s="62">
        <v>3.0035209055276724</v>
      </c>
      <c r="C51" s="63">
        <v>-0.002028040989659363</v>
      </c>
      <c r="D51" s="64">
        <v>-0.45882506206708606</v>
      </c>
      <c r="E51" s="58">
        <v>34.69</v>
      </c>
      <c r="F51" s="63">
        <v>-0.0022893161279664564</v>
      </c>
      <c r="G51" s="64">
        <v>-0.3891047963142097</v>
      </c>
      <c r="H51" s="17">
        <v>0.0</v>
      </c>
      <c r="I51" s="63">
        <v>0.0</v>
      </c>
      <c r="J51" s="63">
        <v>0.0</v>
      </c>
      <c r="K51" s="17">
        <v>167389.69439825523</v>
      </c>
      <c r="L51" s="63">
        <v>-0.002028040989659363</v>
      </c>
      <c r="M51" s="63">
        <v>1.0</v>
      </c>
      <c r="N51" s="65">
        <v>2.6127513830709326E-4</v>
      </c>
      <c r="O51" s="63">
        <v>-0.06972026575287638</v>
      </c>
      <c r="P51" s="17">
        <v>56.78551704236747</v>
      </c>
      <c r="Q51" s="66">
        <v>4825.3010780702</v>
      </c>
      <c r="R51" s="66">
        <v>5410.545439198374</v>
      </c>
      <c r="S51" s="63">
        <v>-0.1081673497995581</v>
      </c>
      <c r="T51" s="17">
        <v>309307.9199817</v>
      </c>
      <c r="U51" s="17">
        <v>167389.69439825523</v>
      </c>
      <c r="V51" s="17">
        <v>-141918.2255834448</v>
      </c>
    </row>
    <row r="52">
      <c r="A52" s="61">
        <v>44814.95995355324</v>
      </c>
      <c r="B52" s="62">
        <v>3.0147765330202816</v>
      </c>
      <c r="C52" s="63">
        <v>0.0010920220713550588</v>
      </c>
      <c r="D52" s="64">
        <v>-0.4567970210774267</v>
      </c>
      <c r="E52" s="58">
        <v>34.82</v>
      </c>
      <c r="F52" s="63">
        <v>0.0012327086842895962</v>
      </c>
      <c r="G52" s="64">
        <v>-0.38681548018624323</v>
      </c>
      <c r="H52" s="17">
        <v>0.0</v>
      </c>
      <c r="I52" s="63">
        <v>0.0</v>
      </c>
      <c r="J52" s="63">
        <v>0.0</v>
      </c>
      <c r="K52" s="17">
        <v>168016.98353840437</v>
      </c>
      <c r="L52" s="63">
        <v>0.0010920220713550588</v>
      </c>
      <c r="M52" s="63">
        <v>1.0</v>
      </c>
      <c r="N52" s="65">
        <v>-1.4068661293453744E-4</v>
      </c>
      <c r="O52" s="63">
        <v>-0.06998154089118347</v>
      </c>
      <c r="P52" s="17">
        <v>56.78551704236747</v>
      </c>
      <c r="Q52" s="66">
        <v>4825.3010780702</v>
      </c>
      <c r="R52" s="66">
        <v>5410.545439198374</v>
      </c>
      <c r="S52" s="63">
        <v>-0.1081673497995581</v>
      </c>
      <c r="T52" s="17">
        <v>309307.9199817</v>
      </c>
      <c r="U52" s="17">
        <v>168016.98353840437</v>
      </c>
      <c r="V52" s="17">
        <v>-141290.93644329565</v>
      </c>
    </row>
    <row r="53">
      <c r="A53" s="61">
        <v>44813.960386516206</v>
      </c>
      <c r="B53" s="62">
        <v>3.008715810524261</v>
      </c>
      <c r="C53" s="63">
        <v>0.02066092766056682</v>
      </c>
      <c r="D53" s="64">
        <v>-0.45788904314878176</v>
      </c>
      <c r="E53" s="58">
        <v>34.75</v>
      </c>
      <c r="F53" s="63">
        <v>0.019723338948633096</v>
      </c>
      <c r="G53" s="64">
        <v>-0.38804818887053283</v>
      </c>
      <c r="H53" s="17">
        <v>0.0</v>
      </c>
      <c r="I53" s="63">
        <v>0.0</v>
      </c>
      <c r="J53" s="63">
        <v>0.0</v>
      </c>
      <c r="K53" s="17">
        <v>167679.21246293944</v>
      </c>
      <c r="L53" s="63">
        <v>0.02066092766056682</v>
      </c>
      <c r="M53" s="63">
        <v>1.0</v>
      </c>
      <c r="N53" s="65">
        <v>9.375887119337234E-4</v>
      </c>
      <c r="O53" s="63">
        <v>-0.06984085427824893</v>
      </c>
      <c r="P53" s="17">
        <v>56.78551704236747</v>
      </c>
      <c r="Q53" s="66">
        <v>4825.3010780702</v>
      </c>
      <c r="R53" s="66">
        <v>5410.545439198374</v>
      </c>
      <c r="S53" s="63">
        <v>-0.1081673497995581</v>
      </c>
      <c r="T53" s="17">
        <v>309307.9199817</v>
      </c>
      <c r="U53" s="17">
        <v>167679.21246293944</v>
      </c>
      <c r="V53" s="17">
        <v>-141628.70751876058</v>
      </c>
    </row>
    <row r="54">
      <c r="A54" s="61">
        <v>44812.96109928241</v>
      </c>
      <c r="B54" s="62">
        <v>2.8940476620081155</v>
      </c>
      <c r="C54" s="63">
        <v>0.015660556927819314</v>
      </c>
      <c r="D54" s="64">
        <v>-0.4785499708093486</v>
      </c>
      <c r="E54" s="58">
        <v>33.63</v>
      </c>
      <c r="F54" s="63">
        <v>0.017786225301892555</v>
      </c>
      <c r="G54" s="64">
        <v>-0.4077715278191659</v>
      </c>
      <c r="H54" s="17">
        <v>0.0</v>
      </c>
      <c r="I54" s="63">
        <v>0.0</v>
      </c>
      <c r="J54" s="63">
        <v>0.0</v>
      </c>
      <c r="K54" s="17">
        <v>161288.62390335713</v>
      </c>
      <c r="L54" s="63">
        <v>0.015660556927819314</v>
      </c>
      <c r="M54" s="63">
        <v>1.0</v>
      </c>
      <c r="N54" s="65">
        <v>-0.002125668374073242</v>
      </c>
      <c r="O54" s="63">
        <v>-0.07077844299018266</v>
      </c>
      <c r="P54" s="17">
        <v>56.78551704236747</v>
      </c>
      <c r="Q54" s="66">
        <v>4795.974543662121</v>
      </c>
      <c r="R54" s="66">
        <v>5410.545439198374</v>
      </c>
      <c r="S54" s="63">
        <v>-0.11358760451096186</v>
      </c>
      <c r="T54" s="17">
        <v>309307.9199817</v>
      </c>
      <c r="U54" s="17">
        <v>161288.62390335713</v>
      </c>
      <c r="V54" s="17">
        <v>-148019.2960783429</v>
      </c>
    </row>
    <row r="55">
      <c r="A55" s="61">
        <v>44811.95995924769</v>
      </c>
      <c r="B55" s="62">
        <v>2.807131571058718</v>
      </c>
      <c r="C55" s="63">
        <v>0.02186275769131185</v>
      </c>
      <c r="D55" s="64">
        <v>-0.4942105277371679</v>
      </c>
      <c r="E55" s="58">
        <v>32.62</v>
      </c>
      <c r="F55" s="63">
        <v>0.024830274926404217</v>
      </c>
      <c r="G55" s="64">
        <v>-0.4255577531210585</v>
      </c>
      <c r="H55" s="17">
        <v>0.0</v>
      </c>
      <c r="I55" s="63">
        <v>0.0</v>
      </c>
      <c r="J55" s="63">
        <v>0.0</v>
      </c>
      <c r="K55" s="17">
        <v>156444.68961425836</v>
      </c>
      <c r="L55" s="63">
        <v>0.02186275769131185</v>
      </c>
      <c r="M55" s="63">
        <v>1.0</v>
      </c>
      <c r="N55" s="65">
        <v>-0.002967517235092365</v>
      </c>
      <c r="O55" s="63">
        <v>-0.06865277461610941</v>
      </c>
      <c r="P55" s="17">
        <v>56.78551704236747</v>
      </c>
      <c r="Q55" s="66">
        <v>4795.974543662121</v>
      </c>
      <c r="R55" s="66">
        <v>5410.545439198374</v>
      </c>
      <c r="S55" s="63">
        <v>-0.11358760451096186</v>
      </c>
      <c r="T55" s="17">
        <v>309307.9199817</v>
      </c>
      <c r="U55" s="17">
        <v>156444.68961425836</v>
      </c>
      <c r="V55" s="17">
        <v>-152863.23036744166</v>
      </c>
    </row>
    <row r="56">
      <c r="A56" s="61">
        <v>44810.95996559028</v>
      </c>
      <c r="B56" s="62">
        <v>2.6857932658719372</v>
      </c>
      <c r="C56" s="63">
        <v>-0.013489786660596748</v>
      </c>
      <c r="D56" s="64">
        <v>-0.5160732854284797</v>
      </c>
      <c r="E56" s="58">
        <v>31.21</v>
      </c>
      <c r="F56" s="63">
        <v>-0.015320807933313252</v>
      </c>
      <c r="G56" s="64">
        <v>-0.4503880280474627</v>
      </c>
      <c r="H56" s="17">
        <v>0.0</v>
      </c>
      <c r="I56" s="63">
        <v>0.0</v>
      </c>
      <c r="J56" s="63">
        <v>0.0</v>
      </c>
      <c r="K56" s="17">
        <v>149682.36550769478</v>
      </c>
      <c r="L56" s="63">
        <v>-0.013489786660596748</v>
      </c>
      <c r="M56" s="63">
        <v>1.0</v>
      </c>
      <c r="N56" s="65">
        <v>0.0018310212727165043</v>
      </c>
      <c r="O56" s="63">
        <v>-0.06568525738101705</v>
      </c>
      <c r="P56" s="17">
        <v>56.78551704236747</v>
      </c>
      <c r="Q56" s="66">
        <v>4795.974543662121</v>
      </c>
      <c r="R56" s="66">
        <v>5410.545439198374</v>
      </c>
      <c r="S56" s="63">
        <v>-0.11358760451096186</v>
      </c>
      <c r="T56" s="17">
        <v>309307.9199817</v>
      </c>
      <c r="U56" s="17">
        <v>149682.36550769478</v>
      </c>
      <c r="V56" s="17">
        <v>-159625.55447400524</v>
      </c>
    </row>
    <row r="57">
      <c r="A57" s="61">
        <v>44809.95997001157</v>
      </c>
      <c r="B57" s="62">
        <v>2.760661581838249</v>
      </c>
      <c r="C57" s="63">
        <v>6.202200763492094E-4</v>
      </c>
      <c r="D57" s="64">
        <v>-0.502583498767883</v>
      </c>
      <c r="E57" s="58">
        <v>32.08</v>
      </c>
      <c r="F57" s="63">
        <v>7.044049624511661E-4</v>
      </c>
      <c r="G57" s="64">
        <v>-0.43506722011414944</v>
      </c>
      <c r="H57" s="17">
        <v>0.0</v>
      </c>
      <c r="I57" s="63">
        <v>0.0</v>
      </c>
      <c r="J57" s="63">
        <v>0.0</v>
      </c>
      <c r="K57" s="17">
        <v>153854.8633606808</v>
      </c>
      <c r="L57" s="63">
        <v>6.202200763492094E-4</v>
      </c>
      <c r="M57" s="63">
        <v>1.0</v>
      </c>
      <c r="N57" s="65">
        <v>-8.418488610195674E-5</v>
      </c>
      <c r="O57" s="63">
        <v>-0.06751627865373355</v>
      </c>
      <c r="P57" s="17">
        <v>56.78551704236747</v>
      </c>
      <c r="Q57" s="66">
        <v>4795.974543662121</v>
      </c>
      <c r="R57" s="66">
        <v>5410.545439198374</v>
      </c>
      <c r="S57" s="63">
        <v>-0.11358760451096186</v>
      </c>
      <c r="T57" s="17">
        <v>309307.9199817</v>
      </c>
      <c r="U57" s="17">
        <v>153854.8633606808</v>
      </c>
      <c r="V57" s="17">
        <v>-155453.0566210192</v>
      </c>
    </row>
    <row r="58">
      <c r="A58" s="61">
        <v>44808.95995771991</v>
      </c>
      <c r="B58" s="62">
        <v>2.7572193604145108</v>
      </c>
      <c r="C58" s="63">
        <v>0.015040336851469993</v>
      </c>
      <c r="D58" s="64">
        <v>-0.5032037188442322</v>
      </c>
      <c r="E58" s="58">
        <v>32.04</v>
      </c>
      <c r="F58" s="63">
        <v>0.017081820339441278</v>
      </c>
      <c r="G58" s="64">
        <v>-0.4357716250766006</v>
      </c>
      <c r="H58" s="17">
        <v>0.0</v>
      </c>
      <c r="I58" s="63">
        <v>0.0</v>
      </c>
      <c r="J58" s="63">
        <v>0.0</v>
      </c>
      <c r="K58" s="17">
        <v>153663.02437893435</v>
      </c>
      <c r="L58" s="63">
        <v>0.015040336851469993</v>
      </c>
      <c r="M58" s="63">
        <v>1.0</v>
      </c>
      <c r="N58" s="65">
        <v>-0.002041483487971285</v>
      </c>
      <c r="O58" s="63">
        <v>-0.0674320937676316</v>
      </c>
      <c r="P58" s="17">
        <v>56.78551704236747</v>
      </c>
      <c r="Q58" s="66">
        <v>4795.974543662121</v>
      </c>
      <c r="R58" s="66">
        <v>5410.545439198374</v>
      </c>
      <c r="S58" s="63">
        <v>-0.11358760451096186</v>
      </c>
      <c r="T58" s="17">
        <v>309307.9199817</v>
      </c>
      <c r="U58" s="17">
        <v>153663.02437893435</v>
      </c>
      <c r="V58" s="17">
        <v>-155644.89560276567</v>
      </c>
    </row>
    <row r="59">
      <c r="A59" s="61">
        <v>44807.95995710648</v>
      </c>
      <c r="B59" s="62">
        <v>2.673745490888853</v>
      </c>
      <c r="C59" s="63">
        <v>-0.002635935324484473</v>
      </c>
      <c r="D59" s="64">
        <v>-0.5182440556957022</v>
      </c>
      <c r="E59" s="58">
        <v>31.07</v>
      </c>
      <c r="F59" s="63">
        <v>-0.0029937210904175116</v>
      </c>
      <c r="G59" s="64">
        <v>-0.4528534454160419</v>
      </c>
      <c r="H59" s="17">
        <v>0.0</v>
      </c>
      <c r="I59" s="63">
        <v>0.0</v>
      </c>
      <c r="J59" s="63">
        <v>0.0</v>
      </c>
      <c r="K59" s="17">
        <v>149010.9290715821</v>
      </c>
      <c r="L59" s="63">
        <v>-0.002635935324484473</v>
      </c>
      <c r="M59" s="63">
        <v>1.0</v>
      </c>
      <c r="N59" s="65">
        <v>3.5778576593303857E-4</v>
      </c>
      <c r="O59" s="63">
        <v>-0.06539061027966031</v>
      </c>
      <c r="P59" s="17">
        <v>56.78551704236747</v>
      </c>
      <c r="Q59" s="66">
        <v>4795.974543662121</v>
      </c>
      <c r="R59" s="66">
        <v>5410.545439198374</v>
      </c>
      <c r="S59" s="63">
        <v>-0.11358760451096186</v>
      </c>
      <c r="T59" s="17">
        <v>309307.9199817</v>
      </c>
      <c r="U59" s="17">
        <v>149010.9290715821</v>
      </c>
      <c r="V59" s="17">
        <v>-160296.99091011792</v>
      </c>
    </row>
    <row r="60">
      <c r="A60" s="61">
        <v>44806.95996475694</v>
      </c>
      <c r="B60" s="62">
        <v>2.6883749319397414</v>
      </c>
      <c r="C60" s="63">
        <v>-0.0021689393801278545</v>
      </c>
      <c r="D60" s="64">
        <v>-0.5156081203712177</v>
      </c>
      <c r="E60" s="58">
        <v>31.24</v>
      </c>
      <c r="F60" s="63">
        <v>-0.0026415186091920395</v>
      </c>
      <c r="G60" s="64">
        <v>-0.4498597243256244</v>
      </c>
      <c r="H60" s="6">
        <v>0.0</v>
      </c>
      <c r="I60" s="8">
        <v>0.0</v>
      </c>
      <c r="J60" s="8">
        <v>0.0</v>
      </c>
      <c r="K60" s="6">
        <v>164542.76676857454</v>
      </c>
      <c r="L60" s="8">
        <v>-0.0021689393801278545</v>
      </c>
      <c r="M60" s="8">
        <v>1.0</v>
      </c>
      <c r="N60" s="65">
        <v>4.7257922906418504E-4</v>
      </c>
      <c r="O60" s="63">
        <v>-0.06574839604559335</v>
      </c>
      <c r="P60" s="17">
        <v>56.78551704236747</v>
      </c>
      <c r="Q60" s="66">
        <v>4795.974543662121</v>
      </c>
      <c r="R60" s="66">
        <v>5410.545439198374</v>
      </c>
      <c r="S60" s="63">
        <v>-0.11358760451096186</v>
      </c>
      <c r="T60" s="17">
        <v>309307.9199817</v>
      </c>
      <c r="U60" s="17">
        <v>149826.24474400465</v>
      </c>
      <c r="V60" s="17">
        <v>-159481.67523769537</v>
      </c>
    </row>
    <row r="61">
      <c r="A61" s="61">
        <v>44805.95996070602</v>
      </c>
      <c r="B61" s="62">
        <v>2.700412545499451</v>
      </c>
      <c r="C61" s="63">
        <v>-0.012866210461359717</v>
      </c>
      <c r="D61" s="64">
        <v>-0.5134391809910899</v>
      </c>
      <c r="E61" s="58">
        <v>31.39</v>
      </c>
      <c r="F61" s="63">
        <v>-0.014616402970862086</v>
      </c>
      <c r="G61" s="64">
        <v>-0.44721820571643234</v>
      </c>
      <c r="H61" s="17">
        <v>10.021922</v>
      </c>
      <c r="I61" s="63">
        <v>-8.56788236696735E-7</v>
      </c>
      <c r="J61" s="63">
        <v>6.659212044369034E-5</v>
      </c>
      <c r="K61" s="17">
        <v>150487.09295023838</v>
      </c>
      <c r="L61" s="63">
        <v>-0.012865353673123019</v>
      </c>
      <c r="M61" s="63">
        <v>0.9999334078795562</v>
      </c>
      <c r="N61" s="65">
        <v>0.0017501925095023685</v>
      </c>
      <c r="O61" s="63">
        <v>-0.06622097527465753</v>
      </c>
      <c r="P61" s="17">
        <v>56.78551704236747</v>
      </c>
      <c r="Q61" s="66">
        <v>4794.428635624033</v>
      </c>
      <c r="R61" s="66">
        <v>5410.545439198374</v>
      </c>
      <c r="S61" s="63">
        <v>-0.11387332580384447</v>
      </c>
      <c r="T61" s="17">
        <v>309307.9199817</v>
      </c>
      <c r="U61" s="17">
        <v>150497.1148722384</v>
      </c>
      <c r="V61" s="17">
        <v>-158810.80510946162</v>
      </c>
    </row>
    <row r="62">
      <c r="A62" s="61">
        <v>44804.95996842593</v>
      </c>
      <c r="B62" s="62">
        <v>2.7718200135599975</v>
      </c>
      <c r="C62" s="63">
        <v>0.009764321873783732</v>
      </c>
      <c r="D62" s="64">
        <v>-0.5005729705297302</v>
      </c>
      <c r="E62" s="58">
        <v>32.22</v>
      </c>
      <c r="F62" s="63">
        <v>0.011094378158606255</v>
      </c>
      <c r="G62" s="64">
        <v>-0.43260180274557025</v>
      </c>
      <c r="H62" s="17">
        <v>10.021922</v>
      </c>
      <c r="I62" s="63">
        <v>6.334757902459332E-7</v>
      </c>
      <c r="J62" s="63">
        <v>6.487657805983997E-5</v>
      </c>
      <c r="K62" s="17">
        <v>154466.71374608835</v>
      </c>
      <c r="L62" s="63">
        <v>0.009763688397993485</v>
      </c>
      <c r="M62" s="63">
        <v>0.99993512342194</v>
      </c>
      <c r="N62" s="65">
        <v>-0.0013300562848225228</v>
      </c>
      <c r="O62" s="63">
        <v>-0.0679711677841599</v>
      </c>
      <c r="P62" s="17">
        <v>56.78551704236747</v>
      </c>
      <c r="Q62" s="66">
        <v>4794.4362404745</v>
      </c>
      <c r="R62" s="66">
        <v>5410.545439198374</v>
      </c>
      <c r="S62" s="63">
        <v>-0.11387192024306461</v>
      </c>
      <c r="T62" s="17">
        <v>309307.9199817</v>
      </c>
      <c r="U62" s="17">
        <v>154476.73566808837</v>
      </c>
      <c r="V62" s="17">
        <v>-154831.18431361165</v>
      </c>
    </row>
    <row r="63">
      <c r="A63" s="61">
        <v>44803.96121127315</v>
      </c>
      <c r="B63" s="62">
        <v>2.7176280271604982</v>
      </c>
      <c r="C63" s="63">
        <v>-0.005735789225684962</v>
      </c>
      <c r="D63" s="64">
        <v>-0.5103372924035139</v>
      </c>
      <c r="E63" s="58">
        <v>31.59</v>
      </c>
      <c r="F63" s="63">
        <v>-0.006515745902673564</v>
      </c>
      <c r="G63" s="64">
        <v>-0.4436961809041765</v>
      </c>
      <c r="H63" s="17">
        <v>10.021922</v>
      </c>
      <c r="I63" s="63">
        <v>-3.795387579459648E-7</v>
      </c>
      <c r="J63" s="63">
        <v>6.617027631461488E-5</v>
      </c>
      <c r="K63" s="17">
        <v>151446.5316572765</v>
      </c>
      <c r="L63" s="63">
        <v>-0.005735409686927016</v>
      </c>
      <c r="M63" s="63">
        <v>0.9999338297236853</v>
      </c>
      <c r="N63" s="65">
        <v>7.799566769886024E-4</v>
      </c>
      <c r="O63" s="63">
        <v>-0.06664111149933738</v>
      </c>
      <c r="P63" s="17">
        <v>56.78551704236747</v>
      </c>
      <c r="Q63" s="66">
        <v>4794.446140527905</v>
      </c>
      <c r="R63" s="66">
        <v>5410.545439198374</v>
      </c>
      <c r="S63" s="63">
        <v>-0.11387009047312426</v>
      </c>
      <c r="T63" s="17">
        <v>309307.9199817</v>
      </c>
      <c r="U63" s="17">
        <v>151456.55357927651</v>
      </c>
      <c r="V63" s="17">
        <v>-157851.3664024235</v>
      </c>
    </row>
    <row r="64">
      <c r="A64" s="61">
        <v>44802.959965358794</v>
      </c>
      <c r="B64" s="62">
        <v>2.7494616573630495</v>
      </c>
      <c r="C64" s="63">
        <v>0.00573295919451644</v>
      </c>
      <c r="D64" s="64">
        <v>-0.5046015031778289</v>
      </c>
      <c r="E64" s="58">
        <v>31.96</v>
      </c>
      <c r="F64" s="63">
        <v>0.006515745902673564</v>
      </c>
      <c r="G64" s="64">
        <v>-0.43718043500150294</v>
      </c>
      <c r="H64" s="17">
        <v>10.021922</v>
      </c>
      <c r="I64" s="63">
        <v>3.749593123013794E-7</v>
      </c>
      <c r="J64" s="63">
        <v>6.540414811604223E-5</v>
      </c>
      <c r="K64" s="17">
        <v>153220.65669212656</v>
      </c>
      <c r="L64" s="63">
        <v>0.005732584235204138</v>
      </c>
      <c r="M64" s="63">
        <v>0.9999345958518838</v>
      </c>
      <c r="N64" s="65">
        <v>-7.827867081571238E-4</v>
      </c>
      <c r="O64" s="63">
        <v>-0.06742106817632598</v>
      </c>
      <c r="P64" s="17">
        <v>56.78551704236747</v>
      </c>
      <c r="Q64" s="66">
        <v>4794.451771405713</v>
      </c>
      <c r="R64" s="66">
        <v>5410.545439198374</v>
      </c>
      <c r="S64" s="63">
        <v>-0.11386904975035965</v>
      </c>
      <c r="T64" s="17">
        <v>309307.9199817</v>
      </c>
      <c r="U64" s="17">
        <v>153230.67861412658</v>
      </c>
      <c r="V64" s="17">
        <v>-156077.24136757344</v>
      </c>
    </row>
    <row r="65">
      <c r="A65" s="61">
        <v>44801.95995534722</v>
      </c>
      <c r="B65" s="62">
        <v>2.7176437338334836</v>
      </c>
      <c r="C65" s="63">
        <v>0.0024784759867229056</v>
      </c>
      <c r="D65" s="64">
        <v>-0.5103344623723454</v>
      </c>
      <c r="E65" s="58">
        <v>31.59</v>
      </c>
      <c r="F65" s="63">
        <v>0.0028176198498046645</v>
      </c>
      <c r="G65" s="64">
        <v>-0.4436961809041765</v>
      </c>
      <c r="H65" s="17">
        <v>10.021922</v>
      </c>
      <c r="I65" s="63">
        <v>1.6400049303118558E-7</v>
      </c>
      <c r="J65" s="63">
        <v>6.616989388226051E-5</v>
      </c>
      <c r="K65" s="17">
        <v>151447.40700833075</v>
      </c>
      <c r="L65" s="63">
        <v>0.002478311986229874</v>
      </c>
      <c r="M65" s="63">
        <v>0.9999338301061177</v>
      </c>
      <c r="N65" s="65">
        <v>-3.391438630817589E-4</v>
      </c>
      <c r="O65" s="63">
        <v>-0.06663828146816886</v>
      </c>
      <c r="P65" s="17">
        <v>56.78551704236747</v>
      </c>
      <c r="Q65" s="66">
        <v>4794.473850279543</v>
      </c>
      <c r="R65" s="66">
        <v>5410.545439198374</v>
      </c>
      <c r="S65" s="63">
        <v>-0.11386496903907502</v>
      </c>
      <c r="T65" s="17">
        <v>309307.9199817</v>
      </c>
      <c r="U65" s="17">
        <v>151457.42893033076</v>
      </c>
      <c r="V65" s="17">
        <v>-157850.49105136926</v>
      </c>
    </row>
    <row r="66">
      <c r="A66" s="61">
        <v>44800.95995575232</v>
      </c>
      <c r="B66" s="62">
        <v>2.7038881921071707</v>
      </c>
      <c r="C66" s="63">
        <v>-0.010251304273962591</v>
      </c>
      <c r="D66" s="64">
        <v>-0.5128129383590683</v>
      </c>
      <c r="E66" s="58">
        <v>31.43</v>
      </c>
      <c r="F66" s="63">
        <v>-0.020956047632922692</v>
      </c>
      <c r="G66" s="64">
        <v>-0.44651380075398117</v>
      </c>
      <c r="H66" s="17">
        <v>10.021922</v>
      </c>
      <c r="I66" s="63">
        <v>-6.817785854286543E-7</v>
      </c>
      <c r="J66" s="63">
        <v>6.650652123947894E-5</v>
      </c>
      <c r="K66" s="17">
        <v>150680.79475615284</v>
      </c>
      <c r="L66" s="63">
        <v>-0.010250622495377162</v>
      </c>
      <c r="M66" s="63">
        <v>0.9999334934787604</v>
      </c>
      <c r="N66" s="65">
        <v>0.0107047433589601</v>
      </c>
      <c r="O66" s="63">
        <v>-0.0662991376050871</v>
      </c>
      <c r="P66" s="17">
        <v>56.78551704236747</v>
      </c>
      <c r="Q66" s="66">
        <v>4794.489872037952</v>
      </c>
      <c r="R66" s="66">
        <v>5410.545439198374</v>
      </c>
      <c r="S66" s="63">
        <v>-0.1138620078296018</v>
      </c>
      <c r="T66" s="17">
        <v>309307.9199817</v>
      </c>
      <c r="U66" s="17">
        <v>150690.81667815286</v>
      </c>
      <c r="V66" s="17">
        <v>-158617.10330354716</v>
      </c>
    </row>
    <row r="67">
      <c r="A67" s="61">
        <v>44799.959972013894</v>
      </c>
      <c r="B67" s="62">
        <v>2.7607829308276632</v>
      </c>
      <c r="C67" s="63">
        <v>-0.04726683482312766</v>
      </c>
      <c r="D67" s="64">
        <v>-0.5025616340851057</v>
      </c>
      <c r="E67" s="58">
        <v>32.62</v>
      </c>
      <c r="F67" s="63">
        <v>-0.05459138458996693</v>
      </c>
      <c r="G67" s="64">
        <v>-0.4255577531210585</v>
      </c>
      <c r="H67" s="17">
        <v>10.021922</v>
      </c>
      <c r="I67" s="63">
        <v>-3.0787698221875035E-6</v>
      </c>
      <c r="J67" s="63">
        <v>6.513594222478087E-5</v>
      </c>
      <c r="K67" s="17">
        <v>153851.6043582317</v>
      </c>
      <c r="L67" s="63">
        <v>-0.04726375605330546</v>
      </c>
      <c r="M67" s="63">
        <v>0.9999348640577751</v>
      </c>
      <c r="N67" s="65">
        <v>0.007324549766839272</v>
      </c>
      <c r="O67" s="63">
        <v>-0.0770038809640472</v>
      </c>
      <c r="P67" s="17">
        <v>56.78551704236747</v>
      </c>
      <c r="Q67" s="66">
        <v>4716.788052735492</v>
      </c>
      <c r="R67" s="66">
        <v>5410.545439198374</v>
      </c>
      <c r="S67" s="63">
        <v>-0.12822318826429988</v>
      </c>
      <c r="T67" s="17">
        <v>309307.9199817</v>
      </c>
      <c r="U67" s="17">
        <v>153861.62628023172</v>
      </c>
      <c r="V67" s="17">
        <v>-155446.2937014683</v>
      </c>
    </row>
    <row r="68">
      <c r="A68" s="61">
        <v>44798.95996472222</v>
      </c>
      <c r="B68" s="62">
        <v>3.023113864096022</v>
      </c>
      <c r="C68" s="63">
        <v>-0.0032023708931869788</v>
      </c>
      <c r="D68" s="64">
        <v>-0.455294799261978</v>
      </c>
      <c r="E68" s="58">
        <v>35.72</v>
      </c>
      <c r="F68" s="63">
        <v>-0.0036981260528686777</v>
      </c>
      <c r="G68" s="64">
        <v>-0.37096636853109155</v>
      </c>
      <c r="H68" s="17">
        <v>10.021922</v>
      </c>
      <c r="I68" s="63">
        <v>-1.9048908063765692E-7</v>
      </c>
      <c r="J68" s="63">
        <v>5.948376593196031E-5</v>
      </c>
      <c r="K68" s="17">
        <v>168471.61072149195</v>
      </c>
      <c r="L68" s="63">
        <v>-0.003202180404106341</v>
      </c>
      <c r="M68" s="63">
        <v>0.999940516234068</v>
      </c>
      <c r="N68" s="65">
        <v>4.957551596816989E-4</v>
      </c>
      <c r="O68" s="63">
        <v>-0.08432843073088647</v>
      </c>
      <c r="P68" s="17">
        <v>56.78551704236747</v>
      </c>
      <c r="Q68" s="66">
        <v>4716.731037051847</v>
      </c>
      <c r="R68" s="66">
        <v>5410.545439198374</v>
      </c>
      <c r="S68" s="63">
        <v>-0.1282337261452373</v>
      </c>
      <c r="T68" s="17">
        <v>309307.9199817</v>
      </c>
      <c r="U68" s="17">
        <v>168481.63264349196</v>
      </c>
      <c r="V68" s="17">
        <v>-140826.28733820806</v>
      </c>
    </row>
    <row r="69">
      <c r="A69" s="61">
        <v>44797.959961238426</v>
      </c>
      <c r="B69" s="62">
        <v>3.0408870225532096</v>
      </c>
      <c r="C69" s="63">
        <v>0.007470918424710926</v>
      </c>
      <c r="D69" s="64">
        <v>-0.45209242836879104</v>
      </c>
      <c r="E69" s="58">
        <v>35.93</v>
      </c>
      <c r="F69" s="63">
        <v>0.008628960790027063</v>
      </c>
      <c r="G69" s="64">
        <v>-0.3672682424782229</v>
      </c>
      <c r="H69" s="17">
        <v>10.021922</v>
      </c>
      <c r="I69" s="63">
        <v>4.4180097518149067E-7</v>
      </c>
      <c r="J69" s="63">
        <v>5.9136099481448345E-5</v>
      </c>
      <c r="K69" s="17">
        <v>169462.12940147353</v>
      </c>
      <c r="L69" s="63">
        <v>0.007470476623735745</v>
      </c>
      <c r="M69" s="63">
        <v>0.9999408639005185</v>
      </c>
      <c r="N69" s="65">
        <v>-0.0011580423653161365</v>
      </c>
      <c r="O69" s="63">
        <v>-0.08482418589056817</v>
      </c>
      <c r="P69" s="17">
        <v>56.78551704236747</v>
      </c>
      <c r="Q69" s="66">
        <v>4716.7311807256765</v>
      </c>
      <c r="R69" s="66">
        <v>5410.545439198374</v>
      </c>
      <c r="S69" s="63">
        <v>-0.1282336995908296</v>
      </c>
      <c r="T69" s="17">
        <v>309307.9199817</v>
      </c>
      <c r="U69" s="17">
        <v>169472.15132347355</v>
      </c>
      <c r="V69" s="17">
        <v>-139835.76865822647</v>
      </c>
    </row>
    <row r="70">
      <c r="A70" s="61">
        <v>44796.95996900463</v>
      </c>
      <c r="B70" s="62">
        <v>2.999423425296064</v>
      </c>
      <c r="C70" s="63">
        <v>-0.046412838474062634</v>
      </c>
      <c r="D70" s="64">
        <v>-0.45956334679350197</v>
      </c>
      <c r="E70" s="58">
        <v>35.44</v>
      </c>
      <c r="F70" s="63">
        <v>-0.03569302480163017</v>
      </c>
      <c r="G70" s="64">
        <v>-0.37589720326824994</v>
      </c>
      <c r="H70" s="17">
        <v>10.021922</v>
      </c>
      <c r="I70" s="63">
        <v>-2.7826162143501537E-6</v>
      </c>
      <c r="J70" s="63">
        <v>5.995358840001117E-5</v>
      </c>
      <c r="K70" s="17">
        <v>167151.31516317325</v>
      </c>
      <c r="L70" s="63">
        <v>-0.046410055857848284</v>
      </c>
      <c r="M70" s="63">
        <v>0.9999400464116</v>
      </c>
      <c r="N70" s="65">
        <v>-0.010719813672432466</v>
      </c>
      <c r="O70" s="63">
        <v>-0.08366614352525203</v>
      </c>
      <c r="P70" s="17">
        <v>56.78551704236747</v>
      </c>
      <c r="Q70" s="66">
        <v>4716.742017075995</v>
      </c>
      <c r="R70" s="66">
        <v>5410.545439198374</v>
      </c>
      <c r="S70" s="63">
        <v>-0.12823169677051502</v>
      </c>
      <c r="T70" s="17">
        <v>309307.9199817</v>
      </c>
      <c r="U70" s="17">
        <v>167161.33708517326</v>
      </c>
      <c r="V70" s="17">
        <v>-142146.58289652676</v>
      </c>
    </row>
    <row r="71">
      <c r="A71" s="61">
        <v>44795.960042743056</v>
      </c>
      <c r="B71" s="62">
        <v>3.2570146788271117</v>
      </c>
      <c r="C71" s="63">
        <v>-0.03848769539327457</v>
      </c>
      <c r="D71" s="64">
        <v>-0.41315050831943934</v>
      </c>
      <c r="E71" s="58">
        <v>34.61</v>
      </c>
      <c r="F71" s="63">
        <v>-0.04327467537939256</v>
      </c>
      <c r="G71" s="64">
        <v>-0.34020417846661977</v>
      </c>
      <c r="H71" s="17">
        <v>10.021922</v>
      </c>
      <c r="I71" s="63">
        <v>-1.8514026096440928E-6</v>
      </c>
      <c r="J71" s="63">
        <v>4.810375343927741E-5</v>
      </c>
      <c r="K71" s="17">
        <v>208329.68721630928</v>
      </c>
      <c r="L71" s="63">
        <v>-0.038485843990664924</v>
      </c>
      <c r="M71" s="63">
        <v>0.9999518962465607</v>
      </c>
      <c r="N71" s="65">
        <v>0.00478697998611799</v>
      </c>
      <c r="O71" s="63">
        <v>-0.07294632985281957</v>
      </c>
      <c r="P71" s="17">
        <v>52.45562167939406</v>
      </c>
      <c r="Q71" s="66">
        <v>6019.639096743984</v>
      </c>
      <c r="R71" s="66">
        <v>6728.479406903102</v>
      </c>
      <c r="S71" s="63">
        <v>-0.10534925757993428</v>
      </c>
      <c r="T71" s="17">
        <v>355013.8699817</v>
      </c>
      <c r="U71" s="17">
        <v>208339.7091383093</v>
      </c>
      <c r="V71" s="17">
        <v>-146674.16084339068</v>
      </c>
    </row>
    <row r="72">
      <c r="A72" s="61">
        <v>44794.96109868056</v>
      </c>
      <c r="B72" s="62">
        <v>3.4706213882597856</v>
      </c>
      <c r="C72" s="63">
        <v>0.033397122955734826</v>
      </c>
      <c r="D72" s="64">
        <v>-0.37466281292616477</v>
      </c>
      <c r="E72" s="58">
        <v>36.88</v>
      </c>
      <c r="F72" s="63">
        <v>0.037555555285199715</v>
      </c>
      <c r="G72" s="64">
        <v>-0.2969295030872272</v>
      </c>
      <c r="H72" s="17">
        <v>10.021922</v>
      </c>
      <c r="I72" s="63">
        <v>1.5076498794141391E-6</v>
      </c>
      <c r="J72" s="63">
        <v>4.5143106530835204E-5</v>
      </c>
      <c r="K72" s="17">
        <v>221993.35290455254</v>
      </c>
      <c r="L72" s="63">
        <v>0.03339561530585541</v>
      </c>
      <c r="M72" s="63">
        <v>0.9999548568934691</v>
      </c>
      <c r="N72" s="65">
        <v>-0.0041584323294648895</v>
      </c>
      <c r="O72" s="63">
        <v>-0.07773330983893756</v>
      </c>
      <c r="P72" s="17">
        <v>52.45562167939406</v>
      </c>
      <c r="Q72" s="66">
        <v>6019.61428488483</v>
      </c>
      <c r="R72" s="66">
        <v>6728.479406903102</v>
      </c>
      <c r="S72" s="63">
        <v>-0.1053529451678205</v>
      </c>
      <c r="T72" s="17">
        <v>355013.8699817</v>
      </c>
      <c r="U72" s="17">
        <v>222003.37482655255</v>
      </c>
      <c r="V72" s="17">
        <v>-133010.49515514742</v>
      </c>
    </row>
    <row r="73">
      <c r="A73" s="61">
        <v>44793.95995729166</v>
      </c>
      <c r="B73" s="62">
        <v>3.2852673558554573</v>
      </c>
      <c r="C73" s="63">
        <v>-0.03357330502416478</v>
      </c>
      <c r="D73" s="64">
        <v>-0.4080599358818996</v>
      </c>
      <c r="E73" s="58">
        <v>34.91</v>
      </c>
      <c r="F73" s="63">
        <v>-0.03774619262167278</v>
      </c>
      <c r="G73" s="64">
        <v>-0.3344850583724269</v>
      </c>
      <c r="H73" s="17">
        <v>10.021922</v>
      </c>
      <c r="I73" s="63">
        <v>-1.6011132758182122E-6</v>
      </c>
      <c r="J73" s="63">
        <v>4.769007027058528E-5</v>
      </c>
      <c r="K73" s="17">
        <v>210136.91103778244</v>
      </c>
      <c r="L73" s="63">
        <v>-0.03357170391088896</v>
      </c>
      <c r="M73" s="63">
        <v>0.9999523099297294</v>
      </c>
      <c r="N73" s="65">
        <v>0.0041728875975080015</v>
      </c>
      <c r="O73" s="63">
        <v>-0.07357487750947267</v>
      </c>
      <c r="P73" s="17">
        <v>52.45562167939406</v>
      </c>
      <c r="Q73" s="66">
        <v>6019.677254648595</v>
      </c>
      <c r="R73" s="66">
        <v>6728.479406903102</v>
      </c>
      <c r="S73" s="63">
        <v>-0.10534358647621174</v>
      </c>
      <c r="T73" s="17">
        <v>355013.8699817</v>
      </c>
      <c r="U73" s="17">
        <v>210146.93295978245</v>
      </c>
      <c r="V73" s="17">
        <v>-144866.93702191752</v>
      </c>
    </row>
    <row r="74">
      <c r="A74" s="61">
        <v>44792.95996795139</v>
      </c>
      <c r="B74" s="62">
        <v>3.471599198739572</v>
      </c>
      <c r="C74" s="63">
        <v>-0.07239399790830359</v>
      </c>
      <c r="D74" s="64">
        <v>-0.3744866308577348</v>
      </c>
      <c r="E74" s="58">
        <v>36.89</v>
      </c>
      <c r="F74" s="63">
        <v>-0.08140214267401136</v>
      </c>
      <c r="G74" s="64">
        <v>-0.29673886575075414</v>
      </c>
      <c r="H74" s="17">
        <v>10.021922</v>
      </c>
      <c r="I74" s="63">
        <v>-3.2671694696912483E-6</v>
      </c>
      <c r="J74" s="63">
        <v>4.5130391525407164E-5</v>
      </c>
      <c r="K74" s="17">
        <v>222055.89998248723</v>
      </c>
      <c r="L74" s="63">
        <v>-0.0723907307388339</v>
      </c>
      <c r="M74" s="63">
        <v>0.9999548696084746</v>
      </c>
      <c r="N74" s="65">
        <v>0.00900814476570777</v>
      </c>
      <c r="O74" s="63">
        <v>-0.07774776510698067</v>
      </c>
      <c r="P74" s="17">
        <v>52.45562167939406</v>
      </c>
      <c r="Q74" s="66">
        <v>6019.678013133294</v>
      </c>
      <c r="R74" s="66">
        <v>6728.479406903102</v>
      </c>
      <c r="S74" s="63">
        <v>-0.1053434737487063</v>
      </c>
      <c r="T74" s="17">
        <v>355013.8699817</v>
      </c>
      <c r="U74" s="17">
        <v>222065.92190448724</v>
      </c>
      <c r="V74" s="17">
        <v>-132947.94807721273</v>
      </c>
    </row>
    <row r="75">
      <c r="A75" s="61">
        <v>44791.95996997685</v>
      </c>
      <c r="B75" s="62">
        <v>3.8733858871306563</v>
      </c>
      <c r="C75" s="63">
        <v>0.012715422751525374</v>
      </c>
      <c r="D75" s="64">
        <v>-0.30209263294943123</v>
      </c>
      <c r="E75" s="58">
        <v>41.16</v>
      </c>
      <c r="F75" s="63">
        <v>0.014297800235482105</v>
      </c>
      <c r="G75" s="64">
        <v>-0.2153367230767428</v>
      </c>
      <c r="H75" s="17">
        <v>10.021922</v>
      </c>
      <c r="I75" s="63">
        <v>5.143262836181517E-7</v>
      </c>
      <c r="J75" s="63">
        <v>4.044901169773941E-5</v>
      </c>
      <c r="K75" s="17">
        <v>247756.7733433612</v>
      </c>
      <c r="L75" s="63">
        <v>0.012714908425241755</v>
      </c>
      <c r="M75" s="63">
        <v>0.9999595509883022</v>
      </c>
      <c r="N75" s="65">
        <v>-0.0015823774839567317</v>
      </c>
      <c r="O75" s="63">
        <v>-0.08675590987268844</v>
      </c>
      <c r="P75" s="17">
        <v>52.45562167939406</v>
      </c>
      <c r="Q75" s="66">
        <v>6019.601439877581</v>
      </c>
      <c r="R75" s="66">
        <v>6728.479406903102</v>
      </c>
      <c r="S75" s="63">
        <v>-0.10535485421836119</v>
      </c>
      <c r="T75" s="17">
        <v>355013.8699817</v>
      </c>
      <c r="U75" s="17">
        <v>247766.7952653612</v>
      </c>
      <c r="V75" s="17">
        <v>-107247.07471633877</v>
      </c>
    </row>
    <row r="76">
      <c r="A76" s="61">
        <v>44790.96035125</v>
      </c>
      <c r="B76" s="62">
        <v>3.802815290859691</v>
      </c>
      <c r="C76" s="63">
        <v>-0.048658652524672164</v>
      </c>
      <c r="D76" s="64">
        <v>-0.3148080557009566</v>
      </c>
      <c r="E76" s="58">
        <v>40.41</v>
      </c>
      <c r="F76" s="63">
        <v>-0.05471291556777824</v>
      </c>
      <c r="G76" s="64">
        <v>-0.2296345233122249</v>
      </c>
      <c r="H76" s="17">
        <v>10.021922</v>
      </c>
      <c r="I76" s="63">
        <v>-2.0047190959881677E-6</v>
      </c>
      <c r="J76" s="63">
        <v>4.11996426529009E-5</v>
      </c>
      <c r="K76" s="17">
        <v>243242.6219038888</v>
      </c>
      <c r="L76" s="63">
        <v>-0.04865664780557617</v>
      </c>
      <c r="M76" s="63">
        <v>0.9999588003573471</v>
      </c>
      <c r="N76" s="65">
        <v>0.0060542630431060784</v>
      </c>
      <c r="O76" s="63">
        <v>-0.08517353238873171</v>
      </c>
      <c r="P76" s="17">
        <v>52.45562167939406</v>
      </c>
      <c r="Q76" s="66">
        <v>6019.615041472131</v>
      </c>
      <c r="R76" s="66">
        <v>6728.479406903102</v>
      </c>
      <c r="S76" s="63">
        <v>-0.1053528327223101</v>
      </c>
      <c r="T76" s="17">
        <v>355013.8699817</v>
      </c>
      <c r="U76" s="17">
        <v>243252.6438258888</v>
      </c>
      <c r="V76" s="17">
        <v>-111761.22615581116</v>
      </c>
    </row>
    <row r="77">
      <c r="A77" s="61">
        <v>44789.959982395834</v>
      </c>
      <c r="B77" s="62">
        <v>4.0728708123716215</v>
      </c>
      <c r="C77" s="63">
        <v>-0.01152921154448927</v>
      </c>
      <c r="D77" s="64">
        <v>-0.26614940317628444</v>
      </c>
      <c r="E77" s="58">
        <v>43.28</v>
      </c>
      <c r="F77" s="63">
        <v>-0.012963338880170427</v>
      </c>
      <c r="G77" s="64">
        <v>-0.17492160774444665</v>
      </c>
      <c r="H77" s="17">
        <v>10.021922</v>
      </c>
      <c r="I77" s="63">
        <v>-4.435041149943462E-7</v>
      </c>
      <c r="J77" s="63">
        <v>3.846786168186255E-5</v>
      </c>
      <c r="K77" s="17">
        <v>260517.11844476746</v>
      </c>
      <c r="L77" s="63">
        <v>-0.011528768040374275</v>
      </c>
      <c r="M77" s="63">
        <v>0.9999615321383181</v>
      </c>
      <c r="N77" s="65">
        <v>0.0014341273356811568</v>
      </c>
      <c r="O77" s="63">
        <v>-0.09122779543183779</v>
      </c>
      <c r="P77" s="17">
        <v>52.45562167939406</v>
      </c>
      <c r="Q77" s="66">
        <v>6019.573483520505</v>
      </c>
      <c r="R77" s="66">
        <v>6728.479406903102</v>
      </c>
      <c r="S77" s="63">
        <v>-0.10535900914778655</v>
      </c>
      <c r="T77" s="17">
        <v>355013.8699817</v>
      </c>
      <c r="U77" s="17">
        <v>260527.14036676747</v>
      </c>
      <c r="V77" s="17">
        <v>-94486.7296149325</v>
      </c>
    </row>
    <row r="78">
      <c r="A78" s="61">
        <v>44788.95995696759</v>
      </c>
      <c r="B78" s="62">
        <v>4.136857936443537</v>
      </c>
      <c r="C78" s="63">
        <v>-0.025940396479942285</v>
      </c>
      <c r="D78" s="64">
        <v>-0.25462019163179517</v>
      </c>
      <c r="E78" s="58">
        <v>43.96</v>
      </c>
      <c r="F78" s="63">
        <v>-0.029167512480383406</v>
      </c>
      <c r="G78" s="64">
        <v>-0.16195826886427622</v>
      </c>
      <c r="H78" s="17">
        <v>10.021922</v>
      </c>
      <c r="I78" s="63">
        <v>-9.824369389628468E-7</v>
      </c>
      <c r="J78" s="63">
        <v>3.787285748398217E-5</v>
      </c>
      <c r="K78" s="17">
        <v>264610.1484530144</v>
      </c>
      <c r="L78" s="63">
        <v>-0.025939414043003324</v>
      </c>
      <c r="M78" s="63">
        <v>0.9999621271425161</v>
      </c>
      <c r="N78" s="65">
        <v>0.0032271160004411215</v>
      </c>
      <c r="O78" s="63">
        <v>-0.09266192276751894</v>
      </c>
      <c r="P78" s="17">
        <v>52.45562167939406</v>
      </c>
      <c r="Q78" s="66">
        <v>6019.567114991228</v>
      </c>
      <c r="R78" s="66">
        <v>6728.479406903102</v>
      </c>
      <c r="S78" s="63">
        <v>-0.10535995565128191</v>
      </c>
      <c r="T78" s="17">
        <v>355013.8699817</v>
      </c>
      <c r="U78" s="17">
        <v>264620.17037501436</v>
      </c>
      <c r="V78" s="17">
        <v>-90393.69960668561</v>
      </c>
    </row>
    <row r="79">
      <c r="A79" s="61">
        <v>44787.959958645835</v>
      </c>
      <c r="B79" s="62">
        <v>4.280827136907217</v>
      </c>
      <c r="C79" s="63">
        <v>-0.01797240721783555</v>
      </c>
      <c r="D79" s="64">
        <v>-0.22867979515185288</v>
      </c>
      <c r="E79" s="58">
        <v>45.49</v>
      </c>
      <c r="F79" s="63">
        <v>-0.020207557666148013</v>
      </c>
      <c r="G79" s="64">
        <v>-0.13279075638389282</v>
      </c>
      <c r="H79" s="17">
        <v>10.021922</v>
      </c>
      <c r="I79" s="63">
        <v>-6.577748131451496E-7</v>
      </c>
      <c r="J79" s="63">
        <v>3.659914919423724E-5</v>
      </c>
      <c r="K79" s="17">
        <v>273819.34899621835</v>
      </c>
      <c r="L79" s="63">
        <v>-0.017971749443022406</v>
      </c>
      <c r="M79" s="63">
        <v>0.9999634008508058</v>
      </c>
      <c r="N79" s="65">
        <v>0.002235150448312462</v>
      </c>
      <c r="O79" s="63">
        <v>-0.09588903876796007</v>
      </c>
      <c r="P79" s="17">
        <v>52.45562167939406</v>
      </c>
      <c r="Q79" s="66">
        <v>6019.5509104906205</v>
      </c>
      <c r="R79" s="66">
        <v>6728.479406903102</v>
      </c>
      <c r="S79" s="63">
        <v>-0.10536236399641122</v>
      </c>
      <c r="T79" s="17">
        <v>355013.8699817</v>
      </c>
      <c r="U79" s="17">
        <v>273829.37091821834</v>
      </c>
      <c r="V79" s="17">
        <v>-81184.49906348163</v>
      </c>
    </row>
    <row r="80">
      <c r="A80" s="61">
        <v>44786.95995373843</v>
      </c>
      <c r="B80" s="62">
        <v>4.380573996966204</v>
      </c>
      <c r="C80" s="63">
        <v>0.03322910452896355</v>
      </c>
      <c r="D80" s="64">
        <v>-0.21070738793401733</v>
      </c>
      <c r="E80" s="58">
        <v>46.55</v>
      </c>
      <c r="F80" s="63">
        <v>0.03736491794872643</v>
      </c>
      <c r="G80" s="64">
        <v>-0.1125831987177448</v>
      </c>
      <c r="H80" s="17">
        <v>10.021922</v>
      </c>
      <c r="I80" s="63">
        <v>1.188464729983366E-6</v>
      </c>
      <c r="J80" s="63">
        <v>3.576577662354585E-5</v>
      </c>
      <c r="K80" s="17">
        <v>280199.8028355092</v>
      </c>
      <c r="L80" s="63">
        <v>0.033227916064233566</v>
      </c>
      <c r="M80" s="63">
        <v>0.9999642342233765</v>
      </c>
      <c r="N80" s="65">
        <v>-0.004135813419762879</v>
      </c>
      <c r="O80" s="63">
        <v>-0.09812418921627253</v>
      </c>
      <c r="P80" s="17">
        <v>52.45562167939406</v>
      </c>
      <c r="Q80" s="66">
        <v>6019.5451075727</v>
      </c>
      <c r="R80" s="66">
        <v>6728.479406903102</v>
      </c>
      <c r="S80" s="63">
        <v>-0.10536322643762118</v>
      </c>
      <c r="T80" s="17">
        <v>355013.8699817</v>
      </c>
      <c r="U80" s="17">
        <v>280209.82475750917</v>
      </c>
      <c r="V80" s="17">
        <v>-74804.0452241908</v>
      </c>
    </row>
    <row r="81">
      <c r="A81" s="61">
        <v>44785.95995866898</v>
      </c>
      <c r="B81" s="62">
        <v>4.196152466830456</v>
      </c>
      <c r="C81" s="63">
        <v>0.024172935879650304</v>
      </c>
      <c r="D81" s="64">
        <v>-0.24393649246298088</v>
      </c>
      <c r="E81" s="58">
        <v>44.59</v>
      </c>
      <c r="F81" s="63">
        <v>0.02573604042386779</v>
      </c>
      <c r="G81" s="64">
        <v>-0.14994811666647123</v>
      </c>
      <c r="H81" s="17">
        <v>10.021922</v>
      </c>
      <c r="I81" s="63">
        <v>9.025615347583978E-7</v>
      </c>
      <c r="J81" s="63">
        <v>3.733768786927567E-5</v>
      </c>
      <c r="K81" s="17">
        <v>268403.0098406553</v>
      </c>
      <c r="L81" s="63">
        <v>0.024172033318115547</v>
      </c>
      <c r="M81" s="63">
        <v>0.9999626623121308</v>
      </c>
      <c r="N81" s="65">
        <v>-0.0015631045442174862</v>
      </c>
      <c r="O81" s="63">
        <v>-0.09398837579650965</v>
      </c>
      <c r="P81" s="17">
        <v>52.45562167939406</v>
      </c>
      <c r="Q81" s="66">
        <v>6019.579093129744</v>
      </c>
      <c r="R81" s="66">
        <v>6728.479406903102</v>
      </c>
      <c r="S81" s="63">
        <v>-0.10535817543649754</v>
      </c>
      <c r="T81" s="17">
        <v>355013.8699817</v>
      </c>
      <c r="U81" s="17">
        <v>268413.0317626553</v>
      </c>
      <c r="V81" s="17">
        <v>-86600.83821904467</v>
      </c>
    </row>
    <row r="82">
      <c r="A82" s="61">
        <v>44784.95996247685</v>
      </c>
      <c r="B82" s="62">
        <v>4.061992672698397</v>
      </c>
      <c r="C82" s="63">
        <v>0.014894296312892297</v>
      </c>
      <c r="D82" s="64">
        <v>-0.2681094283426312</v>
      </c>
      <c r="E82" s="58">
        <v>43.24</v>
      </c>
      <c r="F82" s="63">
        <v>0.016776085609632396</v>
      </c>
      <c r="G82" s="64">
        <v>-0.17568415709033902</v>
      </c>
      <c r="H82" s="17">
        <v>10.008945</v>
      </c>
      <c r="I82" s="63">
        <v>5.737422326434234E-7</v>
      </c>
      <c r="J82" s="63">
        <v>3.852093583949985E-5</v>
      </c>
      <c r="K82" s="17">
        <v>259821.29530220115</v>
      </c>
      <c r="L82" s="63">
        <v>0.014893722570659653</v>
      </c>
      <c r="M82" s="63">
        <v>0.9999614790641604</v>
      </c>
      <c r="N82" s="65">
        <v>-0.0018817892967400995</v>
      </c>
      <c r="O82" s="63">
        <v>-0.09242527125229216</v>
      </c>
      <c r="P82" s="17">
        <v>52.45562167939406</v>
      </c>
      <c r="Q82" s="66">
        <v>6009.049589435735</v>
      </c>
      <c r="R82" s="66">
        <v>6728.479406903102</v>
      </c>
      <c r="S82" s="63">
        <v>-0.10692309123057829</v>
      </c>
      <c r="T82" s="17">
        <v>355013.8699817</v>
      </c>
      <c r="U82" s="17">
        <v>259831.30424720116</v>
      </c>
      <c r="V82" s="17">
        <v>-95182.56573449881</v>
      </c>
    </row>
    <row r="83">
      <c r="A83" s="61">
        <v>44783.95995754629</v>
      </c>
      <c r="B83" s="62">
        <v>3.9793293281618447</v>
      </c>
      <c r="C83" s="63">
        <v>0.02995583752196429</v>
      </c>
      <c r="D83" s="64">
        <v>-0.2830037246555235</v>
      </c>
      <c r="E83" s="58">
        <v>42.36</v>
      </c>
      <c r="F83" s="63">
        <v>0.033742808555737636</v>
      </c>
      <c r="G83" s="64">
        <v>-0.19246024269997142</v>
      </c>
      <c r="H83" s="17">
        <v>10.008945</v>
      </c>
      <c r="I83" s="63">
        <v>1.177897632138321E-6</v>
      </c>
      <c r="J83" s="63">
        <v>3.932113836826162E-5</v>
      </c>
      <c r="K83" s="17">
        <v>254533.61352750714</v>
      </c>
      <c r="L83" s="63">
        <v>0.029954659624332153</v>
      </c>
      <c r="M83" s="63">
        <v>0.9999606788616318</v>
      </c>
      <c r="N83" s="65">
        <v>-0.0037869710337733453</v>
      </c>
      <c r="O83" s="63">
        <v>-0.09054348195555206</v>
      </c>
      <c r="P83" s="17">
        <v>52.45562167939406</v>
      </c>
      <c r="Q83" s="66">
        <v>6009.056243449178</v>
      </c>
      <c r="R83" s="66">
        <v>6728.479406903102</v>
      </c>
      <c r="S83" s="63">
        <v>-0.10692210229785803</v>
      </c>
      <c r="T83" s="17">
        <v>355013.8699817</v>
      </c>
      <c r="U83" s="17">
        <v>254543.62247250715</v>
      </c>
      <c r="V83" s="17">
        <v>-100470.24750919282</v>
      </c>
    </row>
    <row r="84">
      <c r="A84" s="61">
        <v>44782.95998584491</v>
      </c>
      <c r="B84" s="62">
        <v>3.8130744299149426</v>
      </c>
      <c r="C84" s="63">
        <v>0.009373082584005488</v>
      </c>
      <c r="D84" s="64">
        <v>-0.31295956217748777</v>
      </c>
      <c r="E84" s="58">
        <v>40.59</v>
      </c>
      <c r="F84" s="63">
        <v>-0.0070829118551974934</v>
      </c>
      <c r="G84" s="64">
        <v>-0.22620305125570905</v>
      </c>
      <c r="H84" s="17">
        <v>10.008945</v>
      </c>
      <c r="I84" s="63">
        <v>3.8462997439600324E-7</v>
      </c>
      <c r="J84" s="63">
        <v>4.1035590047221765E-5</v>
      </c>
      <c r="K84" s="17">
        <v>243898.87572029157</v>
      </c>
      <c r="L84" s="63">
        <v>0.009372697954031091</v>
      </c>
      <c r="M84" s="63">
        <v>0.9999589644099527</v>
      </c>
      <c r="N84" s="65">
        <v>0.01645599443920298</v>
      </c>
      <c r="O84" s="63">
        <v>-0.08675651092177872</v>
      </c>
      <c r="P84" s="17">
        <v>52.45562167939406</v>
      </c>
      <c r="Q84" s="66">
        <v>6009.088067634678</v>
      </c>
      <c r="R84" s="66">
        <v>6728.479406903102</v>
      </c>
      <c r="S84" s="63">
        <v>-0.10691737252407474</v>
      </c>
      <c r="T84" s="17">
        <v>355013.8699817</v>
      </c>
      <c r="U84" s="17">
        <v>243908.88466529158</v>
      </c>
      <c r="V84" s="17">
        <v>-111104.98531640839</v>
      </c>
    </row>
    <row r="85">
      <c r="A85" s="61">
        <v>44781.95996489583</v>
      </c>
      <c r="B85" s="62">
        <v>3.761053821573712</v>
      </c>
      <c r="C85" s="63">
        <v>0.21443566883309118</v>
      </c>
      <c r="D85" s="64">
        <v>-0.32233264476149326</v>
      </c>
      <c r="E85" s="58">
        <v>42.52</v>
      </c>
      <c r="F85" s="8">
        <v>0.17382316148987254</v>
      </c>
      <c r="G85" s="57">
        <v>-0.21912013940051156</v>
      </c>
      <c r="H85" s="17">
        <v>10.008945</v>
      </c>
      <c r="I85" s="63">
        <v>1.0177986259230449E-5</v>
      </c>
      <c r="J85" s="63">
        <v>4.746405443934152E-5</v>
      </c>
      <c r="K85" s="17">
        <v>210864.20140698983</v>
      </c>
      <c r="L85" s="63">
        <v>0.21442549084683193</v>
      </c>
      <c r="M85" s="63">
        <v>0.9999525359455607</v>
      </c>
      <c r="N85" s="59">
        <v>0.04061250734321864</v>
      </c>
      <c r="O85" s="8">
        <v>-0.1032125053609817</v>
      </c>
      <c r="P85" s="17">
        <v>54.451397897951956</v>
      </c>
      <c r="Q85" s="66">
        <v>4959.412284853947</v>
      </c>
      <c r="R85" s="66">
        <v>5679.161467863103</v>
      </c>
      <c r="S85" s="63">
        <v>-0.12673511522467343</v>
      </c>
      <c r="T85" s="17">
        <v>311176.58054780005</v>
      </c>
      <c r="U85" s="17">
        <v>210874.21035198984</v>
      </c>
      <c r="V85" s="17">
        <v>-100302.37019581022</v>
      </c>
    </row>
    <row r="86">
      <c r="A86" s="61">
        <v>44780.95995737269</v>
      </c>
      <c r="B86" s="62">
        <v>2.5709358595500564</v>
      </c>
      <c r="C86" s="63">
        <v>0.006500585585839769</v>
      </c>
      <c r="D86" s="64">
        <v>-0.5367683135945844</v>
      </c>
      <c r="E86" s="58">
        <v>41.32</v>
      </c>
      <c r="F86" s="8">
        <v>0.008521125011703212</v>
      </c>
      <c r="G86" s="57">
        <v>-0.3929433008903841</v>
      </c>
      <c r="H86" s="17">
        <v>10.008945</v>
      </c>
      <c r="I86" s="63">
        <v>6.642978035518251E-7</v>
      </c>
      <c r="J86" s="63">
        <v>1.0219045573353662E-4</v>
      </c>
      <c r="K86" s="17">
        <v>97934.02044751488</v>
      </c>
      <c r="L86" s="63">
        <v>0.006499921288036218</v>
      </c>
      <c r="M86" s="63">
        <v>0.9998978095442665</v>
      </c>
      <c r="N86" s="59">
        <v>-0.0020205394258634435</v>
      </c>
      <c r="O86" s="8">
        <v>-0.14382501270420034</v>
      </c>
      <c r="P86" s="17">
        <v>68.06612967224478</v>
      </c>
      <c r="Q86" s="66">
        <v>2370.378252480999</v>
      </c>
      <c r="R86" s="66">
        <v>3082.1801985431025</v>
      </c>
      <c r="S86" s="63">
        <v>-0.2309410547762785</v>
      </c>
      <c r="T86" s="17">
        <v>211436.37679999994</v>
      </c>
      <c r="U86" s="17">
        <v>97944.02939251487</v>
      </c>
      <c r="V86" s="17">
        <v>-113492.34740748507</v>
      </c>
    </row>
    <row r="87">
      <c r="A87" s="61">
        <v>44779.95996533565</v>
      </c>
      <c r="B87" s="62">
        <v>2.5348576095486455</v>
      </c>
      <c r="C87" s="63">
        <v>0.0028016406529730586</v>
      </c>
      <c r="D87" s="64">
        <v>-0.5432688991804242</v>
      </c>
      <c r="E87" s="58">
        <v>40.74</v>
      </c>
      <c r="F87" s="8">
        <v>0.003672898711941097</v>
      </c>
      <c r="G87" s="57">
        <v>-0.4014644259020873</v>
      </c>
      <c r="H87" s="17">
        <v>10.008945</v>
      </c>
      <c r="I87" s="63">
        <v>2.9037581360505585E-7</v>
      </c>
      <c r="J87" s="63">
        <v>1.0364491723694594E-4</v>
      </c>
      <c r="K87" s="17">
        <v>96559.56018416659</v>
      </c>
      <c r="L87" s="63">
        <v>0.0028013502771594536</v>
      </c>
      <c r="M87" s="63">
        <v>0.9998963550827631</v>
      </c>
      <c r="N87" s="59">
        <v>-8.712580589680385E-4</v>
      </c>
      <c r="O87" s="8">
        <v>-0.1418044732783369</v>
      </c>
      <c r="P87" s="17">
        <v>68.06612967224478</v>
      </c>
      <c r="Q87" s="66">
        <v>2370.3870674807704</v>
      </c>
      <c r="R87" s="66">
        <v>3082.1801985431025</v>
      </c>
      <c r="S87" s="63">
        <v>-0.2309381947878276</v>
      </c>
      <c r="T87" s="17">
        <v>211436.37679999994</v>
      </c>
      <c r="U87" s="17">
        <v>96569.56912916659</v>
      </c>
      <c r="V87" s="17">
        <v>-114866.80767083335</v>
      </c>
    </row>
    <row r="88">
      <c r="A88" s="61">
        <v>44778.9599628125</v>
      </c>
      <c r="B88" s="62">
        <v>2.5193085039246452</v>
      </c>
      <c r="C88" s="63">
        <v>0.023467129336244175</v>
      </c>
      <c r="D88" s="64">
        <v>-0.5460705398333973</v>
      </c>
      <c r="E88" s="58">
        <v>40.49</v>
      </c>
      <c r="F88" s="8">
        <v>0.027179450468363675</v>
      </c>
      <c r="G88" s="57">
        <v>-0.4051373246140284</v>
      </c>
      <c r="H88" s="17">
        <v>10.008945</v>
      </c>
      <c r="I88" s="63">
        <v>2.4472604525178996E-6</v>
      </c>
      <c r="J88" s="63">
        <v>1.0428461093186161E-4</v>
      </c>
      <c r="K88" s="17">
        <v>95967.19143540639</v>
      </c>
      <c r="L88" s="63">
        <v>0.02346468207579166</v>
      </c>
      <c r="M88" s="63">
        <v>0.9998957153890682</v>
      </c>
      <c r="N88" s="59">
        <v>-0.0037123211321195004</v>
      </c>
      <c r="O88" s="8">
        <v>-0.14093321521936886</v>
      </c>
      <c r="P88" s="17">
        <v>68.06612967224478</v>
      </c>
      <c r="Q88" s="66">
        <v>2370.392698948046</v>
      </c>
      <c r="R88" s="66">
        <v>3082.1801985431025</v>
      </c>
      <c r="S88" s="63">
        <v>-0.23093636768269005</v>
      </c>
      <c r="T88" s="17">
        <v>211436.37679999994</v>
      </c>
      <c r="U88" s="17">
        <v>95977.20038040639</v>
      </c>
      <c r="V88" s="17">
        <v>-115459.17641959355</v>
      </c>
    </row>
    <row r="89">
      <c r="A89" s="61">
        <v>44777.959957847226</v>
      </c>
      <c r="B89" s="56">
        <v>2.3890659361084903</v>
      </c>
      <c r="C89" s="8">
        <v>-0.011693683801963672</v>
      </c>
      <c r="D89" s="57">
        <v>-0.5695376691696414</v>
      </c>
      <c r="E89" s="58">
        <v>38.64</v>
      </c>
      <c r="F89" s="8">
        <v>-0.015426174590152275</v>
      </c>
      <c r="G89" s="57">
        <v>-0.4323167750823921</v>
      </c>
      <c r="H89" s="17">
        <v>10.008945</v>
      </c>
      <c r="I89" s="63">
        <v>-1.6458968991568493E-5</v>
      </c>
      <c r="J89" s="63">
        <v>1.0996980166108791E-4</v>
      </c>
      <c r="K89" s="17">
        <v>91005.38663465394</v>
      </c>
      <c r="L89" s="8">
        <v>-0.011692397849875283</v>
      </c>
      <c r="M89" s="63">
        <v>0.999890030198339</v>
      </c>
      <c r="N89" s="59">
        <v>0.0037324907881886027</v>
      </c>
      <c r="O89" s="8">
        <v>-0.13722089408724936</v>
      </c>
      <c r="P89" s="6">
        <v>68.06612967224478</v>
      </c>
      <c r="Q89" s="60">
        <v>2355.4709000945636</v>
      </c>
      <c r="R89" s="60">
        <v>3082.1801985431025</v>
      </c>
      <c r="S89" s="8">
        <v>-0.23577768061453475</v>
      </c>
      <c r="T89" s="6">
        <v>211436.37679999994</v>
      </c>
      <c r="U89" s="17">
        <v>91015.39557965394</v>
      </c>
      <c r="V89" s="6">
        <v>-120420.981220346</v>
      </c>
    </row>
    <row r="90">
      <c r="A90" s="61">
        <v>44776.95996590277</v>
      </c>
      <c r="B90" s="62">
        <v>2.4539658812093887</v>
      </c>
      <c r="C90" s="63">
        <v>-0.019823303159202887</v>
      </c>
      <c r="D90" s="64">
        <v>-0.5578439853676778</v>
      </c>
      <c r="E90" s="58">
        <v>39.69</v>
      </c>
      <c r="F90" s="8">
        <v>-0.026151038829020257</v>
      </c>
      <c r="G90" s="57">
        <v>-0.4168906004922398</v>
      </c>
      <c r="H90" s="17">
        <v>10.008945</v>
      </c>
      <c r="I90" s="63">
        <v>-2.122311270270885E-6</v>
      </c>
      <c r="J90" s="63">
        <v>1.0706143437480602E-4</v>
      </c>
      <c r="K90" s="17">
        <v>93477.856769186</v>
      </c>
      <c r="L90" s="63">
        <v>-0.019821180847932617</v>
      </c>
      <c r="M90" s="63">
        <v>0.9998929385656252</v>
      </c>
      <c r="N90" s="59">
        <v>0.006327735669817369</v>
      </c>
      <c r="O90" s="8">
        <v>-0.14095338487543796</v>
      </c>
      <c r="P90" s="17">
        <v>68.06612967224478</v>
      </c>
      <c r="Q90" s="66">
        <v>2355.4513911359536</v>
      </c>
      <c r="R90" s="66">
        <v>3082.1801985431025</v>
      </c>
      <c r="S90" s="63">
        <v>-0.23578401021155806</v>
      </c>
      <c r="T90" s="17">
        <v>211436.37679999994</v>
      </c>
      <c r="U90" s="17">
        <v>93487.86571418599</v>
      </c>
      <c r="V90" s="17">
        <v>-117948.51108581395</v>
      </c>
    </row>
    <row r="91">
      <c r="A91" s="61">
        <v>44775.95996877315</v>
      </c>
      <c r="B91" s="62">
        <v>2.5639852137429644</v>
      </c>
      <c r="C91" s="63">
        <v>0.0032306930935411815</v>
      </c>
      <c r="D91" s="64">
        <v>-0.5380206822084749</v>
      </c>
      <c r="E91" s="58">
        <v>41.47</v>
      </c>
      <c r="F91" s="8">
        <v>0.004260562505851606</v>
      </c>
      <c r="G91" s="57">
        <v>-0.39073956166321955</v>
      </c>
      <c r="H91" s="17">
        <v>10.008945</v>
      </c>
      <c r="I91" s="63">
        <v>3.310409844085756E-7</v>
      </c>
      <c r="J91" s="63">
        <v>1.0246748138051072E-4</v>
      </c>
      <c r="K91" s="17">
        <v>97669.22416537582</v>
      </c>
      <c r="L91" s="63">
        <v>0.0032303620525567732</v>
      </c>
      <c r="M91" s="63">
        <v>0.9998975325186196</v>
      </c>
      <c r="N91" s="59">
        <v>-0.0010298694123104246</v>
      </c>
      <c r="O91" s="8">
        <v>-0.14728112054525533</v>
      </c>
      <c r="P91" s="17">
        <v>68.06612967224478</v>
      </c>
      <c r="Q91" s="66">
        <v>2355.41917314627</v>
      </c>
      <c r="R91" s="66">
        <v>3082.1801985431025</v>
      </c>
      <c r="S91" s="63">
        <v>-0.2357944631986023</v>
      </c>
      <c r="T91" s="17">
        <v>211436.37679999994</v>
      </c>
      <c r="U91" s="17">
        <v>97679.23311037582</v>
      </c>
      <c r="V91" s="17">
        <v>-113757.14368962412</v>
      </c>
    </row>
    <row r="92">
      <c r="A92" s="61">
        <v>44774.95996125</v>
      </c>
      <c r="B92" s="62">
        <v>2.5460548670738112</v>
      </c>
      <c r="C92" s="63">
        <v>-0.02349757150903664</v>
      </c>
      <c r="D92" s="64">
        <v>-0.5412513753020161</v>
      </c>
      <c r="E92" s="58">
        <v>41.18</v>
      </c>
      <c r="F92" s="8">
        <v>-0.030999265128782483</v>
      </c>
      <c r="G92" s="57">
        <v>-0.39500012416907115</v>
      </c>
      <c r="H92" s="17">
        <v>10.008945</v>
      </c>
      <c r="I92" s="63">
        <v>-2.424693227271525E-6</v>
      </c>
      <c r="J92" s="63">
        <v>1.031890987687405E-4</v>
      </c>
      <c r="K92" s="17">
        <v>96986.13812312472</v>
      </c>
      <c r="L92" s="63">
        <v>-0.02349514681580937</v>
      </c>
      <c r="M92" s="63">
        <v>0.9998968109012313</v>
      </c>
      <c r="N92" s="59">
        <v>0.007501693619745842</v>
      </c>
      <c r="O92" s="8">
        <v>-0.1462512511329449</v>
      </c>
      <c r="P92" s="17">
        <v>68.06612967224478</v>
      </c>
      <c r="Q92" s="66">
        <v>2355.41882146976</v>
      </c>
      <c r="R92" s="66">
        <v>3082.1801985431025</v>
      </c>
      <c r="S92" s="63">
        <v>-0.235794577298521</v>
      </c>
      <c r="T92" s="17">
        <v>211436.37679999994</v>
      </c>
      <c r="U92" s="17">
        <v>96996.14706812472</v>
      </c>
      <c r="V92" s="17">
        <v>-114440.22973187522</v>
      </c>
    </row>
    <row r="93">
      <c r="A93" s="61">
        <v>44773.95995862268</v>
      </c>
      <c r="B93" s="62">
        <v>2.6764663889489637</v>
      </c>
      <c r="C93" s="63">
        <v>-0.018155967050338617</v>
      </c>
      <c r="D93" s="64">
        <v>-0.5177538037929794</v>
      </c>
      <c r="E93" s="58">
        <v>43.29</v>
      </c>
      <c r="F93" s="8">
        <v>-0.0239472996018556</v>
      </c>
      <c r="G93" s="57">
        <v>-0.36400085904028867</v>
      </c>
      <c r="H93" s="17">
        <v>10.008945</v>
      </c>
      <c r="I93" s="63">
        <v>-1.782211205188767E-6</v>
      </c>
      <c r="J93" s="63">
        <v>9.816118305609769E-5</v>
      </c>
      <c r="K93" s="17">
        <v>101954.3795065943</v>
      </c>
      <c r="L93" s="63">
        <v>-0.01815418483913343</v>
      </c>
      <c r="M93" s="63">
        <v>0.9999018388169439</v>
      </c>
      <c r="N93" s="59">
        <v>0.005791332551516981</v>
      </c>
      <c r="O93" s="8">
        <v>-0.15375294475269075</v>
      </c>
      <c r="P93" s="17">
        <v>68.06612967224478</v>
      </c>
      <c r="Q93" s="66">
        <v>2355.379728611557</v>
      </c>
      <c r="R93" s="66">
        <v>3082.1801985431025</v>
      </c>
      <c r="S93" s="63">
        <v>-0.23580726080684467</v>
      </c>
      <c r="T93" s="17">
        <v>211436.37679999994</v>
      </c>
      <c r="U93" s="17">
        <v>101964.38845159429</v>
      </c>
      <c r="V93" s="17">
        <v>-109471.98834840565</v>
      </c>
    </row>
    <row r="94">
      <c r="A94" s="61">
        <v>44772.95996572917</v>
      </c>
      <c r="B94" s="62">
        <v>2.7772320060783433</v>
      </c>
      <c r="C94" s="63">
        <v>0.036083411516363295</v>
      </c>
      <c r="D94" s="64">
        <v>-0.4995978367426408</v>
      </c>
      <c r="E94" s="58">
        <v>44.92</v>
      </c>
      <c r="F94" s="8">
        <v>0.04760076730675589</v>
      </c>
      <c r="G94" s="57">
        <v>-0.3400535594384331</v>
      </c>
      <c r="H94" s="17">
        <v>10.008945</v>
      </c>
      <c r="I94" s="63">
        <v>3.4134772090317847E-6</v>
      </c>
      <c r="J94" s="63">
        <v>9.459962530105622E-5</v>
      </c>
      <c r="K94" s="17">
        <v>105793.2113970181</v>
      </c>
      <c r="L94" s="63">
        <v>0.036079998039154265</v>
      </c>
      <c r="M94" s="63">
        <v>0.999905400374699</v>
      </c>
      <c r="N94" s="59">
        <v>-0.011517355790392592</v>
      </c>
      <c r="O94" s="8">
        <v>-0.15954427730420773</v>
      </c>
      <c r="P94" s="17">
        <v>68.06612967224478</v>
      </c>
      <c r="Q94" s="66">
        <v>2355.369998709218</v>
      </c>
      <c r="R94" s="66">
        <v>3082.1801985431025</v>
      </c>
      <c r="S94" s="63">
        <v>-0.23581041763146618</v>
      </c>
      <c r="T94" s="17">
        <v>211436.37679999994</v>
      </c>
      <c r="U94" s="17">
        <v>105803.22034201809</v>
      </c>
      <c r="V94" s="17">
        <v>-105633.15645798185</v>
      </c>
    </row>
    <row r="95">
      <c r="A95" s="61">
        <v>44771.95995988426</v>
      </c>
      <c r="B95" s="62">
        <v>2.576969072162527</v>
      </c>
      <c r="C95" s="63">
        <v>-0.016421766171427765</v>
      </c>
      <c r="D95" s="64">
        <v>-0.5356812482590041</v>
      </c>
      <c r="E95" s="58">
        <v>41.68</v>
      </c>
      <c r="F95" s="8">
        <v>-0.024681879344243818</v>
      </c>
      <c r="G95" s="57">
        <v>-0.38765432674518896</v>
      </c>
      <c r="H95" s="17">
        <v>10.008945</v>
      </c>
      <c r="I95" s="63">
        <v>-1.674218881232237E-6</v>
      </c>
      <c r="J95" s="63">
        <v>1.0195120693809481E-4</v>
      </c>
      <c r="K95" s="17">
        <v>98163.86560341484</v>
      </c>
      <c r="L95" s="63">
        <v>-0.016420091952546536</v>
      </c>
      <c r="M95" s="63">
        <v>0.999898048793062</v>
      </c>
      <c r="N95" s="59">
        <v>0.008260113172816053</v>
      </c>
      <c r="O95" s="8">
        <v>-0.14802692151381514</v>
      </c>
      <c r="P95" s="17">
        <v>68.06612967224478</v>
      </c>
      <c r="Q95" s="66">
        <v>2355.419255000356</v>
      </c>
      <c r="R95" s="66">
        <v>3082.1801985431025</v>
      </c>
      <c r="S95" s="63">
        <v>-0.23579443664139915</v>
      </c>
      <c r="T95" s="17">
        <v>211436.37679999994</v>
      </c>
      <c r="U95" s="17">
        <v>98173.87454841484</v>
      </c>
      <c r="V95" s="17">
        <v>-113262.5022515851</v>
      </c>
    </row>
    <row r="96">
      <c r="A96" s="61">
        <v>44770.95996576389</v>
      </c>
      <c r="B96" s="62">
        <v>2.6681098744139513</v>
      </c>
      <c r="C96" s="63">
        <v>0.04112885953743406</v>
      </c>
      <c r="D96" s="64">
        <v>-0.5192594820875763</v>
      </c>
      <c r="E96" s="58">
        <v>43.36</v>
      </c>
      <c r="F96" s="8">
        <v>0.0556811444730263</v>
      </c>
      <c r="G96" s="57">
        <v>-0.36297244740094514</v>
      </c>
      <c r="H96" s="17">
        <v>2124.046045</v>
      </c>
      <c r="I96" s="63">
        <v>8.594490961395221E-4</v>
      </c>
      <c r="J96" s="63">
        <v>0.02089649715079703</v>
      </c>
      <c r="K96" s="17">
        <v>99521.98724335834</v>
      </c>
      <c r="L96" s="63">
        <v>0.04026941044129454</v>
      </c>
      <c r="M96" s="63">
        <v>0.979103502849203</v>
      </c>
      <c r="N96" s="59">
        <v>-0.014552284935592241</v>
      </c>
      <c r="O96" s="8">
        <v>-0.1562870346866312</v>
      </c>
      <c r="P96" s="17">
        <v>68.06612967224478</v>
      </c>
      <c r="Q96" s="66">
        <v>2344.235085063615</v>
      </c>
      <c r="R96" s="66">
        <v>3082.1801985431025</v>
      </c>
      <c r="S96" s="63">
        <v>-0.23942309207888057</v>
      </c>
      <c r="T96" s="17">
        <v>211436.37679999994</v>
      </c>
      <c r="U96" s="17">
        <v>101646.03328835833</v>
      </c>
      <c r="V96" s="17">
        <v>-109790.34351164161</v>
      </c>
    </row>
    <row r="97">
      <c r="A97" s="61">
        <v>44769.95997833333</v>
      </c>
      <c r="B97" s="62">
        <v>2.4398447039811924</v>
      </c>
      <c r="C97" s="63">
        <v>0.04670433372638083</v>
      </c>
      <c r="D97" s="64">
        <v>-0.5603883416250104</v>
      </c>
      <c r="E97" s="58">
        <v>39.57</v>
      </c>
      <c r="F97" s="8">
        <v>0.06317385784538587</v>
      </c>
      <c r="G97" s="57">
        <v>-0.41865359187397144</v>
      </c>
      <c r="H97" s="17">
        <v>2124.046045</v>
      </c>
      <c r="I97" s="63">
        <v>0.0010672648312968019</v>
      </c>
      <c r="J97" s="63">
        <v>0.022851516040233326</v>
      </c>
      <c r="K97" s="17">
        <v>90825.85020084717</v>
      </c>
      <c r="L97" s="63">
        <v>0.04563706889508403</v>
      </c>
      <c r="M97" s="63">
        <v>0.9771484839597667</v>
      </c>
      <c r="N97" s="59">
        <v>-0.01646952411900504</v>
      </c>
      <c r="O97" s="8">
        <v>-0.14173474975103895</v>
      </c>
      <c r="P97" s="17">
        <v>68.06612967224478</v>
      </c>
      <c r="Q97" s="66">
        <v>2348.999146976173</v>
      </c>
      <c r="R97" s="66">
        <v>3082.1801985431025</v>
      </c>
      <c r="S97" s="63">
        <v>-0.237877412849999</v>
      </c>
      <c r="T97" s="17">
        <v>211436.37679999994</v>
      </c>
      <c r="U97" s="17">
        <v>92949.89624584717</v>
      </c>
      <c r="V97" s="17">
        <v>-118486.48055415277</v>
      </c>
    </row>
    <row r="98">
      <c r="A98" s="61">
        <v>44768.95995528935</v>
      </c>
      <c r="B98" s="62">
        <v>2.1806356517997783</v>
      </c>
      <c r="C98" s="63">
        <v>-0.037117421100896664</v>
      </c>
      <c r="D98" s="64">
        <v>-0.6070926753513912</v>
      </c>
      <c r="E98" s="58">
        <v>35.27</v>
      </c>
      <c r="F98" s="8">
        <v>-0.050245254379353343</v>
      </c>
      <c r="G98" s="57">
        <v>-0.4818274497193573</v>
      </c>
      <c r="H98" s="17">
        <v>2121.4089360000003</v>
      </c>
      <c r="I98" s="63">
        <v>-9.478341559532582E-4</v>
      </c>
      <c r="J98" s="63">
        <v>0.025536099433652756</v>
      </c>
      <c r="K98" s="17">
        <v>80953.49220588311</v>
      </c>
      <c r="L98" s="63">
        <v>-0.0361695869449434</v>
      </c>
      <c r="M98" s="63">
        <v>0.9744639005663471</v>
      </c>
      <c r="N98" s="59">
        <v>0.01312783327845668</v>
      </c>
      <c r="O98" s="8">
        <v>-0.1252652256320339</v>
      </c>
      <c r="P98" s="17">
        <v>68.06612967224478</v>
      </c>
      <c r="Q98" s="66">
        <v>2355.3983879184325</v>
      </c>
      <c r="R98" s="66">
        <v>3082.1801985431025</v>
      </c>
      <c r="S98" s="63">
        <v>-0.23580120687564218</v>
      </c>
      <c r="T98" s="17">
        <v>211436.37679999994</v>
      </c>
      <c r="U98" s="17">
        <v>83074.90114188312</v>
      </c>
      <c r="V98" s="17">
        <v>-128361.47565811682</v>
      </c>
    </row>
    <row r="99">
      <c r="A99" s="61">
        <v>44767.95996378472</v>
      </c>
      <c r="B99" s="62">
        <v>2.3866373389097553</v>
      </c>
      <c r="C99" s="63">
        <v>-0.029304950486875425</v>
      </c>
      <c r="D99" s="64">
        <v>-0.5699752542504946</v>
      </c>
      <c r="E99" s="58">
        <v>38.69</v>
      </c>
      <c r="F99" s="8">
        <v>-0.039667306088963405</v>
      </c>
      <c r="G99" s="57">
        <v>-0.43158219534000397</v>
      </c>
      <c r="H99" s="17">
        <v>2121.4089360000003</v>
      </c>
      <c r="I99" s="63">
        <v>-6.837419559770915E-4</v>
      </c>
      <c r="J99" s="63">
        <v>0.02333196079902314</v>
      </c>
      <c r="K99" s="17">
        <v>88801.4652396166</v>
      </c>
      <c r="L99" s="63">
        <v>-0.02862120853089833</v>
      </c>
      <c r="M99" s="63">
        <v>0.9766680392009768</v>
      </c>
      <c r="N99" s="59">
        <v>0.01036235560208798</v>
      </c>
      <c r="O99" s="8">
        <v>-0.13839305891049059</v>
      </c>
      <c r="P99" s="17">
        <v>68.06612967224478</v>
      </c>
      <c r="Q99" s="66">
        <v>2350.0355175915383</v>
      </c>
      <c r="R99" s="66">
        <v>3082.1801985431025</v>
      </c>
      <c r="S99" s="63">
        <v>-0.2375411668979112</v>
      </c>
      <c r="T99" s="17">
        <v>211436.37679999994</v>
      </c>
      <c r="U99" s="17">
        <v>90922.87417561661</v>
      </c>
      <c r="V99" s="17">
        <v>-120513.50262438333</v>
      </c>
    </row>
    <row r="100">
      <c r="A100" s="61">
        <v>44766.95995399306</v>
      </c>
      <c r="B100" s="62">
        <v>2.549279814111914</v>
      </c>
      <c r="C100" s="63">
        <v>0.021720340591540266</v>
      </c>
      <c r="D100" s="64">
        <v>-0.5406703037636191</v>
      </c>
      <c r="E100" s="58">
        <v>41.39</v>
      </c>
      <c r="F100" s="8">
        <v>0.029383189695528444</v>
      </c>
      <c r="G100" s="57">
        <v>-0.39191488925104057</v>
      </c>
      <c r="H100" s="17">
        <v>2121.4089360000003</v>
      </c>
      <c r="I100" s="63">
        <v>4.744460036797533E-4</v>
      </c>
      <c r="J100" s="63">
        <v>0.02184339613277255</v>
      </c>
      <c r="K100" s="17">
        <v>94997.59779286495</v>
      </c>
      <c r="L100" s="63">
        <v>0.02124589458786051</v>
      </c>
      <c r="M100" s="63">
        <v>0.9781566038672274</v>
      </c>
      <c r="N100" s="59">
        <v>-0.0076628491039881785</v>
      </c>
      <c r="O100" s="8">
        <v>-0.14875541451257857</v>
      </c>
      <c r="P100" s="17">
        <v>68.06612967224478</v>
      </c>
      <c r="Q100" s="66">
        <v>2346.436499851775</v>
      </c>
      <c r="R100" s="66">
        <v>3082.1801985431025</v>
      </c>
      <c r="S100" s="63">
        <v>-0.23870885259697078</v>
      </c>
      <c r="T100" s="17">
        <v>211436.37679999994</v>
      </c>
      <c r="U100" s="17">
        <v>97119.00672886496</v>
      </c>
      <c r="V100" s="17">
        <v>-114317.37007113498</v>
      </c>
    </row>
    <row r="101">
      <c r="A101" s="61">
        <v>44765.95996918982</v>
      </c>
      <c r="B101" s="62">
        <v>2.4287319238288654</v>
      </c>
      <c r="C101" s="63">
        <v>-0.01606243522867634</v>
      </c>
      <c r="D101" s="64">
        <v>-0.5623906443551594</v>
      </c>
      <c r="E101" s="58">
        <v>39.39</v>
      </c>
      <c r="F101" s="8">
        <v>-0.02174356037469094</v>
      </c>
      <c r="G101" s="57">
        <v>-0.421298078946569</v>
      </c>
      <c r="H101" s="17">
        <v>2118.352652</v>
      </c>
      <c r="I101" s="63">
        <v>-3.6774209335399554E-4</v>
      </c>
      <c r="J101" s="63">
        <v>0.022894541712919336</v>
      </c>
      <c r="K101" s="17">
        <v>90408.1839593277</v>
      </c>
      <c r="L101" s="63">
        <v>-0.015694693135322346</v>
      </c>
      <c r="M101" s="63">
        <v>0.9771054582870806</v>
      </c>
      <c r="N101" s="59">
        <v>0.005681125146014598</v>
      </c>
      <c r="O101" s="8">
        <v>-0.1410925654085904</v>
      </c>
      <c r="P101" s="17">
        <v>68.06612967224478</v>
      </c>
      <c r="Q101" s="66">
        <v>2348.985443293417</v>
      </c>
      <c r="R101" s="66">
        <v>3082.1801985431025</v>
      </c>
      <c r="S101" s="63">
        <v>-0.23788185895044517</v>
      </c>
      <c r="T101" s="17">
        <v>211436.37679999994</v>
      </c>
      <c r="U101" s="17">
        <v>92526.5366113277</v>
      </c>
      <c r="V101" s="17">
        <v>-118909.84018867224</v>
      </c>
    </row>
    <row r="102">
      <c r="A102" s="61">
        <v>44764.9599681713</v>
      </c>
      <c r="B102" s="56">
        <v>2.517878439348019</v>
      </c>
      <c r="C102" s="8">
        <v>-0.023693618190069987</v>
      </c>
      <c r="D102" s="57">
        <v>-0.546328209126483</v>
      </c>
      <c r="E102" s="58">
        <v>40.87</v>
      </c>
      <c r="F102" s="8">
        <v>-0.03496599573767878</v>
      </c>
      <c r="G102" s="57">
        <v>-0.39955451857187807</v>
      </c>
      <c r="H102" s="17">
        <v>2118.352652</v>
      </c>
      <c r="I102" s="8">
        <v>-5.232487055790229E-4</v>
      </c>
      <c r="J102" s="63">
        <v>0.02208395110369073</v>
      </c>
      <c r="K102" s="17">
        <v>93804.3670666637</v>
      </c>
      <c r="L102" s="8">
        <v>-0.023170369484490964</v>
      </c>
      <c r="M102" s="63">
        <v>0.9779160488963092</v>
      </c>
      <c r="N102" s="59">
        <v>0.011272377547608792</v>
      </c>
      <c r="O102" s="8">
        <v>-0.14677369055460499</v>
      </c>
      <c r="P102" s="6">
        <v>68.06612967224478</v>
      </c>
      <c r="Q102" s="66">
        <v>2347.0203014109056</v>
      </c>
      <c r="R102" s="66">
        <v>3082.1801985431025</v>
      </c>
      <c r="S102" s="63">
        <v>-0.2385194407126797</v>
      </c>
      <c r="T102" s="17">
        <v>211436.37679999994</v>
      </c>
      <c r="U102" s="17">
        <v>95922.7197186637</v>
      </c>
      <c r="V102" s="17">
        <v>-115513.65708133623</v>
      </c>
    </row>
    <row r="103">
      <c r="A103" s="61">
        <v>44763.95995984954</v>
      </c>
      <c r="B103" s="56">
        <v>2.6493780203029074</v>
      </c>
      <c r="C103" s="8">
        <v>-7.565860280488446E-4</v>
      </c>
      <c r="D103" s="57">
        <v>-0.5226345909364131</v>
      </c>
      <c r="E103" s="58">
        <v>43.25</v>
      </c>
      <c r="F103" s="8">
        <v>-0.0010284116393435294</v>
      </c>
      <c r="G103" s="57">
        <v>-0.3645885228341993</v>
      </c>
      <c r="H103" s="17">
        <v>2115.002352</v>
      </c>
      <c r="I103" s="8">
        <v>-1.5853987724518812E-5</v>
      </c>
      <c r="J103" s="63">
        <v>0.020954639838386354</v>
      </c>
      <c r="K103" s="17">
        <v>98817.41015005468</v>
      </c>
      <c r="L103" s="8">
        <v>-7.407320403243258E-4</v>
      </c>
      <c r="M103" s="63">
        <v>0.9790453601616137</v>
      </c>
      <c r="N103" s="59">
        <v>2.7182561129468485E-4</v>
      </c>
      <c r="O103" s="8">
        <v>-0.15804606810221378</v>
      </c>
      <c r="P103" s="6">
        <v>68.06612967224478</v>
      </c>
      <c r="Q103" s="66">
        <v>2333.697398891438</v>
      </c>
      <c r="R103" s="66">
        <v>3082.1801985431025</v>
      </c>
      <c r="S103" s="63">
        <v>-0.24284199866233017</v>
      </c>
      <c r="T103" s="17">
        <v>211436.37679999994</v>
      </c>
      <c r="U103" s="17">
        <v>100932.41250205468</v>
      </c>
      <c r="V103" s="17">
        <v>-110503.96429794526</v>
      </c>
    </row>
    <row r="104">
      <c r="A104" s="61">
        <v>44762.959975949074</v>
      </c>
      <c r="B104" s="56">
        <v>2.6535770727585786</v>
      </c>
      <c r="C104" s="8">
        <v>-0.02744394879114176</v>
      </c>
      <c r="D104" s="57">
        <v>-0.5218780049083642</v>
      </c>
      <c r="E104" s="58">
        <v>43.32</v>
      </c>
      <c r="F104" s="8">
        <v>-0.03731665091332104</v>
      </c>
      <c r="G104" s="57">
        <v>-0.36356011119485576</v>
      </c>
      <c r="H104" s="17">
        <v>2115.002352</v>
      </c>
      <c r="I104" s="8">
        <v>-5.741680521794127E-4</v>
      </c>
      <c r="J104" s="63">
        <v>0.020921480962854015</v>
      </c>
      <c r="K104" s="17">
        <v>98977.37995856283</v>
      </c>
      <c r="L104" s="8">
        <v>-0.02686978073896235</v>
      </c>
      <c r="M104" s="63">
        <v>0.979078519037146</v>
      </c>
      <c r="N104" s="59">
        <v>0.009872702122179278</v>
      </c>
      <c r="O104" s="8">
        <v>-0.15831789371350846</v>
      </c>
      <c r="P104" s="6">
        <v>68.06612967224478</v>
      </c>
      <c r="Q104" s="66">
        <v>2333.619166910499</v>
      </c>
      <c r="R104" s="66">
        <v>3082.1801985431025</v>
      </c>
      <c r="S104" s="63">
        <v>-0.24286738068930433</v>
      </c>
      <c r="T104" s="17">
        <v>211436.37679999994</v>
      </c>
      <c r="U104" s="17">
        <v>101092.38231056283</v>
      </c>
      <c r="V104" s="17">
        <v>-110343.99448943711</v>
      </c>
    </row>
    <row r="105">
      <c r="A105" s="61">
        <v>44761.95996623843</v>
      </c>
      <c r="B105" s="56">
        <v>2.8058909885494154</v>
      </c>
      <c r="C105" s="8">
        <v>0.059108198958271796</v>
      </c>
      <c r="D105" s="57">
        <v>-0.49443405611722246</v>
      </c>
      <c r="E105" s="58">
        <v>45.86</v>
      </c>
      <c r="F105" s="8">
        <v>0.08021610786879241</v>
      </c>
      <c r="G105" s="57">
        <v>-0.3262434602815347</v>
      </c>
      <c r="H105" s="17">
        <v>2115.002352</v>
      </c>
      <c r="I105" s="8">
        <v>0.0011695022506894395</v>
      </c>
      <c r="J105" s="63">
        <v>0.019785787273184637</v>
      </c>
      <c r="K105" s="17">
        <v>104780.02905604658</v>
      </c>
      <c r="L105" s="8">
        <v>0.05793869670758236</v>
      </c>
      <c r="M105" s="63">
        <v>0.9802142127268154</v>
      </c>
      <c r="N105" s="59">
        <v>-0.021107908910520612</v>
      </c>
      <c r="O105" s="8">
        <v>-0.16819059583568774</v>
      </c>
      <c r="P105" s="6">
        <v>68.06612967224478</v>
      </c>
      <c r="Q105" s="66">
        <v>2330.899071261373</v>
      </c>
      <c r="R105" s="66">
        <v>3082.1801985431025</v>
      </c>
      <c r="S105" s="63">
        <v>-0.24374990392737192</v>
      </c>
      <c r="T105" s="17">
        <v>211436.37679999994</v>
      </c>
      <c r="U105" s="17">
        <v>106895.03140804658</v>
      </c>
      <c r="V105" s="17">
        <v>-104541.34539195336</v>
      </c>
    </row>
    <row r="106">
      <c r="A106" s="61">
        <v>44760.95995493056</v>
      </c>
      <c r="B106" s="56">
        <v>2.4778404843310065</v>
      </c>
      <c r="C106" s="8">
        <v>0.01112905151430399</v>
      </c>
      <c r="D106" s="57">
        <v>-0.5535422550754943</v>
      </c>
      <c r="E106" s="58">
        <v>40.4</v>
      </c>
      <c r="F106" s="8">
        <v>0.015132342693197187</v>
      </c>
      <c r="G106" s="57">
        <v>-0.40645956815032713</v>
      </c>
      <c r="H106" s="17">
        <v>2089.408852</v>
      </c>
      <c r="I106" s="8">
        <v>2.463323860862532E-4</v>
      </c>
      <c r="J106" s="63">
        <v>0.02213417610383474</v>
      </c>
      <c r="K106" s="17">
        <v>92307.99912913603</v>
      </c>
      <c r="L106" s="8">
        <v>0.010882719128217736</v>
      </c>
      <c r="M106" s="63">
        <v>0.9778658238961653</v>
      </c>
      <c r="N106" s="59">
        <v>-0.004003291178893198</v>
      </c>
      <c r="O106" s="8">
        <v>-0.14708268692516713</v>
      </c>
      <c r="P106" s="6">
        <v>68.06612967224478</v>
      </c>
      <c r="Q106" s="66">
        <v>2336.5695044835657</v>
      </c>
      <c r="R106" s="66">
        <v>3082.1801985431025</v>
      </c>
      <c r="S106" s="63">
        <v>-0.24191015645742425</v>
      </c>
      <c r="T106" s="17">
        <v>211436.37679999994</v>
      </c>
      <c r="U106" s="17">
        <v>94397.40798113604</v>
      </c>
      <c r="V106" s="17">
        <v>-117038.9688188639</v>
      </c>
    </row>
    <row r="107">
      <c r="A107" s="61">
        <v>44759.95996230324</v>
      </c>
      <c r="B107" s="56">
        <v>2.4160742484266198</v>
      </c>
      <c r="C107" s="8">
        <v>-0.0014040747676785648</v>
      </c>
      <c r="D107" s="57">
        <v>-0.5646713065897982</v>
      </c>
      <c r="E107" s="58">
        <v>39.37</v>
      </c>
      <c r="F107" s="8">
        <v>-0.0019099073302093483</v>
      </c>
      <c r="G107" s="57">
        <v>-0.4215919108435243</v>
      </c>
      <c r="H107" s="17">
        <v>2089.408852</v>
      </c>
      <c r="I107" s="8">
        <v>-3.187253918343439E-5</v>
      </c>
      <c r="J107" s="63">
        <v>0.02270002988240508</v>
      </c>
      <c r="K107" s="17">
        <v>89954.91279973107</v>
      </c>
      <c r="L107" s="8">
        <v>-0.0013722022284951305</v>
      </c>
      <c r="M107" s="63">
        <v>0.977299970117595</v>
      </c>
      <c r="N107" s="59">
        <v>5.058325625307836E-4</v>
      </c>
      <c r="O107" s="8">
        <v>-0.14307939574627393</v>
      </c>
      <c r="P107" s="6">
        <v>68.06612967224478</v>
      </c>
      <c r="Q107" s="66">
        <v>2337.9304458148613</v>
      </c>
      <c r="R107" s="66">
        <v>3082.1801985431025</v>
      </c>
      <c r="S107" s="63">
        <v>-0.24146860494400563</v>
      </c>
      <c r="T107" s="17">
        <v>211436.37679999994</v>
      </c>
      <c r="U107" s="17">
        <v>92044.32165173108</v>
      </c>
      <c r="V107" s="17">
        <v>-119392.05514826886</v>
      </c>
    </row>
    <row r="108">
      <c r="A108" s="61">
        <v>44758.95995841435</v>
      </c>
      <c r="B108" s="56">
        <v>2.423866863387236</v>
      </c>
      <c r="C108" s="8">
        <v>0.016849927604043913</v>
      </c>
      <c r="D108" s="57">
        <v>-0.5632672318221197</v>
      </c>
      <c r="E108" s="58">
        <v>39.5</v>
      </c>
      <c r="F108" s="8">
        <v>0.02291888796251207</v>
      </c>
      <c r="G108" s="57">
        <v>-0.41968200351331497</v>
      </c>
      <c r="H108" s="17">
        <v>2089.408852</v>
      </c>
      <c r="I108" s="8">
        <v>3.8126416083163363E-4</v>
      </c>
      <c r="J108" s="63">
        <v>0.022627050382111543</v>
      </c>
      <c r="K108" s="17">
        <v>90251.78528136533</v>
      </c>
      <c r="L108" s="8">
        <v>0.01646866344321228</v>
      </c>
      <c r="M108" s="63">
        <v>0.9773729496178886</v>
      </c>
      <c r="N108" s="59">
        <v>-0.006068960358468156</v>
      </c>
      <c r="O108" s="8">
        <v>-0.1435852283088047</v>
      </c>
      <c r="P108" s="6">
        <v>68.06612967224478</v>
      </c>
      <c r="Q108" s="66">
        <v>2337.7517502117807</v>
      </c>
      <c r="R108" s="66">
        <v>3082.1801985431025</v>
      </c>
      <c r="S108" s="63">
        <v>-0.24152658195753812</v>
      </c>
      <c r="T108" s="17">
        <v>211436.37679999994</v>
      </c>
      <c r="U108" s="17">
        <v>92341.19413336534</v>
      </c>
      <c r="V108" s="17">
        <v>-119095.1826666346</v>
      </c>
    </row>
    <row r="109">
      <c r="A109" s="61">
        <v>44757.959958761574</v>
      </c>
      <c r="B109" s="56">
        <v>2.3303497651847915</v>
      </c>
      <c r="C109" s="8">
        <v>0.10078632941576604</v>
      </c>
      <c r="D109" s="57">
        <v>-0.5801171594261636</v>
      </c>
      <c r="E109" s="58">
        <v>37.94</v>
      </c>
      <c r="F109" s="8">
        <v>0.02100898063230283</v>
      </c>
      <c r="G109" s="57">
        <v>-0.44260089147582704</v>
      </c>
      <c r="H109" s="17">
        <v>2089.400052</v>
      </c>
      <c r="I109" s="8">
        <v>0.0023720038807200825</v>
      </c>
      <c r="J109" s="63">
        <v>0.023534976365048862</v>
      </c>
      <c r="K109" s="17">
        <v>86689.10643942397</v>
      </c>
      <c r="L109" s="8">
        <v>0.09841432553504596</v>
      </c>
      <c r="M109" s="63">
        <v>0.9764650236349511</v>
      </c>
      <c r="N109" s="59">
        <v>0.07977734878346321</v>
      </c>
      <c r="O109" s="8">
        <v>-0.13751626795033656</v>
      </c>
      <c r="P109" s="6">
        <v>68.06612967224478</v>
      </c>
      <c r="Q109" s="66">
        <v>2339.9711779500253</v>
      </c>
      <c r="R109" s="60">
        <v>3082.1801985431025</v>
      </c>
      <c r="S109" s="8">
        <v>-0.2408064982520839</v>
      </c>
      <c r="T109" s="17">
        <v>211436.37679999994</v>
      </c>
      <c r="U109" s="17">
        <v>88778.50649142396</v>
      </c>
      <c r="V109" s="17">
        <v>-122657.87030857598</v>
      </c>
    </row>
    <row r="110">
      <c r="A110" s="61">
        <v>44756.959966574075</v>
      </c>
      <c r="B110" s="56">
        <v>1.7709856369272907</v>
      </c>
      <c r="C110" s="8">
        <v>0.01669253512805402</v>
      </c>
      <c r="D110" s="57">
        <v>-0.6809034888419296</v>
      </c>
      <c r="E110" s="58">
        <v>36.51</v>
      </c>
      <c r="F110" s="8">
        <v>0.09725768087809561</v>
      </c>
      <c r="G110" s="57">
        <v>-0.4636098721081299</v>
      </c>
      <c r="H110" s="17">
        <v>14329.026899999999</v>
      </c>
      <c r="I110" s="8">
        <v>0.00404678113388995</v>
      </c>
      <c r="J110" s="63">
        <v>0.24243058965254455</v>
      </c>
      <c r="K110" s="17">
        <v>44776.66153864379</v>
      </c>
      <c r="L110" s="8">
        <v>0.012645753994164071</v>
      </c>
      <c r="M110" s="63">
        <v>0.7575694103474555</v>
      </c>
      <c r="N110" s="59">
        <v>-0.08056514575004159</v>
      </c>
      <c r="O110" s="8">
        <v>-0.21729361673379977</v>
      </c>
      <c r="P110" s="6">
        <v>68.06612967224478</v>
      </c>
      <c r="Q110" s="66">
        <v>1618.8903982099093</v>
      </c>
      <c r="R110" s="66">
        <v>2357.4208981416964</v>
      </c>
      <c r="S110" s="8">
        <v>-0.31327901628171473</v>
      </c>
      <c r="T110" s="17">
        <v>185228.25029999993</v>
      </c>
      <c r="U110" s="17">
        <v>59105.68843864379</v>
      </c>
      <c r="V110" s="17">
        <v>-126122.56186135614</v>
      </c>
    </row>
    <row r="111">
      <c r="A111" s="61">
        <v>44755.95995363426</v>
      </c>
      <c r="B111" s="56">
        <v>1.678342066966591</v>
      </c>
      <c r="C111" s="8">
        <v>0.006410491833033216</v>
      </c>
      <c r="D111" s="57">
        <v>-0.6975960239699837</v>
      </c>
      <c r="E111" s="58">
        <v>34.0</v>
      </c>
      <c r="F111" s="8">
        <v>0.012140720593910137</v>
      </c>
      <c r="G111" s="57">
        <v>-0.5608675529862255</v>
      </c>
      <c r="H111" s="17">
        <v>13741.758999999998</v>
      </c>
      <c r="I111" s="8">
        <v>0.0015726749077644789</v>
      </c>
      <c r="J111" s="63">
        <v>0.24532827569649132</v>
      </c>
      <c r="K111" s="17">
        <v>42272.000363803054</v>
      </c>
      <c r="L111" s="8">
        <v>0.0048378169252687375</v>
      </c>
      <c r="M111" s="63">
        <v>0.7546717243035087</v>
      </c>
      <c r="N111" s="59">
        <v>-0.005730228760876921</v>
      </c>
      <c r="O111" s="8">
        <v>-0.13672847098375818</v>
      </c>
      <c r="P111" s="6">
        <v>77.42538778723745</v>
      </c>
      <c r="Q111" s="66">
        <v>1647.46351070009</v>
      </c>
      <c r="R111" s="66">
        <v>2357.4208981416964</v>
      </c>
      <c r="S111" s="8">
        <v>-0.30115851946559496</v>
      </c>
      <c r="T111" s="17">
        <v>185228.25029999993</v>
      </c>
      <c r="U111" s="17">
        <v>56013.75936380306</v>
      </c>
      <c r="V111" s="17">
        <v>-129214.49093619687</v>
      </c>
    </row>
    <row r="112">
      <c r="A112" s="61">
        <v>44754.95996886574</v>
      </c>
      <c r="B112" s="56">
        <v>1.6427638372932567</v>
      </c>
      <c r="C112" s="8">
        <v>-0.012808814853954686</v>
      </c>
      <c r="D112" s="57">
        <v>-0.7040065158030169</v>
      </c>
      <c r="E112" s="58">
        <v>33.06</v>
      </c>
      <c r="F112" s="8">
        <v>-0.024927224198134867</v>
      </c>
      <c r="G112" s="57">
        <v>-0.5730082735801356</v>
      </c>
      <c r="H112" s="17">
        <v>13827.483400000001</v>
      </c>
      <c r="I112" s="8">
        <v>-0.003230447732512707</v>
      </c>
      <c r="J112" s="63">
        <v>0.25220504545862144</v>
      </c>
      <c r="K112" s="17">
        <v>40998.87177800787</v>
      </c>
      <c r="L112" s="8">
        <v>-0.009578367121441979</v>
      </c>
      <c r="M112" s="63">
        <v>0.7477949545413786</v>
      </c>
      <c r="N112" s="59">
        <v>0.012118409344180181</v>
      </c>
      <c r="O112" s="8">
        <v>-0.13099824222288126</v>
      </c>
      <c r="P112" s="6">
        <v>77.42538778723745</v>
      </c>
      <c r="Q112" s="66">
        <v>1658.3894488205647</v>
      </c>
      <c r="R112" s="66">
        <v>2357.4208981416964</v>
      </c>
      <c r="S112" s="8">
        <v>-0.2965238196845387</v>
      </c>
      <c r="T112" s="17">
        <v>185228.25029999993</v>
      </c>
      <c r="U112" s="17">
        <v>54826.35517800787</v>
      </c>
      <c r="V112" s="17">
        <v>-130401.89512199206</v>
      </c>
    </row>
    <row r="113">
      <c r="A113" s="61">
        <v>44753.95998275463</v>
      </c>
      <c r="B113" s="56">
        <v>1.7138527597327045</v>
      </c>
      <c r="C113" s="8">
        <v>-0.013924679432168796</v>
      </c>
      <c r="D113" s="57">
        <v>-0.6911977009490622</v>
      </c>
      <c r="E113" s="58">
        <v>34.99</v>
      </c>
      <c r="F113" s="8">
        <v>-0.027768669443517968</v>
      </c>
      <c r="G113" s="57">
        <v>-0.5480810493820008</v>
      </c>
      <c r="H113" s="17">
        <v>14327.7532</v>
      </c>
      <c r="I113" s="8">
        <v>-0.003487992549007493</v>
      </c>
      <c r="J113" s="63">
        <v>0.25048997113352084</v>
      </c>
      <c r="K113" s="17">
        <v>42871.15634182254</v>
      </c>
      <c r="L113" s="8">
        <v>-0.010436686883161302</v>
      </c>
      <c r="M113" s="63">
        <v>0.7495100288664791</v>
      </c>
      <c r="N113" s="59">
        <v>0.013843990011349172</v>
      </c>
      <c r="O113" s="8">
        <v>-0.14311665156706144</v>
      </c>
      <c r="P113" s="6">
        <v>77.42538778723745</v>
      </c>
      <c r="Q113" s="66">
        <v>1634.7216216582603</v>
      </c>
      <c r="R113" s="66">
        <v>2357.4208981416964</v>
      </c>
      <c r="S113" s="8">
        <v>-0.3065635318042375</v>
      </c>
      <c r="T113" s="17">
        <v>185228.25029999993</v>
      </c>
      <c r="U113" s="17">
        <v>57198.90954182253</v>
      </c>
      <c r="V113" s="17">
        <v>-128029.3407581774</v>
      </c>
    </row>
    <row r="114">
      <c r="A114" s="67">
        <v>44752.97193020833</v>
      </c>
      <c r="B114" s="56">
        <v>1.7911347305812413</v>
      </c>
      <c r="C114" s="8">
        <v>-0.008026246356864775</v>
      </c>
      <c r="D114" s="57">
        <v>-0.6772730215168934</v>
      </c>
      <c r="E114" s="68">
        <v>37.14</v>
      </c>
      <c r="F114" s="8">
        <v>-0.016015418655796587</v>
      </c>
      <c r="G114" s="57">
        <v>-0.5203123799384828</v>
      </c>
      <c r="H114" s="69">
        <v>15044.3888</v>
      </c>
      <c r="I114" s="8">
        <v>-0.002019968226322264</v>
      </c>
      <c r="J114" s="70">
        <v>0.2516703495644142</v>
      </c>
      <c r="K114" s="69">
        <v>44733.76474903156</v>
      </c>
      <c r="L114" s="8">
        <v>-0.00600627813054251</v>
      </c>
      <c r="M114" s="71">
        <v>0.7483296504355857</v>
      </c>
      <c r="N114" s="59">
        <v>0.007989172298931813</v>
      </c>
      <c r="O114" s="8">
        <v>-0.1569606415784106</v>
      </c>
      <c r="P114" s="6">
        <v>77.42538778723745</v>
      </c>
      <c r="Q114" s="72">
        <v>1609.5356367536767</v>
      </c>
      <c r="R114" s="60">
        <v>2357.4208981416964</v>
      </c>
      <c r="S114" s="8">
        <v>-0.31724723488179873</v>
      </c>
      <c r="T114" s="69">
        <v>185228.25029999993</v>
      </c>
      <c r="U114" s="69">
        <v>59778.15354903155</v>
      </c>
      <c r="V114" s="69">
        <v>-125450.09675096837</v>
      </c>
    </row>
    <row r="115">
      <c r="A115" s="61">
        <v>44751.95995346065</v>
      </c>
      <c r="B115" s="56">
        <v>1.8356803978618415</v>
      </c>
      <c r="C115" s="8">
        <v>-8.184256281389413E-4</v>
      </c>
      <c r="D115" s="57">
        <v>-0.6692467751600286</v>
      </c>
      <c r="E115" s="58">
        <v>38.38</v>
      </c>
      <c r="F115" s="8">
        <v>-0.0016790358268172767</v>
      </c>
      <c r="G115" s="57">
        <v>-0.5042969612826862</v>
      </c>
      <c r="H115" s="17">
        <v>15432.7818</v>
      </c>
      <c r="I115" s="8">
        <v>-2.0616366431489897E-4</v>
      </c>
      <c r="J115" s="63">
        <v>0.2519027474539193</v>
      </c>
      <c r="K115" s="17">
        <v>45832.05931819038</v>
      </c>
      <c r="L115" s="8">
        <v>-6.122619638240423E-4</v>
      </c>
      <c r="M115" s="63">
        <v>0.7480972525460807</v>
      </c>
      <c r="N115" s="59">
        <v>8.606101986783354E-4</v>
      </c>
      <c r="O115" s="8">
        <v>-0.16494981387734242</v>
      </c>
      <c r="P115" s="6">
        <v>77.42538778723745</v>
      </c>
      <c r="Q115" s="66">
        <v>1596.2699613910988</v>
      </c>
      <c r="R115" s="60">
        <v>2357.4208981416964</v>
      </c>
      <c r="S115" s="8">
        <v>-0.3228744333905737</v>
      </c>
      <c r="T115" s="17">
        <v>185228.25029999993</v>
      </c>
      <c r="U115" s="17">
        <v>61264.84111819038</v>
      </c>
      <c r="V115" s="17">
        <v>-123963.40918180955</v>
      </c>
    </row>
    <row r="116">
      <c r="A116" s="61">
        <v>44750.95995240741</v>
      </c>
      <c r="B116" s="56">
        <v>1.8402226600980123</v>
      </c>
      <c r="C116" s="8">
        <v>0.0013185225593823624</v>
      </c>
      <c r="D116" s="57">
        <v>-0.6684283495318897</v>
      </c>
      <c r="E116" s="58">
        <v>38.51</v>
      </c>
      <c r="F116" s="8">
        <v>3.87469806188534E-4</v>
      </c>
      <c r="G116" s="57">
        <v>-0.5026179254558689</v>
      </c>
      <c r="H116" s="17">
        <v>15264.0285</v>
      </c>
      <c r="I116" s="8">
        <v>3.2769673750348454E-4</v>
      </c>
      <c r="J116" s="63">
        <v>0.24853328080862572</v>
      </c>
      <c r="K116" s="17">
        <v>46152.40816529122</v>
      </c>
      <c r="L116" s="8">
        <v>9.90825821878878E-4</v>
      </c>
      <c r="M116" s="63">
        <v>0.7514667191913743</v>
      </c>
      <c r="N116" s="59">
        <v>9.310527531938284E-4</v>
      </c>
      <c r="O116" s="8">
        <v>-0.16581042407602076</v>
      </c>
      <c r="P116" s="6">
        <v>77.42538778723745</v>
      </c>
      <c r="Q116" s="66">
        <v>1594.8178827652878</v>
      </c>
      <c r="R116" s="60">
        <v>2357.4208981416964</v>
      </c>
      <c r="S116" s="8">
        <v>-0.3234903940902331</v>
      </c>
      <c r="T116" s="17">
        <v>185228.25029999993</v>
      </c>
      <c r="U116" s="17">
        <v>61416.43666529123</v>
      </c>
      <c r="V116" s="17">
        <v>-123811.8136347087</v>
      </c>
    </row>
    <row r="117">
      <c r="A117" s="61">
        <v>44749.9599581713</v>
      </c>
      <c r="B117" s="56">
        <v>1.83290485989344</v>
      </c>
      <c r="C117" s="8">
        <v>0.014553662330139217</v>
      </c>
      <c r="D117" s="57">
        <v>-0.669746872091272</v>
      </c>
      <c r="E117" s="58">
        <v>38.48</v>
      </c>
      <c r="F117" s="8">
        <v>0.028801922260021096</v>
      </c>
      <c r="G117" s="57">
        <v>-0.5030053952620575</v>
      </c>
      <c r="H117" s="17">
        <v>14916.3931</v>
      </c>
      <c r="I117" s="8">
        <v>0.0035488034807425028</v>
      </c>
      <c r="J117" s="63">
        <v>0.2438426425074654</v>
      </c>
      <c r="K117" s="17">
        <v>46255.815938635744</v>
      </c>
      <c r="L117" s="8">
        <v>0.011004858849396712</v>
      </c>
      <c r="M117" s="63">
        <v>0.7561573574925345</v>
      </c>
      <c r="N117" s="59">
        <v>-0.014248259929881879</v>
      </c>
      <c r="O117" s="8">
        <v>-0.16674147682921459</v>
      </c>
      <c r="P117" s="6">
        <v>77.42538778723745</v>
      </c>
      <c r="Q117" s="66">
        <v>1589.7143721059188</v>
      </c>
      <c r="R117" s="60">
        <v>2357.4208981416964</v>
      </c>
      <c r="S117" s="8">
        <v>-0.3256552644633565</v>
      </c>
      <c r="T117" s="17">
        <v>185228.25029999993</v>
      </c>
      <c r="U117" s="17">
        <v>61172.20903863575</v>
      </c>
      <c r="V117" s="17">
        <v>-124056.04126136418</v>
      </c>
    </row>
    <row r="118">
      <c r="A118" s="61">
        <v>44748.95995939815</v>
      </c>
      <c r="B118" s="56">
        <v>1.7521320339611677</v>
      </c>
      <c r="C118" s="8">
        <v>0.0023352263940410456</v>
      </c>
      <c r="D118" s="57">
        <v>-0.6843005344214113</v>
      </c>
      <c r="E118" s="58">
        <v>36.25</v>
      </c>
      <c r="F118" s="8">
        <v>0.004649637674263518</v>
      </c>
      <c r="G118" s="57">
        <v>-0.5318073175220785</v>
      </c>
      <c r="H118" s="17">
        <v>14485.681999999999</v>
      </c>
      <c r="I118" s="8">
        <v>5.78478026136618E-4</v>
      </c>
      <c r="J118" s="63">
        <v>0.2477181773950309</v>
      </c>
      <c r="K118" s="17">
        <v>43990.77762976706</v>
      </c>
      <c r="L118" s="8">
        <v>0.0017567483679044277</v>
      </c>
      <c r="M118" s="63">
        <v>0.7522818226049691</v>
      </c>
      <c r="N118" s="59">
        <v>-0.0023144112802224726</v>
      </c>
      <c r="O118" s="8">
        <v>-0.1524932168993327</v>
      </c>
      <c r="P118" s="6">
        <v>77.42538778723745</v>
      </c>
      <c r="Q118" s="66">
        <v>1613.1437139246084</v>
      </c>
      <c r="R118" s="60">
        <v>2357.4208981416964</v>
      </c>
      <c r="S118" s="8">
        <v>-0.31571671601103796</v>
      </c>
      <c r="T118" s="17">
        <v>185228.25029999993</v>
      </c>
      <c r="U118" s="17">
        <v>58476.45962976706</v>
      </c>
      <c r="V118" s="17">
        <v>-126751.79067023288</v>
      </c>
    </row>
    <row r="119">
      <c r="A119" s="61">
        <v>44747.95996623843</v>
      </c>
      <c r="B119" s="56">
        <v>1.7391715274742396</v>
      </c>
      <c r="C119" s="8">
        <v>6.650703014010606E-5</v>
      </c>
      <c r="D119" s="57">
        <v>-0.6866357608154523</v>
      </c>
      <c r="E119" s="58">
        <v>35.89</v>
      </c>
      <c r="F119" s="8">
        <v>1.2915660206291868E-4</v>
      </c>
      <c r="G119" s="57">
        <v>-0.5364569551963421</v>
      </c>
      <c r="H119" s="17">
        <v>13220.045799999998</v>
      </c>
      <c r="I119" s="8">
        <v>1.5147600989539777E-5</v>
      </c>
      <c r="J119" s="63">
        <v>0.22775939562523398</v>
      </c>
      <c r="K119" s="17">
        <v>44823.86393074447</v>
      </c>
      <c r="L119" s="8">
        <v>5.135942915056628E-5</v>
      </c>
      <c r="M119" s="63">
        <v>0.7722406043747659</v>
      </c>
      <c r="N119" s="59">
        <v>-6.264957192281262E-5</v>
      </c>
      <c r="O119" s="8">
        <v>-0.15017880561911023</v>
      </c>
      <c r="P119" s="6">
        <v>77.42538778723745</v>
      </c>
      <c r="Q119" s="60">
        <v>1617.2724918011827</v>
      </c>
      <c r="R119" s="60">
        <v>2357.4208981416964</v>
      </c>
      <c r="S119" s="8">
        <v>-0.3139653198645845</v>
      </c>
      <c r="T119" s="17">
        <v>185228.25029999993</v>
      </c>
      <c r="U119" s="17">
        <v>58043.909730744446</v>
      </c>
      <c r="V119" s="17">
        <v>-127184.34056925548</v>
      </c>
    </row>
    <row r="120">
      <c r="A120" s="61">
        <v>44746.95995979167</v>
      </c>
      <c r="B120" s="56">
        <v>1.7388024134569622</v>
      </c>
      <c r="C120" s="8">
        <v>0.017478970841875552</v>
      </c>
      <c r="D120" s="57">
        <v>-0.6867022678455924</v>
      </c>
      <c r="E120" s="58">
        <v>35.88</v>
      </c>
      <c r="F120" s="8">
        <v>0.033193246730158776</v>
      </c>
      <c r="G120" s="57">
        <v>-0.536586111798405</v>
      </c>
      <c r="H120" s="17">
        <v>13220.045799999998</v>
      </c>
      <c r="I120" s="8">
        <v>0.003981844924124917</v>
      </c>
      <c r="J120" s="63">
        <v>0.22780774452608746</v>
      </c>
      <c r="K120" s="17">
        <v>44811.544949918956</v>
      </c>
      <c r="L120" s="8">
        <v>0.013497125917750633</v>
      </c>
      <c r="M120" s="63">
        <v>0.7721922554739125</v>
      </c>
      <c r="N120" s="59">
        <v>-0.015714275888283225</v>
      </c>
      <c r="O120" s="8">
        <v>-0.15011615604718742</v>
      </c>
      <c r="P120" s="6">
        <v>77.42538778723745</v>
      </c>
      <c r="Q120" s="60">
        <v>1617.3798982697585</v>
      </c>
      <c r="R120" s="60">
        <v>2357.4208981416964</v>
      </c>
      <c r="S120" s="8">
        <v>-0.3139197588582065</v>
      </c>
      <c r="T120" s="17">
        <v>185228.25029999993</v>
      </c>
      <c r="U120" s="17">
        <v>58031.59074991894</v>
      </c>
      <c r="V120" s="17">
        <v>-127196.65955008098</v>
      </c>
    </row>
    <row r="121">
      <c r="A121" s="61">
        <v>44745.95996853009</v>
      </c>
      <c r="B121" s="56">
        <v>1.6417941252845527</v>
      </c>
      <c r="C121" s="8">
        <v>-6.542236447739658E-4</v>
      </c>
      <c r="D121" s="57">
        <v>-0.704181238687468</v>
      </c>
      <c r="E121" s="58">
        <v>33.31</v>
      </c>
      <c r="F121" s="8">
        <v>-0.0014207226226916614</v>
      </c>
      <c r="G121" s="57">
        <v>-0.5697793585285638</v>
      </c>
      <c r="H121" s="17">
        <v>13180.88</v>
      </c>
      <c r="I121" s="8">
        <v>-1.5737571052626108E-4</v>
      </c>
      <c r="J121" s="63">
        <v>0.24055338229273932</v>
      </c>
      <c r="K121" s="17">
        <v>41613.11156383361</v>
      </c>
      <c r="L121" s="8">
        <v>-4.968479342477047E-4</v>
      </c>
      <c r="M121" s="63">
        <v>0.7594466177072607</v>
      </c>
      <c r="N121" s="59">
        <v>7.664989779176956E-4</v>
      </c>
      <c r="O121" s="8">
        <v>-0.1344018801589042</v>
      </c>
      <c r="P121" s="6">
        <v>77.42538778723745</v>
      </c>
      <c r="Q121" s="60">
        <v>1644.97122677375</v>
      </c>
      <c r="R121" s="60">
        <v>2357.4208981416964</v>
      </c>
      <c r="S121" s="8">
        <v>-0.3022157273355619</v>
      </c>
      <c r="T121" s="17">
        <v>185228.25029999993</v>
      </c>
      <c r="U121" s="17">
        <v>54793.99156383362</v>
      </c>
      <c r="V121" s="17">
        <v>-130434.25873616632</v>
      </c>
    </row>
    <row r="122">
      <c r="A122" s="61">
        <v>44744.95995841435</v>
      </c>
      <c r="B122" s="56">
        <v>1.6454250665130483</v>
      </c>
      <c r="C122" s="8">
        <v>0.0031013653948012143</v>
      </c>
      <c r="D122" s="57">
        <v>-0.703527015042694</v>
      </c>
      <c r="E122" s="58">
        <v>33.42</v>
      </c>
      <c r="F122" s="8">
        <v>0.005941203694892261</v>
      </c>
      <c r="G122" s="57">
        <v>-0.5683586359058721</v>
      </c>
      <c r="H122" s="6">
        <v>13166.16</v>
      </c>
      <c r="I122" s="8">
        <v>7.43488391973912E-4</v>
      </c>
      <c r="J122" s="63">
        <v>0.23972937636442765</v>
      </c>
      <c r="K122" s="17">
        <v>41750.39226486</v>
      </c>
      <c r="L122" s="8">
        <v>0.0023578770028273026</v>
      </c>
      <c r="M122" s="63">
        <v>0.7602706236355724</v>
      </c>
      <c r="N122" s="59">
        <v>-0.0028398383000910465</v>
      </c>
      <c r="O122" s="8">
        <v>-0.1351683791368219</v>
      </c>
      <c r="P122" s="6">
        <v>77.42538778723745</v>
      </c>
      <c r="Q122" s="60">
        <v>1643.1828924254933</v>
      </c>
      <c r="R122" s="60">
        <v>2357.4208981416964</v>
      </c>
      <c r="S122" s="8">
        <v>-0.3029743251530609</v>
      </c>
      <c r="T122" s="17">
        <v>185228.25029999993</v>
      </c>
      <c r="U122" s="17">
        <v>54915.17226485999</v>
      </c>
      <c r="V122" s="17">
        <v>-130313.07803513994</v>
      </c>
    </row>
    <row r="123">
      <c r="A123" s="61">
        <v>44743.959948414355</v>
      </c>
      <c r="B123" s="56">
        <v>1.6282124885719016</v>
      </c>
      <c r="C123" s="8">
        <v>0.005211545911471549</v>
      </c>
      <c r="D123" s="57">
        <v>-0.7066283804374952</v>
      </c>
      <c r="E123" s="58">
        <v>32.96</v>
      </c>
      <c r="F123" s="8">
        <v>0.009686745154715681</v>
      </c>
      <c r="G123" s="57">
        <v>-0.5742998396007644</v>
      </c>
      <c r="H123" s="17">
        <v>13164.78</v>
      </c>
      <c r="I123" s="8">
        <v>0.0012625682133709801</v>
      </c>
      <c r="J123" s="63">
        <v>0.2422636651040223</v>
      </c>
      <c r="K123" s="17">
        <v>41175.93177924</v>
      </c>
      <c r="L123" s="8">
        <v>0.003948977698100569</v>
      </c>
      <c r="M123" s="63">
        <v>0.7577363348959777</v>
      </c>
      <c r="N123" s="59">
        <v>-0.004475199243244132</v>
      </c>
      <c r="O123" s="8">
        <v>-0.13232854083673085</v>
      </c>
      <c r="P123" s="6">
        <v>77.42538778723745</v>
      </c>
      <c r="Q123" s="60">
        <v>1648.686643787621</v>
      </c>
      <c r="R123" s="60">
        <v>2357.4208981416964</v>
      </c>
      <c r="S123" s="8">
        <v>-0.300639675720511</v>
      </c>
      <c r="T123" s="17">
        <v>185228.25029999993</v>
      </c>
      <c r="U123" s="17">
        <v>54340.711779239995</v>
      </c>
      <c r="V123" s="17">
        <v>-130887.53852075993</v>
      </c>
    </row>
    <row r="124">
      <c r="A124" s="61">
        <v>44742.95997094907</v>
      </c>
      <c r="B124" s="56">
        <v>1.5992884087632344</v>
      </c>
      <c r="C124" s="8">
        <v>-0.013547222835803119</v>
      </c>
      <c r="D124" s="57">
        <v>-0.7118399263489668</v>
      </c>
      <c r="E124" s="58">
        <v>32.21</v>
      </c>
      <c r="F124" s="8">
        <v>-0.026477103422889336</v>
      </c>
      <c r="G124" s="57">
        <v>-0.58398658475548</v>
      </c>
      <c r="H124" s="17">
        <v>13158.56</v>
      </c>
      <c r="I124" s="8">
        <v>-0.0033397780708823853</v>
      </c>
      <c r="J124" s="63">
        <v>0.24652861411978047</v>
      </c>
      <c r="K124" s="17">
        <v>40216.8262487</v>
      </c>
      <c r="L124" s="8">
        <v>-0.010207444764920734</v>
      </c>
      <c r="M124" s="63">
        <v>0.7534713858802196</v>
      </c>
      <c r="N124" s="59">
        <v>0.012929880587086218</v>
      </c>
      <c r="O124" s="8">
        <v>-0.1278533415934867</v>
      </c>
      <c r="P124" s="6">
        <v>77.42538778723745</v>
      </c>
      <c r="Q124" s="60">
        <v>1657.1060617416952</v>
      </c>
      <c r="R124" s="60">
        <v>2357.4208981416964</v>
      </c>
      <c r="S124" s="8">
        <v>-0.29706822271408734</v>
      </c>
      <c r="T124" s="17">
        <v>185228.25029999993</v>
      </c>
      <c r="U124" s="17">
        <v>53375.3862487</v>
      </c>
      <c r="V124" s="17">
        <v>-131852.86405129993</v>
      </c>
    </row>
    <row r="125">
      <c r="A125" s="61">
        <v>44741.95995881944</v>
      </c>
      <c r="B125" s="56">
        <v>1.6744754955019419</v>
      </c>
      <c r="C125" s="8">
        <v>-0.020705980489197473</v>
      </c>
      <c r="D125" s="57">
        <v>-0.6982927035131636</v>
      </c>
      <c r="E125" s="58">
        <v>34.26</v>
      </c>
      <c r="F125" s="8">
        <v>-0.02092336953418572</v>
      </c>
      <c r="G125" s="57">
        <v>-0.5575094813325907</v>
      </c>
      <c r="H125" s="17">
        <v>13843.86</v>
      </c>
      <c r="I125" s="8">
        <v>-0.0051293219791476285</v>
      </c>
      <c r="J125" s="63">
        <v>0.24772176240693597</v>
      </c>
      <c r="K125" s="17">
        <v>42040.854631</v>
      </c>
      <c r="L125" s="8">
        <v>-0.015576658510049845</v>
      </c>
      <c r="M125" s="63">
        <v>0.752278237593064</v>
      </c>
      <c r="N125" s="59">
        <v>2.1738904498824763E-4</v>
      </c>
      <c r="O125" s="8">
        <v>-0.14078322218057293</v>
      </c>
      <c r="P125" s="6">
        <v>77.42538778723745</v>
      </c>
      <c r="Q125" s="60">
        <v>1631.19423908348</v>
      </c>
      <c r="R125" s="60">
        <v>2357.4208981416964</v>
      </c>
      <c r="S125" s="8">
        <v>-0.30805982064156856</v>
      </c>
      <c r="T125" s="17">
        <v>185228.25029999993</v>
      </c>
      <c r="U125" s="17">
        <v>55884.71463100002</v>
      </c>
      <c r="V125" s="17">
        <v>-129343.53566899992</v>
      </c>
    </row>
    <row r="126">
      <c r="A126" s="61">
        <v>44740.95995430555</v>
      </c>
      <c r="B126" s="56">
        <v>1.7893936872169878</v>
      </c>
      <c r="C126" s="8">
        <v>-0.010135069719545808</v>
      </c>
      <c r="D126" s="57">
        <v>-0.6775867230239662</v>
      </c>
      <c r="E126" s="58">
        <v>35.88</v>
      </c>
      <c r="F126" s="8">
        <v>-0.03358071653634753</v>
      </c>
      <c r="G126" s="57">
        <v>-0.536586111798405</v>
      </c>
      <c r="H126" s="17">
        <v>34049.6968</v>
      </c>
      <c r="I126" s="8">
        <v>-0.005778562934285435</v>
      </c>
      <c r="J126" s="63">
        <v>0.5701552228241006</v>
      </c>
      <c r="K126" s="17">
        <v>25670.350367759995</v>
      </c>
      <c r="L126" s="8">
        <v>-0.004356506785260373</v>
      </c>
      <c r="M126" s="63">
        <v>0.42984477717589936</v>
      </c>
      <c r="N126" s="59">
        <v>0.023445646816801724</v>
      </c>
      <c r="O126" s="8">
        <v>-0.14100061122556118</v>
      </c>
      <c r="P126" s="6">
        <v>77.42538778723745</v>
      </c>
      <c r="Q126" s="60">
        <v>1664.4383268606464</v>
      </c>
      <c r="R126" s="60">
        <v>2357.4208981416964</v>
      </c>
      <c r="S126" s="8">
        <v>-0.2939579316647753</v>
      </c>
      <c r="T126" s="17">
        <v>185228.25029999993</v>
      </c>
      <c r="U126" s="17">
        <v>59720.04716776</v>
      </c>
      <c r="V126" s="17">
        <v>-125508.20313223993</v>
      </c>
    </row>
    <row r="127">
      <c r="A127" s="61">
        <v>44739.959963692134</v>
      </c>
      <c r="B127" s="56">
        <v>1.845643324160467</v>
      </c>
      <c r="C127" s="8">
        <v>-0.009013166175764642</v>
      </c>
      <c r="D127" s="57">
        <v>-0.6674516533044204</v>
      </c>
      <c r="E127" s="58">
        <v>38.48</v>
      </c>
      <c r="F127" s="8">
        <v>-0.030222644882712646</v>
      </c>
      <c r="G127" s="57">
        <v>-0.5030053952620575</v>
      </c>
      <c r="H127" s="17">
        <v>34049.6968</v>
      </c>
      <c r="I127" s="8">
        <v>-0.004982285495585982</v>
      </c>
      <c r="J127" s="63">
        <v>0.5527786128012119</v>
      </c>
      <c r="K127" s="17">
        <v>27547.651598579992</v>
      </c>
      <c r="L127" s="8">
        <v>-0.00403088068017866</v>
      </c>
      <c r="M127" s="63">
        <v>0.4472213871987881</v>
      </c>
      <c r="N127" s="59">
        <v>0.021209478706948004</v>
      </c>
      <c r="O127" s="8">
        <v>-0.1644462580423629</v>
      </c>
      <c r="P127" s="6">
        <v>77.42538778723745</v>
      </c>
      <c r="Q127" s="60">
        <v>1600.7626922707898</v>
      </c>
      <c r="R127" s="60">
        <v>2357.4208981416964</v>
      </c>
      <c r="S127" s="8">
        <v>-0.32096865115065526</v>
      </c>
      <c r="T127" s="17">
        <v>185228.25029999993</v>
      </c>
      <c r="U127" s="17">
        <v>61597.34839857998</v>
      </c>
      <c r="V127" s="17">
        <v>-123630.90190141994</v>
      </c>
    </row>
    <row r="128">
      <c r="A128" s="61">
        <v>44738.95996298611</v>
      </c>
      <c r="B128" s="56">
        <v>1.8956663964359608</v>
      </c>
      <c r="C128" s="8">
        <v>-0.004532472973211243</v>
      </c>
      <c r="D128" s="57">
        <v>-0.6584384871286557</v>
      </c>
      <c r="E128" s="58">
        <v>40.82</v>
      </c>
      <c r="F128" s="8">
        <v>-0.01575710545167075</v>
      </c>
      <c r="G128" s="57">
        <v>-0.4727827503793448</v>
      </c>
      <c r="H128" s="17">
        <v>34049.6968</v>
      </c>
      <c r="I128" s="8">
        <v>-0.0024393398987439495</v>
      </c>
      <c r="J128" s="63">
        <v>0.5381918244546496</v>
      </c>
      <c r="K128" s="17">
        <v>29217.14459897999</v>
      </c>
      <c r="L128" s="8">
        <v>-0.002093133074467294</v>
      </c>
      <c r="M128" s="63">
        <v>0.46180817554535036</v>
      </c>
      <c r="N128" s="59">
        <v>0.011224632478459506</v>
      </c>
      <c r="O128" s="8">
        <v>-0.1856557367493109</v>
      </c>
      <c r="P128" s="6">
        <v>77.42538778723745</v>
      </c>
      <c r="Q128" s="60">
        <v>1549.8981234439002</v>
      </c>
      <c r="R128" s="60">
        <v>2357.4208981416964</v>
      </c>
      <c r="S128" s="8">
        <v>-0.3425450140593684</v>
      </c>
      <c r="T128" s="17">
        <v>185228.25029999993</v>
      </c>
      <c r="U128" s="17">
        <v>63266.84139898</v>
      </c>
      <c r="V128" s="17">
        <v>-121961.40890101992</v>
      </c>
    </row>
    <row r="129">
      <c r="A129" s="61">
        <v>44737.95995467593</v>
      </c>
      <c r="B129" s="56">
        <v>1.920821621437283</v>
      </c>
      <c r="C129" s="8">
        <v>-4.3349389237556935E-5</v>
      </c>
      <c r="D129" s="57">
        <v>-0.6539060141554445</v>
      </c>
      <c r="E129" s="58">
        <v>42.04</v>
      </c>
      <c r="F129" s="8">
        <v>0.002324818837131759</v>
      </c>
      <c r="G129" s="57">
        <v>-0.45702564492767406</v>
      </c>
      <c r="H129" s="17">
        <v>34049.6968</v>
      </c>
      <c r="I129" s="8">
        <v>-2.3024751683999267E-5</v>
      </c>
      <c r="J129" s="63">
        <v>0.5311436236811184</v>
      </c>
      <c r="K129" s="17">
        <v>30056.68663733999</v>
      </c>
      <c r="L129" s="8">
        <v>-2.0324637553557664E-5</v>
      </c>
      <c r="M129" s="63">
        <v>0.4688563763188815</v>
      </c>
      <c r="N129" s="59">
        <v>-0.002368168226369316</v>
      </c>
      <c r="O129" s="8">
        <v>-0.1968803692277704</v>
      </c>
      <c r="P129" s="6">
        <v>77.42538778723745</v>
      </c>
      <c r="Q129" s="60">
        <v>1524.8901864257841</v>
      </c>
      <c r="R129" s="60">
        <v>2357.4208981416964</v>
      </c>
      <c r="S129" s="8">
        <v>-0.35315319057881356</v>
      </c>
      <c r="T129" s="17">
        <v>185228.25029999993</v>
      </c>
      <c r="U129" s="17">
        <v>64106.383437339966</v>
      </c>
      <c r="V129" s="17">
        <v>-121121.86686265995</v>
      </c>
    </row>
    <row r="130">
      <c r="A130" s="61">
        <v>44736.95995319444</v>
      </c>
      <c r="B130" s="56">
        <v>1.9210622105475517</v>
      </c>
      <c r="C130" s="8">
        <v>0.20117776728183345</v>
      </c>
      <c r="D130" s="57">
        <v>-0.6538626647662069</v>
      </c>
      <c r="E130" s="58">
        <v>41.86</v>
      </c>
      <c r="F130" s="8">
        <v>0.056570591703539175</v>
      </c>
      <c r="G130" s="57">
        <v>-0.4593504637648058</v>
      </c>
      <c r="H130" s="17">
        <v>42045.4302</v>
      </c>
      <c r="I130" s="8">
        <v>0.1319298638224835</v>
      </c>
      <c r="J130" s="63">
        <v>0.6557874938420042</v>
      </c>
      <c r="K130" s="17">
        <v>22068.982768860013</v>
      </c>
      <c r="L130" s="8">
        <v>0.06924790345934993</v>
      </c>
      <c r="M130" s="63">
        <v>0.34421250615799576</v>
      </c>
      <c r="N130" s="59">
        <v>0.14460717557829428</v>
      </c>
      <c r="O130" s="8">
        <v>-0.1945122010014011</v>
      </c>
      <c r="P130" s="6">
        <v>77.42538778723745</v>
      </c>
      <c r="Q130" s="60">
        <v>1531.6391058017202</v>
      </c>
      <c r="R130" s="60">
        <v>2357.4208981416964</v>
      </c>
      <c r="S130" s="8">
        <v>-0.35029035035318556</v>
      </c>
      <c r="T130" s="17">
        <v>185228.25029999993</v>
      </c>
      <c r="U130" s="17">
        <v>64114.41296886001</v>
      </c>
      <c r="V130" s="17">
        <v>-121113.83733113992</v>
      </c>
    </row>
    <row r="131">
      <c r="A131" s="61">
        <v>44735.9599581713</v>
      </c>
      <c r="B131" s="56">
        <v>0.804525602133376</v>
      </c>
      <c r="C131" s="8">
        <v>0.005475977852746339</v>
      </c>
      <c r="D131" s="57">
        <v>-0.8550404320480404</v>
      </c>
      <c r="E131" s="58">
        <v>37.48</v>
      </c>
      <c r="F131" s="8">
        <v>0.16095523689546987</v>
      </c>
      <c r="G131" s="57">
        <v>-0.515921055468345</v>
      </c>
      <c r="H131" s="17">
        <v>10335.8332</v>
      </c>
      <c r="I131" s="8">
        <v>0.0027292449968725862</v>
      </c>
      <c r="J131" s="63">
        <v>0.49840322044104</v>
      </c>
      <c r="K131" s="17">
        <v>10402.060890760007</v>
      </c>
      <c r="L131" s="8">
        <v>0.002746732855873753</v>
      </c>
      <c r="M131" s="63">
        <v>0.5015967795589601</v>
      </c>
      <c r="N131" s="59">
        <v>-0.15547925904272353</v>
      </c>
      <c r="O131" s="8">
        <v>-0.3391193765796954</v>
      </c>
      <c r="P131" s="6">
        <v>77.42538778723745</v>
      </c>
      <c r="Q131" s="60">
        <v>1531.6391058017202</v>
      </c>
      <c r="R131" s="60">
        <v>2357.4208981416964</v>
      </c>
      <c r="S131" s="8">
        <v>-0.35029035035318556</v>
      </c>
      <c r="T131" s="17">
        <v>143059.85029999996</v>
      </c>
      <c r="U131" s="17">
        <v>20737.89409076002</v>
      </c>
      <c r="V131" s="17">
        <v>-122321.95620923994</v>
      </c>
    </row>
    <row r="132">
      <c r="A132" s="61">
        <v>44734.959957280094</v>
      </c>
      <c r="B132" s="56">
        <v>0.7741339250506337</v>
      </c>
      <c r="C132" s="8">
        <v>-0.005637310517302985</v>
      </c>
      <c r="D132" s="57">
        <v>-0.8605164099007867</v>
      </c>
      <c r="E132" s="58">
        <v>34.74</v>
      </c>
      <c r="F132" s="8">
        <v>-0.01330071680828282</v>
      </c>
      <c r="G132" s="57">
        <v>-0.6768762923638149</v>
      </c>
      <c r="H132" s="17">
        <v>0.0</v>
      </c>
      <c r="I132" s="8">
        <v>0.0</v>
      </c>
      <c r="J132" s="63">
        <v>0.0</v>
      </c>
      <c r="K132" s="17">
        <v>19954.5015189</v>
      </c>
      <c r="L132" s="8">
        <v>-0.005637310517302985</v>
      </c>
      <c r="M132" s="63">
        <v>1.0</v>
      </c>
      <c r="N132" s="59">
        <v>0.007663406290979835</v>
      </c>
      <c r="O132" s="8">
        <v>-0.18364011753697185</v>
      </c>
      <c r="P132" s="6">
        <v>107.51300254054657</v>
      </c>
      <c r="Q132" s="60">
        <v>574.395553221071</v>
      </c>
      <c r="R132" s="60">
        <v>1302.6180883072757</v>
      </c>
      <c r="S132" s="8">
        <v>-0.5590453116097246</v>
      </c>
      <c r="T132" s="17">
        <v>143059.85029999996</v>
      </c>
      <c r="U132" s="17">
        <v>19954.50151890001</v>
      </c>
      <c r="V132" s="17">
        <v>-123105.34878109995</v>
      </c>
    </row>
    <row r="133">
      <c r="A133" s="61">
        <v>44733.9599566088</v>
      </c>
      <c r="B133" s="56">
        <v>0.8054209984216654</v>
      </c>
      <c r="C133" s="8">
        <v>0.0066154036315245746</v>
      </c>
      <c r="D133" s="57">
        <v>-0.8548790993834837</v>
      </c>
      <c r="E133" s="58">
        <v>36.17</v>
      </c>
      <c r="F133" s="8">
        <v>0.01534698093263398</v>
      </c>
      <c r="G133" s="57">
        <v>-0.663575575555532</v>
      </c>
      <c r="H133" s="17">
        <v>0.0</v>
      </c>
      <c r="I133" s="8">
        <v>0.0</v>
      </c>
      <c r="J133" s="63">
        <v>0.0</v>
      </c>
      <c r="K133" s="17">
        <v>20760.974317599997</v>
      </c>
      <c r="L133" s="8">
        <v>0.0066154036315245746</v>
      </c>
      <c r="M133" s="63">
        <v>1.0</v>
      </c>
      <c r="N133" s="59">
        <v>-0.008731577301109406</v>
      </c>
      <c r="O133" s="8">
        <v>-0.19130352382795168</v>
      </c>
      <c r="P133" s="6">
        <v>107.51300254054657</v>
      </c>
      <c r="Q133" s="60">
        <v>573.983254564556</v>
      </c>
      <c r="R133" s="60">
        <v>1302.6180883072757</v>
      </c>
      <c r="S133" s="8">
        <v>-0.5593618269876515</v>
      </c>
      <c r="T133" s="17">
        <v>143059.85029999996</v>
      </c>
      <c r="U133" s="17">
        <v>20760.97431759999</v>
      </c>
      <c r="V133" s="17">
        <v>-122298.87598239997</v>
      </c>
    </row>
    <row r="134">
      <c r="A134" s="61">
        <v>44732.9599575</v>
      </c>
      <c r="B134" s="56">
        <v>0.7687055082667039</v>
      </c>
      <c r="C134" s="8">
        <v>2.208096257179104E-4</v>
      </c>
      <c r="D134" s="57">
        <v>-0.8614945030150083</v>
      </c>
      <c r="E134" s="58">
        <v>34.52</v>
      </c>
      <c r="F134" s="8">
        <v>6.510840395663742E-4</v>
      </c>
      <c r="G134" s="57">
        <v>-0.678922556488166</v>
      </c>
      <c r="H134" s="17">
        <v>0.0</v>
      </c>
      <c r="I134" s="8">
        <v>0.0</v>
      </c>
      <c r="J134" s="63">
        <v>0.0</v>
      </c>
      <c r="K134" s="17">
        <v>19814.5756644</v>
      </c>
      <c r="L134" s="8">
        <v>2.208096257179104E-4</v>
      </c>
      <c r="M134" s="63">
        <v>1.0</v>
      </c>
      <c r="N134" s="59">
        <v>-4.3027441384846377E-4</v>
      </c>
      <c r="O134" s="8">
        <v>-0.18257194652684228</v>
      </c>
      <c r="P134" s="6">
        <v>107.51300254054657</v>
      </c>
      <c r="Q134" s="60">
        <v>574.0027712746237</v>
      </c>
      <c r="R134" s="60">
        <v>1302.6180883072757</v>
      </c>
      <c r="S134" s="8">
        <v>-0.5593468443075836</v>
      </c>
      <c r="T134" s="17">
        <v>143059.85029999996</v>
      </c>
      <c r="U134" s="17">
        <v>19814.57566440001</v>
      </c>
      <c r="V134" s="17">
        <v>-123245.27463559996</v>
      </c>
    </row>
    <row r="135">
      <c r="A135" s="61">
        <v>44731.95995480324</v>
      </c>
      <c r="B135" s="56">
        <v>0.7674800148439695</v>
      </c>
      <c r="C135" s="8">
        <v>0.020692433260570797</v>
      </c>
      <c r="D135" s="57">
        <v>-0.8617153126407262</v>
      </c>
      <c r="E135" s="58">
        <v>34.45</v>
      </c>
      <c r="F135" s="8">
        <v>0.04752913488833921</v>
      </c>
      <c r="G135" s="57">
        <v>-0.6795736405277324</v>
      </c>
      <c r="H135" s="17">
        <v>0.0</v>
      </c>
      <c r="I135" s="8">
        <v>0.0</v>
      </c>
      <c r="J135" s="63">
        <v>0.0</v>
      </c>
      <c r="K135" s="17">
        <v>19782.986672400002</v>
      </c>
      <c r="L135" s="8">
        <v>0.020692433260570797</v>
      </c>
      <c r="M135" s="63">
        <v>1.0</v>
      </c>
      <c r="N135" s="59">
        <v>-0.02683670162776841</v>
      </c>
      <c r="O135" s="8">
        <v>-0.1821416721129938</v>
      </c>
      <c r="P135" s="6">
        <v>107.51300254054657</v>
      </c>
      <c r="Q135" s="60">
        <v>574.2521530449928</v>
      </c>
      <c r="R135" s="60">
        <v>1302.6180883072757</v>
      </c>
      <c r="S135" s="8">
        <v>-0.5591553977334821</v>
      </c>
      <c r="T135" s="17">
        <v>143059.85029999996</v>
      </c>
      <c r="U135" s="17">
        <v>19782.986672400006</v>
      </c>
      <c r="V135" s="17">
        <v>-123276.86362759996</v>
      </c>
    </row>
    <row r="136">
      <c r="A136" s="61">
        <v>44730.95995375</v>
      </c>
      <c r="B136" s="56">
        <v>0.6526370102478016</v>
      </c>
      <c r="C136" s="8">
        <v>-0.008505388779782574</v>
      </c>
      <c r="D136" s="57">
        <v>-0.882407745901297</v>
      </c>
      <c r="E136" s="58">
        <v>29.34</v>
      </c>
      <c r="F136" s="8">
        <v>-0.01906746115872704</v>
      </c>
      <c r="G136" s="57">
        <v>-0.7271027754160716</v>
      </c>
      <c r="H136" s="17">
        <v>0.0</v>
      </c>
      <c r="I136" s="8">
        <v>0.0</v>
      </c>
      <c r="J136" s="63">
        <v>0.0</v>
      </c>
      <c r="K136" s="17">
        <v>16861.7833598</v>
      </c>
      <c r="L136" s="8">
        <v>-0.008505388779782574</v>
      </c>
      <c r="M136" s="63">
        <v>1.0</v>
      </c>
      <c r="N136" s="59">
        <v>0.010562072378944465</v>
      </c>
      <c r="O136" s="8">
        <v>-0.1553049704852254</v>
      </c>
      <c r="P136" s="6">
        <v>107.51300254054657</v>
      </c>
      <c r="Q136" s="60">
        <v>573.3718564349015</v>
      </c>
      <c r="R136" s="60">
        <v>1302.6180883072757</v>
      </c>
      <c r="S136" s="8">
        <v>-0.5598311879885025</v>
      </c>
      <c r="T136" s="6">
        <v>143059.85029999996</v>
      </c>
      <c r="U136" s="6">
        <v>16822.73026780001</v>
      </c>
      <c r="V136" s="6">
        <v>-126237.12003219995</v>
      </c>
    </row>
    <row r="137">
      <c r="A137" s="61">
        <v>44729.95996252315</v>
      </c>
      <c r="B137" s="56">
        <v>0.6998419179755949</v>
      </c>
      <c r="C137" s="8">
        <v>-1.258436031930099E-4</v>
      </c>
      <c r="D137" s="57">
        <v>-0.8739023571215144</v>
      </c>
      <c r="E137" s="58">
        <v>31.39</v>
      </c>
      <c r="F137" s="8">
        <v>5.580720339140033E-4</v>
      </c>
      <c r="G137" s="57">
        <v>-0.7080353142573446</v>
      </c>
      <c r="H137" s="17">
        <v>0.0</v>
      </c>
      <c r="I137" s="8">
        <v>0.0</v>
      </c>
      <c r="J137" s="63">
        <v>0.0</v>
      </c>
      <c r="K137" s="17">
        <v>18039.509913379006</v>
      </c>
      <c r="L137" s="8">
        <v>-1.258436031930099E-4</v>
      </c>
      <c r="M137" s="63">
        <v>1.0</v>
      </c>
      <c r="N137" s="59">
        <v>-6.839156371070132E-4</v>
      </c>
      <c r="O137" s="8">
        <v>-0.16586704286416987</v>
      </c>
      <c r="P137" s="6">
        <v>107.51300254054657</v>
      </c>
      <c r="Q137" s="60">
        <v>574.6897073392482</v>
      </c>
      <c r="R137" s="60">
        <v>1302.6180883072757</v>
      </c>
      <c r="S137" s="8">
        <v>-0.5588194939884144</v>
      </c>
      <c r="T137" s="17">
        <v>143059.85029999996</v>
      </c>
      <c r="U137" s="17">
        <v>18039.509913379003</v>
      </c>
      <c r="V137" s="17">
        <v>-125020.34038662096</v>
      </c>
    </row>
    <row r="138">
      <c r="A138" s="61">
        <v>44728.95996840278</v>
      </c>
      <c r="B138" s="56">
        <v>0.7005403499733162</v>
      </c>
      <c r="C138" s="8">
        <v>-0.006985292955566602</v>
      </c>
      <c r="D138" s="57">
        <v>-0.8737765135183214</v>
      </c>
      <c r="E138" s="58">
        <v>31.33</v>
      </c>
      <c r="F138" s="8">
        <v>-0.017951317090899255</v>
      </c>
      <c r="G138" s="57">
        <v>-0.7085933862912586</v>
      </c>
      <c r="H138" s="17">
        <v>0.0</v>
      </c>
      <c r="I138" s="8">
        <v>0.0</v>
      </c>
      <c r="J138" s="63">
        <v>0.0</v>
      </c>
      <c r="K138" s="17">
        <v>18057.513080413002</v>
      </c>
      <c r="L138" s="8">
        <v>-0.006985292955566602</v>
      </c>
      <c r="M138" s="63">
        <v>1.0</v>
      </c>
      <c r="N138" s="59">
        <v>0.010966024135332653</v>
      </c>
      <c r="O138" s="8">
        <v>-0.16518312722706285</v>
      </c>
      <c r="P138" s="6">
        <v>107.51300254054657</v>
      </c>
      <c r="Q138" s="60">
        <v>576.3649243668372</v>
      </c>
      <c r="R138" s="60">
        <v>1302.6180883072757</v>
      </c>
      <c r="S138" s="8">
        <v>-0.5575334554767231</v>
      </c>
      <c r="T138" s="17">
        <v>143059.85029999996</v>
      </c>
      <c r="U138" s="17">
        <v>18057.513080413006</v>
      </c>
      <c r="V138" s="17">
        <v>-125002.33721958696</v>
      </c>
    </row>
    <row r="139">
      <c r="A139" s="61">
        <v>44727.959959513886</v>
      </c>
      <c r="B139" s="56">
        <v>0.7393087258767107</v>
      </c>
      <c r="C139" s="8">
        <v>0.01909876008143707</v>
      </c>
      <c r="D139" s="57">
        <v>-0.8667912205627548</v>
      </c>
      <c r="E139" s="58">
        <v>33.26</v>
      </c>
      <c r="F139" s="8">
        <v>0.044831786724421785</v>
      </c>
      <c r="G139" s="57">
        <v>-0.6906420692003593</v>
      </c>
      <c r="H139" s="17">
        <v>0.0</v>
      </c>
      <c r="I139" s="8">
        <v>0.0</v>
      </c>
      <c r="J139" s="63">
        <v>0.0</v>
      </c>
      <c r="K139" s="17">
        <v>19056.828044937996</v>
      </c>
      <c r="L139" s="8">
        <v>0.01909876008143707</v>
      </c>
      <c r="M139" s="63">
        <v>1.0</v>
      </c>
      <c r="N139" s="59">
        <v>-0.025733026642984713</v>
      </c>
      <c r="O139" s="8">
        <v>-0.1761491513623955</v>
      </c>
      <c r="P139" s="6">
        <v>107.51300254054657</v>
      </c>
      <c r="Q139" s="60">
        <v>572.9653651514736</v>
      </c>
      <c r="R139" s="60">
        <v>1302.6180883072757</v>
      </c>
      <c r="S139" s="8">
        <v>-0.5601432451348577</v>
      </c>
      <c r="T139" s="17">
        <v>143059.85029999996</v>
      </c>
      <c r="U139" s="17">
        <v>19056.82804493801</v>
      </c>
      <c r="V139" s="17">
        <v>-124003.02225506195</v>
      </c>
    </row>
    <row r="140">
      <c r="A140" s="61">
        <v>44726.9599540162</v>
      </c>
      <c r="B140" s="56">
        <v>0.633310607424735</v>
      </c>
      <c r="C140" s="8">
        <v>8.066194604428034E-4</v>
      </c>
      <c r="D140" s="57">
        <v>-0.8858899806441919</v>
      </c>
      <c r="E140" s="58">
        <v>28.44</v>
      </c>
      <c r="F140" s="8">
        <v>0.0018602401130465296</v>
      </c>
      <c r="G140" s="57">
        <v>-0.7354738559247811</v>
      </c>
      <c r="H140" s="17">
        <v>0.0</v>
      </c>
      <c r="I140" s="8">
        <v>0.0</v>
      </c>
      <c r="J140" s="63">
        <v>0.0</v>
      </c>
      <c r="K140" s="17">
        <v>16324.562286772001</v>
      </c>
      <c r="L140" s="8">
        <v>8.066194604428034E-4</v>
      </c>
      <c r="M140" s="63">
        <v>1.0</v>
      </c>
      <c r="N140" s="59">
        <v>-0.0010536206526037262</v>
      </c>
      <c r="O140" s="8">
        <v>-0.1504161247194108</v>
      </c>
      <c r="P140" s="6">
        <v>107.51300254054657</v>
      </c>
      <c r="Q140" s="60">
        <v>574.0000804068919</v>
      </c>
      <c r="R140" s="60">
        <v>1302.6180883072757</v>
      </c>
      <c r="S140" s="8">
        <v>-0.5593489100456199</v>
      </c>
      <c r="T140" s="17">
        <v>143059.85029999996</v>
      </c>
      <c r="U140" s="17">
        <v>16324.562286772007</v>
      </c>
      <c r="V140" s="17">
        <v>-126735.28801322795</v>
      </c>
    </row>
    <row r="141">
      <c r="A141" s="61">
        <v>44725.95995533565</v>
      </c>
      <c r="B141" s="56">
        <v>0.6288338694192774</v>
      </c>
      <c r="C141" s="8">
        <v>-0.00253842750594091</v>
      </c>
      <c r="D141" s="57">
        <v>-0.8866966001046347</v>
      </c>
      <c r="E141" s="58">
        <v>28.24</v>
      </c>
      <c r="F141" s="8">
        <v>-0.03692576624397392</v>
      </c>
      <c r="G141" s="57">
        <v>-0.7373340960378276</v>
      </c>
      <c r="H141" s="17">
        <v>0.0</v>
      </c>
      <c r="I141" s="8">
        <v>0.0</v>
      </c>
      <c r="J141" s="63">
        <v>0.0</v>
      </c>
      <c r="K141" s="17">
        <v>16209.167427511999</v>
      </c>
      <c r="L141" s="8">
        <v>-0.00253842750594091</v>
      </c>
      <c r="M141" s="63">
        <v>1.0</v>
      </c>
      <c r="N141" s="59">
        <v>0.03438733873803301</v>
      </c>
      <c r="O141" s="8">
        <v>-0.14936250406680707</v>
      </c>
      <c r="P141" s="6">
        <v>107.51300254054657</v>
      </c>
      <c r="Q141" s="60">
        <v>573.9790165549573</v>
      </c>
      <c r="R141" s="60">
        <v>1302.6180883072757</v>
      </c>
      <c r="S141" s="8">
        <v>-0.5593650804428558</v>
      </c>
      <c r="T141" s="17">
        <v>143059.85029999996</v>
      </c>
      <c r="U141" s="17">
        <v>16209.167427511993</v>
      </c>
      <c r="V141" s="17">
        <v>-126850.68287248797</v>
      </c>
    </row>
    <row r="142">
      <c r="A142" s="61">
        <v>44724.95995556713</v>
      </c>
      <c r="B142" s="56">
        <v>0.6429221420772495</v>
      </c>
      <c r="C142" s="8">
        <v>-0.0012246170856777816</v>
      </c>
      <c r="D142" s="57">
        <v>-0.8841581725986938</v>
      </c>
      <c r="E142" s="58">
        <v>32.21</v>
      </c>
      <c r="F142" s="8">
        <v>-0.02111372528307831</v>
      </c>
      <c r="G142" s="57">
        <v>-0.7004083297938537</v>
      </c>
      <c r="H142" s="17">
        <v>14193.75</v>
      </c>
      <c r="I142" s="8">
        <v>-0.001048852215180249</v>
      </c>
      <c r="J142" s="63">
        <v>0.8564736091361546</v>
      </c>
      <c r="K142" s="17">
        <v>2378.5644865093004</v>
      </c>
      <c r="L142" s="8">
        <v>-1.7576487049753245E-4</v>
      </c>
      <c r="M142" s="63">
        <v>0.14352639086384533</v>
      </c>
      <c r="N142" s="59">
        <v>0.01988910819740053</v>
      </c>
      <c r="O142" s="8">
        <v>-0.18374984280484008</v>
      </c>
      <c r="P142" s="6">
        <v>107.51300254054657</v>
      </c>
      <c r="Q142" s="60">
        <v>514.5083665479448</v>
      </c>
      <c r="R142" s="60">
        <v>1302.6180883072757</v>
      </c>
      <c r="S142" s="8">
        <v>-0.6050197896326334</v>
      </c>
      <c r="T142" s="17">
        <v>143059.85029999996</v>
      </c>
      <c r="U142" s="17">
        <v>16572.3144865093</v>
      </c>
      <c r="V142" s="17">
        <v>-126487.53581349066</v>
      </c>
    </row>
    <row r="143">
      <c r="A143" s="61">
        <v>44723.95995596064</v>
      </c>
      <c r="B143" s="56">
        <v>0.6497187669027613</v>
      </c>
      <c r="C143" s="8">
        <v>-0.0017242928129151958</v>
      </c>
      <c r="D143" s="57">
        <v>-0.882933555513016</v>
      </c>
      <c r="E143" s="58">
        <v>34.48</v>
      </c>
      <c r="F143" s="8">
        <v>-0.031159021893529704</v>
      </c>
      <c r="G143" s="57">
        <v>-0.6792946045107754</v>
      </c>
      <c r="H143" s="17">
        <v>14202.29</v>
      </c>
      <c r="I143" s="8">
        <v>-0.0014622418176860347</v>
      </c>
      <c r="J143" s="63">
        <v>0.848024074990998</v>
      </c>
      <c r="K143" s="17">
        <v>2545.2180234611997</v>
      </c>
      <c r="L143" s="8">
        <v>-2.62050995229161E-4</v>
      </c>
      <c r="M143" s="63">
        <v>0.15197592500900206</v>
      </c>
      <c r="N143" s="59">
        <v>0.029434729080614508</v>
      </c>
      <c r="O143" s="8">
        <v>-0.2036389510022406</v>
      </c>
      <c r="P143" s="6">
        <v>107.51300254054657</v>
      </c>
      <c r="Q143" s="60">
        <v>485.7165900075751</v>
      </c>
      <c r="R143" s="60">
        <v>1302.6180883072757</v>
      </c>
      <c r="S143" s="8">
        <v>-0.6271227964915231</v>
      </c>
      <c r="T143" s="17">
        <v>143059.85029999996</v>
      </c>
      <c r="U143" s="17">
        <v>16747.50802346119</v>
      </c>
      <c r="V143" s="17">
        <v>-126312.34227653878</v>
      </c>
    </row>
    <row r="144">
      <c r="A144" s="61">
        <v>44722.9599744213</v>
      </c>
      <c r="B144" s="56">
        <v>0.6592885920144406</v>
      </c>
      <c r="C144" s="8">
        <v>-0.0011815650113587983</v>
      </c>
      <c r="D144" s="57">
        <v>-0.8812092627001008</v>
      </c>
      <c r="E144" s="58">
        <v>37.83</v>
      </c>
      <c r="F144" s="8">
        <v>-0.020462641243512047</v>
      </c>
      <c r="G144" s="57">
        <v>-0.6481355826172457</v>
      </c>
      <c r="H144" s="17">
        <v>14202.29</v>
      </c>
      <c r="I144" s="8">
        <v>-9.874512282415876E-4</v>
      </c>
      <c r="J144" s="63">
        <v>0.8357146824329369</v>
      </c>
      <c r="K144" s="17">
        <v>2791.8950951502</v>
      </c>
      <c r="L144" s="8">
        <v>-1.941137831172106E-4</v>
      </c>
      <c r="M144" s="63">
        <v>0.16428531756706302</v>
      </c>
      <c r="N144" s="59">
        <v>0.01928107623215325</v>
      </c>
      <c r="O144" s="8">
        <v>-0.23307368008285512</v>
      </c>
      <c r="P144" s="6">
        <v>107.51300254054657</v>
      </c>
      <c r="Q144" s="60">
        <v>449.22508842585785</v>
      </c>
      <c r="R144" s="60">
        <v>1302.6180883072757</v>
      </c>
      <c r="S144" s="8">
        <v>-0.6551367645987349</v>
      </c>
      <c r="T144" s="17">
        <v>143059.85029999996</v>
      </c>
      <c r="U144" s="17">
        <v>16994.185095150202</v>
      </c>
      <c r="V144" s="17">
        <v>-126065.66520484976</v>
      </c>
    </row>
    <row r="145">
      <c r="A145" s="61">
        <v>44721.95996416667</v>
      </c>
      <c r="B145" s="56">
        <v>0.6658462778274818</v>
      </c>
      <c r="C145" s="8">
        <v>4.616069702891856E-4</v>
      </c>
      <c r="D145" s="57">
        <v>-0.880027697688742</v>
      </c>
      <c r="E145" s="58">
        <v>40.03</v>
      </c>
      <c r="F145" s="8">
        <v>0.008371080508709494</v>
      </c>
      <c r="G145" s="57">
        <v>-0.6276729413737336</v>
      </c>
      <c r="H145" s="17">
        <v>14210.109999999993</v>
      </c>
      <c r="I145" s="8">
        <v>3.8218271245651366E-4</v>
      </c>
      <c r="J145" s="63">
        <v>0.8279396479153801</v>
      </c>
      <c r="K145" s="17">
        <v>2953.1096087949004</v>
      </c>
      <c r="L145" s="8">
        <v>7.942425783267191E-5</v>
      </c>
      <c r="M145" s="63">
        <v>0.1720603520846198</v>
      </c>
      <c r="N145" s="59">
        <v>-0.007909473538420309</v>
      </c>
      <c r="O145" s="8">
        <v>-0.25235475631500837</v>
      </c>
      <c r="P145" s="6">
        <v>107.51300254054657</v>
      </c>
      <c r="Q145" s="60">
        <v>428.75892102910086</v>
      </c>
      <c r="R145" s="60">
        <v>1302.6180883072757</v>
      </c>
      <c r="S145" s="8">
        <v>-0.6708483285486508</v>
      </c>
      <c r="T145" s="17">
        <v>143059.85029999996</v>
      </c>
      <c r="U145" s="17">
        <v>17163.21960879491</v>
      </c>
      <c r="V145" s="17">
        <v>-125896.63069120505</v>
      </c>
    </row>
    <row r="146">
      <c r="A146" s="61">
        <v>44720.95995726852</v>
      </c>
      <c r="B146" s="56">
        <v>0.6632843591423769</v>
      </c>
      <c r="C146" s="8">
        <v>-7.163792125322033E-4</v>
      </c>
      <c r="D146" s="57">
        <v>-0.8804893046590312</v>
      </c>
      <c r="E146" s="58">
        <v>39.13</v>
      </c>
      <c r="F146" s="8">
        <v>-0.012184572740454924</v>
      </c>
      <c r="G146" s="57">
        <v>-0.6360440218824431</v>
      </c>
      <c r="H146" s="17">
        <v>14210.109999999993</v>
      </c>
      <c r="I146" s="8">
        <v>-5.954096588436159E-4</v>
      </c>
      <c r="J146" s="63">
        <v>0.8311375433954968</v>
      </c>
      <c r="K146" s="17">
        <v>2887.0721847279</v>
      </c>
      <c r="L146" s="8">
        <v>-1.209695536885874E-4</v>
      </c>
      <c r="M146" s="63">
        <v>0.16886245660450327</v>
      </c>
      <c r="N146" s="59">
        <v>0.011468193527922721</v>
      </c>
      <c r="O146" s="8">
        <v>-0.24444528277658806</v>
      </c>
      <c r="P146" s="6">
        <v>107.51300254054657</v>
      </c>
      <c r="Q146" s="60">
        <v>436.93284397464606</v>
      </c>
      <c r="R146" s="60">
        <v>1302.6180883072757</v>
      </c>
      <c r="S146" s="8">
        <v>-0.66457333281589</v>
      </c>
      <c r="T146" s="17">
        <v>143059.85029999996</v>
      </c>
      <c r="U146" s="17">
        <v>17097.182184727902</v>
      </c>
      <c r="V146" s="17">
        <v>-125962.66811527206</v>
      </c>
    </row>
    <row r="147">
      <c r="A147" s="61">
        <v>44719.959955185186</v>
      </c>
      <c r="B147" s="56">
        <v>0.6672602637719306</v>
      </c>
      <c r="C147" s="8">
        <v>-0.0013061675995883482</v>
      </c>
      <c r="D147" s="57">
        <v>-0.879772925446499</v>
      </c>
      <c r="E147" s="58">
        <v>40.44</v>
      </c>
      <c r="F147" s="8">
        <v>-0.02315998940742947</v>
      </c>
      <c r="G147" s="57">
        <v>-0.6238594491419882</v>
      </c>
      <c r="H147" s="17">
        <v>14216.329999999994</v>
      </c>
      <c r="I147" s="8">
        <v>-0.0010796086529191013</v>
      </c>
      <c r="J147" s="63">
        <v>0.8265468024619129</v>
      </c>
      <c r="K147" s="17">
        <v>2983.3372876308</v>
      </c>
      <c r="L147" s="8">
        <v>-2.265589466692469E-4</v>
      </c>
      <c r="M147" s="63">
        <v>0.17345319753808716</v>
      </c>
      <c r="N147" s="59">
        <v>0.021853821807841123</v>
      </c>
      <c r="O147" s="8">
        <v>-0.2559134763045108</v>
      </c>
      <c r="P147" s="6">
        <v>107.51300254054657</v>
      </c>
      <c r="Q147" s="60">
        <v>425.3132365882985</v>
      </c>
      <c r="R147" s="60">
        <v>1302.6180883072757</v>
      </c>
      <c r="S147" s="8">
        <v>-0.673493527837477</v>
      </c>
      <c r="T147" s="17">
        <v>143059.85029999996</v>
      </c>
      <c r="U147" s="17">
        <v>17199.66728763079</v>
      </c>
      <c r="V147" s="17">
        <v>-125860.18301236918</v>
      </c>
    </row>
    <row r="148">
      <c r="A148" s="61">
        <v>44718.95995855324</v>
      </c>
      <c r="B148" s="56">
        <v>0.6745094939496459</v>
      </c>
      <c r="C148" s="8">
        <v>0.0019650646513573733</v>
      </c>
      <c r="D148" s="57">
        <v>-0.8784667578469106</v>
      </c>
      <c r="E148" s="58">
        <v>42.93</v>
      </c>
      <c r="F148" s="8">
        <v>0.03069396186526796</v>
      </c>
      <c r="G148" s="57">
        <v>-0.6006994597345587</v>
      </c>
      <c r="H148" s="17">
        <v>14220.619999999995</v>
      </c>
      <c r="I148" s="8">
        <v>0.0016072466337323313</v>
      </c>
      <c r="J148" s="63">
        <v>0.8179103077459164</v>
      </c>
      <c r="K148" s="17">
        <v>3165.9074288946003</v>
      </c>
      <c r="L148" s="8">
        <v>3.578180176250422E-4</v>
      </c>
      <c r="M148" s="63">
        <v>0.1820896922540836</v>
      </c>
      <c r="N148" s="59">
        <v>-0.028728897213910587</v>
      </c>
      <c r="O148" s="8">
        <v>-0.2777672981123519</v>
      </c>
      <c r="P148" s="6">
        <v>107.51300254054657</v>
      </c>
      <c r="Q148" s="60">
        <v>404.9971448612767</v>
      </c>
      <c r="R148" s="60">
        <v>1302.6180883072757</v>
      </c>
      <c r="S148" s="8">
        <v>-0.6890898809891687</v>
      </c>
      <c r="T148" s="17">
        <v>143059.85029999996</v>
      </c>
      <c r="U148" s="17">
        <v>17386.52742889461</v>
      </c>
      <c r="V148" s="17">
        <v>-125673.32287110535</v>
      </c>
    </row>
    <row r="149">
      <c r="A149" s="61">
        <v>44717.95995600695</v>
      </c>
      <c r="B149" s="56">
        <v>0.6636033851346125</v>
      </c>
      <c r="C149" s="8">
        <v>5.008187639743422E-4</v>
      </c>
      <c r="D149" s="57">
        <v>-0.880431822498268</v>
      </c>
      <c r="E149" s="58">
        <v>39.63</v>
      </c>
      <c r="F149" s="8">
        <v>0.009766260593494502</v>
      </c>
      <c r="G149" s="57">
        <v>-0.6313934215998267</v>
      </c>
      <c r="H149" s="6">
        <v>14185.43</v>
      </c>
      <c r="I149" s="8">
        <v>4.15730755439189E-4</v>
      </c>
      <c r="J149" s="8">
        <v>0.8301021953332556</v>
      </c>
      <c r="K149" s="6">
        <v>2903.34543</v>
      </c>
      <c r="L149" s="8">
        <v>8.508800853515312E-5</v>
      </c>
      <c r="M149" s="8">
        <v>0.1698978046667443</v>
      </c>
      <c r="N149" s="59">
        <v>-0.00926544182952016</v>
      </c>
      <c r="O149" s="8">
        <v>-0.24903840089844131</v>
      </c>
      <c r="P149" s="6">
        <v>107.51300254054657</v>
      </c>
      <c r="Q149" s="60">
        <v>431.6276955347363</v>
      </c>
      <c r="R149" s="60">
        <v>1302.6180883072757</v>
      </c>
      <c r="S149" s="8">
        <v>-0.6686460142008106</v>
      </c>
      <c r="T149" s="17">
        <v>143059.85029999996</v>
      </c>
      <c r="U149" s="17">
        <v>17105.4055740416</v>
      </c>
      <c r="V149" s="17">
        <v>-125954.44472595837</v>
      </c>
    </row>
    <row r="150">
      <c r="A150" s="61">
        <v>44716.95995752315</v>
      </c>
      <c r="B150" s="56">
        <v>0.6608238409945549</v>
      </c>
      <c r="C150" s="8">
        <v>-1.564475284511202E-4</v>
      </c>
      <c r="D150" s="57">
        <v>-0.8809326412622424</v>
      </c>
      <c r="E150" s="58">
        <v>38.58</v>
      </c>
      <c r="F150" s="8">
        <v>-0.001488192090437268</v>
      </c>
      <c r="G150" s="57">
        <v>-0.6411596821933212</v>
      </c>
      <c r="H150" s="6">
        <v>14188.669999999998</v>
      </c>
      <c r="I150" s="8">
        <v>-1.313321477678928E-4</v>
      </c>
      <c r="J150" s="8">
        <v>0.8394645097185134</v>
      </c>
      <c r="K150" s="6">
        <v>2713.37867</v>
      </c>
      <c r="L150" s="8">
        <v>-2.5115380683227426E-5</v>
      </c>
      <c r="M150" s="8">
        <v>0.16053549028148673</v>
      </c>
      <c r="N150" s="59">
        <v>0.0013317445619861479</v>
      </c>
      <c r="O150" s="8">
        <v>-0.23977295906892115</v>
      </c>
      <c r="P150" s="6">
        <v>107.51300254054657</v>
      </c>
      <c r="Q150" s="60">
        <v>441.51784646552625</v>
      </c>
      <c r="R150" s="60">
        <v>1302.6180883072757</v>
      </c>
      <c r="S150" s="8">
        <v>-0.6610534964708887</v>
      </c>
      <c r="T150" s="17">
        <v>143059.85029999996</v>
      </c>
      <c r="U150" s="17">
        <v>17033.758516640002</v>
      </c>
      <c r="V150" s="17">
        <v>-126026.09178335997</v>
      </c>
    </row>
    <row r="151">
      <c r="A151" s="61">
        <v>44715.95994862268</v>
      </c>
      <c r="B151" s="56">
        <v>0.6616921247774586</v>
      </c>
      <c r="C151" s="8">
        <v>-0.0010159155560083288</v>
      </c>
      <c r="D151" s="57">
        <v>-0.8807761937337912</v>
      </c>
      <c r="E151" s="58">
        <v>38.74</v>
      </c>
      <c r="F151" s="8">
        <v>-0.018509389124813147</v>
      </c>
      <c r="G151" s="57">
        <v>-0.6396714901028839</v>
      </c>
      <c r="H151" s="6">
        <v>14197.890000000007</v>
      </c>
      <c r="I151" s="8">
        <v>-8.475768316089901E-4</v>
      </c>
      <c r="J151" s="8">
        <v>0.8342985069932735</v>
      </c>
      <c r="K151" s="6">
        <v>2819.86789</v>
      </c>
      <c r="L151" s="8">
        <v>-1.683387243993387E-4</v>
      </c>
      <c r="M151" s="8">
        <v>0.16570149300672643</v>
      </c>
      <c r="N151" s="59">
        <v>0.017493473568804818</v>
      </c>
      <c r="O151" s="8">
        <v>-0.2411047036309073</v>
      </c>
      <c r="P151" s="6">
        <v>107.51300254054657</v>
      </c>
      <c r="Q151" s="60">
        <v>440.2720670273625</v>
      </c>
      <c r="R151" s="60">
        <v>1302.6180883072757</v>
      </c>
      <c r="S151" s="8">
        <v>-0.6620098623077724</v>
      </c>
      <c r="T151" s="17">
        <v>143059.85029999996</v>
      </c>
      <c r="U151" s="17">
        <v>17056.139876640023</v>
      </c>
      <c r="V151" s="17">
        <v>-126003.71042335994</v>
      </c>
    </row>
    <row r="152">
      <c r="A152" s="61">
        <v>44714.959958125</v>
      </c>
      <c r="B152" s="56">
        <v>0.6673304561133049</v>
      </c>
      <c r="C152" s="8">
        <v>1.0736353356877171E-4</v>
      </c>
      <c r="D152" s="57">
        <v>-0.8797602781777829</v>
      </c>
      <c r="E152" s="58">
        <v>40.73</v>
      </c>
      <c r="F152" s="8">
        <v>0.0018602401130465296</v>
      </c>
      <c r="G152" s="57">
        <v>-0.6211621009780708</v>
      </c>
      <c r="H152" s="6">
        <v>14197.890000000007</v>
      </c>
      <c r="I152" s="8">
        <v>8.861103886284419E-5</v>
      </c>
      <c r="J152" s="8">
        <v>0.8253364612490552</v>
      </c>
      <c r="K152" s="6">
        <v>3004.65789</v>
      </c>
      <c r="L152" s="8">
        <v>1.875249470592752E-5</v>
      </c>
      <c r="M152" s="8">
        <v>0.1746635387509448</v>
      </c>
      <c r="N152" s="59">
        <v>-0.0017528765794777579</v>
      </c>
      <c r="O152" s="8">
        <v>-0.2585981771997121</v>
      </c>
      <c r="P152" s="6">
        <v>107.51300254054657</v>
      </c>
      <c r="Q152" s="60">
        <v>422.32940348637413</v>
      </c>
      <c r="R152" s="60">
        <v>1302.6180883072757</v>
      </c>
      <c r="S152" s="8">
        <v>-0.675784170911382</v>
      </c>
      <c r="T152" s="17">
        <v>143059.85029999996</v>
      </c>
      <c r="U152" s="17">
        <v>17201.476604000018</v>
      </c>
      <c r="V152" s="17">
        <v>-125858.37369599994</v>
      </c>
    </row>
    <row r="153">
      <c r="A153" s="61">
        <v>44713.959948993055</v>
      </c>
      <c r="B153" s="56">
        <v>0.6667345885019982</v>
      </c>
      <c r="C153" s="8">
        <v>-0.00258960589168189</v>
      </c>
      <c r="D153" s="57">
        <v>-0.8798676417113517</v>
      </c>
      <c r="E153" s="58">
        <v>40.53</v>
      </c>
      <c r="F153" s="8">
        <v>-0.04715708686572995</v>
      </c>
      <c r="G153" s="57">
        <v>-0.6230223410911173</v>
      </c>
      <c r="H153" s="6">
        <v>14200.930000000008</v>
      </c>
      <c r="I153" s="8">
        <v>-0.0020914338097066157</v>
      </c>
      <c r="J153" s="8">
        <v>0.8076262941880616</v>
      </c>
      <c r="K153" s="6">
        <v>3382.61093</v>
      </c>
      <c r="L153" s="8">
        <v>-4.981720819752744E-4</v>
      </c>
      <c r="M153" s="8">
        <v>0.19237370581193844</v>
      </c>
      <c r="N153" s="59">
        <v>0.04456748097404806</v>
      </c>
      <c r="O153" s="8">
        <v>-0.25684530062023436</v>
      </c>
      <c r="P153" s="6">
        <v>107.51300254054657</v>
      </c>
      <c r="Q153" s="60">
        <v>424.0344730560076</v>
      </c>
      <c r="R153" s="60">
        <v>1302.6180883072757</v>
      </c>
      <c r="S153" s="8">
        <v>-0.6744752150593646</v>
      </c>
      <c r="T153" s="17">
        <v>143059.85029999996</v>
      </c>
      <c r="U153" s="17">
        <v>17186.117192959988</v>
      </c>
      <c r="V153" s="17">
        <v>-125873.73310703997</v>
      </c>
    </row>
    <row r="154">
      <c r="A154" s="61">
        <v>44712.95994674768</v>
      </c>
      <c r="B154" s="56">
        <v>0.6811069012008326</v>
      </c>
      <c r="C154" s="8">
        <v>-8.891529650931762E-4</v>
      </c>
      <c r="D154" s="57">
        <v>-0.8772780358196698</v>
      </c>
      <c r="E154" s="58">
        <v>45.6</v>
      </c>
      <c r="F154" s="8">
        <v>-0.014695896893067717</v>
      </c>
      <c r="G154" s="57">
        <v>-0.5758652542253874</v>
      </c>
      <c r="H154" s="6">
        <v>14205.48000000001</v>
      </c>
      <c r="I154" s="8">
        <v>-7.167320970695906E-4</v>
      </c>
      <c r="J154" s="8">
        <v>0.8060841331103055</v>
      </c>
      <c r="K154" s="6">
        <v>3417.34548</v>
      </c>
      <c r="L154" s="8">
        <v>-1.724208680235856E-4</v>
      </c>
      <c r="M154" s="8">
        <v>0.1939158668896946</v>
      </c>
      <c r="N154" s="59">
        <v>0.01380674392797454</v>
      </c>
      <c r="O154" s="8">
        <v>-0.3014127815942824</v>
      </c>
      <c r="P154" s="6">
        <v>107.51300254054657</v>
      </c>
      <c r="Q154" s="60">
        <v>385.01284702105255</v>
      </c>
      <c r="R154" s="60">
        <v>1302.6180883072757</v>
      </c>
      <c r="S154" s="8">
        <v>-0.704431521044385</v>
      </c>
      <c r="T154" s="17">
        <v>143059.85029999996</v>
      </c>
      <c r="U154" s="17">
        <v>17556.585824159996</v>
      </c>
      <c r="V154" s="17">
        <v>-125503.26447583997</v>
      </c>
    </row>
    <row r="155">
      <c r="A155" s="61">
        <v>44711.95994641204</v>
      </c>
      <c r="B155" s="56">
        <v>0.6860417001570998</v>
      </c>
      <c r="C155" s="8">
        <v>0.0014610608997681629</v>
      </c>
      <c r="D155" s="57">
        <v>-0.8763888828545766</v>
      </c>
      <c r="E155" s="58">
        <v>47.18</v>
      </c>
      <c r="F155" s="8">
        <v>0.023904085452648105</v>
      </c>
      <c r="G155" s="57">
        <v>-0.5611693573323197</v>
      </c>
      <c r="H155" s="6">
        <v>14192.960000000006</v>
      </c>
      <c r="I155" s="8">
        <v>0.001181157966095721</v>
      </c>
      <c r="J155" s="8">
        <v>0.8084248687259674</v>
      </c>
      <c r="K155" s="6">
        <v>3363.3529599999997</v>
      </c>
      <c r="L155" s="8">
        <v>2.799029336724419E-4</v>
      </c>
      <c r="M155" s="8">
        <v>0.19157513127403253</v>
      </c>
      <c r="N155" s="59">
        <v>-0.022443024552879942</v>
      </c>
      <c r="O155" s="8">
        <v>-0.31521952552225696</v>
      </c>
      <c r="P155" s="6">
        <v>107.51300254054657</v>
      </c>
      <c r="Q155" s="60">
        <v>374.81534366765635</v>
      </c>
      <c r="R155" s="60">
        <v>1302.6180883072757</v>
      </c>
      <c r="S155" s="8">
        <v>-0.7122599885322328</v>
      </c>
      <c r="T155" s="17">
        <v>143059.85029999996</v>
      </c>
      <c r="U155" s="17">
        <v>17683.787914240027</v>
      </c>
      <c r="V155" s="17">
        <v>-125376.06238575993</v>
      </c>
    </row>
    <row r="156">
      <c r="A156" s="61">
        <v>44710.95994743056</v>
      </c>
      <c r="B156" s="56">
        <v>0.6779328121633864</v>
      </c>
      <c r="C156" s="8">
        <v>2.0784715947663734E-4</v>
      </c>
      <c r="D156" s="57">
        <v>-0.8778499437543448</v>
      </c>
      <c r="E156" s="58">
        <v>44.61</v>
      </c>
      <c r="F156" s="8">
        <v>0.005208672316530327</v>
      </c>
      <c r="G156" s="57">
        <v>-0.5850734427849678</v>
      </c>
      <c r="H156" s="6">
        <v>14199.809999999998</v>
      </c>
      <c r="I156" s="8">
        <v>1.6969102641444124E-4</v>
      </c>
      <c r="J156" s="8">
        <v>0.8164221577130335</v>
      </c>
      <c r="K156" s="6">
        <v>3192.91981</v>
      </c>
      <c r="L156" s="8">
        <v>3.81561330621961E-5</v>
      </c>
      <c r="M156" s="8">
        <v>0.18357784228696647</v>
      </c>
      <c r="N156" s="59">
        <v>-0.00500082515705369</v>
      </c>
      <c r="O156" s="8">
        <v>-0.292776500969377</v>
      </c>
      <c r="P156" s="6">
        <v>107.51300254054657</v>
      </c>
      <c r="Q156" s="60">
        <v>391.72312846088346</v>
      </c>
      <c r="R156" s="60">
        <v>1302.6180883072757</v>
      </c>
      <c r="S156" s="8">
        <v>-0.6992801405284343</v>
      </c>
      <c r="T156" s="17">
        <v>143059.85029999996</v>
      </c>
      <c r="U156" s="17">
        <v>17474.76876064001</v>
      </c>
      <c r="V156" s="17">
        <v>-125585.08153935995</v>
      </c>
    </row>
    <row r="157">
      <c r="A157" s="61">
        <v>44709.9599480787</v>
      </c>
      <c r="B157" s="56">
        <v>0.6767792604282912</v>
      </c>
      <c r="C157" s="8">
        <v>0.0010581088102816771</v>
      </c>
      <c r="D157" s="57">
        <v>-0.8780577909138214</v>
      </c>
      <c r="E157" s="58">
        <v>44.05</v>
      </c>
      <c r="F157" s="8">
        <v>0.01916047316437941</v>
      </c>
      <c r="G157" s="57">
        <v>-0.5902821151014981</v>
      </c>
      <c r="H157" s="6">
        <v>14199.809999999998</v>
      </c>
      <c r="I157" s="8">
        <v>8.708744441187505E-4</v>
      </c>
      <c r="J157" s="8">
        <v>0.8230480983207357</v>
      </c>
      <c r="K157" s="6">
        <v>3052.89981</v>
      </c>
      <c r="L157" s="8">
        <v>1.872343661629268E-4</v>
      </c>
      <c r="M157" s="8">
        <v>0.17695190167926442</v>
      </c>
      <c r="N157" s="59">
        <v>-0.018102364354097733</v>
      </c>
      <c r="O157" s="8">
        <v>-0.28777567581232333</v>
      </c>
      <c r="P157" s="6">
        <v>107.51300254054657</v>
      </c>
      <c r="Q157" s="60">
        <v>396.0280176417708</v>
      </c>
      <c r="R157" s="60">
        <v>1302.6180883072757</v>
      </c>
      <c r="S157" s="8">
        <v>-0.6959753428908693</v>
      </c>
      <c r="T157" s="17">
        <v>143059.85029999996</v>
      </c>
      <c r="U157" s="17">
        <v>17445.034177120004</v>
      </c>
      <c r="V157" s="17">
        <v>-125614.81612287996</v>
      </c>
    </row>
    <row r="158">
      <c r="A158" s="61">
        <v>44708.959947905096</v>
      </c>
      <c r="B158" s="56">
        <v>0.6709067565312278</v>
      </c>
      <c r="C158" s="8">
        <v>-0.001289340529947447</v>
      </c>
      <c r="D158" s="57">
        <v>-0.8791158997241031</v>
      </c>
      <c r="E158" s="58">
        <v>41.99</v>
      </c>
      <c r="F158" s="8">
        <v>-0.02260191737351558</v>
      </c>
      <c r="G158" s="57">
        <v>-0.6094425882658775</v>
      </c>
      <c r="H158" s="6">
        <v>14203.740000000005</v>
      </c>
      <c r="I158" s="8">
        <v>-0.0010495417349733315</v>
      </c>
      <c r="J158" s="8">
        <v>0.8140143822331487</v>
      </c>
      <c r="K158" s="6">
        <v>3245.26374</v>
      </c>
      <c r="L158" s="8">
        <v>-2.397987949741154E-4</v>
      </c>
      <c r="M158" s="8">
        <v>0.18598561776685132</v>
      </c>
      <c r="N158" s="59">
        <v>0.021312576843568132</v>
      </c>
      <c r="O158" s="8">
        <v>-0.2696733114582256</v>
      </c>
      <c r="P158" s="6">
        <v>107.51300254054657</v>
      </c>
      <c r="Q158" s="60">
        <v>411.8519001933792</v>
      </c>
      <c r="R158" s="60">
        <v>1302.6180883072757</v>
      </c>
      <c r="S158" s="8">
        <v>-0.6838275900739472</v>
      </c>
      <c r="T158" s="17">
        <v>143059.85029999996</v>
      </c>
      <c r="U158" s="17">
        <v>17293.661289119995</v>
      </c>
      <c r="V158" s="17">
        <v>-125766.18901087997</v>
      </c>
    </row>
    <row r="159">
      <c r="A159" s="61">
        <v>44707.960152175925</v>
      </c>
      <c r="B159" s="56">
        <v>0.6780625964724363</v>
      </c>
      <c r="C159" s="8">
        <v>-0.002249409877370878</v>
      </c>
      <c r="D159" s="57">
        <v>-0.8778265591941556</v>
      </c>
      <c r="E159" s="58">
        <v>44.42</v>
      </c>
      <c r="F159" s="8">
        <v>-0.04036721045310998</v>
      </c>
      <c r="G159" s="57">
        <v>-0.5868406708923619</v>
      </c>
      <c r="H159" s="6">
        <v>14208.670000000006</v>
      </c>
      <c r="I159" s="8">
        <v>-0.0018016326319919842</v>
      </c>
      <c r="J159" s="8">
        <v>0.8009356810052518</v>
      </c>
      <c r="K159" s="6">
        <v>3531.41867</v>
      </c>
      <c r="L159" s="8">
        <v>-4.47777245378894E-4</v>
      </c>
      <c r="M159" s="8">
        <v>0.19906431899474825</v>
      </c>
      <c r="N159" s="59">
        <v>0.0381178005757391</v>
      </c>
      <c r="O159" s="8">
        <v>-0.2909858883017937</v>
      </c>
      <c r="P159" s="6">
        <v>107.51300254054657</v>
      </c>
      <c r="Q159" s="60">
        <v>393.4739791157137</v>
      </c>
      <c r="R159" s="60">
        <v>1302.6180883072757</v>
      </c>
      <c r="S159" s="8">
        <v>-0.6979360392369304</v>
      </c>
      <c r="T159" s="17">
        <v>143059.85029999996</v>
      </c>
      <c r="U159" s="17">
        <v>17478.114152320002</v>
      </c>
      <c r="V159" s="17">
        <v>-125581.73614767996</v>
      </c>
    </row>
    <row r="160">
      <c r="A160" s="61">
        <v>44706.95994994213</v>
      </c>
      <c r="B160" s="56">
        <v>0.6905468212918446</v>
      </c>
      <c r="C160" s="8">
        <v>-4.5589994972883296E-4</v>
      </c>
      <c r="D160" s="57">
        <v>-0.8755771493167848</v>
      </c>
      <c r="E160" s="58">
        <v>48.76</v>
      </c>
      <c r="F160" s="8">
        <v>-0.008278068503057123</v>
      </c>
      <c r="G160" s="57">
        <v>-0.5464734604392519</v>
      </c>
      <c r="H160" s="6">
        <v>14208.670000000006</v>
      </c>
      <c r="I160" s="8">
        <v>-3.6211086261864396E-4</v>
      </c>
      <c r="J160" s="8">
        <v>0.7942770400260534</v>
      </c>
      <c r="K160" s="6">
        <v>3680.13867</v>
      </c>
      <c r="L160" s="8">
        <v>-9.378908711018895E-5</v>
      </c>
      <c r="M160" s="8">
        <v>0.20572295997394657</v>
      </c>
      <c r="N160" s="59">
        <v>0.00782216855332829</v>
      </c>
      <c r="O160" s="8">
        <v>-0.32910368887753283</v>
      </c>
      <c r="P160" s="6">
        <v>107.51300254054657</v>
      </c>
      <c r="Q160" s="60">
        <v>365.05156670713745</v>
      </c>
      <c r="R160" s="60">
        <v>1302.6180883072757</v>
      </c>
      <c r="S160" s="8">
        <v>-0.7197554908964038</v>
      </c>
      <c r="T160" s="17">
        <v>143059.85029999996</v>
      </c>
      <c r="U160" s="17">
        <v>17799.91439264002</v>
      </c>
      <c r="V160" s="17">
        <v>-125259.93590735993</v>
      </c>
    </row>
    <row r="161">
      <c r="A161" s="61">
        <v>44705.959957812505</v>
      </c>
      <c r="B161" s="56">
        <v>0.6930770660128396</v>
      </c>
      <c r="C161" s="8">
        <v>-4.6961032549064363E-4</v>
      </c>
      <c r="D161" s="57">
        <v>-0.8751212493670559</v>
      </c>
      <c r="E161" s="58">
        <v>49.65</v>
      </c>
      <c r="F161" s="8">
        <v>-0.008557104520014125</v>
      </c>
      <c r="G161" s="57">
        <v>-0.5381953919361948</v>
      </c>
      <c r="H161" s="73">
        <v>14208.680000000008</v>
      </c>
      <c r="I161" s="8">
        <v>-3.74539838710917E-4</v>
      </c>
      <c r="J161" s="74">
        <v>0.7975545220808378</v>
      </c>
      <c r="K161" s="73">
        <v>3606.6286800000003</v>
      </c>
      <c r="L161" s="8">
        <v>-9.507048677972666E-5</v>
      </c>
      <c r="M161" s="74">
        <v>0.20244547791916218</v>
      </c>
      <c r="N161" s="59">
        <v>0.008087494194523481</v>
      </c>
      <c r="O161" s="8">
        <v>-0.3369258574308611</v>
      </c>
      <c r="P161" s="6">
        <v>107.51300254054657</v>
      </c>
      <c r="Q161" s="60">
        <v>359.82145762739185</v>
      </c>
      <c r="R161" s="60">
        <v>1302.6180883072757</v>
      </c>
      <c r="S161" s="8">
        <v>-0.7237705657112653</v>
      </c>
      <c r="T161" s="17">
        <v>143059.85029999996</v>
      </c>
      <c r="U161" s="17">
        <v>17865.135371200005</v>
      </c>
      <c r="V161" s="17">
        <v>-125194.71492879995</v>
      </c>
    </row>
    <row r="162">
      <c r="A162" s="61">
        <v>44704.959973599536</v>
      </c>
      <c r="B162" s="56">
        <v>0.6956834033193127</v>
      </c>
      <c r="C162" s="8">
        <v>-9.27125680498797E-5</v>
      </c>
      <c r="D162" s="57">
        <v>-0.8746516390415653</v>
      </c>
      <c r="E162" s="58">
        <v>50.57</v>
      </c>
      <c r="F162" s="8">
        <v>-0.01127513010833292</v>
      </c>
      <c r="G162" s="57">
        <v>-0.5296382874161807</v>
      </c>
      <c r="H162" s="6">
        <v>14319.107848136935</v>
      </c>
      <c r="I162" s="8">
        <v>-7.403177207715355E-5</v>
      </c>
      <c r="J162" s="8">
        <v>0.7985084830928659</v>
      </c>
      <c r="K162" s="6">
        <v>3613.209905927093</v>
      </c>
      <c r="L162" s="8">
        <v>-1.8680795972726157E-5</v>
      </c>
      <c r="M162" s="8">
        <v>0.2014915169071341</v>
      </c>
      <c r="N162" s="59">
        <v>0.01118241754028304</v>
      </c>
      <c r="O162" s="8">
        <v>-0.3450133516253846</v>
      </c>
      <c r="P162" s="6">
        <v>107.51300254054657</v>
      </c>
      <c r="Q162" s="60">
        <v>354.60387095242294</v>
      </c>
      <c r="R162" s="60">
        <v>1302.6180883072757</v>
      </c>
      <c r="S162" s="8">
        <v>-0.727776027267345</v>
      </c>
      <c r="T162" s="17">
        <v>143059.85029999996</v>
      </c>
      <c r="U162" s="17">
        <v>17932.317754064028</v>
      </c>
      <c r="V162" s="17">
        <v>-125127.53254593593</v>
      </c>
    </row>
    <row r="163">
      <c r="A163" s="61">
        <v>44703.959947372685</v>
      </c>
      <c r="B163" s="56">
        <v>0.6961979580719895</v>
      </c>
      <c r="C163" s="8">
        <v>0.002643419674132952</v>
      </c>
      <c r="D163" s="57">
        <v>-0.8745589264735154</v>
      </c>
      <c r="E163" s="58">
        <v>51.86</v>
      </c>
      <c r="F163" s="8">
        <v>0.016995669535800895</v>
      </c>
      <c r="G163" s="57">
        <v>-0.5183631573078478</v>
      </c>
      <c r="H163" s="6">
        <v>14332.275863143948</v>
      </c>
      <c r="I163" s="8">
        <v>0.0021143289231988077</v>
      </c>
      <c r="J163" s="8">
        <v>0.7998461023379925</v>
      </c>
      <c r="K163" s="6">
        <v>3586.5160410110493</v>
      </c>
      <c r="L163" s="8">
        <v>5.290907509341443E-4</v>
      </c>
      <c r="M163" s="8">
        <v>0.20015389766200758</v>
      </c>
      <c r="N163" s="59">
        <v>-0.014352249861667943</v>
      </c>
      <c r="O163" s="8">
        <v>-0.35619576916566764</v>
      </c>
      <c r="P163" s="6">
        <v>107.67448708891098</v>
      </c>
      <c r="Q163" s="60">
        <v>345.52240463083297</v>
      </c>
      <c r="R163" s="60">
        <v>1298.6595934045877</v>
      </c>
      <c r="S163" s="8">
        <v>-0.7339392044030525</v>
      </c>
      <c r="T163" s="17">
        <v>142846.28949999996</v>
      </c>
      <c r="U163" s="17">
        <v>17918.791904154998</v>
      </c>
      <c r="V163" s="17">
        <v>-124927.49759584496</v>
      </c>
    </row>
    <row r="164">
      <c r="A164" s="61">
        <v>44702.9599540162</v>
      </c>
      <c r="B164" s="56">
        <v>0.6815269788805516</v>
      </c>
      <c r="C164" s="8">
        <v>-0.00164994638020044</v>
      </c>
      <c r="D164" s="57">
        <v>-0.8772023461476484</v>
      </c>
      <c r="E164" s="58">
        <v>50.03</v>
      </c>
      <c r="F164" s="8">
        <v>0.002228940266990387</v>
      </c>
      <c r="G164" s="57">
        <v>-0.5353588268436487</v>
      </c>
      <c r="H164" s="6">
        <v>13996.966487528418</v>
      </c>
      <c r="I164" s="8">
        <v>-0.0013165723207600815</v>
      </c>
      <c r="J164" s="8">
        <v>0.7979485494553712</v>
      </c>
      <c r="K164" s="6">
        <v>3544.22272458539</v>
      </c>
      <c r="L164" s="8">
        <v>-3.3337405944035856E-4</v>
      </c>
      <c r="M164" s="8">
        <v>0.20205145054462884</v>
      </c>
      <c r="N164" s="59">
        <v>-0.0038788866471908268</v>
      </c>
      <c r="O164" s="8">
        <v>-0.3418435193039997</v>
      </c>
      <c r="P164" s="6">
        <v>107.67448708891098</v>
      </c>
      <c r="Q164" s="60">
        <v>350.61341619256063</v>
      </c>
      <c r="R164" s="60">
        <v>1298.6595934045877</v>
      </c>
      <c r="S164" s="8">
        <v>-0.7300189996106781</v>
      </c>
      <c r="T164" s="17">
        <v>142846.28949999996</v>
      </c>
      <c r="U164" s="17">
        <v>17541.189212113808</v>
      </c>
      <c r="V164" s="17">
        <v>-125305.10028788615</v>
      </c>
    </row>
    <row r="165">
      <c r="A165" s="61">
        <v>44701.95996096065</v>
      </c>
      <c r="B165" s="56">
        <v>0.6906841812906641</v>
      </c>
      <c r="C165" s="8">
        <v>4.099434887672171E-5</v>
      </c>
      <c r="D165" s="57">
        <v>-0.8755523997674479</v>
      </c>
      <c r="E165" s="58">
        <v>49.79</v>
      </c>
      <c r="F165" s="8">
        <v>-0.027768880826254172</v>
      </c>
      <c r="G165" s="57">
        <v>-0.537587767110639</v>
      </c>
      <c r="H165" s="6">
        <v>14180.610015330569</v>
      </c>
      <c r="I165" s="8">
        <v>3.27011793932105E-5</v>
      </c>
      <c r="J165" s="8">
        <v>0.797699690060929</v>
      </c>
      <c r="K165" s="6">
        <v>3596.267915068829</v>
      </c>
      <c r="L165" s="8">
        <v>8.293169483511208E-6</v>
      </c>
      <c r="M165" s="8">
        <v>0.202300309939071</v>
      </c>
      <c r="N165" s="59">
        <v>0.027809875175130894</v>
      </c>
      <c r="O165" s="8">
        <v>-0.33796463265680887</v>
      </c>
      <c r="P165" s="6">
        <v>107.67448708891098</v>
      </c>
      <c r="Q165" s="60">
        <v>357.0371144888411</v>
      </c>
      <c r="R165" s="60">
        <v>1298.6595934045877</v>
      </c>
      <c r="S165" s="8">
        <v>-0.725072593078201</v>
      </c>
      <c r="T165" s="17">
        <v>142846.28949999996</v>
      </c>
      <c r="U165" s="17">
        <v>17776.877930399398</v>
      </c>
      <c r="V165" s="17">
        <v>-125069.41156960056</v>
      </c>
    </row>
    <row r="166">
      <c r="A166" s="61">
        <v>44700.95996407408</v>
      </c>
      <c r="B166" s="56">
        <v>0.6904566626543982</v>
      </c>
      <c r="C166" s="8">
        <v>-0.009122905023260963</v>
      </c>
      <c r="D166" s="57">
        <v>-0.8755933941163246</v>
      </c>
      <c r="E166" s="58">
        <v>52.78</v>
      </c>
      <c r="F166" s="8">
        <v>0.018017267158171535</v>
      </c>
      <c r="G166" s="57">
        <v>-0.5098188862843849</v>
      </c>
      <c r="H166" s="6">
        <v>14231.035575243941</v>
      </c>
      <c r="I166" s="8">
        <v>-0.0073056229205636005</v>
      </c>
      <c r="J166" s="8">
        <v>0.8008000633500206</v>
      </c>
      <c r="K166" s="6">
        <v>3539.9864645279467</v>
      </c>
      <c r="L166" s="8">
        <v>-0.0018172821026973623</v>
      </c>
      <c r="M166" s="8">
        <v>0.19919993664997934</v>
      </c>
      <c r="N166" s="59">
        <v>-0.027140172181432498</v>
      </c>
      <c r="O166" s="8">
        <v>-0.36577450783193977</v>
      </c>
      <c r="P166" s="6">
        <v>107.67448708891098</v>
      </c>
      <c r="Q166" s="60">
        <v>336.6999249672582</v>
      </c>
      <c r="R166" s="60">
        <v>1298.6595934045877</v>
      </c>
      <c r="S166" s="8">
        <v>-0.7407327319050868</v>
      </c>
      <c r="T166" s="17">
        <v>142846.28949999996</v>
      </c>
      <c r="U166" s="17">
        <v>17771.022039771888</v>
      </c>
      <c r="V166" s="17">
        <v>-125075.26746022806</v>
      </c>
    </row>
    <row r="167">
      <c r="A167" s="61">
        <v>44699.959954606486</v>
      </c>
      <c r="B167" s="56">
        <v>0.7410887855334966</v>
      </c>
      <c r="C167" s="8">
        <v>0.0048245862680462714</v>
      </c>
      <c r="D167" s="57">
        <v>-0.8664704890930637</v>
      </c>
      <c r="E167" s="58">
        <v>50.84</v>
      </c>
      <c r="F167" s="8">
        <v>-0.050085531621673174</v>
      </c>
      <c r="G167" s="57">
        <v>-0.5278361534425564</v>
      </c>
      <c r="H167" s="6">
        <v>15236.246794598195</v>
      </c>
      <c r="I167" s="8">
        <v>0.0038538237865175366</v>
      </c>
      <c r="J167" s="8">
        <v>0.7987884499116134</v>
      </c>
      <c r="K167" s="6">
        <v>3837.948377207431</v>
      </c>
      <c r="L167" s="8">
        <v>9.707624815287349E-4</v>
      </c>
      <c r="M167" s="8">
        <v>0.20121155008838668</v>
      </c>
      <c r="N167" s="59">
        <v>0.054910117889719445</v>
      </c>
      <c r="O167" s="8">
        <v>-0.33863433565050727</v>
      </c>
      <c r="P167" s="6">
        <v>107.67448708891098</v>
      </c>
      <c r="Q167" s="60">
        <v>375.1808649056968</v>
      </c>
      <c r="R167" s="60">
        <v>1298.6595934045877</v>
      </c>
      <c r="S167" s="8">
        <v>-0.7111014566010201</v>
      </c>
      <c r="T167" s="17">
        <v>142846.28949999996</v>
      </c>
      <c r="U167" s="17">
        <v>19074.195171805626</v>
      </c>
      <c r="V167" s="17">
        <v>-123772.09432819433</v>
      </c>
    </row>
    <row r="168">
      <c r="A168" s="61">
        <v>44698.95994903935</v>
      </c>
      <c r="B168" s="56">
        <v>0.7143123317458397</v>
      </c>
      <c r="C168" s="8">
        <v>-8.725111066002489E-4</v>
      </c>
      <c r="D168" s="57">
        <v>-0.87129507536111</v>
      </c>
      <c r="E168" s="58">
        <v>56.46</v>
      </c>
      <c r="F168" s="8">
        <v>0.010822383501055022</v>
      </c>
      <c r="G168" s="57">
        <v>-0.47775062182088324</v>
      </c>
      <c r="H168" s="6">
        <v>14738.650630279904</v>
      </c>
      <c r="I168" s="8">
        <v>-7.020363157521089E-4</v>
      </c>
      <c r="J168" s="8">
        <v>0.8046159073981335</v>
      </c>
      <c r="K168" s="6">
        <v>3578.9720947540973</v>
      </c>
      <c r="L168" s="8">
        <v>-1.7047479084814004E-4</v>
      </c>
      <c r="M168" s="8">
        <v>0.19538409260186648</v>
      </c>
      <c r="N168" s="59">
        <v>-0.01169489460765527</v>
      </c>
      <c r="O168" s="8">
        <v>-0.3935444535402267</v>
      </c>
      <c r="P168" s="6">
        <v>108.10927185180068</v>
      </c>
      <c r="Q168" s="60">
        <v>324.43540072678</v>
      </c>
      <c r="R168" s="60">
        <v>1288.4854239855085</v>
      </c>
      <c r="S168" s="8">
        <v>-0.74820405827856</v>
      </c>
      <c r="T168" s="17">
        <v>142322.62499999994</v>
      </c>
      <c r="U168" s="17">
        <v>18317.622725034</v>
      </c>
      <c r="V168" s="17">
        <v>-124005.00227496594</v>
      </c>
    </row>
    <row r="169">
      <c r="A169" s="61">
        <v>44697.95994770833</v>
      </c>
      <c r="B169" s="56">
        <v>0.7191547683874712</v>
      </c>
      <c r="C169" s="8">
        <v>-0.018021624929824065</v>
      </c>
      <c r="D169" s="57">
        <v>-0.8704225642545097</v>
      </c>
      <c r="E169" s="58">
        <v>55.29</v>
      </c>
      <c r="F169" s="8">
        <v>-0.01526233570661606</v>
      </c>
      <c r="G169" s="57">
        <v>-0.48857300532193826</v>
      </c>
      <c r="H169" s="6">
        <v>14816.192881612731</v>
      </c>
      <c r="I169" s="8">
        <v>-0.01447862244869808</v>
      </c>
      <c r="J169" s="8">
        <v>0.8034027178502281</v>
      </c>
      <c r="K169" s="6">
        <v>3625.6079144542728</v>
      </c>
      <c r="L169" s="8">
        <v>-0.003543002481125985</v>
      </c>
      <c r="M169" s="8">
        <v>0.1965972821497719</v>
      </c>
      <c r="N169" s="59">
        <v>-0.0027592892232080057</v>
      </c>
      <c r="O169" s="8">
        <v>-0.38184955893257144</v>
      </c>
      <c r="P169" s="6">
        <v>108.10927185180068</v>
      </c>
      <c r="Q169" s="60">
        <v>333.5467678796709</v>
      </c>
      <c r="R169" s="60">
        <v>1288.4854239855085</v>
      </c>
      <c r="S169" s="8">
        <v>-0.7411326805328128</v>
      </c>
      <c r="T169" s="17">
        <v>142322.62499999994</v>
      </c>
      <c r="U169" s="17">
        <v>18441.800796067004</v>
      </c>
      <c r="V169" s="17">
        <v>-123880.82420393293</v>
      </c>
    </row>
    <row r="170">
      <c r="A170" s="61">
        <v>44696.95996015046</v>
      </c>
      <c r="B170" s="56">
        <v>0.8191747867479947</v>
      </c>
      <c r="C170" s="8">
        <v>-0.006342229646303377</v>
      </c>
      <c r="D170" s="57">
        <v>-0.8524009393246856</v>
      </c>
      <c r="E170" s="58">
        <v>56.94</v>
      </c>
      <c r="F170" s="8">
        <v>0.05235443642390725</v>
      </c>
      <c r="G170" s="57">
        <v>-0.4733106696153222</v>
      </c>
      <c r="H170" s="6">
        <v>16912.768948695342</v>
      </c>
      <c r="I170" s="8">
        <v>-0.005106215508646119</v>
      </c>
      <c r="J170" s="8">
        <v>0.8051136261870178</v>
      </c>
      <c r="K170" s="6">
        <v>4093.916814149663</v>
      </c>
      <c r="L170" s="8">
        <v>-0.001236014137657258</v>
      </c>
      <c r="M170" s="8">
        <v>0.1948863738129822</v>
      </c>
      <c r="N170" s="59">
        <v>-0.058696666070210624</v>
      </c>
      <c r="O170" s="8">
        <v>-0.37909026970936344</v>
      </c>
      <c r="P170" s="6">
        <v>108.10927185180068</v>
      </c>
      <c r="Q170" s="60">
        <v>368.92669060142265</v>
      </c>
      <c r="R170" s="60">
        <v>1288.4854239855085</v>
      </c>
      <c r="S170" s="8">
        <v>-0.71367414505919</v>
      </c>
      <c r="T170" s="17">
        <v>142322.62499999994</v>
      </c>
      <c r="U170" s="17">
        <v>21006.685762845005</v>
      </c>
      <c r="V170" s="17">
        <v>-121315.93923715493</v>
      </c>
    </row>
    <row r="171">
      <c r="A171" s="61">
        <v>44695.95995174769</v>
      </c>
      <c r="B171" s="56">
        <v>0.8543741612849785</v>
      </c>
      <c r="C171" s="8">
        <v>0.011544261068211492</v>
      </c>
      <c r="D171" s="57">
        <v>-0.8460587096783823</v>
      </c>
      <c r="E171" s="58">
        <v>51.28</v>
      </c>
      <c r="F171" s="8">
        <v>0.004069956188430868</v>
      </c>
      <c r="G171" s="57">
        <v>-0.5256651060392294</v>
      </c>
      <c r="H171" s="6">
        <v>17510.914539403515</v>
      </c>
      <c r="I171" s="8">
        <v>0.00922668938338596</v>
      </c>
      <c r="J171" s="8">
        <v>0.7992446921347574</v>
      </c>
      <c r="K171" s="6">
        <v>4398.413995056206</v>
      </c>
      <c r="L171" s="8">
        <v>0.0023175716848255323</v>
      </c>
      <c r="M171" s="8">
        <v>0.2007553078652426</v>
      </c>
      <c r="N171" s="59">
        <v>0.007474304879780624</v>
      </c>
      <c r="O171" s="8">
        <v>-0.3203936036391528</v>
      </c>
      <c r="P171" s="6">
        <v>108.10927185180068</v>
      </c>
      <c r="Q171" s="60">
        <v>427.24899638181984</v>
      </c>
      <c r="R171" s="60">
        <v>1288.4854239855085</v>
      </c>
      <c r="S171" s="8">
        <v>-0.6684099110254079</v>
      </c>
      <c r="T171" s="17">
        <v>142322.62499999994</v>
      </c>
      <c r="U171" s="17">
        <v>21909.32853445972</v>
      </c>
      <c r="V171" s="17">
        <v>-120413.29646554022</v>
      </c>
    </row>
    <row r="172">
      <c r="A172" s="61">
        <v>44694.959976412036</v>
      </c>
      <c r="B172" s="56">
        <v>0.7903035123564046</v>
      </c>
      <c r="C172" s="8">
        <v>-0.15638225377463666</v>
      </c>
      <c r="D172" s="57">
        <v>-0.8576029707465938</v>
      </c>
      <c r="E172" s="58">
        <v>50.84</v>
      </c>
      <c r="F172" s="8">
        <v>0.08176911978574908</v>
      </c>
      <c r="G172" s="57">
        <v>-0.5297350622276603</v>
      </c>
      <c r="H172" s="6">
        <v>16188.501535866924</v>
      </c>
      <c r="I172" s="8">
        <v>-0.12491633808632659</v>
      </c>
      <c r="J172" s="8">
        <v>0.7987884499116135</v>
      </c>
      <c r="K172" s="6">
        <v>4077.817459679636</v>
      </c>
      <c r="L172" s="8">
        <v>-0.03146591568831008</v>
      </c>
      <c r="M172" s="8">
        <v>0.20121155008838654</v>
      </c>
      <c r="N172" s="59">
        <v>-0.23815137356038574</v>
      </c>
      <c r="O172" s="8">
        <v>-0.32786790851893344</v>
      </c>
      <c r="P172" s="6">
        <v>108.10927185180068</v>
      </c>
      <c r="Q172" s="60">
        <v>398.6294058919465</v>
      </c>
      <c r="R172" s="60">
        <v>1288.4854239855085</v>
      </c>
      <c r="S172" s="8">
        <v>-0.6906217187471809</v>
      </c>
      <c r="T172" s="17">
        <v>142322.62499999994</v>
      </c>
      <c r="U172" s="17">
        <v>20266.31899554656</v>
      </c>
      <c r="V172" s="17">
        <v>-122056.30600445338</v>
      </c>
    </row>
    <row r="173">
      <c r="A173" s="61">
        <v>44693.95995289352</v>
      </c>
      <c r="B173" s="56">
        <v>1.6582250208056382</v>
      </c>
      <c r="C173" s="8">
        <v>-0.06549020946349193</v>
      </c>
      <c r="D173" s="57">
        <v>-0.7012207169719571</v>
      </c>
      <c r="E173" s="58">
        <v>42.0</v>
      </c>
      <c r="F173" s="8">
        <v>-0.022662256049217788</v>
      </c>
      <c r="G173" s="57">
        <v>-0.6115041820134094</v>
      </c>
      <c r="H173" s="6">
        <v>33577.14273327014</v>
      </c>
      <c r="I173" s="8">
        <v>-0.05171251861755574</v>
      </c>
      <c r="J173" s="8">
        <v>0.7896221288829947</v>
      </c>
      <c r="K173" s="6">
        <v>8945.909122898855</v>
      </c>
      <c r="L173" s="8">
        <v>-0.013777690845936188</v>
      </c>
      <c r="M173" s="8">
        <v>0.21037787111700532</v>
      </c>
      <c r="N173" s="59">
        <v>-0.042827953414274145</v>
      </c>
      <c r="O173" s="8">
        <v>-0.0897165349585477</v>
      </c>
      <c r="P173" s="6">
        <v>108.10927185180068</v>
      </c>
      <c r="Q173" s="60">
        <v>1012.4536156230713</v>
      </c>
      <c r="R173" s="60">
        <v>1288.4854239855085</v>
      </c>
      <c r="S173" s="8">
        <v>-0.2142296709175204</v>
      </c>
      <c r="T173" s="17">
        <v>142322.62499999994</v>
      </c>
      <c r="U173" s="17">
        <v>42523.051856169</v>
      </c>
      <c r="V173" s="17">
        <v>-99799.57314383094</v>
      </c>
    </row>
    <row r="174">
      <c r="A174" s="61">
        <v>44692.95995310185</v>
      </c>
      <c r="B174" s="56">
        <v>2.0216956833280184</v>
      </c>
      <c r="C174" s="8">
        <v>-0.003581174164199008</v>
      </c>
      <c r="D174" s="57">
        <v>-0.6357305075084652</v>
      </c>
      <c r="E174" s="58">
        <v>44.45</v>
      </c>
      <c r="F174" s="8">
        <v>-0.18231553744084994</v>
      </c>
      <c r="G174" s="57">
        <v>-0.5888419259641916</v>
      </c>
      <c r="H174" s="6">
        <v>41068.71014904945</v>
      </c>
      <c r="I174" s="8">
        <v>-0.0028368721242816052</v>
      </c>
      <c r="J174" s="8">
        <v>0.7921625685345915</v>
      </c>
      <c r="K174" s="6">
        <v>10775.080229763553</v>
      </c>
      <c r="L174" s="8">
        <v>-7.443020399174029E-4</v>
      </c>
      <c r="M174" s="8">
        <v>0.2078374314654085</v>
      </c>
      <c r="N174" s="59">
        <v>0.17873436327665093</v>
      </c>
      <c r="O174" s="8">
        <v>-0.046888581544273555</v>
      </c>
      <c r="P174" s="6">
        <v>108.10927185180068</v>
      </c>
      <c r="Q174" s="60">
        <v>1166.3394910869067</v>
      </c>
      <c r="R174" s="60">
        <v>1288.4854239855085</v>
      </c>
      <c r="S174" s="8">
        <v>-0.09479807114991126</v>
      </c>
      <c r="T174" s="17">
        <v>142322.62499999994</v>
      </c>
      <c r="U174" s="17">
        <v>51843.790378813006</v>
      </c>
      <c r="V174" s="17">
        <v>-90478.83462118694</v>
      </c>
    </row>
    <row r="175">
      <c r="A175" s="61">
        <v>44691.95995041667</v>
      </c>
      <c r="B175" s="56">
        <v>2.0415711999393227</v>
      </c>
      <c r="C175" s="8">
        <v>-0.2692452823568644</v>
      </c>
      <c r="D175" s="57">
        <v>-0.6321493333442662</v>
      </c>
      <c r="E175" s="58">
        <v>64.16</v>
      </c>
      <c r="F175" s="8">
        <v>-0.03098716643464483</v>
      </c>
      <c r="G175" s="57">
        <v>-0.40652638852334166</v>
      </c>
      <c r="H175" s="6">
        <v>42542.439401962445</v>
      </c>
      <c r="I175" s="8">
        <v>-0.21878875583462154</v>
      </c>
      <c r="J175" s="8">
        <v>0.8126001463031522</v>
      </c>
      <c r="K175" s="6">
        <v>9811.033084481547</v>
      </c>
      <c r="L175" s="8">
        <v>-0.05045652652224285</v>
      </c>
      <c r="M175" s="8">
        <v>0.18739985369684772</v>
      </c>
      <c r="N175" s="59">
        <v>-0.23825811592221957</v>
      </c>
      <c r="O175" s="8">
        <v>-0.2256229448209245</v>
      </c>
      <c r="P175" s="6">
        <v>108.10927185180068</v>
      </c>
      <c r="Q175" s="60">
        <v>815.983049975748</v>
      </c>
      <c r="R175" s="60">
        <v>1288.4854239855085</v>
      </c>
      <c r="S175" s="8">
        <v>-0.3667114623215751</v>
      </c>
      <c r="T175" s="17">
        <v>142322.62499999994</v>
      </c>
      <c r="U175" s="17">
        <v>52353.47248644399</v>
      </c>
      <c r="V175" s="17">
        <v>-89969.15251355595</v>
      </c>
    </row>
    <row r="176">
      <c r="A176" s="61">
        <v>44690.95995246527</v>
      </c>
      <c r="B176" s="56">
        <v>3.53588251701992</v>
      </c>
      <c r="C176" s="8">
        <v>-0.15435430277519557</v>
      </c>
      <c r="D176" s="57">
        <v>-0.36290405098740175</v>
      </c>
      <c r="E176" s="58">
        <v>67.51</v>
      </c>
      <c r="F176" s="8">
        <v>-0.07884097880523444</v>
      </c>
      <c r="G176" s="57">
        <v>-0.37553922208869683</v>
      </c>
      <c r="H176" s="6">
        <v>73995.99742490069</v>
      </c>
      <c r="I176" s="8">
        <v>-0.12596450375250282</v>
      </c>
      <c r="J176" s="8">
        <v>0.8160738086839071</v>
      </c>
      <c r="K176" s="6">
        <v>16677.170415438406</v>
      </c>
      <c r="L176" s="8">
        <v>-0.02838979902269274</v>
      </c>
      <c r="M176" s="8">
        <v>0.18392619131609284</v>
      </c>
      <c r="N176" s="59">
        <v>-0.07551332396996113</v>
      </c>
      <c r="O176" s="8">
        <v>0.012635171101295084</v>
      </c>
      <c r="P176" s="6">
        <v>108.10927185180068</v>
      </c>
      <c r="Q176" s="60">
        <v>1343.1072113811153</v>
      </c>
      <c r="R176" s="60">
        <v>1288.4854239855085</v>
      </c>
      <c r="S176" s="8">
        <v>0.04239224315526378</v>
      </c>
      <c r="T176" s="17">
        <v>142322.62499999994</v>
      </c>
      <c r="U176" s="17">
        <v>90673.1678403391</v>
      </c>
      <c r="V176" s="17">
        <v>-51649.457159660844</v>
      </c>
    </row>
    <row r="177">
      <c r="A177" s="61">
        <v>44689.9599506713</v>
      </c>
      <c r="B177" s="56">
        <v>4.392548897422255</v>
      </c>
      <c r="C177" s="8">
        <v>-0.017415329956533054</v>
      </c>
      <c r="D177" s="57">
        <v>-0.20854974821220618</v>
      </c>
      <c r="E177" s="58">
        <v>76.55</v>
      </c>
      <c r="F177" s="8">
        <v>-0.03463680761360344</v>
      </c>
      <c r="G177" s="57">
        <v>-0.2966982432834624</v>
      </c>
      <c r="H177" s="6">
        <v>91606.22428343224</v>
      </c>
      <c r="I177" s="8">
        <v>-0.014375440792704938</v>
      </c>
      <c r="J177" s="8">
        <v>0.8254475125412277</v>
      </c>
      <c r="K177" s="6">
        <v>19371.42467865956</v>
      </c>
      <c r="L177" s="8">
        <v>-0.003039889163828117</v>
      </c>
      <c r="M177" s="8">
        <v>0.17455248745877228</v>
      </c>
      <c r="N177" s="59">
        <v>0.017221477657070383</v>
      </c>
      <c r="O177" s="8">
        <v>0.08814849507125622</v>
      </c>
      <c r="P177" s="6">
        <v>108.84374917159934</v>
      </c>
      <c r="Q177" s="60">
        <v>1449.7406787993705</v>
      </c>
      <c r="R177" s="60">
        <v>1260.4003336150395</v>
      </c>
      <c r="S177" s="8">
        <v>0.15022238580441433</v>
      </c>
      <c r="T177" s="17">
        <v>140220.62499999997</v>
      </c>
      <c r="U177" s="17">
        <v>110977.6489620918</v>
      </c>
      <c r="V177" s="17">
        <v>-29242.97603790817</v>
      </c>
    </row>
    <row r="178">
      <c r="A178" s="61">
        <v>44688.95995201389</v>
      </c>
      <c r="B178" s="56">
        <v>4.489203978681014</v>
      </c>
      <c r="C178" s="8">
        <v>-0.012488010764966861</v>
      </c>
      <c r="D178" s="57">
        <v>-0.19113441825567312</v>
      </c>
      <c r="E178" s="58">
        <v>80.32</v>
      </c>
      <c r="F178" s="8">
        <v>-0.027838070840641493</v>
      </c>
      <c r="G178" s="57">
        <v>-0.26206143566985896</v>
      </c>
      <c r="H178" s="6">
        <v>94065.33380275469</v>
      </c>
      <c r="I178" s="8">
        <v>-0.010357015133629022</v>
      </c>
      <c r="J178" s="8">
        <v>0.8293566788622564</v>
      </c>
      <c r="K178" s="6">
        <v>19354.30361042339</v>
      </c>
      <c r="L178" s="8">
        <v>-0.0021309956313378398</v>
      </c>
      <c r="M178" s="8">
        <v>0.17064332113774364</v>
      </c>
      <c r="N178" s="59">
        <v>0.015350060075674632</v>
      </c>
      <c r="O178" s="8">
        <v>0.07092701741418583</v>
      </c>
      <c r="P178" s="6">
        <v>108.84374917159934</v>
      </c>
      <c r="Q178" s="60">
        <v>1412.0970793473368</v>
      </c>
      <c r="R178" s="60">
        <v>1260.4003336150395</v>
      </c>
      <c r="S178" s="8">
        <v>0.12035600252279025</v>
      </c>
      <c r="T178" s="17">
        <v>140220.62499999997</v>
      </c>
      <c r="U178" s="17">
        <v>113419.63741317808</v>
      </c>
      <c r="V178" s="17">
        <v>-26800.987586821895</v>
      </c>
    </row>
    <row r="179">
      <c r="A179" s="61">
        <v>44687.98194834491</v>
      </c>
      <c r="B179" s="56">
        <v>4.55851243842658</v>
      </c>
      <c r="C179" s="8">
        <v>-0.003170035052660336</v>
      </c>
      <c r="D179" s="57">
        <v>-0.17864640749070626</v>
      </c>
      <c r="E179" s="58">
        <v>83.35</v>
      </c>
      <c r="F179" s="8">
        <v>-0.007901234628036824</v>
      </c>
      <c r="G179" s="57">
        <v>-0.23422336482921746</v>
      </c>
      <c r="H179" s="6">
        <v>95879.45002926378</v>
      </c>
      <c r="I179" s="8">
        <v>-0.002639049517321328</v>
      </c>
      <c r="J179" s="8">
        <v>0.8324985287170884</v>
      </c>
      <c r="K179" s="6">
        <v>19291.264058384666</v>
      </c>
      <c r="L179" s="8">
        <v>-5.309855353390084E-4</v>
      </c>
      <c r="M179" s="8">
        <v>0.16750147128291157</v>
      </c>
      <c r="N179" s="59">
        <v>0.004731199575376488</v>
      </c>
      <c r="O179" s="8">
        <v>0.0555769573385112</v>
      </c>
      <c r="P179" s="6">
        <v>108.84374917159934</v>
      </c>
      <c r="Q179" s="60">
        <v>1381.7722146088597</v>
      </c>
      <c r="R179" s="60">
        <v>1260.4003336150395</v>
      </c>
      <c r="S179" s="8">
        <v>0.09629629392885461</v>
      </c>
      <c r="T179" s="17">
        <v>140220.62499999997</v>
      </c>
      <c r="U179" s="17">
        <v>115170.71408764845</v>
      </c>
      <c r="V179" s="17">
        <v>-25049.910912351523</v>
      </c>
    </row>
    <row r="180">
      <c r="A180" s="61">
        <v>44686.0</v>
      </c>
      <c r="B180" s="56">
        <v>4.576106132968845</v>
      </c>
      <c r="C180" s="8">
        <v>0.0015554238104804607</v>
      </c>
      <c r="D180" s="57">
        <v>-0.17547637243804592</v>
      </c>
      <c r="E180" s="58">
        <v>84.21</v>
      </c>
      <c r="F180" s="8">
        <v>-0.0202124606763735</v>
      </c>
      <c r="G180" s="57">
        <v>-0.22632213020118064</v>
      </c>
      <c r="H180" s="6">
        <v>96352.59862941517</v>
      </c>
      <c r="I180" s="8">
        <v>0.0012962750769719953</v>
      </c>
      <c r="J180" s="8">
        <v>0.8333902748805061</v>
      </c>
      <c r="K180" s="6">
        <v>19262.619754589236</v>
      </c>
      <c r="L180" s="8">
        <v>2.591487335084654E-4</v>
      </c>
      <c r="M180" s="8">
        <v>0.16660972511949393</v>
      </c>
      <c r="N180" s="59">
        <v>0.02176788448685396</v>
      </c>
      <c r="O180" s="8">
        <v>0.050845757763134714</v>
      </c>
      <c r="P180" s="6">
        <v>108.84374917159934</v>
      </c>
      <c r="Q180" s="60">
        <v>1372.9392991806722</v>
      </c>
      <c r="R180" s="60">
        <v>1260.4003336150395</v>
      </c>
      <c r="S180" s="8">
        <v>0.08928827021399785</v>
      </c>
      <c r="T180" s="17">
        <v>140220.62499999997</v>
      </c>
      <c r="U180" s="17">
        <v>115615.2183840044</v>
      </c>
      <c r="V180" s="17">
        <v>-24605.40661599557</v>
      </c>
    </row>
    <row r="181">
      <c r="A181" s="61">
        <v>44685.0</v>
      </c>
      <c r="B181" s="56">
        <v>4.567473530820679</v>
      </c>
      <c r="C181" s="8">
        <v>0.004044538817016274</v>
      </c>
      <c r="D181" s="57">
        <v>-0.17703179624852639</v>
      </c>
      <c r="E181" s="58">
        <v>86.41</v>
      </c>
      <c r="F181" s="8">
        <v>0.006339362666680781</v>
      </c>
      <c r="G181" s="57">
        <v>-0.20610966952480714</v>
      </c>
      <c r="H181" s="6">
        <v>96437.83730181532</v>
      </c>
      <c r="I181" s="8">
        <v>0.0033799067699068876</v>
      </c>
      <c r="J181" s="8">
        <v>0.8356717348556202</v>
      </c>
      <c r="K181" s="6">
        <v>18963.74118818468</v>
      </c>
      <c r="L181" s="8">
        <v>6.646320471093866E-4</v>
      </c>
      <c r="M181" s="8">
        <v>0.16432826514437981</v>
      </c>
      <c r="N181" s="59">
        <v>-0.002294823849664507</v>
      </c>
      <c r="O181" s="8">
        <v>0.029077873276280752</v>
      </c>
      <c r="P181" s="6">
        <v>108.84374917159934</v>
      </c>
      <c r="Q181" s="60">
        <v>1335.4602476565212</v>
      </c>
      <c r="R181" s="60">
        <v>1260.4003336150395</v>
      </c>
      <c r="S181" s="8">
        <v>0.05955243904624918</v>
      </c>
      <c r="T181" s="17">
        <v>140220.63</v>
      </c>
      <c r="U181" s="17">
        <v>115397.12</v>
      </c>
      <c r="V181" s="17">
        <v>-24823.5</v>
      </c>
    </row>
    <row r="182">
      <c r="A182" s="61">
        <v>44684.0</v>
      </c>
      <c r="B182" s="56">
        <v>4.545026340386238</v>
      </c>
      <c r="C182" s="8">
        <v>-0.011876335065542531</v>
      </c>
      <c r="D182" s="57">
        <v>-0.18107633506554266</v>
      </c>
      <c r="E182" s="58">
        <v>85.72</v>
      </c>
      <c r="F182" s="8">
        <v>-0.027194947091847887</v>
      </c>
      <c r="G182" s="57">
        <v>-0.21244903219148792</v>
      </c>
      <c r="H182" s="6">
        <v>95877.98931408471</v>
      </c>
      <c r="I182" s="8">
        <v>-0.009916217401947277</v>
      </c>
      <c r="J182" s="8">
        <v>0.8349560152372046</v>
      </c>
      <c r="K182" s="6">
        <v>18951.998810315476</v>
      </c>
      <c r="L182" s="8">
        <v>-0.0019601176635952538</v>
      </c>
      <c r="M182" s="8">
        <v>0.16504398476279536</v>
      </c>
      <c r="N182" s="59">
        <v>0.015318612026305356</v>
      </c>
      <c r="O182" s="8">
        <v>0.03137269712594526</v>
      </c>
      <c r="P182" s="6">
        <v>108.84374917159934</v>
      </c>
      <c r="Q182" s="60">
        <v>1339.5938885254338</v>
      </c>
      <c r="R182" s="60">
        <v>1260.4003336150395</v>
      </c>
      <c r="S182" s="8">
        <v>0.06283206438326938</v>
      </c>
      <c r="T182" s="6">
        <v>140220.62499999997</v>
      </c>
      <c r="U182" s="6">
        <v>114829.98812440019</v>
      </c>
      <c r="V182" s="6">
        <v>-25390.636875599783</v>
      </c>
    </row>
    <row r="183">
      <c r="A183" s="61">
        <v>44683.0</v>
      </c>
      <c r="B183" s="56">
        <v>4.610939999999999</v>
      </c>
      <c r="C183" s="8">
        <v>-0.0013312580362880855</v>
      </c>
      <c r="D183" s="57">
        <v>-0.16920000000000013</v>
      </c>
      <c r="E183" s="58">
        <v>88.68</v>
      </c>
      <c r="F183" s="8">
        <v>0.005420614454118344</v>
      </c>
      <c r="G183" s="57">
        <v>-0.18525408509964003</v>
      </c>
      <c r="H183" s="6">
        <v>97625.58942792266</v>
      </c>
      <c r="I183" s="8">
        <v>-0.0011156231691106277</v>
      </c>
      <c r="J183" s="8">
        <v>0.8380217348556203</v>
      </c>
      <c r="K183" s="6">
        <v>18869.705822077303</v>
      </c>
      <c r="L183" s="8">
        <v>-2.1563486717745788E-4</v>
      </c>
      <c r="M183" s="8">
        <v>0.1619782651443798</v>
      </c>
      <c r="N183" s="59">
        <v>-0.00675187249040643</v>
      </c>
      <c r="O183" s="8">
        <v>0.016054085099639903</v>
      </c>
      <c r="P183" s="6">
        <v>108.84374917159934</v>
      </c>
      <c r="Q183" s="60">
        <v>1313.6591706134411</v>
      </c>
      <c r="R183" s="60">
        <v>1260.4003336150395</v>
      </c>
      <c r="S183" s="8">
        <v>0.04225549262244828</v>
      </c>
      <c r="T183" s="6">
        <v>140220.62499999997</v>
      </c>
      <c r="U183" s="6">
        <v>116495.29524999997</v>
      </c>
      <c r="V183" s="6">
        <v>-23725.329750000004</v>
      </c>
    </row>
    <row r="184">
      <c r="A184" s="61">
        <v>44682.0</v>
      </c>
      <c r="B184" s="56">
        <v>4.618328482101398</v>
      </c>
      <c r="C184" s="8">
        <v>-0.016191589458557254</v>
      </c>
      <c r="D184" s="57">
        <v>-0.16786874196371204</v>
      </c>
      <c r="E184" s="58">
        <v>88.09</v>
      </c>
      <c r="F184" s="8">
        <v>-0.025633075130491623</v>
      </c>
      <c r="G184" s="57">
        <v>-0.19067469955375838</v>
      </c>
      <c r="H184" s="6">
        <v>97711.05297282118</v>
      </c>
      <c r="I184" s="8">
        <v>-0.013559055627507352</v>
      </c>
      <c r="J184" s="8">
        <v>0.8374135017573208</v>
      </c>
      <c r="K184" s="6">
        <v>18970.912111063357</v>
      </c>
      <c r="L184" s="8">
        <v>-0.002632533831049903</v>
      </c>
      <c r="M184" s="8">
        <v>0.16258649824267926</v>
      </c>
      <c r="N184" s="59">
        <v>0.009441485671934369</v>
      </c>
      <c r="O184" s="8">
        <v>0.022805957590046333</v>
      </c>
      <c r="P184" s="6">
        <v>108.84374917159934</v>
      </c>
      <c r="Q184" s="60">
        <v>1324.5767406502955</v>
      </c>
      <c r="R184" s="60">
        <v>1260.4003336150395</v>
      </c>
      <c r="S184" s="8">
        <v>0.05091747861664503</v>
      </c>
      <c r="T184" s="6">
        <v>140220.62499999997</v>
      </c>
      <c r="U184" s="6">
        <v>116681.96508388454</v>
      </c>
      <c r="V184" s="6">
        <v>-23538.65991611543</v>
      </c>
    </row>
    <row r="185">
      <c r="A185" s="61">
        <v>44681.0</v>
      </c>
      <c r="B185" s="56">
        <v>4.708191803596391</v>
      </c>
      <c r="C185" s="8">
        <v>-0.022225767814715525</v>
      </c>
      <c r="D185" s="57">
        <v>-0.1516771525051548</v>
      </c>
      <c r="E185" s="58">
        <v>90.88</v>
      </c>
      <c r="F185" s="8">
        <v>-0.029032443516972872</v>
      </c>
      <c r="G185" s="57">
        <v>-0.16504162442326675</v>
      </c>
      <c r="H185" s="6">
        <v>99956.44026968651</v>
      </c>
      <c r="I185" s="8">
        <v>-0.018676456989228894</v>
      </c>
      <c r="J185" s="8">
        <v>0.8403064922177106</v>
      </c>
      <c r="K185" s="6">
        <v>18995.919607820324</v>
      </c>
      <c r="L185" s="8">
        <v>-0.00354931082548663</v>
      </c>
      <c r="M185" s="8">
        <v>0.15969350778228936</v>
      </c>
      <c r="N185" s="59">
        <v>0.006806675702257348</v>
      </c>
      <c r="O185" s="8">
        <v>0.013364471918111964</v>
      </c>
      <c r="P185" s="6">
        <v>108.84374917159934</v>
      </c>
      <c r="Q185" s="60">
        <v>1308.8948049901721</v>
      </c>
      <c r="R185" s="60">
        <v>1260.4003336150395</v>
      </c>
      <c r="S185" s="8">
        <v>0.03847545107834301</v>
      </c>
      <c r="T185" s="6">
        <v>140220.62499999997</v>
      </c>
      <c r="U185" s="6">
        <v>118952.35987750684</v>
      </c>
      <c r="V185" s="6">
        <v>-21268.265122493132</v>
      </c>
    </row>
    <row r="186">
      <c r="A186" s="61">
        <v>44680.0</v>
      </c>
      <c r="B186" s="56">
        <v>4.831544814968062</v>
      </c>
      <c r="C186" s="8">
        <v>-0.03119534192758866</v>
      </c>
      <c r="D186" s="57">
        <v>-0.12945138469043926</v>
      </c>
      <c r="E186" s="58">
        <v>94.04</v>
      </c>
      <c r="F186" s="8">
        <v>-0.04125179474405283</v>
      </c>
      <c r="G186" s="57">
        <v>-0.13600918090629388</v>
      </c>
      <c r="H186" s="6">
        <v>102975.2415479554</v>
      </c>
      <c r="I186" s="8">
        <v>-0.02631586452507405</v>
      </c>
      <c r="J186" s="8">
        <v>0.8435831409111988</v>
      </c>
      <c r="K186" s="6">
        <v>19093.62938363575</v>
      </c>
      <c r="L186" s="8">
        <v>-0.004879477402514607</v>
      </c>
      <c r="M186" s="8">
        <v>0.15641685908880118</v>
      </c>
      <c r="N186" s="59">
        <v>0.010056452816464168</v>
      </c>
      <c r="O186" s="8">
        <v>0.006557796215854617</v>
      </c>
      <c r="P186" s="6">
        <v>108.84374917159934</v>
      </c>
      <c r="Q186" s="60">
        <v>1298.0526470819987</v>
      </c>
      <c r="R186" s="60">
        <v>1260.4003336150395</v>
      </c>
      <c r="S186" s="8">
        <v>0.029873296969833416</v>
      </c>
      <c r="T186" s="17">
        <v>140220.62499999997</v>
      </c>
      <c r="U186" s="17">
        <v>122068.87093159115</v>
      </c>
      <c r="V186" s="17">
        <v>-18151.754068408816</v>
      </c>
    </row>
    <row r="187">
      <c r="A187" s="61">
        <v>44679.0</v>
      </c>
      <c r="B187" s="56">
        <v>5.004678962666179</v>
      </c>
      <c r="C187" s="8">
        <v>0.005513554660370734</v>
      </c>
      <c r="D187" s="57">
        <v>-0.0982560427628506</v>
      </c>
      <c r="E187" s="58">
        <v>98.53</v>
      </c>
      <c r="F187" s="8">
        <v>0.0015618719613561538</v>
      </c>
      <c r="G187" s="57">
        <v>-0.09475738616224105</v>
      </c>
      <c r="H187" s="6">
        <v>107253.95529294555</v>
      </c>
      <c r="I187" s="8">
        <v>0.0046768114597906035</v>
      </c>
      <c r="J187" s="8">
        <v>0.8482388854155538</v>
      </c>
      <c r="K187" s="6">
        <v>19189.145980820787</v>
      </c>
      <c r="L187" s="8">
        <v>8.367432005801302E-4</v>
      </c>
      <c r="M187" s="8">
        <v>0.1517611145844462</v>
      </c>
      <c r="N187" s="59">
        <v>0.00395168269901458</v>
      </c>
      <c r="O187" s="8">
        <v>-0.003498656600609551</v>
      </c>
      <c r="P187" s="6">
        <v>108.84374917159934</v>
      </c>
      <c r="Q187" s="60">
        <v>1283.2954559399811</v>
      </c>
      <c r="R187" s="60">
        <v>1260.4003336150395</v>
      </c>
      <c r="S187" s="8">
        <v>0.01816496054017585</v>
      </c>
      <c r="T187" s="17">
        <v>140220.62499999997</v>
      </c>
      <c r="U187" s="17">
        <v>126443.10127376634</v>
      </c>
      <c r="V187" s="17">
        <v>-13777.52372623363</v>
      </c>
    </row>
    <row r="188">
      <c r="A188" s="61">
        <v>44678.0</v>
      </c>
      <c r="B188" s="56">
        <v>4.974078734301122</v>
      </c>
      <c r="C188" s="8">
        <v>-0.006169487371080362</v>
      </c>
      <c r="D188" s="57">
        <v>-0.10376959742322134</v>
      </c>
      <c r="E188" s="58">
        <v>98.36</v>
      </c>
      <c r="F188" s="8">
        <v>0.008911857661855538</v>
      </c>
      <c r="G188" s="57">
        <v>-0.0963192581235972</v>
      </c>
      <c r="H188" s="6">
        <v>106576.01733923356</v>
      </c>
      <c r="I188" s="8">
        <v>-0.005232111562349285</v>
      </c>
      <c r="J188" s="8">
        <v>0.8480626100111573</v>
      </c>
      <c r="K188" s="6">
        <v>19093.969854083945</v>
      </c>
      <c r="L188" s="8">
        <v>-9.373758087310767E-4</v>
      </c>
      <c r="M188" s="8">
        <v>0.15193738998884268</v>
      </c>
      <c r="N188" s="59">
        <v>-0.0150813450329359</v>
      </c>
      <c r="O188" s="8">
        <v>-0.007450339299624131</v>
      </c>
      <c r="P188" s="6">
        <v>108.84374917159934</v>
      </c>
      <c r="Q188" s="60">
        <v>1277.6533874879779</v>
      </c>
      <c r="R188" s="60">
        <v>1260.4003336150395</v>
      </c>
      <c r="S188" s="8">
        <v>0.01368855070313551</v>
      </c>
      <c r="T188" s="17">
        <v>140220.62499999997</v>
      </c>
      <c r="U188" s="17">
        <v>125669.9871933175</v>
      </c>
      <c r="V188" s="17">
        <v>-14550.637806682469</v>
      </c>
    </row>
    <row r="189">
      <c r="A189" s="61">
        <v>44677.0</v>
      </c>
      <c r="B189" s="56">
        <v>5.008319389210618</v>
      </c>
      <c r="C189" s="8">
        <v>0.008513421990666292</v>
      </c>
      <c r="D189" s="57">
        <v>-0.09760011005214098</v>
      </c>
      <c r="E189" s="75">
        <v>97.39</v>
      </c>
      <c r="F189" s="8">
        <v>-0.02434682763290441</v>
      </c>
      <c r="G189" s="57">
        <v>-0.10523111578545274</v>
      </c>
      <c r="H189" s="6">
        <v>107182.39746234842</v>
      </c>
      <c r="I189" s="8">
        <v>0.00721135201648921</v>
      </c>
      <c r="J189" s="8">
        <v>0.8470568032919537</v>
      </c>
      <c r="K189" s="6">
        <v>19352.679106071562</v>
      </c>
      <c r="L189" s="8">
        <v>0.001302069974177082</v>
      </c>
      <c r="M189" s="8">
        <v>0.15294319670804632</v>
      </c>
      <c r="N189" s="59">
        <v>0.0328602496235707</v>
      </c>
      <c r="O189" s="8">
        <v>0.007631005733311769</v>
      </c>
      <c r="P189" s="6">
        <v>108.84374917159934</v>
      </c>
      <c r="Q189" s="60">
        <v>1299.2614905885614</v>
      </c>
      <c r="R189" s="60">
        <v>1260.4003336150395</v>
      </c>
      <c r="S189" s="8">
        <v>0.03083239184970827</v>
      </c>
      <c r="T189" s="6">
        <v>140220.62499999997</v>
      </c>
      <c r="U189" s="6">
        <v>126535.07656841999</v>
      </c>
      <c r="V189" s="6">
        <v>-13685.548431579984</v>
      </c>
    </row>
    <row r="190">
      <c r="A190" s="61">
        <v>44676.0</v>
      </c>
      <c r="B190" s="56">
        <v>4.961069897162419</v>
      </c>
      <c r="C190" s="8">
        <v>-0.009175331104678386</v>
      </c>
      <c r="D190" s="57">
        <v>-0.10611353204280727</v>
      </c>
      <c r="E190" s="75">
        <v>100.04</v>
      </c>
      <c r="F190" s="8">
        <v>1.83749642512554E-4</v>
      </c>
      <c r="G190" s="57">
        <v>-0.08088428815254833</v>
      </c>
      <c r="H190" s="6">
        <v>106515.6328701533</v>
      </c>
      <c r="I190" s="8">
        <v>-0.007797238815747722</v>
      </c>
      <c r="J190" s="8">
        <v>0.8498046257722522</v>
      </c>
      <c r="K190" s="6">
        <v>18825.686345846712</v>
      </c>
      <c r="L190" s="8">
        <v>-0.0013780922889306644</v>
      </c>
      <c r="M190" s="8">
        <v>0.15019537422774776</v>
      </c>
      <c r="N190" s="59">
        <v>-0.00935908074719094</v>
      </c>
      <c r="O190" s="8">
        <v>-0.025229243890258934</v>
      </c>
      <c r="P190" s="6">
        <v>108.84374917159934</v>
      </c>
      <c r="Q190" s="60">
        <v>1252.9120273490605</v>
      </c>
      <c r="R190" s="60">
        <v>1260.4003336150395</v>
      </c>
      <c r="S190" s="8">
        <v>-0.0059412125387980855</v>
      </c>
      <c r="T190" s="6">
        <v>140220.62499999997</v>
      </c>
      <c r="U190" s="6">
        <v>125341.31921600002</v>
      </c>
      <c r="V190" s="6">
        <v>-14879.305783999953</v>
      </c>
    </row>
    <row r="191">
      <c r="A191" s="55">
        <v>44675.0</v>
      </c>
      <c r="B191" s="56">
        <v>5.011992984793385</v>
      </c>
      <c r="C191" s="8">
        <v>-0.032802726639109214</v>
      </c>
      <c r="D191" s="57">
        <v>-0.09693820093812888</v>
      </c>
      <c r="E191" s="75">
        <v>100.02</v>
      </c>
      <c r="F191" s="8">
        <v>-0.016169968541098756</v>
      </c>
      <c r="G191" s="57">
        <v>-0.08106803779506089</v>
      </c>
      <c r="H191" s="6">
        <v>107606.34052517216</v>
      </c>
      <c r="I191" s="8">
        <v>-0.02787522856363374</v>
      </c>
      <c r="J191" s="8">
        <v>0.849783887489382</v>
      </c>
      <c r="K191" s="6">
        <v>19021.549352907794</v>
      </c>
      <c r="L191" s="8">
        <v>-0.004927498075475474</v>
      </c>
      <c r="M191" s="8">
        <v>0.15021611251061792</v>
      </c>
      <c r="N191" s="59">
        <v>-0.01663275809801046</v>
      </c>
      <c r="O191" s="8">
        <v>-0.015870163143067995</v>
      </c>
      <c r="P191" s="6">
        <v>108.84374917159934</v>
      </c>
      <c r="Q191" s="60">
        <v>1266.0256936420712</v>
      </c>
      <c r="R191" s="60">
        <v>1260.4003336150395</v>
      </c>
      <c r="S191" s="8">
        <v>0.004463153394205553</v>
      </c>
      <c r="T191" s="6">
        <v>140220.62499999997</v>
      </c>
      <c r="U191" s="6">
        <v>126627.88987807995</v>
      </c>
      <c r="V191" s="6">
        <v>-13592.73512192002</v>
      </c>
    </row>
    <row r="192">
      <c r="A192" s="61">
        <v>44674.0</v>
      </c>
      <c r="B192" s="56">
        <v>5.194048117640441</v>
      </c>
      <c r="C192" s="8">
        <v>0.019482708141687288</v>
      </c>
      <c r="D192" s="57">
        <v>-0.06413547429901967</v>
      </c>
      <c r="E192" s="58">
        <v>101.78</v>
      </c>
      <c r="F192" s="8">
        <v>0.0022968705314061477</v>
      </c>
      <c r="G192" s="57">
        <v>-0.06489806925396213</v>
      </c>
      <c r="H192" s="6">
        <v>111754.50861762709</v>
      </c>
      <c r="I192" s="8">
        <v>0.01659164679976577</v>
      </c>
      <c r="J192" s="8">
        <v>0.8516088563819577</v>
      </c>
      <c r="K192" s="6">
        <v>19473.000091492926</v>
      </c>
      <c r="L192" s="8">
        <v>0.0028910613419215205</v>
      </c>
      <c r="M192" s="8">
        <v>0.14839114361804231</v>
      </c>
      <c r="N192" s="59">
        <v>0.01718583761028114</v>
      </c>
      <c r="O192" s="8">
        <v>7.625949549424638E-4</v>
      </c>
      <c r="P192" s="6">
        <v>108.84374917159934</v>
      </c>
      <c r="Q192" s="60">
        <v>1289.3251003057576</v>
      </c>
      <c r="R192" s="60">
        <v>1260.4003336150395</v>
      </c>
      <c r="S192" s="8">
        <v>0.022948872607607963</v>
      </c>
      <c r="T192" s="6">
        <v>140220.62499999997</v>
      </c>
      <c r="U192" s="6">
        <v>131227.50870912</v>
      </c>
      <c r="V192" s="6">
        <v>-8993.11629087996</v>
      </c>
    </row>
    <row r="193">
      <c r="A193" s="55">
        <v>44673.0</v>
      </c>
      <c r="B193" s="56">
        <v>5.0859190874540765</v>
      </c>
      <c r="C193" s="8">
        <v>0.004758048238338919</v>
      </c>
      <c r="D193" s="57">
        <v>-0.08361818244070696</v>
      </c>
      <c r="E193" s="75">
        <v>101.53</v>
      </c>
      <c r="F193" s="8">
        <v>-0.031053689584610078</v>
      </c>
      <c r="G193" s="57">
        <v>-0.06719493978536828</v>
      </c>
      <c r="H193" s="6">
        <v>109394.70779924291</v>
      </c>
      <c r="I193" s="8">
        <v>0.0040507625969835375</v>
      </c>
      <c r="J193" s="8">
        <v>0.8513496278460805</v>
      </c>
      <c r="K193" s="6">
        <v>19100.92339755711</v>
      </c>
      <c r="L193" s="8">
        <v>7.072856413553813E-4</v>
      </c>
      <c r="M193" s="8">
        <v>0.1486503721539195</v>
      </c>
      <c r="N193" s="59">
        <v>0.035811737822949</v>
      </c>
      <c r="O193" s="8">
        <v>-0.016423242655338677</v>
      </c>
      <c r="P193" s="6">
        <v>108.84374917159934</v>
      </c>
      <c r="Q193" s="60">
        <v>1265.5927430000986</v>
      </c>
      <c r="R193" s="60">
        <v>1260.4003336150395</v>
      </c>
      <c r="S193" s="8">
        <v>0.004119650912949567</v>
      </c>
      <c r="T193" s="6">
        <v>140220.62499999997</v>
      </c>
      <c r="U193" s="6">
        <v>128495.63119680002</v>
      </c>
      <c r="V193" s="6">
        <v>-11724.993803199948</v>
      </c>
    </row>
    <row r="194">
      <c r="A194" s="61">
        <v>44672.0</v>
      </c>
      <c r="B194" s="56">
        <v>5.059511919731295</v>
      </c>
      <c r="C194" s="8">
        <v>0.12692376932095417</v>
      </c>
      <c r="D194" s="57">
        <v>-0.08837623067904588</v>
      </c>
      <c r="E194" s="75">
        <v>104.91</v>
      </c>
      <c r="F194" s="8">
        <v>0.031186699174628574</v>
      </c>
      <c r="G194" s="57">
        <v>-0.0361412502007582</v>
      </c>
      <c r="H194" s="6">
        <v>109274.71664442394</v>
      </c>
      <c r="I194" s="8">
        <v>0.1085013423704766</v>
      </c>
      <c r="J194" s="8">
        <v>0.8548543976511406</v>
      </c>
      <c r="K194" s="6">
        <v>18553.738054616042</v>
      </c>
      <c r="L194" s="8">
        <v>0.01842242695047757</v>
      </c>
      <c r="M194" s="8">
        <v>0.14514560234885937</v>
      </c>
      <c r="N194" s="59">
        <v>0.0957370701463256</v>
      </c>
      <c r="O194" s="8">
        <v>-0.052234980478287674</v>
      </c>
      <c r="P194" s="6">
        <v>108.84374917159934</v>
      </c>
      <c r="Q194" s="60">
        <v>1218.4582470597654</v>
      </c>
      <c r="R194" s="60">
        <v>1260.4003336150395</v>
      </c>
      <c r="S194" s="8">
        <v>-0.033276797408468714</v>
      </c>
      <c r="T194" s="6">
        <v>140220.62499999997</v>
      </c>
      <c r="U194" s="6">
        <v>127828.45469903998</v>
      </c>
      <c r="V194" s="6">
        <v>-12392.170300959988</v>
      </c>
    </row>
    <row r="195">
      <c r="A195" s="61">
        <v>44671.0</v>
      </c>
      <c r="B195" s="56">
        <v>4.355085</v>
      </c>
      <c r="C195" s="8">
        <v>-0.15651124003438543</v>
      </c>
      <c r="D195" s="57">
        <v>-0.21530000000000005</v>
      </c>
      <c r="E195" s="58">
        <v>105.6</v>
      </c>
      <c r="F195" s="8">
        <v>-0.025966437773071727</v>
      </c>
      <c r="G195" s="57">
        <v>-0.06732794937538678</v>
      </c>
      <c r="H195" s="6">
        <v>29244.12153130173</v>
      </c>
      <c r="I195" s="8">
        <v>-0.13390630104093038</v>
      </c>
      <c r="J195" s="8">
        <v>0.8555698684101617</v>
      </c>
      <c r="K195" s="6">
        <v>4936.747397198269</v>
      </c>
      <c r="L195" s="8">
        <v>-0.02260493899345505</v>
      </c>
      <c r="M195" s="8">
        <v>0.14443013158983825</v>
      </c>
      <c r="N195" s="59">
        <v>-0.1305448022613137</v>
      </c>
      <c r="O195" s="8">
        <v>-0.14797205062461327</v>
      </c>
      <c r="P195" s="6">
        <v>113.22307763943324</v>
      </c>
      <c r="Q195" s="60">
        <v>323.6824709138258</v>
      </c>
      <c r="R195" s="60">
        <v>380.5841522</v>
      </c>
      <c r="S195" s="8">
        <v>-0.1495114311966199</v>
      </c>
      <c r="T195" s="6">
        <v>43559.155</v>
      </c>
      <c r="U195" s="6">
        <v>34180.8689285</v>
      </c>
      <c r="V195" s="6">
        <v>-9378.286071499999</v>
      </c>
    </row>
    <row r="196">
      <c r="A196" s="61">
        <v>44670.0</v>
      </c>
      <c r="B196" s="56">
        <v>5.2237223821908385</v>
      </c>
      <c r="C196" s="8">
        <v>0.222569298665229</v>
      </c>
      <c r="D196" s="57">
        <v>-0.05878875996561461</v>
      </c>
      <c r="E196" s="58">
        <v>108.54</v>
      </c>
      <c r="F196" s="8">
        <v>0.05537740300583649</v>
      </c>
      <c r="G196" s="57">
        <v>-0.04136151160231505</v>
      </c>
      <c r="H196" s="6">
        <v>35201.951504276156</v>
      </c>
      <c r="I196" s="8">
        <v>0.19110209421702065</v>
      </c>
      <c r="J196" s="8">
        <v>0.8586183959920779</v>
      </c>
      <c r="K196" s="6">
        <v>5796.414788123839</v>
      </c>
      <c r="L196" s="8">
        <v>0.03146720444820836</v>
      </c>
      <c r="M196" s="8">
        <v>0.14138160400792213</v>
      </c>
      <c r="N196" s="59">
        <v>0.16719189565939252</v>
      </c>
      <c r="O196" s="8">
        <v>-0.017427248363299563</v>
      </c>
      <c r="P196" s="6">
        <v>113.22307763943324</v>
      </c>
      <c r="Q196" s="60">
        <v>377.7258733407038</v>
      </c>
      <c r="R196" s="60">
        <v>380.5841522</v>
      </c>
      <c r="S196" s="8">
        <v>-0.0075102414085654245</v>
      </c>
      <c r="T196" s="6">
        <v>43559.155</v>
      </c>
      <c r="U196" s="6">
        <v>40998.366292399995</v>
      </c>
      <c r="V196" s="6">
        <v>-2560.7887076000043</v>
      </c>
    </row>
    <row r="197">
      <c r="A197" s="55">
        <v>44669.0</v>
      </c>
      <c r="B197" s="56">
        <v>3.9884627745988177</v>
      </c>
      <c r="C197" s="8">
        <v>4.419413691564289E-4</v>
      </c>
      <c r="D197" s="57">
        <v>-0.2813580586308436</v>
      </c>
      <c r="E197" s="58">
        <v>102.27</v>
      </c>
      <c r="F197" s="8">
        <v>0.016162782695483324</v>
      </c>
      <c r="G197" s="57">
        <v>-0.09673891460815154</v>
      </c>
      <c r="H197" s="6">
        <v>26674.187986748635</v>
      </c>
      <c r="I197" s="8">
        <v>3.7658572905076016E-4</v>
      </c>
      <c r="J197" s="8">
        <v>0.852116944312277</v>
      </c>
      <c r="K197" s="6">
        <v>4629.247726851365</v>
      </c>
      <c r="L197" s="8">
        <v>6.53556401056687E-5</v>
      </c>
      <c r="M197" s="8">
        <v>0.14788305568772298</v>
      </c>
      <c r="N197" s="59">
        <v>-0.015720841326326895</v>
      </c>
      <c r="O197" s="8">
        <v>-0.18461914402269208</v>
      </c>
      <c r="P197" s="6">
        <v>113.22307763943324</v>
      </c>
      <c r="Q197" s="60">
        <v>306.0862003872103</v>
      </c>
      <c r="R197" s="60">
        <v>380.5841522</v>
      </c>
      <c r="S197" s="8">
        <v>-0.19574633200606958</v>
      </c>
      <c r="T197" s="6">
        <v>43559.155</v>
      </c>
      <c r="U197" s="6">
        <v>31303.435713599996</v>
      </c>
      <c r="V197" s="6">
        <v>-12255.719286400003</v>
      </c>
    </row>
    <row r="198">
      <c r="A198" s="61">
        <v>44668.0</v>
      </c>
      <c r="B198" s="56">
        <v>3.9860099999999994</v>
      </c>
      <c r="C198" s="8">
        <v>0.013917352607690003</v>
      </c>
      <c r="D198" s="57">
        <v>-0.28180000000000005</v>
      </c>
      <c r="E198" s="58">
        <v>100.44</v>
      </c>
      <c r="F198" s="8">
        <v>-0.016516067563144166</v>
      </c>
      <c r="G198" s="57">
        <v>-0.11290169730363486</v>
      </c>
      <c r="H198" s="6">
        <v>26598.42083494931</v>
      </c>
      <c r="I198" s="8">
        <v>0.011832803064422127</v>
      </c>
      <c r="J198" s="8">
        <v>0.8502193914296557</v>
      </c>
      <c r="K198" s="6">
        <v>4685.764286050689</v>
      </c>
      <c r="L198" s="8">
        <v>0.0020845495432678766</v>
      </c>
      <c r="M198" s="8">
        <v>0.14978060857034428</v>
      </c>
      <c r="N198" s="59">
        <v>0.03043342017083417</v>
      </c>
      <c r="O198" s="8">
        <v>-0.1688983026963652</v>
      </c>
      <c r="P198" s="6">
        <v>113.22307763943324</v>
      </c>
      <c r="Q198" s="60">
        <v>311.47137715053765</v>
      </c>
      <c r="R198" s="60">
        <v>380.5841522</v>
      </c>
      <c r="S198" s="8">
        <v>-0.18159656583162992</v>
      </c>
      <c r="T198" s="6">
        <v>43559.155</v>
      </c>
      <c r="U198" s="6">
        <v>31284.185121</v>
      </c>
      <c r="V198" s="6">
        <v>-12274.969879</v>
      </c>
    </row>
    <row r="199">
      <c r="A199" s="61">
        <v>44667.0</v>
      </c>
      <c r="B199" s="56">
        <v>3.90876869302732</v>
      </c>
      <c r="C199" s="8">
        <v>0.009472126295017258</v>
      </c>
      <c r="D199" s="57">
        <v>-0.29571735260769005</v>
      </c>
      <c r="E199" s="58">
        <v>102.31</v>
      </c>
      <c r="F199" s="8">
        <v>0.008478836823860192</v>
      </c>
      <c r="G199" s="57">
        <v>-0.0963856297404907</v>
      </c>
      <c r="H199" s="6">
        <v>26142.47939422329</v>
      </c>
      <c r="I199" s="8">
        <v>0.008071752185919052</v>
      </c>
      <c r="J199" s="8">
        <v>0.8521584208780174</v>
      </c>
      <c r="K199" s="6">
        <v>4535.477607348683</v>
      </c>
      <c r="L199" s="8">
        <v>0.0014003741090982057</v>
      </c>
      <c r="M199" s="8">
        <v>0.1478415791219826</v>
      </c>
      <c r="N199" s="59">
        <v>9.932894711570661E-4</v>
      </c>
      <c r="O199" s="8">
        <v>-0.19933172286719936</v>
      </c>
      <c r="P199" s="6">
        <v>113.22307763943324</v>
      </c>
      <c r="Q199" s="60">
        <v>299.8529664898052</v>
      </c>
      <c r="R199" s="60">
        <v>380.5841522</v>
      </c>
      <c r="S199" s="8">
        <v>-0.21212440203702937</v>
      </c>
      <c r="T199" s="6">
        <v>43559.155</v>
      </c>
      <c r="U199" s="6">
        <v>30677.957001571973</v>
      </c>
      <c r="V199" s="6">
        <v>-12881.197998428026</v>
      </c>
    </row>
    <row r="200">
      <c r="A200" s="61">
        <v>44666.0</v>
      </c>
      <c r="B200" s="56">
        <v>3.8561983920899743</v>
      </c>
      <c r="C200" s="8">
        <v>0.006055191582291064</v>
      </c>
      <c r="D200" s="57">
        <v>-0.3051894789027073</v>
      </c>
      <c r="E200" s="58">
        <v>101.35</v>
      </c>
      <c r="F200" s="8">
        <v>0.005387594231827775</v>
      </c>
      <c r="G200" s="57">
        <v>-0.10486446656435089</v>
      </c>
      <c r="H200" s="6">
        <v>25760.75341379873</v>
      </c>
      <c r="I200" s="8">
        <v>0.005153954931637416</v>
      </c>
      <c r="J200" s="8">
        <v>0.8511629833002489</v>
      </c>
      <c r="K200" s="6">
        <v>4504.605770309012</v>
      </c>
      <c r="L200" s="8">
        <v>9.01236650653648E-4</v>
      </c>
      <c r="M200" s="8">
        <v>0.1488370166997512</v>
      </c>
      <c r="N200" s="59">
        <v>6.675973504632893E-4</v>
      </c>
      <c r="O200" s="8">
        <v>-0.20032501233835642</v>
      </c>
      <c r="P200" s="6">
        <v>113.22307763943324</v>
      </c>
      <c r="Q200" s="60">
        <v>298.6221922457597</v>
      </c>
      <c r="R200" s="60">
        <v>380.5841522</v>
      </c>
      <c r="S200" s="8">
        <v>-0.21535831032493602</v>
      </c>
      <c r="T200" s="6">
        <v>43559.155</v>
      </c>
      <c r="U200" s="6">
        <v>30265.359184107743</v>
      </c>
      <c r="V200" s="6">
        <v>-13293.795815892256</v>
      </c>
    </row>
    <row r="201">
      <c r="A201" s="61">
        <v>44665.0</v>
      </c>
      <c r="B201" s="56">
        <v>3.822592078808259</v>
      </c>
      <c r="C201" s="8">
        <v>-0.09338671966188661</v>
      </c>
      <c r="D201" s="57">
        <v>-0.3112446704849984</v>
      </c>
      <c r="E201" s="58">
        <v>100.74</v>
      </c>
      <c r="F201" s="8">
        <v>-0.036211698935236014</v>
      </c>
      <c r="G201" s="57">
        <v>-0.11025206079617866</v>
      </c>
      <c r="H201" s="6">
        <v>25517.2749511158</v>
      </c>
      <c r="I201" s="8">
        <v>-0.07942825016167109</v>
      </c>
      <c r="J201" s="8">
        <v>0.8505304656727084</v>
      </c>
      <c r="K201" s="6">
        <v>4484.32520430423</v>
      </c>
      <c r="L201" s="8">
        <v>-0.013958469500215514</v>
      </c>
      <c r="M201" s="8">
        <v>0.14946953432729157</v>
      </c>
      <c r="N201" s="59">
        <v>-0.057175020726650594</v>
      </c>
      <c r="O201" s="8">
        <v>-0.2009926096888197</v>
      </c>
      <c r="P201" s="6">
        <v>113.22307763943324</v>
      </c>
      <c r="Q201" s="60">
        <v>297.81219133829694</v>
      </c>
      <c r="R201" s="60">
        <v>380.5841522</v>
      </c>
      <c r="S201" s="8">
        <v>-0.21748661993210305</v>
      </c>
      <c r="T201" s="6">
        <v>43559.155</v>
      </c>
      <c r="U201" s="6">
        <v>30001.60015542003</v>
      </c>
      <c r="V201" s="6">
        <v>-13557.554844579969</v>
      </c>
    </row>
    <row r="202">
      <c r="A202" s="61">
        <v>44664.0</v>
      </c>
      <c r="B202" s="56">
        <v>4.34088837293173</v>
      </c>
      <c r="C202" s="8">
        <v>0.012946859903381513</v>
      </c>
      <c r="D202" s="57">
        <v>-0.21785795082311177</v>
      </c>
      <c r="E202" s="58">
        <v>104.84</v>
      </c>
      <c r="F202" s="8">
        <v>0.011835043066638073</v>
      </c>
      <c r="G202" s="57">
        <v>-0.07404036186094265</v>
      </c>
      <c r="H202" s="6">
        <v>29121.943485201846</v>
      </c>
      <c r="I202" s="8">
        <v>0.011066740389428559</v>
      </c>
      <c r="J202" s="8">
        <v>0.854781813661095</v>
      </c>
      <c r="K202" s="6">
        <v>4947.503266911852</v>
      </c>
      <c r="L202" s="8">
        <v>0.0018801195139529555</v>
      </c>
      <c r="M202" s="8">
        <v>0.1452181863389051</v>
      </c>
      <c r="N202" s="59">
        <v>0.00111181683674344</v>
      </c>
      <c r="O202" s="8">
        <v>-0.14381758896216912</v>
      </c>
      <c r="P202" s="6">
        <v>113.22307763943324</v>
      </c>
      <c r="Q202" s="60">
        <v>324.9661078988334</v>
      </c>
      <c r="R202" s="60">
        <v>380.5841522</v>
      </c>
      <c r="S202" s="8">
        <v>-0.14613862395389202</v>
      </c>
      <c r="T202" s="6">
        <v>43559.155</v>
      </c>
      <c r="U202" s="6">
        <v>34069.4467521137</v>
      </c>
      <c r="V202" s="6">
        <v>-9489.708247886301</v>
      </c>
    </row>
    <row r="203">
      <c r="A203" s="61">
        <v>44663.0</v>
      </c>
      <c r="B203" s="56">
        <v>4.269033300467962</v>
      </c>
      <c r="C203" s="8">
        <v>0.0407239819004529</v>
      </c>
      <c r="D203" s="57">
        <v>-0.23080481072649328</v>
      </c>
      <c r="E203" s="58">
        <v>103.5</v>
      </c>
      <c r="F203" s="8">
        <v>0.03577009285065991</v>
      </c>
      <c r="G203" s="57">
        <v>-0.08587540492758072</v>
      </c>
      <c r="H203" s="6">
        <v>28593.33091773058</v>
      </c>
      <c r="I203" s="8">
        <v>0.03475353456280188</v>
      </c>
      <c r="J203" s="8">
        <v>0.853392348708793</v>
      </c>
      <c r="K203" s="6">
        <v>4912.161557088424</v>
      </c>
      <c r="L203" s="8">
        <v>0.005970447337651023</v>
      </c>
      <c r="M203" s="8">
        <v>0.14660765129120698</v>
      </c>
      <c r="N203" s="59">
        <v>0.004953889049792992</v>
      </c>
      <c r="O203" s="8">
        <v>-0.14492940579891256</v>
      </c>
      <c r="P203" s="6">
        <v>113.22307763943324</v>
      </c>
      <c r="Q203" s="60">
        <v>323.7245649740967</v>
      </c>
      <c r="R203" s="60">
        <v>380.5841522</v>
      </c>
      <c r="S203" s="8">
        <v>-0.14940082737870578</v>
      </c>
      <c r="T203" s="6">
        <v>43559.155</v>
      </c>
      <c r="U203" s="6">
        <v>33505.49247481901</v>
      </c>
      <c r="V203" s="6">
        <v>-10053.66252518099</v>
      </c>
    </row>
    <row r="204">
      <c r="A204" s="55">
        <v>44662.0</v>
      </c>
      <c r="B204" s="56">
        <v>4.043015200920449</v>
      </c>
      <c r="C204" s="8">
        <v>-0.17842879262694622</v>
      </c>
      <c r="D204" s="57">
        <v>-0.2715287926269462</v>
      </c>
      <c r="E204" s="58">
        <v>99.45</v>
      </c>
      <c r="F204" s="8">
        <v>-0.11234458791614665</v>
      </c>
      <c r="G204" s="57">
        <v>-0.12164549777824063</v>
      </c>
      <c r="H204" s="6">
        <v>26946.23943333331</v>
      </c>
      <c r="I204" s="8">
        <v>-0.1515204542955132</v>
      </c>
      <c r="J204" s="8">
        <v>0.8491928464275819</v>
      </c>
      <c r="K204" s="6">
        <v>4785.350801666689</v>
      </c>
      <c r="L204" s="8">
        <v>-0.026908338331433034</v>
      </c>
      <c r="M204" s="8">
        <v>0.15080715357241817</v>
      </c>
      <c r="N204" s="59">
        <v>-0.06608420471079957</v>
      </c>
      <c r="O204" s="8">
        <v>-0.14988329484870555</v>
      </c>
      <c r="P204" s="6">
        <v>113.22307763943324</v>
      </c>
      <c r="Q204" s="60">
        <v>319.070791704374</v>
      </c>
      <c r="R204" s="60">
        <v>380.5841522</v>
      </c>
      <c r="S204" s="8">
        <v>-0.16162880177759012</v>
      </c>
      <c r="T204" s="6">
        <v>43559.155</v>
      </c>
      <c r="U204" s="6">
        <v>31731.590234999996</v>
      </c>
      <c r="V204" s="6">
        <v>-11827.564765000003</v>
      </c>
    </row>
    <row r="205">
      <c r="A205" s="61">
        <v>44661.0</v>
      </c>
      <c r="B205" s="56">
        <v>5.033295</v>
      </c>
      <c r="C205" s="8">
        <v>-0.005122316409719163</v>
      </c>
      <c r="D205" s="57">
        <v>-0.09309999999999996</v>
      </c>
      <c r="E205" s="58">
        <v>112.17</v>
      </c>
      <c r="F205" s="8">
        <v>-0.007418982220877557</v>
      </c>
      <c r="G205" s="57">
        <v>-0.009300909862093976</v>
      </c>
      <c r="H205" s="6">
        <v>34067.379619470405</v>
      </c>
      <c r="I205" s="8">
        <v>-0.004417395489944907</v>
      </c>
      <c r="J205" s="8">
        <v>0.8623823943330153</v>
      </c>
      <c r="K205" s="6">
        <v>5436.418050029599</v>
      </c>
      <c r="L205" s="8">
        <v>-7.049209197742565E-4</v>
      </c>
      <c r="M205" s="8">
        <v>0.13761760566698467</v>
      </c>
      <c r="N205" s="59">
        <v>0.0022966658111583937</v>
      </c>
      <c r="O205" s="8">
        <v>-0.08379909013790598</v>
      </c>
      <c r="P205" s="6">
        <v>113.22307763943324</v>
      </c>
      <c r="Q205" s="60">
        <v>352.17792341535164</v>
      </c>
      <c r="R205" s="60">
        <v>380.5841522</v>
      </c>
      <c r="S205" s="8">
        <v>-0.07463849616554885</v>
      </c>
      <c r="T205" s="6">
        <v>43559.155</v>
      </c>
      <c r="U205" s="6">
        <v>39503.797669499996</v>
      </c>
      <c r="V205" s="6">
        <v>-4055.3573305000027</v>
      </c>
    </row>
    <row r="206">
      <c r="A206" s="61">
        <v>44660.0</v>
      </c>
      <c r="B206" s="56">
        <v>5.061723856073941</v>
      </c>
      <c r="C206" s="8">
        <v>-0.050103331095609605</v>
      </c>
      <c r="D206" s="57">
        <v>-0.0879776835902808</v>
      </c>
      <c r="E206" s="58">
        <v>113.01</v>
      </c>
      <c r="F206" s="8">
        <v>0.007683945871623243</v>
      </c>
      <c r="G206" s="57">
        <v>-0.0018819276412164188</v>
      </c>
      <c r="H206" s="6">
        <v>34294.40009596078</v>
      </c>
      <c r="I206" s="8">
        <v>-0.043251871030517586</v>
      </c>
      <c r="J206" s="8">
        <v>0.8632534022135628</v>
      </c>
      <c r="K206" s="6">
        <v>5432.521347989219</v>
      </c>
      <c r="L206" s="8">
        <v>-0.0068514600650920205</v>
      </c>
      <c r="M206" s="8">
        <v>0.13674659778643725</v>
      </c>
      <c r="N206" s="59">
        <v>-0.05778727696723285</v>
      </c>
      <c r="O206" s="8">
        <v>-0.08609575594906438</v>
      </c>
      <c r="P206" s="6">
        <v>113.22307763943324</v>
      </c>
      <c r="Q206" s="60">
        <v>351.53456724139454</v>
      </c>
      <c r="R206" s="60">
        <v>380.5841522</v>
      </c>
      <c r="S206" s="8">
        <v>-0.07632894010610215</v>
      </c>
      <c r="T206" s="6">
        <v>43559.155</v>
      </c>
      <c r="U206" s="6">
        <v>39726.92144395</v>
      </c>
      <c r="V206" s="6">
        <v>-3832.2335560499996</v>
      </c>
    </row>
    <row r="207">
      <c r="A207" s="55">
        <v>44659.0</v>
      </c>
      <c r="B207" s="56">
        <v>5.339797343654575</v>
      </c>
      <c r="C207" s="8">
        <v>-0.07127435249467129</v>
      </c>
      <c r="D207" s="57">
        <v>-0.03787435249467119</v>
      </c>
      <c r="E207" s="75">
        <v>112.14</v>
      </c>
      <c r="F207" s="8">
        <v>-0.07189347056898066</v>
      </c>
      <c r="G207" s="57">
        <v>-0.009565873512839662</v>
      </c>
      <c r="H207" s="6">
        <v>36140.60795691554</v>
      </c>
      <c r="I207" s="8">
        <v>-0.06146352959736482</v>
      </c>
      <c r="J207" s="8">
        <v>0.8623512869087101</v>
      </c>
      <c r="K207" s="6">
        <v>5768.772252244446</v>
      </c>
      <c r="L207" s="8">
        <v>-0.00981082289730647</v>
      </c>
      <c r="M207" s="8">
        <v>0.1376487130912899</v>
      </c>
      <c r="N207" s="59">
        <v>6.19118074309366E-4</v>
      </c>
      <c r="O207" s="8">
        <v>-0.02830847898183153</v>
      </c>
      <c r="P207" s="6">
        <v>113.22307763943324</v>
      </c>
      <c r="Q207" s="60">
        <v>373.7237400495808</v>
      </c>
      <c r="R207" s="60">
        <v>380.5841522</v>
      </c>
      <c r="S207" s="8">
        <v>-0.01802600584065839</v>
      </c>
      <c r="T207" s="6">
        <v>43559.155</v>
      </c>
      <c r="U207" s="6">
        <v>41909.38020915999</v>
      </c>
      <c r="V207" s="6">
        <v>-1649.7747908400124</v>
      </c>
    </row>
    <row r="208">
      <c r="A208" s="61">
        <v>44658.0</v>
      </c>
      <c r="B208" s="56">
        <v>5.7353700000000005</v>
      </c>
      <c r="C208" s="8">
        <v>-0.10299999999999976</v>
      </c>
      <c r="D208" s="57">
        <v>0.033400000000000096</v>
      </c>
      <c r="E208" s="58">
        <v>120.28</v>
      </c>
      <c r="F208" s="8">
        <v>-0.08028398617592547</v>
      </c>
      <c r="G208" s="57">
        <v>0.06232759705614099</v>
      </c>
      <c r="H208" s="6">
        <v>39197.84744677003</v>
      </c>
      <c r="I208" s="8">
        <v>-0.08969155210779767</v>
      </c>
      <c r="J208" s="8">
        <v>0.8707917680368726</v>
      </c>
      <c r="K208" s="6">
        <v>5816.183330229971</v>
      </c>
      <c r="L208" s="8">
        <v>-0.01330844789220209</v>
      </c>
      <c r="M208" s="8">
        <v>0.1292082319631274</v>
      </c>
      <c r="N208" s="59">
        <v>-0.022716013824074288</v>
      </c>
      <c r="O208" s="8">
        <v>-0.028927597056140897</v>
      </c>
      <c r="P208" s="6">
        <v>113.22307763943324</v>
      </c>
      <c r="Q208" s="60">
        <v>374.2436878699701</v>
      </c>
      <c r="R208" s="60">
        <v>380.5841522</v>
      </c>
      <c r="S208" s="8">
        <v>-0.016659822258436992</v>
      </c>
      <c r="T208" s="6">
        <v>43559.155</v>
      </c>
      <c r="U208" s="6">
        <v>45014.030777</v>
      </c>
      <c r="V208" s="6">
        <v>1454.875777000001</v>
      </c>
    </row>
    <row r="209">
      <c r="A209" s="61">
        <v>44657.0</v>
      </c>
      <c r="B209" s="56">
        <v>6.307019999999999</v>
      </c>
      <c r="C209" s="8">
        <v>0.0</v>
      </c>
      <c r="D209" s="57">
        <v>0.13639999999999985</v>
      </c>
      <c r="E209" s="58">
        <v>129.37</v>
      </c>
      <c r="F209" s="8">
        <v>0.0</v>
      </c>
      <c r="G209" s="57">
        <v>0.14261158323206646</v>
      </c>
      <c r="H209" s="6">
        <v>43571.30624977787</v>
      </c>
      <c r="I209" s="8">
        <v>0.0</v>
      </c>
      <c r="J209" s="8">
        <v>0.8802173176013687</v>
      </c>
      <c r="K209" s="6">
        <v>5929.317492222137</v>
      </c>
      <c r="L209" s="8">
        <v>0.0</v>
      </c>
      <c r="M209" s="8">
        <v>0.11978268239863135</v>
      </c>
      <c r="N209" s="59">
        <v>0.0</v>
      </c>
      <c r="O209" s="8">
        <v>-0.006211583232066609</v>
      </c>
      <c r="P209" s="6">
        <v>113.22307763943324</v>
      </c>
      <c r="Q209" s="60">
        <v>382.6283044136971</v>
      </c>
      <c r="R209" s="60">
        <v>380.5841522</v>
      </c>
      <c r="S209" s="8">
        <v>0.00537109126031835</v>
      </c>
      <c r="T209" s="6">
        <v>43559.155</v>
      </c>
      <c r="U209" s="6">
        <v>49500.623741999996</v>
      </c>
      <c r="V209" s="6">
        <v>5941.468741999997</v>
      </c>
    </row>
    <row r="210">
      <c r="A210" s="61">
        <v>44656.0</v>
      </c>
      <c r="B210" s="56">
        <v>6.307019999999999</v>
      </c>
      <c r="C210" s="8">
        <v>-0.009681192595219157</v>
      </c>
      <c r="D210" s="57">
        <v>0.13639999999999985</v>
      </c>
      <c r="E210" s="58">
        <v>129.37</v>
      </c>
      <c r="F210" s="8">
        <v>-0.01112847333131639</v>
      </c>
      <c r="G210" s="57">
        <v>0.14261158323206646</v>
      </c>
      <c r="H210" s="6">
        <v>43571.30624977787</v>
      </c>
      <c r="I210" s="8">
        <v>-0.00852155337734604</v>
      </c>
      <c r="J210" s="8">
        <v>0.8802173176013687</v>
      </c>
      <c r="K210" s="6">
        <v>5929.317492222137</v>
      </c>
      <c r="L210" s="8">
        <v>-0.0011596392178731178</v>
      </c>
      <c r="M210" s="8">
        <v>0.11978268239863135</v>
      </c>
      <c r="N210" s="59">
        <v>0.001447280736097234</v>
      </c>
      <c r="O210" s="8">
        <v>-0.006211583232066609</v>
      </c>
      <c r="P210" s="6">
        <v>113.22307763943324</v>
      </c>
      <c r="Q210" s="60">
        <v>382.6283044136971</v>
      </c>
      <c r="R210" s="60">
        <v>380.5841522</v>
      </c>
      <c r="S210" s="8">
        <v>0.00537109126031835</v>
      </c>
      <c r="T210" s="6">
        <v>43559.155</v>
      </c>
      <c r="U210" s="6">
        <v>49500.623741999996</v>
      </c>
      <c r="V210" s="6">
        <v>5941.468741999997</v>
      </c>
    </row>
    <row r="211">
      <c r="A211" s="61">
        <v>44655.0</v>
      </c>
      <c r="B211" s="56">
        <v>6.360750618903466</v>
      </c>
      <c r="C211" s="8">
        <v>-0.392018807404781</v>
      </c>
      <c r="D211" s="57">
        <v>0.146081192595219</v>
      </c>
      <c r="E211" s="75" t="s">
        <v>34</v>
      </c>
      <c r="F211" s="8">
        <v>-0.3184294844661424</v>
      </c>
      <c r="G211" s="57">
        <v>0.15374005656338285</v>
      </c>
      <c r="H211" s="6">
        <v>44007.72202624348</v>
      </c>
      <c r="I211" s="8">
        <v>-0.3455739203089825</v>
      </c>
      <c r="J211" s="8">
        <v>0.8815238294221899</v>
      </c>
      <c r="K211" s="6">
        <v>5914.606284596521</v>
      </c>
      <c r="L211" s="8">
        <v>-0.04644488709579854</v>
      </c>
      <c r="M211" s="8">
        <v>0.11847617057781015</v>
      </c>
      <c r="N211" s="59">
        <v>-0.07358932293863862</v>
      </c>
      <c r="O211" s="8">
        <v>-0.007658863968163843</v>
      </c>
      <c r="P211" s="6">
        <v>113.22307763943324</v>
      </c>
      <c r="Q211" s="60">
        <v>382.16587545617386</v>
      </c>
      <c r="R211" s="60">
        <v>380.5841522</v>
      </c>
      <c r="S211" s="8">
        <v>0.004156040778446946</v>
      </c>
      <c r="T211" s="6">
        <v>43559.155</v>
      </c>
      <c r="U211" s="6">
        <v>49922.32831083999</v>
      </c>
      <c r="V211" s="6">
        <v>6363.173310839993</v>
      </c>
    </row>
    <row r="212">
      <c r="A212" s="61">
        <v>44654.0</v>
      </c>
      <c r="B212" s="56">
        <v>8.536455</v>
      </c>
      <c r="C212" s="8">
        <v>0.06399999999999983</v>
      </c>
      <c r="D212" s="57">
        <v>0.5381</v>
      </c>
      <c r="E212" s="58">
        <v>138.28</v>
      </c>
      <c r="F212" s="8">
        <v>-0.019752334296978757</v>
      </c>
      <c r="G212" s="57">
        <v>0.47216954102952524</v>
      </c>
      <c r="H212" s="6">
        <v>27080.983753228866</v>
      </c>
      <c r="I212" s="8">
        <v>0.05692519824768197</v>
      </c>
      <c r="J212" s="8">
        <v>0.8894562226200331</v>
      </c>
      <c r="K212" s="6">
        <v>3365.6903657711373</v>
      </c>
      <c r="L212" s="8">
        <v>0.007074801752317866</v>
      </c>
      <c r="M212" s="8">
        <v>0.11054377737996694</v>
      </c>
      <c r="N212" s="59">
        <v>0.08375233429697859</v>
      </c>
      <c r="O212" s="8">
        <v>0.06593045897047478</v>
      </c>
      <c r="P212" s="6">
        <v>93.92939885395083</v>
      </c>
      <c r="Q212" s="60">
        <v>220.18132860138851</v>
      </c>
      <c r="R212" s="60">
        <v>207.08175095</v>
      </c>
      <c r="S212" s="8">
        <v>0.06325800120625501</v>
      </c>
      <c r="T212" s="6">
        <v>19794.99</v>
      </c>
      <c r="U212" s="6">
        <v>30446.674119000003</v>
      </c>
      <c r="V212" s="6">
        <v>10651.684119000001</v>
      </c>
    </row>
    <row r="213">
      <c r="A213" s="61">
        <v>44653.0</v>
      </c>
      <c r="B213" s="56">
        <v>8.181255</v>
      </c>
      <c r="C213" s="8">
        <v>-0.020269386177953708</v>
      </c>
      <c r="D213" s="57">
        <v>0.4741000000000002</v>
      </c>
      <c r="E213" s="58">
        <v>137.48</v>
      </c>
      <c r="F213" s="8">
        <v>-0.02193595806204507</v>
      </c>
      <c r="G213" s="57">
        <v>0.491921875326504</v>
      </c>
      <c r="H213" s="6">
        <v>24482.661169853927</v>
      </c>
      <c r="I213" s="8">
        <v>-0.018011917574102882</v>
      </c>
      <c r="J213" s="8">
        <v>0.888626691305226</v>
      </c>
      <c r="K213" s="6">
        <v>3068.4594631460677</v>
      </c>
      <c r="L213" s="8">
        <v>-0.002257468603850825</v>
      </c>
      <c r="M213" s="8">
        <v>0.11137330869477408</v>
      </c>
      <c r="N213" s="59">
        <v>0.0016665718840913613</v>
      </c>
      <c r="O213" s="8">
        <v>-0.01782187532650381</v>
      </c>
      <c r="P213" s="6">
        <v>92.14959729034925</v>
      </c>
      <c r="Q213" s="60">
        <v>200.40093564882164</v>
      </c>
      <c r="R213" s="60">
        <v>199.13890432000005</v>
      </c>
      <c r="S213" s="8">
        <v>0.006337442365323105</v>
      </c>
      <c r="T213" s="6">
        <v>18690.129999999997</v>
      </c>
      <c r="U213" s="6">
        <v>27551.120633</v>
      </c>
      <c r="V213" s="6">
        <v>8860.990633000001</v>
      </c>
    </row>
    <row r="214">
      <c r="A214" s="61">
        <v>44652.0</v>
      </c>
      <c r="B214" s="56">
        <v>8.293750093287644</v>
      </c>
      <c r="C214" s="8">
        <v>0.08304585023044142</v>
      </c>
      <c r="D214" s="57">
        <v>0.4943693861779539</v>
      </c>
      <c r="E214" s="76" t="s">
        <v>35</v>
      </c>
      <c r="F214" s="8">
        <v>0.11262840815240649</v>
      </c>
      <c r="G214" s="57">
        <v>0.5138578333885491</v>
      </c>
      <c r="H214" s="6">
        <v>23330.17108390673</v>
      </c>
      <c r="I214" s="8">
        <v>0.0737287310977422</v>
      </c>
      <c r="J214" s="8">
        <v>0.8878075291318539</v>
      </c>
      <c r="K214" s="6">
        <v>2948.2398535632747</v>
      </c>
      <c r="L214" s="8">
        <v>0.00931711913269922</v>
      </c>
      <c r="M214" s="8">
        <v>0.11219247086814607</v>
      </c>
      <c r="N214" s="59">
        <v>-0.02958255792196507</v>
      </c>
      <c r="O214" s="8">
        <v>-0.019488447210595172</v>
      </c>
      <c r="P214" s="6">
        <v>90.29249443723486</v>
      </c>
      <c r="Q214" s="60">
        <v>192.24823277101476</v>
      </c>
      <c r="R214" s="60">
        <v>191.00724208000003</v>
      </c>
      <c r="S214" s="8">
        <v>0.006497087113037122</v>
      </c>
      <c r="T214" s="6">
        <v>17584.949999999997</v>
      </c>
      <c r="U214" s="6">
        <v>26278.410937470006</v>
      </c>
      <c r="V214" s="6">
        <v>8693.460937470009</v>
      </c>
    </row>
    <row r="215">
      <c r="A215" s="61">
        <v>44651.0</v>
      </c>
      <c r="B215" s="56">
        <v>7.832845624508694</v>
      </c>
      <c r="C215" s="8">
        <v>0.015323535947512346</v>
      </c>
      <c r="D215" s="57">
        <v>0.4113235359475125</v>
      </c>
      <c r="E215" s="77" t="s">
        <v>36</v>
      </c>
      <c r="F215" s="8">
        <v>-0.015105836626716052</v>
      </c>
      <c r="G215" s="57">
        <v>0.4012294252361426</v>
      </c>
      <c r="H215" s="6">
        <v>20347.03920929136</v>
      </c>
      <c r="I215" s="8">
        <v>0.01340573569771729</v>
      </c>
      <c r="J215" s="8">
        <v>0.8748461023379924</v>
      </c>
      <c r="K215" s="6">
        <v>2910.8105484142325</v>
      </c>
      <c r="L215" s="8">
        <v>0.0019178002497950535</v>
      </c>
      <c r="M215" s="8">
        <v>0.12515389766200752</v>
      </c>
      <c r="N215" s="59">
        <v>0.030429372574228397</v>
      </c>
      <c r="O215" s="8">
        <v>0.010094110711369897</v>
      </c>
      <c r="P215" s="6">
        <v>88.62931206220627</v>
      </c>
      <c r="Q215" s="60">
        <v>187.27634880188094</v>
      </c>
      <c r="R215" s="60">
        <v>182.19554899000002</v>
      </c>
      <c r="S215" s="8">
        <v>0.02788651995093353</v>
      </c>
      <c r="T215" s="6">
        <v>16479.46</v>
      </c>
      <c r="U215" s="6">
        <v>23257.849757705593</v>
      </c>
      <c r="V215" s="6">
        <v>6778.389757705594</v>
      </c>
    </row>
    <row r="216">
      <c r="A216" s="61">
        <v>44650.0</v>
      </c>
      <c r="B216" s="56">
        <v>7.747800000000001</v>
      </c>
      <c r="C216" s="8">
        <v>0.11970000000000014</v>
      </c>
      <c r="D216" s="57">
        <v>0.39600000000000013</v>
      </c>
      <c r="E216" s="78">
        <v>122.92</v>
      </c>
      <c r="F216" s="8">
        <v>0.12075491005794636</v>
      </c>
      <c r="G216" s="57">
        <v>0.41633526186285863</v>
      </c>
      <c r="H216" s="6">
        <v>18746.348243457214</v>
      </c>
      <c r="I216" s="8">
        <v>0.10456144779867572</v>
      </c>
      <c r="J216" s="8">
        <v>0.8735292213757361</v>
      </c>
      <c r="K216" s="6">
        <v>2714.122436542788</v>
      </c>
      <c r="L216" s="8">
        <v>0.015138552201324417</v>
      </c>
      <c r="M216" s="8">
        <v>0.12647077862426398</v>
      </c>
      <c r="N216" s="59">
        <v>-0.0010549100579462234</v>
      </c>
      <c r="O216" s="8">
        <v>-0.0203352618628585</v>
      </c>
      <c r="P216" s="6">
        <v>86.78736123418082</v>
      </c>
      <c r="Q216" s="60">
        <v>174.58892515457214</v>
      </c>
      <c r="R216" s="60">
        <v>173.32304160999996</v>
      </c>
      <c r="S216" s="8">
        <v>0.007303607949718444</v>
      </c>
      <c r="T216" s="6">
        <v>15372.830000000004</v>
      </c>
      <c r="U216" s="6">
        <v>21460.470680000006</v>
      </c>
      <c r="V216" s="6">
        <v>6087.640680000002</v>
      </c>
    </row>
    <row r="217">
      <c r="A217" s="61">
        <v>44649.0</v>
      </c>
      <c r="B217" s="56">
        <v>7.0834649999999995</v>
      </c>
      <c r="C217" s="8">
        <v>0.028900000000000148</v>
      </c>
      <c r="D217" s="57">
        <v>0.2763</v>
      </c>
      <c r="E217" s="45">
        <v>112.44</v>
      </c>
      <c r="F217" s="8">
        <v>0.029151710157118593</v>
      </c>
      <c r="G217" s="57">
        <v>0.29558035180491227</v>
      </c>
      <c r="H217" s="6">
        <v>16925.731357738434</v>
      </c>
      <c r="I217" s="8">
        <v>0.024930942237286067</v>
      </c>
      <c r="J217" s="8">
        <v>0.8626623611517626</v>
      </c>
      <c r="K217" s="6">
        <v>2694.611571261572</v>
      </c>
      <c r="L217" s="8">
        <v>0.003969057762714082</v>
      </c>
      <c r="M217" s="8">
        <v>0.13733763884823744</v>
      </c>
      <c r="N217" s="59">
        <v>-2.5171015711844547E-4</v>
      </c>
      <c r="O217" s="8">
        <v>-0.019280351804912277</v>
      </c>
      <c r="P217" s="6">
        <v>86.78736123418082</v>
      </c>
      <c r="Q217" s="60">
        <v>174.49611285129853</v>
      </c>
      <c r="R217" s="60">
        <v>173.32304160999996</v>
      </c>
      <c r="S217" s="8">
        <v>0.006768120559170313</v>
      </c>
      <c r="T217" s="6">
        <v>15372.830000000004</v>
      </c>
      <c r="U217" s="6">
        <v>19620.342929000006</v>
      </c>
      <c r="V217" s="6">
        <v>4247.512929000002</v>
      </c>
    </row>
    <row r="218">
      <c r="A218" s="61">
        <v>44648.0</v>
      </c>
      <c r="B218" s="56">
        <v>6.923069999999999</v>
      </c>
      <c r="C218" s="8">
        <v>0.09949999999999992</v>
      </c>
      <c r="D218" s="57">
        <v>0.24739999999999984</v>
      </c>
      <c r="E218" s="45">
        <v>109.91</v>
      </c>
      <c r="F218" s="8">
        <v>0.10093635611713836</v>
      </c>
      <c r="G218" s="57">
        <v>0.2664286416477937</v>
      </c>
      <c r="H218" s="6">
        <v>16492.165862213293</v>
      </c>
      <c r="I218" s="8">
        <v>0.0855738773526841</v>
      </c>
      <c r="J218" s="8">
        <v>0.8600389683686851</v>
      </c>
      <c r="K218" s="6">
        <v>2683.902279786711</v>
      </c>
      <c r="L218" s="8">
        <v>0.013926122647315813</v>
      </c>
      <c r="M218" s="8">
        <v>0.13996103163131482</v>
      </c>
      <c r="N218" s="59">
        <v>-0.0014363561171384376</v>
      </c>
      <c r="O218" s="8">
        <v>-0.01902864164779383</v>
      </c>
      <c r="P218" s="6">
        <v>86.78736123418082</v>
      </c>
      <c r="Q218" s="60">
        <v>174.47064090619602</v>
      </c>
      <c r="R218" s="60">
        <v>173.32304160999996</v>
      </c>
      <c r="S218" s="8">
        <v>0.0066211583038008</v>
      </c>
      <c r="T218" s="6">
        <v>15372.830000000004</v>
      </c>
      <c r="U218" s="6">
        <v>19176.068142000004</v>
      </c>
      <c r="V218" s="6">
        <v>3803.238142</v>
      </c>
    </row>
    <row r="219">
      <c r="A219" s="61">
        <v>44647.0</v>
      </c>
      <c r="B219" s="56">
        <v>6.370844999999999</v>
      </c>
      <c r="C219" s="8">
        <v>0.011400000000000077</v>
      </c>
      <c r="D219" s="57">
        <v>0.14789999999999992</v>
      </c>
      <c r="E219" s="45">
        <v>101.15</v>
      </c>
      <c r="F219" s="8">
        <v>0.011983311685139775</v>
      </c>
      <c r="G219" s="57">
        <v>0.16549228553065531</v>
      </c>
      <c r="H219" s="6">
        <v>15016.363799991013</v>
      </c>
      <c r="I219" s="8">
        <v>0.0097008938453757</v>
      </c>
      <c r="J219" s="8">
        <v>0.850955600471547</v>
      </c>
      <c r="K219" s="6">
        <v>2630.107757008991</v>
      </c>
      <c r="L219" s="8">
        <v>0.001699106154624376</v>
      </c>
      <c r="M219" s="8">
        <v>0.14904439952845303</v>
      </c>
      <c r="N219" s="59">
        <v>-5.83311685139698E-4</v>
      </c>
      <c r="O219" s="8">
        <v>-0.017592285530655394</v>
      </c>
      <c r="P219" s="6">
        <v>86.78736123418082</v>
      </c>
      <c r="Q219" s="60">
        <v>174.45844347009395</v>
      </c>
      <c r="R219" s="60">
        <v>173.32304160999996</v>
      </c>
      <c r="S219" s="8">
        <v>0.0065507843016556246</v>
      </c>
      <c r="T219" s="6">
        <v>15372.830000000004</v>
      </c>
      <c r="U219" s="6">
        <v>17646.471557000004</v>
      </c>
      <c r="V219" s="6">
        <v>2273.641557000001</v>
      </c>
    </row>
    <row r="220">
      <c r="A220" s="61">
        <v>44646.0</v>
      </c>
      <c r="B220" s="56">
        <v>6.307574999999999</v>
      </c>
      <c r="C220" s="8">
        <v>0.07708529356372851</v>
      </c>
      <c r="D220" s="57">
        <v>0.13649999999999984</v>
      </c>
      <c r="E220" s="45">
        <v>100.11</v>
      </c>
      <c r="F220" s="8">
        <v>0.016822726019522838</v>
      </c>
      <c r="G220" s="57">
        <v>0.15350897384551554</v>
      </c>
      <c r="H220" s="6">
        <v>14848.392805334242</v>
      </c>
      <c r="I220" s="8">
        <v>0.06551303420764919</v>
      </c>
      <c r="J220" s="8">
        <v>0.8498772097622976</v>
      </c>
      <c r="K220" s="6">
        <v>2622.828489665764</v>
      </c>
      <c r="L220" s="8">
        <v>0.01157225935607932</v>
      </c>
      <c r="M220" s="8">
        <v>0.15012279023770234</v>
      </c>
      <c r="N220" s="59">
        <v>0.06026256754420567</v>
      </c>
      <c r="O220" s="8">
        <v>-0.017008973845515696</v>
      </c>
      <c r="P220" s="6">
        <v>86.78736123418082</v>
      </c>
      <c r="Q220" s="60">
        <v>174.52024068524625</v>
      </c>
      <c r="R220" s="60">
        <v>173.32304160999996</v>
      </c>
      <c r="S220" s="8">
        <v>0.006907327866655761</v>
      </c>
      <c r="T220" s="6">
        <v>15372.830000000004</v>
      </c>
      <c r="U220" s="6">
        <v>17471.221295000003</v>
      </c>
      <c r="V220" s="6">
        <v>2098.3912949999994</v>
      </c>
    </row>
    <row r="221">
      <c r="A221" s="61">
        <v>44645.0</v>
      </c>
      <c r="B221" s="56">
        <v>5.879751620721306</v>
      </c>
      <c r="C221" s="8">
        <v>0.03421079885146572</v>
      </c>
      <c r="D221" s="57">
        <v>0.059414706436271336</v>
      </c>
      <c r="E221" s="79">
        <v>98.65</v>
      </c>
      <c r="F221" s="8">
        <v>-0.04067412523898373</v>
      </c>
      <c r="G221" s="57">
        <v>0.1366862478259927</v>
      </c>
      <c r="H221" s="6">
        <v>13816.616473332173</v>
      </c>
      <c r="I221" s="8">
        <v>0.02902318672628576</v>
      </c>
      <c r="J221" s="8">
        <v>0.8483633151127746</v>
      </c>
      <c r="K221" s="6">
        <v>2469.5857082125367</v>
      </c>
      <c r="L221" s="8">
        <v>0.005187612125179957</v>
      </c>
      <c r="M221" s="8">
        <v>0.15163668488722531</v>
      </c>
      <c r="N221" s="59">
        <v>0.07488492409044945</v>
      </c>
      <c r="O221" s="8">
        <v>-0.07727154138972137</v>
      </c>
      <c r="P221" s="6">
        <v>86.78736123418082</v>
      </c>
      <c r="Q221" s="60">
        <v>165.09074689857786</v>
      </c>
      <c r="R221" s="60">
        <v>173.32304160999996</v>
      </c>
      <c r="S221" s="8">
        <v>-0.04749682809020779</v>
      </c>
      <c r="T221" s="6">
        <v>15372.830000000004</v>
      </c>
      <c r="U221" s="6">
        <v>16286.202181544708</v>
      </c>
      <c r="V221" s="6">
        <v>913.3721815447043</v>
      </c>
    </row>
    <row r="222">
      <c r="A222" s="61">
        <v>44644.0</v>
      </c>
      <c r="B222" s="56">
        <v>5.689881687095671</v>
      </c>
      <c r="C222" s="8">
        <v>0.010810279003514944</v>
      </c>
      <c r="D222" s="57">
        <v>0.025203907584805618</v>
      </c>
      <c r="E222" s="79">
        <v>102.18</v>
      </c>
      <c r="F222" s="8">
        <v>0.07290229868491016</v>
      </c>
      <c r="G222" s="57">
        <v>0.17736037306497643</v>
      </c>
      <c r="H222" s="6">
        <v>13428.135439496407</v>
      </c>
      <c r="I222" s="8">
        <v>0.009210613071830858</v>
      </c>
      <c r="J222" s="8">
        <v>0.8520236220393611</v>
      </c>
      <c r="K222" s="6">
        <v>2332.1499471405205</v>
      </c>
      <c r="L222" s="8">
        <v>0.0015996659316840865</v>
      </c>
      <c r="M222" s="8">
        <v>0.14797637796063892</v>
      </c>
      <c r="N222" s="59">
        <v>-0.062092019681395216</v>
      </c>
      <c r="O222" s="8">
        <v>-0.1521564654801708</v>
      </c>
      <c r="P222" s="6">
        <v>86.78736123418082</v>
      </c>
      <c r="Q222" s="60">
        <v>154.24041286589284</v>
      </c>
      <c r="R222" s="60">
        <v>173.32304160999996</v>
      </c>
      <c r="S222" s="8">
        <v>-0.11009862605022588</v>
      </c>
      <c r="T222" s="6">
        <v>15372.830000000004</v>
      </c>
      <c r="U222" s="6">
        <v>15760.28538663693</v>
      </c>
      <c r="V222" s="6">
        <v>387.45538663692605</v>
      </c>
    </row>
    <row r="223">
      <c r="A223" s="61">
        <v>44643.0</v>
      </c>
      <c r="B223" s="56">
        <v>5.629884638626163</v>
      </c>
      <c r="C223" s="8">
        <v>0.004158009275227581</v>
      </c>
      <c r="D223" s="57">
        <v>0.014393628581290674</v>
      </c>
      <c r="E223" s="79">
        <v>94.92</v>
      </c>
      <c r="F223" s="8">
        <v>0.04509182338969664</v>
      </c>
      <c r="G223" s="57">
        <v>0.10445807438006627</v>
      </c>
      <c r="H223" s="6">
        <v>12227.373521646872</v>
      </c>
      <c r="I223" s="8">
        <v>0.0035114206431255445</v>
      </c>
      <c r="J223" s="8">
        <v>0.8444956253574863</v>
      </c>
      <c r="K223" s="6">
        <v>2251.5333601630373</v>
      </c>
      <c r="L223" s="8">
        <v>6.465886321020364E-4</v>
      </c>
      <c r="M223" s="8">
        <v>0.15550437464251365</v>
      </c>
      <c r="N223" s="59">
        <v>-0.04093381411446906</v>
      </c>
      <c r="O223" s="8">
        <v>-0.0900644457987756</v>
      </c>
      <c r="P223" s="6">
        <v>85.94260135522003</v>
      </c>
      <c r="Q223" s="60">
        <v>152.53799917625273</v>
      </c>
      <c r="R223" s="60">
        <v>162.48779925999997</v>
      </c>
      <c r="S223" s="8">
        <v>-0.06123413652631466</v>
      </c>
      <c r="T223" s="6">
        <v>14273.460000000001</v>
      </c>
      <c r="U223" s="6">
        <v>14478.90688180991</v>
      </c>
      <c r="V223" s="6">
        <v>205.44688180990852</v>
      </c>
    </row>
    <row r="224">
      <c r="A224" s="61">
        <v>44642.0</v>
      </c>
      <c r="B224" s="56">
        <v>5.60680768714865</v>
      </c>
      <c r="C224" s="8">
        <v>0.018135619306063</v>
      </c>
      <c r="D224" s="57">
        <v>0.010235619306063093</v>
      </c>
      <c r="E224" s="79">
        <v>90.5</v>
      </c>
      <c r="F224" s="8">
        <v>0.013036527267077824</v>
      </c>
      <c r="G224" s="57">
        <v>0.05936625099036963</v>
      </c>
      <c r="H224" s="6">
        <v>11179.927087787648</v>
      </c>
      <c r="I224" s="8">
        <v>0.015232332712812881</v>
      </c>
      <c r="J224" s="8">
        <v>0.8399124648431769</v>
      </c>
      <c r="K224" s="6">
        <v>2130.8970227642676</v>
      </c>
      <c r="L224" s="8">
        <v>0.0029032865932501193</v>
      </c>
      <c r="M224" s="8">
        <v>0.16008753515682306</v>
      </c>
      <c r="N224" s="59">
        <v>0.005099092038985176</v>
      </c>
      <c r="O224" s="8">
        <v>-0.049130631684306536</v>
      </c>
      <c r="P224" s="6">
        <v>85.4284341372913</v>
      </c>
      <c r="Q224" s="60">
        <v>147.08092939836374</v>
      </c>
      <c r="R224" s="60">
        <v>150.92738388</v>
      </c>
      <c r="S224" s="8">
        <v>-0.02548546448465924</v>
      </c>
      <c r="T224" s="6">
        <v>13175.960000000001</v>
      </c>
      <c r="U224" s="6">
        <v>13310.824110551917</v>
      </c>
      <c r="V224" s="6">
        <v>134.86411055191638</v>
      </c>
    </row>
    <row r="225">
      <c r="A225" s="61">
        <v>44641.0</v>
      </c>
      <c r="B225" s="56">
        <v>5.506155000000001</v>
      </c>
      <c r="C225" s="8">
        <v>-0.008700000000000041</v>
      </c>
      <c r="D225" s="57">
        <v>-0.007899999999999907</v>
      </c>
      <c r="E225" s="45">
        <v>88.76</v>
      </c>
      <c r="F225" s="8">
        <v>-0.011316770333194448</v>
      </c>
      <c r="G225" s="57">
        <v>0.046329723723291805</v>
      </c>
      <c r="H225" s="6">
        <v>10039.126755302113</v>
      </c>
      <c r="I225" s="8">
        <v>-0.007291541637831236</v>
      </c>
      <c r="J225" s="8">
        <v>0.8381082342334715</v>
      </c>
      <c r="K225" s="6">
        <v>1939.1910146978862</v>
      </c>
      <c r="L225" s="8">
        <v>-0.0014084583621688047</v>
      </c>
      <c r="M225" s="8">
        <v>0.16189176576652853</v>
      </c>
      <c r="N225" s="59">
        <v>0.002616770333194407</v>
      </c>
      <c r="O225" s="8">
        <v>-0.05422972372329171</v>
      </c>
      <c r="P225" s="6">
        <v>84.82985619882201</v>
      </c>
      <c r="Q225" s="60">
        <v>134.95175495718794</v>
      </c>
      <c r="R225" s="60">
        <v>139.23113968</v>
      </c>
      <c r="S225" s="8">
        <v>-0.03073583059542236</v>
      </c>
      <c r="T225" s="6">
        <v>12073.7</v>
      </c>
      <c r="U225" s="6">
        <v>11978.317770000001</v>
      </c>
      <c r="V225" s="6">
        <v>-95.38222999999925</v>
      </c>
    </row>
    <row r="226">
      <c r="A226" s="61">
        <v>44640.0</v>
      </c>
      <c r="B226" s="56">
        <v>5.5544400000000005</v>
      </c>
      <c r="C226" s="8">
        <v>-9.999999999998899E-5</v>
      </c>
      <c r="D226" s="57">
        <v>8.000000000001339E-4</v>
      </c>
      <c r="E226" s="45">
        <v>89.72</v>
      </c>
      <c r="F226" s="8">
        <v>-3.5364907291235426E-4</v>
      </c>
      <c r="G226" s="57">
        <v>0.05764649405648625</v>
      </c>
      <c r="H226" s="6">
        <v>10139.190871149247</v>
      </c>
      <c r="I226" s="8">
        <v>-8.391036718111477E-5</v>
      </c>
      <c r="J226" s="8">
        <v>0.83910367181124</v>
      </c>
      <c r="K226" s="6">
        <v>1944.1680888507526</v>
      </c>
      <c r="L226" s="8">
        <v>-1.6089632818874218E-5</v>
      </c>
      <c r="M226" s="8">
        <v>0.1608963281887599</v>
      </c>
      <c r="N226" s="59">
        <v>2.5364907291236527E-4</v>
      </c>
      <c r="O226" s="8">
        <v>-0.05684649405648612</v>
      </c>
      <c r="P226" s="6">
        <v>84.82985619882201</v>
      </c>
      <c r="Q226" s="60">
        <v>134.67854391440036</v>
      </c>
      <c r="R226" s="60">
        <v>139.23113968</v>
      </c>
      <c r="S226" s="8">
        <v>-0.03269811463199285</v>
      </c>
      <c r="T226" s="6">
        <v>12073.7</v>
      </c>
      <c r="U226" s="6">
        <v>12083.358960000001</v>
      </c>
      <c r="V226" s="6">
        <v>9.658960000000661</v>
      </c>
    </row>
    <row r="227">
      <c r="A227" s="61">
        <v>44639.0</v>
      </c>
      <c r="B227" s="56">
        <v>5.554995000000001</v>
      </c>
      <c r="C227" s="8">
        <v>0.009700000000000153</v>
      </c>
      <c r="D227" s="57">
        <v>9.000000000001229E-4</v>
      </c>
      <c r="E227" s="45">
        <v>89.75</v>
      </c>
      <c r="F227" s="8">
        <v>0.010373706138761651</v>
      </c>
      <c r="G227" s="57">
        <v>0.05800014312939861</v>
      </c>
      <c r="H227" s="6">
        <v>10140.579899481852</v>
      </c>
      <c r="I227" s="8">
        <v>0.008139607358584917</v>
      </c>
      <c r="J227" s="8">
        <v>0.8391347792355452</v>
      </c>
      <c r="K227" s="6">
        <v>1943.9864305181472</v>
      </c>
      <c r="L227" s="8">
        <v>0.0015603926414152363</v>
      </c>
      <c r="M227" s="8">
        <v>0.1608652207644548</v>
      </c>
      <c r="N227" s="59">
        <v>-6.737061387614984E-4</v>
      </c>
      <c r="O227" s="8">
        <v>-0.057100143129398484</v>
      </c>
      <c r="P227" s="6">
        <v>84.82985619882201</v>
      </c>
      <c r="Q227" s="60">
        <v>134.64697860724235</v>
      </c>
      <c r="R227" s="60">
        <v>139.23113968</v>
      </c>
      <c r="S227" s="8">
        <v>-0.032924826179643506</v>
      </c>
      <c r="T227" s="6">
        <v>12073.7</v>
      </c>
      <c r="U227" s="6">
        <v>12084.566330000001</v>
      </c>
      <c r="V227" s="6">
        <v>10.866330000000744</v>
      </c>
    </row>
    <row r="228">
      <c r="A228" s="61">
        <v>44638.0</v>
      </c>
      <c r="B228" s="56">
        <v>5.50116</v>
      </c>
      <c r="C228" s="8">
        <v>-0.0016999999999999238</v>
      </c>
      <c r="D228" s="57">
        <v>-0.00880000000000003</v>
      </c>
      <c r="E228" s="45">
        <v>88.87</v>
      </c>
      <c r="F228" s="8">
        <v>-0.0023150156596556393</v>
      </c>
      <c r="G228" s="57">
        <v>0.047626436990636956</v>
      </c>
      <c r="H228" s="6">
        <v>10031.384608815802</v>
      </c>
      <c r="I228" s="8">
        <v>-0.0014249779011416737</v>
      </c>
      <c r="J228" s="8">
        <v>0.8382222947892574</v>
      </c>
      <c r="K228" s="6">
        <v>1936.0668311841982</v>
      </c>
      <c r="L228" s="8">
        <v>-2.7502209885825024E-4</v>
      </c>
      <c r="M228" s="8">
        <v>0.1617777052107427</v>
      </c>
      <c r="N228" s="59">
        <v>6.150156596557155E-4</v>
      </c>
      <c r="O228" s="8">
        <v>-0.056426436990636986</v>
      </c>
      <c r="P228" s="6">
        <v>84.82985619882201</v>
      </c>
      <c r="Q228" s="60">
        <v>134.66244446944975</v>
      </c>
      <c r="R228" s="60">
        <v>139.23113968</v>
      </c>
      <c r="S228" s="8">
        <v>-0.03281374569690845</v>
      </c>
      <c r="T228" s="6">
        <v>12073.7</v>
      </c>
      <c r="U228" s="6">
        <v>11967.45144</v>
      </c>
      <c r="V228" s="6">
        <v>-106.24856</v>
      </c>
    </row>
    <row r="229">
      <c r="A229" s="61">
        <v>44637.0</v>
      </c>
      <c r="B229" s="56">
        <v>5.5105949999999995</v>
      </c>
      <c r="C229" s="8">
        <v>0.06369999999999976</v>
      </c>
      <c r="D229" s="57">
        <v>-0.007100000000000106</v>
      </c>
      <c r="E229" s="45">
        <v>88.89</v>
      </c>
      <c r="F229" s="8">
        <v>0.06684132638606433</v>
      </c>
      <c r="G229" s="57">
        <v>0.049941452650292595</v>
      </c>
      <c r="H229" s="6">
        <v>9128.74803588586</v>
      </c>
      <c r="I229" s="8">
        <v>0.05339608120669432</v>
      </c>
      <c r="J229" s="8">
        <v>0.8382430330721276</v>
      </c>
      <c r="K229" s="6">
        <v>1761.5876731141416</v>
      </c>
      <c r="L229" s="8">
        <v>0.010303918793305436</v>
      </c>
      <c r="M229" s="8">
        <v>0.16175696692787245</v>
      </c>
      <c r="N229" s="59">
        <v>-0.003141326386064569</v>
      </c>
      <c r="O229" s="8">
        <v>-0.0570414526502927</v>
      </c>
      <c r="P229" s="6">
        <v>84.6618635502211</v>
      </c>
      <c r="Q229" s="60">
        <v>122.51474529193386</v>
      </c>
      <c r="R229" s="60">
        <v>126.65310431</v>
      </c>
      <c r="S229" s="8">
        <v>-0.032674753932102334</v>
      </c>
      <c r="T229" s="6">
        <v>10968.210000000001</v>
      </c>
      <c r="U229" s="6">
        <v>10890.335709</v>
      </c>
      <c r="V229" s="6">
        <v>-77.87429100000008</v>
      </c>
    </row>
    <row r="230">
      <c r="A230" s="61">
        <v>44636.0</v>
      </c>
      <c r="B230" s="56">
        <v>5.15706</v>
      </c>
      <c r="C230" s="8">
        <v>-0.022299999999999764</v>
      </c>
      <c r="D230" s="57">
        <v>-0.07079999999999986</v>
      </c>
      <c r="E230" s="45">
        <v>82.85</v>
      </c>
      <c r="F230" s="8">
        <v>-0.01929096154114962</v>
      </c>
      <c r="G230" s="57">
        <v>-0.01689987373577173</v>
      </c>
      <c r="H230" s="6">
        <v>7803.489804760896</v>
      </c>
      <c r="I230" s="8">
        <v>-0.018553155597690746</v>
      </c>
      <c r="J230" s="8">
        <v>0.8319800716453337</v>
      </c>
      <c r="K230" s="6">
        <v>1575.9293312391064</v>
      </c>
      <c r="L230" s="8">
        <v>-0.003746844402309019</v>
      </c>
      <c r="M230" s="8">
        <v>0.1680199283546663</v>
      </c>
      <c r="N230" s="59">
        <v>-0.003009038458850144</v>
      </c>
      <c r="O230" s="8">
        <v>-0.05390012626422813</v>
      </c>
      <c r="P230" s="6">
        <v>84.27422374039281</v>
      </c>
      <c r="Q230" s="60">
        <v>113.20964557634282</v>
      </c>
      <c r="R230" s="60">
        <v>117.11429937000001</v>
      </c>
      <c r="S230" s="8">
        <v>-0.03334053838567731</v>
      </c>
      <c r="T230" s="6">
        <v>10094.080000000002</v>
      </c>
      <c r="U230" s="6">
        <v>9379.419136000002</v>
      </c>
      <c r="V230" s="6">
        <v>-714.6608639999995</v>
      </c>
    </row>
    <row r="231">
      <c r="A231" s="61">
        <v>44635.0</v>
      </c>
      <c r="B231" s="56">
        <v>5.280824999999999</v>
      </c>
      <c r="C231" s="8">
        <v>0.06619999999999981</v>
      </c>
      <c r="D231" s="57">
        <v>-0.0485000000000001</v>
      </c>
      <c r="E231" s="45">
        <v>84.63</v>
      </c>
      <c r="F231" s="8">
        <v>0.06111707447803072</v>
      </c>
      <c r="G231" s="57">
        <v>0.0023910878053778895</v>
      </c>
      <c r="H231" s="6">
        <v>7135.556002367034</v>
      </c>
      <c r="I231" s="8">
        <v>0.05519926655793545</v>
      </c>
      <c r="J231" s="8">
        <v>0.8338257788207796</v>
      </c>
      <c r="K231" s="6">
        <v>1422.0542126329665</v>
      </c>
      <c r="L231" s="8">
        <v>0.011000733442064363</v>
      </c>
      <c r="M231" s="8">
        <v>0.16617422117922045</v>
      </c>
      <c r="N231" s="59">
        <v>0.005082925521969095</v>
      </c>
      <c r="O231" s="8">
        <v>-0.05089108780537799</v>
      </c>
      <c r="P231" s="6">
        <v>84.42812494002497</v>
      </c>
      <c r="Q231" s="60">
        <v>101.11792762613732</v>
      </c>
      <c r="R231" s="60">
        <v>104.22112299</v>
      </c>
      <c r="S231" s="8">
        <v>-0.02977510964030231</v>
      </c>
      <c r="T231" s="6">
        <v>8993.810000000001</v>
      </c>
      <c r="U231" s="6">
        <v>8557.610215</v>
      </c>
      <c r="V231" s="6">
        <v>-436.1997850000007</v>
      </c>
    </row>
    <row r="232">
      <c r="A232" s="61">
        <v>44634.0</v>
      </c>
      <c r="B232" s="56">
        <v>4.9134150000000005</v>
      </c>
      <c r="C232" s="8">
        <v>-0.011799999999999922</v>
      </c>
      <c r="D232" s="57">
        <v>-0.11469999999999991</v>
      </c>
      <c r="E232" s="45">
        <v>79.47</v>
      </c>
      <c r="F232" s="8">
        <v>-0.006528553959353256</v>
      </c>
      <c r="G232" s="57">
        <v>-0.05872598667265283</v>
      </c>
      <c r="H232" s="6">
        <v>6596.502612019336</v>
      </c>
      <c r="I232" s="8">
        <v>-0.009776008561715163</v>
      </c>
      <c r="J232" s="8">
        <v>0.8284753018402735</v>
      </c>
      <c r="K232" s="6">
        <v>1365.7173809806645</v>
      </c>
      <c r="L232" s="8">
        <v>-0.002023991438284759</v>
      </c>
      <c r="M232" s="8">
        <v>0.17152469815972649</v>
      </c>
      <c r="N232" s="59">
        <v>-0.005271446040646666</v>
      </c>
      <c r="O232" s="8">
        <v>-0.05597401332734708</v>
      </c>
      <c r="P232" s="6">
        <v>84.42812494002497</v>
      </c>
      <c r="Q232" s="60">
        <v>100.19151872404683</v>
      </c>
      <c r="R232" s="60">
        <v>104.22112299</v>
      </c>
      <c r="S232" s="8">
        <v>-0.03866398816619744</v>
      </c>
      <c r="T232" s="6">
        <v>8993.810000000001</v>
      </c>
      <c r="U232" s="6">
        <v>7962.2199930000015</v>
      </c>
      <c r="V232" s="6">
        <v>-1031.5900069999998</v>
      </c>
    </row>
    <row r="233">
      <c r="A233" s="61">
        <v>44633.0</v>
      </c>
      <c r="B233" s="56">
        <v>4.978905</v>
      </c>
      <c r="C233" s="8">
        <v>-0.0041000000000001036</v>
      </c>
      <c r="D233" s="57">
        <v>-0.10289999999999999</v>
      </c>
      <c r="E233" s="45">
        <v>80.57</v>
      </c>
      <c r="F233" s="8">
        <v>-8.593201206568146E-4</v>
      </c>
      <c r="G233" s="57">
        <v>-0.052197432713299574</v>
      </c>
      <c r="H233" s="6">
        <v>5875.298057655317</v>
      </c>
      <c r="I233" s="8">
        <v>-0.0034014252203324324</v>
      </c>
      <c r="J233" s="8">
        <v>0.8296159073981333</v>
      </c>
      <c r="K233" s="6">
        <v>1206.651559344683</v>
      </c>
      <c r="L233" s="8">
        <v>-6.985747796676713E-4</v>
      </c>
      <c r="M233" s="8">
        <v>0.17038409260186677</v>
      </c>
      <c r="N233" s="59">
        <v>-0.003240679879343289</v>
      </c>
      <c r="O233" s="8">
        <v>-0.05070256728670042</v>
      </c>
      <c r="P233" s="6">
        <v>85.00715526720916</v>
      </c>
      <c r="Q233" s="60">
        <v>87.89809627652974</v>
      </c>
      <c r="R233" s="60">
        <v>90.95467642</v>
      </c>
      <c r="S233" s="8">
        <v>-0.03360553040017353</v>
      </c>
      <c r="T233" s="6">
        <v>7894.27</v>
      </c>
      <c r="U233" s="6">
        <v>7081.949617</v>
      </c>
      <c r="V233" s="6">
        <v>-812.3203830000002</v>
      </c>
    </row>
    <row r="234">
      <c r="A234" s="61">
        <v>44632.0</v>
      </c>
      <c r="B234" s="56">
        <v>5.00166</v>
      </c>
      <c r="C234" s="8">
        <v>0.008400000000000074</v>
      </c>
      <c r="D234" s="57">
        <v>-0.09879999999999989</v>
      </c>
      <c r="E234" s="45">
        <v>81.39</v>
      </c>
      <c r="F234" s="8">
        <v>0.013113152394714889</v>
      </c>
      <c r="G234" s="57">
        <v>-0.05133811259264276</v>
      </c>
      <c r="H234" s="6">
        <v>5091.587117992579</v>
      </c>
      <c r="I234" s="8">
        <v>0.006975915886764871</v>
      </c>
      <c r="J234" s="8">
        <v>0.8304661769958106</v>
      </c>
      <c r="K234" s="6">
        <v>1039.411662007421</v>
      </c>
      <c r="L234" s="8">
        <v>0.0014240841132352033</v>
      </c>
      <c r="M234" s="8">
        <v>0.16953382300418937</v>
      </c>
      <c r="N234" s="59">
        <v>-0.004713152394714815</v>
      </c>
      <c r="O234" s="8">
        <v>-0.04746188740735713</v>
      </c>
      <c r="P234" s="6">
        <v>85.7945291998971</v>
      </c>
      <c r="Q234" s="60">
        <v>75.3286494655363</v>
      </c>
      <c r="R234" s="60">
        <v>77.75401371</v>
      </c>
      <c r="S234" s="8">
        <v>-0.03119278515331185</v>
      </c>
      <c r="T234" s="6">
        <v>6803.15</v>
      </c>
      <c r="U234" s="6">
        <v>6130.99878</v>
      </c>
      <c r="V234" s="6">
        <v>-672.1512199999997</v>
      </c>
    </row>
    <row r="235">
      <c r="A235" s="61">
        <v>44631.0</v>
      </c>
      <c r="B235" s="56">
        <v>4.95504</v>
      </c>
      <c r="C235" s="8">
        <v>-0.04865397909462621</v>
      </c>
      <c r="D235" s="57">
        <v>-0.10719999999999996</v>
      </c>
      <c r="E235" s="45">
        <v>80.8</v>
      </c>
      <c r="F235" s="8">
        <v>-0.01339699916216075</v>
      </c>
      <c r="G235" s="57">
        <v>-0.06445126498735765</v>
      </c>
      <c r="H235" s="6">
        <v>4232.001381425546</v>
      </c>
      <c r="I235" s="8">
        <v>-0.04037571851490221</v>
      </c>
      <c r="J235" s="8">
        <v>0.8298543976511403</v>
      </c>
      <c r="K235" s="6">
        <v>867.6900745744533</v>
      </c>
      <c r="L235" s="8">
        <v>-0.008278260579724004</v>
      </c>
      <c r="M235" s="8">
        <v>0.1701456023488597</v>
      </c>
      <c r="N235" s="59">
        <v>-0.03525697993246546</v>
      </c>
      <c r="O235" s="8">
        <v>-0.042748735012642314</v>
      </c>
      <c r="P235" s="6">
        <v>86.36642536736274</v>
      </c>
      <c r="Q235" s="60">
        <v>63.11499326732673</v>
      </c>
      <c r="R235" s="60">
        <v>64.66763264999999</v>
      </c>
      <c r="S235" s="8">
        <v>-0.024009528709309513</v>
      </c>
      <c r="T235" s="6">
        <v>5712.0199999999995</v>
      </c>
      <c r="U235" s="6">
        <v>5099.691456</v>
      </c>
      <c r="V235" s="6">
        <v>-612.328544</v>
      </c>
    </row>
    <row r="236">
      <c r="A236" s="61">
        <v>44630.0</v>
      </c>
      <c r="B236" s="56">
        <v>5.225069583975175</v>
      </c>
      <c r="C236" s="8">
        <v>-0.015846020905373792</v>
      </c>
      <c r="D236" s="57">
        <v>-0.05854602090537375</v>
      </c>
      <c r="E236" s="45">
        <v>83.03</v>
      </c>
      <c r="F236" s="8">
        <v>-0.06743080611383045</v>
      </c>
      <c r="G236" s="57">
        <v>-0.0510542658251969</v>
      </c>
      <c r="H236" s="6">
        <v>3616.5151627763416</v>
      </c>
      <c r="I236" s="8">
        <v>-0.013186531181521464</v>
      </c>
      <c r="J236" s="8">
        <v>0.8321667161911652</v>
      </c>
      <c r="K236" s="6">
        <v>729.387037361108</v>
      </c>
      <c r="L236" s="8">
        <v>-0.0026594897238523285</v>
      </c>
      <c r="M236" s="8">
        <v>0.16783328380883478</v>
      </c>
      <c r="N236" s="59">
        <v>0.05158478520845666</v>
      </c>
      <c r="O236" s="8">
        <v>-0.007491755080176854</v>
      </c>
      <c r="P236" s="6">
        <v>87.49710021321961</v>
      </c>
      <c r="Q236" s="60">
        <v>52.34134891168794</v>
      </c>
      <c r="R236" s="60">
        <v>51.6044394</v>
      </c>
      <c r="S236" s="8">
        <v>0.014279963511975304</v>
      </c>
      <c r="T236" s="6">
        <v>4616.16</v>
      </c>
      <c r="U236" s="6">
        <v>4345.90220013745</v>
      </c>
      <c r="V236" s="6">
        <v>-270.2577998625502</v>
      </c>
    </row>
    <row r="237">
      <c r="A237" s="61">
        <v>44629.0</v>
      </c>
      <c r="B237" s="56">
        <v>5.313015</v>
      </c>
      <c r="C237" s="8">
        <v>0.039300000000000224</v>
      </c>
      <c r="D237" s="57">
        <v>-0.04269999999999996</v>
      </c>
      <c r="E237" s="45">
        <v>88.93</v>
      </c>
      <c r="F237" s="8">
        <v>0.05055628608731089</v>
      </c>
      <c r="G237" s="57">
        <v>0.016376540288633556</v>
      </c>
      <c r="H237" s="6">
        <v>3704.421135490116</v>
      </c>
      <c r="I237" s="8">
        <v>0.032944581228768394</v>
      </c>
      <c r="J237" s="8">
        <v>0.8382845096378678</v>
      </c>
      <c r="K237" s="6">
        <v>714.6288325098844</v>
      </c>
      <c r="L237" s="8">
        <v>0.00635541877123183</v>
      </c>
      <c r="M237" s="8">
        <v>0.16171549036213215</v>
      </c>
      <c r="N237" s="59">
        <v>-0.011256286087310663</v>
      </c>
      <c r="O237" s="8">
        <v>-0.05907654028863352</v>
      </c>
      <c r="P237" s="6">
        <v>87.49710021321961</v>
      </c>
      <c r="Q237" s="60">
        <v>49.691329899921286</v>
      </c>
      <c r="R237" s="60">
        <v>51.6044394</v>
      </c>
      <c r="S237" s="8">
        <v>-0.03707257597063852</v>
      </c>
      <c r="T237" s="6">
        <v>4616.16</v>
      </c>
      <c r="U237" s="6">
        <v>4419.049968</v>
      </c>
      <c r="V237" s="6">
        <v>-197.1100319999996</v>
      </c>
    </row>
    <row r="238">
      <c r="A238" s="61">
        <v>44628.0</v>
      </c>
      <c r="B238" s="56">
        <v>5.094899999999999</v>
      </c>
      <c r="C238" s="8">
        <v>0.06379999999999963</v>
      </c>
      <c r="D238" s="57">
        <v>-0.08200000000000018</v>
      </c>
      <c r="E238" s="45">
        <v>84.21</v>
      </c>
      <c r="F238" s="8">
        <v>0.04160785635408404</v>
      </c>
      <c r="G238" s="57">
        <v>-0.03417974579867733</v>
      </c>
      <c r="H238" s="6">
        <v>2692.8462892288503</v>
      </c>
      <c r="I238" s="8">
        <v>0.05317029953737596</v>
      </c>
      <c r="J238" s="8">
        <v>0.8333902748805058</v>
      </c>
      <c r="K238" s="6">
        <v>538.3484707711505</v>
      </c>
      <c r="L238" s="8">
        <v>0.010629700462623674</v>
      </c>
      <c r="M238" s="8">
        <v>0.1666097251194943</v>
      </c>
      <c r="N238" s="59">
        <v>0.022192143645915596</v>
      </c>
      <c r="O238" s="8">
        <v>-0.047820254201322854</v>
      </c>
      <c r="P238" s="6">
        <v>87.19013670886078</v>
      </c>
      <c r="Q238" s="60">
        <v>38.37067759173495</v>
      </c>
      <c r="R238" s="60">
        <v>39.514371219999994</v>
      </c>
      <c r="S238" s="8">
        <v>-0.028943738517245243</v>
      </c>
      <c r="T238" s="6">
        <v>3519.8200000000006</v>
      </c>
      <c r="U238" s="6">
        <v>3231.1947600000003</v>
      </c>
      <c r="V238" s="6">
        <v>-288.6252400000003</v>
      </c>
    </row>
    <row r="239">
      <c r="A239" s="61">
        <v>44627.0</v>
      </c>
      <c r="B239" s="56">
        <v>4.740810000000001</v>
      </c>
      <c r="C239" s="8">
        <v>-0.05679999999999963</v>
      </c>
      <c r="D239" s="57">
        <v>-0.14579999999999982</v>
      </c>
      <c r="E239" s="45">
        <v>82.02</v>
      </c>
      <c r="F239" s="8">
        <v>-0.06265082823738899</v>
      </c>
      <c r="G239" s="57">
        <v>-0.07578760215276137</v>
      </c>
      <c r="H239" s="6">
        <v>1725.8127404420627</v>
      </c>
      <c r="I239" s="8">
        <v>-0.04720758378907306</v>
      </c>
      <c r="J239" s="8">
        <v>0.8311194329062213</v>
      </c>
      <c r="K239" s="6">
        <v>350.6791235579378</v>
      </c>
      <c r="L239" s="8">
        <v>-0.00959241621092657</v>
      </c>
      <c r="M239" s="8">
        <v>0.16888056709377877</v>
      </c>
      <c r="N239" s="59">
        <v>0.0058508282373893605</v>
      </c>
      <c r="O239" s="8">
        <v>-0.07001239784723845</v>
      </c>
      <c r="P239" s="6">
        <v>88.74583395661928</v>
      </c>
      <c r="Q239" s="60">
        <v>25.316896659351386</v>
      </c>
      <c r="R239" s="60">
        <v>26.7513671</v>
      </c>
      <c r="S239" s="8">
        <v>-0.05362232275032455</v>
      </c>
      <c r="T239" s="6">
        <v>2430.9200000000005</v>
      </c>
      <c r="U239" s="6">
        <v>2076.4918640000005</v>
      </c>
      <c r="V239" s="6">
        <v>-354.428136</v>
      </c>
    </row>
    <row r="240">
      <c r="A240" s="61">
        <v>44626.0</v>
      </c>
      <c r="B240" s="56">
        <v>5.056049999999999</v>
      </c>
      <c r="C240" s="8">
        <v>-0.0053000000000001934</v>
      </c>
      <c r="D240" s="57">
        <v>-0.08900000000000019</v>
      </c>
      <c r="E240" s="45">
        <v>87.58</v>
      </c>
      <c r="F240" s="8">
        <v>-0.009645734602773515</v>
      </c>
      <c r="G240" s="57">
        <v>-0.01313677391537238</v>
      </c>
      <c r="H240" s="6">
        <v>1853.338122576576</v>
      </c>
      <c r="I240" s="8">
        <v>-0.004435488780384056</v>
      </c>
      <c r="J240" s="8">
        <v>0.8368846755441308</v>
      </c>
      <c r="K240" s="6">
        <v>361.22999742342427</v>
      </c>
      <c r="L240" s="8">
        <v>-8.645112196161382E-4</v>
      </c>
      <c r="M240" s="8">
        <v>0.16311532445586918</v>
      </c>
      <c r="N240" s="59">
        <v>0.004345734602773321</v>
      </c>
      <c r="O240" s="8">
        <v>-0.07586322608462781</v>
      </c>
      <c r="P240" s="6">
        <v>88.74583395661928</v>
      </c>
      <c r="Q240" s="60">
        <v>25.286231102991554</v>
      </c>
      <c r="R240" s="60">
        <v>26.7513671</v>
      </c>
      <c r="S240" s="8">
        <v>-0.054768640104693775</v>
      </c>
      <c r="T240" s="6">
        <v>2430.9200000000005</v>
      </c>
      <c r="U240" s="6">
        <v>2214.5681200000004</v>
      </c>
      <c r="V240" s="6">
        <v>-216.35188000000016</v>
      </c>
    </row>
    <row r="241">
      <c r="A241" s="61">
        <v>44625.0</v>
      </c>
      <c r="B241" s="56">
        <v>5.085465</v>
      </c>
      <c r="C241" s="8">
        <v>0.12149999999999994</v>
      </c>
      <c r="D241" s="57">
        <v>-0.0837</v>
      </c>
      <c r="E241" s="45">
        <v>89.7</v>
      </c>
      <c r="F241" s="8">
        <v>0.06627151971770384</v>
      </c>
      <c r="G241" s="57">
        <v>-0.003491039312598865</v>
      </c>
      <c r="H241" s="6">
        <v>1027.3703849074504</v>
      </c>
      <c r="I241" s="8">
        <v>0.10194857642369687</v>
      </c>
      <c r="J241" s="8">
        <v>0.8390829335283697</v>
      </c>
      <c r="K241" s="6">
        <v>197.02632709254954</v>
      </c>
      <c r="L241" s="8">
        <v>0.019551423576303066</v>
      </c>
      <c r="M241" s="8">
        <v>0.16091706647163026</v>
      </c>
      <c r="N241" s="59">
        <v>0.0552284802822961</v>
      </c>
      <c r="O241" s="8">
        <v>-0.08020896068740113</v>
      </c>
      <c r="P241" s="6">
        <v>90.01424326192121</v>
      </c>
      <c r="Q241" s="60">
        <v>13.649907603121516</v>
      </c>
      <c r="R241" s="60">
        <v>14.48121196</v>
      </c>
      <c r="S241" s="8">
        <v>-0.05740571708878457</v>
      </c>
      <c r="T241" s="6">
        <v>1336.24</v>
      </c>
      <c r="U241" s="6">
        <v>1224.396712</v>
      </c>
      <c r="V241" s="6">
        <v>-111.84328800000003</v>
      </c>
    </row>
    <row r="242">
      <c r="A242" s="61">
        <v>44624.0</v>
      </c>
      <c r="B242" s="56">
        <v>4.4111400000000005</v>
      </c>
      <c r="C242" s="8">
        <v>-0.04949999999999988</v>
      </c>
      <c r="D242" s="57">
        <v>-0.20519999999999994</v>
      </c>
      <c r="E242" s="79">
        <v>88.25</v>
      </c>
      <c r="F242" s="8">
        <v>-0.07958405302346983</v>
      </c>
      <c r="G242" s="57">
        <v>-0.0697625590303027</v>
      </c>
      <c r="H242" s="6">
        <v>160.80845189573623</v>
      </c>
      <c r="I242" s="8">
        <v>-0.04146018069700384</v>
      </c>
      <c r="J242" s="8">
        <v>0.8375794080202817</v>
      </c>
      <c r="K242" s="6">
        <v>31.183436104263762</v>
      </c>
      <c r="L242" s="8">
        <v>-0.008039819302996033</v>
      </c>
      <c r="M242" s="8">
        <v>0.16242059197971825</v>
      </c>
      <c r="N242" s="59">
        <v>0.030084053023469948</v>
      </c>
      <c r="O242" s="8">
        <v>-0.13543744096969723</v>
      </c>
      <c r="P242" s="6">
        <v>94.86825203252033</v>
      </c>
      <c r="Q242" s="60">
        <v>2.1755454730878188</v>
      </c>
      <c r="R242" s="60">
        <v>2.46849148</v>
      </c>
      <c r="S242" s="8">
        <v>-0.11867410087726177</v>
      </c>
      <c r="T242" s="6">
        <v>241.56</v>
      </c>
      <c r="U242" s="6">
        <v>191.99188800000002</v>
      </c>
      <c r="V242" s="6">
        <v>-49.568111999999985</v>
      </c>
    </row>
    <row r="243">
      <c r="A243" s="61">
        <v>44623.0</v>
      </c>
      <c r="B243" s="56">
        <v>4.685865</v>
      </c>
      <c r="C243" s="8">
        <v>-0.05600000000000016</v>
      </c>
      <c r="D243" s="57">
        <v>-0.15570000000000006</v>
      </c>
      <c r="E243" s="45">
        <v>95.8</v>
      </c>
      <c r="F243" s="8">
        <v>-0.05259926153471728</v>
      </c>
      <c r="G243" s="57">
        <v>0.009821493993167119</v>
      </c>
      <c r="H243" s="6">
        <v>172.4202298904458</v>
      </c>
      <c r="I243" s="8">
        <v>-0.04734285414901148</v>
      </c>
      <c r="J243" s="8">
        <v>0.845408109803774</v>
      </c>
      <c r="K243" s="6">
        <v>31.528878109554228</v>
      </c>
      <c r="L243" s="8">
        <v>-0.008657145850988677</v>
      </c>
      <c r="M243" s="8">
        <v>0.15459189019622593</v>
      </c>
      <c r="N243" s="59">
        <v>-0.003400738465282882</v>
      </c>
      <c r="O243" s="8">
        <v>-0.16552149399316718</v>
      </c>
      <c r="P243" s="6">
        <v>94.86825203252033</v>
      </c>
      <c r="Q243" s="60">
        <v>2.12890509394572</v>
      </c>
      <c r="R243" s="60">
        <v>2.46849148</v>
      </c>
      <c r="S243" s="8">
        <v>-0.13756838490456522</v>
      </c>
      <c r="T243" s="6">
        <v>241.56</v>
      </c>
      <c r="U243" s="6">
        <v>203.949108</v>
      </c>
      <c r="V243" s="6">
        <v>-37.61089200000001</v>
      </c>
    </row>
    <row r="244">
      <c r="A244" s="61">
        <v>44622.0</v>
      </c>
      <c r="B244" s="56">
        <v>4.996665</v>
      </c>
      <c r="C244" s="8">
        <v>0.01471769803557832</v>
      </c>
      <c r="D244" s="57">
        <v>-0.0996999999999999</v>
      </c>
      <c r="E244" s="80">
        <v>100.79</v>
      </c>
      <c r="F244" s="8">
        <v>0.021398096375846887</v>
      </c>
      <c r="G244" s="57">
        <v>0.0624207555278844</v>
      </c>
      <c r="H244" s="6">
        <v>184.98163682217327</v>
      </c>
      <c r="I244" s="8">
        <v>0.012518613613293378</v>
      </c>
      <c r="J244" s="8">
        <v>0.8505823113798835</v>
      </c>
      <c r="K244" s="6">
        <v>32.49483117782674</v>
      </c>
      <c r="L244" s="8">
        <v>0.0021990844222849423</v>
      </c>
      <c r="M244" s="8">
        <v>0.14941768862011653</v>
      </c>
      <c r="N244" s="59">
        <v>-0.006680398340268567</v>
      </c>
      <c r="O244" s="8">
        <v>-0.1621207555278843</v>
      </c>
      <c r="P244" s="6">
        <v>94.86825203252033</v>
      </c>
      <c r="Q244" s="60">
        <v>2.1577187022522075</v>
      </c>
      <c r="R244" s="60">
        <v>2.46849148</v>
      </c>
      <c r="S244" s="8">
        <v>-0.12589582757960033</v>
      </c>
      <c r="T244" s="6">
        <v>241.56</v>
      </c>
      <c r="U244" s="6">
        <v>217.476468</v>
      </c>
      <c r="V244" s="6">
        <v>-24.08353199999999</v>
      </c>
    </row>
    <row r="245">
      <c r="A245" s="61">
        <v>44621.0</v>
      </c>
      <c r="B245" s="56">
        <v>4.9149817759025405</v>
      </c>
      <c r="C245" s="8">
        <v>0.024782301964421882</v>
      </c>
      <c r="D245" s="57">
        <v>-0.11441769803557822</v>
      </c>
      <c r="E245" s="80">
        <v>98.76</v>
      </c>
      <c r="F245" s="8">
        <v>-0.008643566023740945</v>
      </c>
      <c r="G245" s="57">
        <v>0.04102265915203751</v>
      </c>
      <c r="H245" s="6">
        <v>181.50735001634533</v>
      </c>
      <c r="I245" s="8">
        <v>0.021027222533798486</v>
      </c>
      <c r="J245" s="8">
        <v>0.8484773756685604</v>
      </c>
      <c r="K245" s="6">
        <v>32.413910846180386</v>
      </c>
      <c r="L245" s="8">
        <v>0.0037550794306233956</v>
      </c>
      <c r="M245" s="8">
        <v>0.15152262433143965</v>
      </c>
      <c r="N245" s="59">
        <v>0.03342586798816283</v>
      </c>
      <c r="O245" s="8">
        <v>-0.15544035718761573</v>
      </c>
      <c r="P245" s="6">
        <v>94.86825203252033</v>
      </c>
      <c r="Q245" s="60">
        <v>2.166071900187583</v>
      </c>
      <c r="R245" s="60">
        <v>2.46849148</v>
      </c>
      <c r="S245" s="8">
        <v>-0.12251189937767852</v>
      </c>
      <c r="T245" s="6">
        <v>241.56</v>
      </c>
      <c r="U245" s="6">
        <v>213.9212608625257</v>
      </c>
      <c r="V245" s="6">
        <v>-27.63873913747429</v>
      </c>
    </row>
    <row r="246">
      <c r="A246" s="61">
        <v>44620.0</v>
      </c>
      <c r="B246" s="56">
        <v>4.7774399999999995</v>
      </c>
      <c r="C246" s="8">
        <v>0.09089999999999987</v>
      </c>
      <c r="D246" s="57">
        <v>-0.1392000000000001</v>
      </c>
      <c r="E246" s="80">
        <v>99.58</v>
      </c>
      <c r="F246" s="8">
        <v>0.14767848779586923</v>
      </c>
      <c r="G246" s="57">
        <v>0.049666225175778456</v>
      </c>
      <c r="H246" s="6">
        <v>176.60481482063307</v>
      </c>
      <c r="I246" s="8">
        <v>0.0772038829547009</v>
      </c>
      <c r="J246" s="8">
        <v>0.8493276452662377</v>
      </c>
      <c r="K246" s="6">
        <v>31.33003317936695</v>
      </c>
      <c r="L246" s="8">
        <v>0.013696117045298974</v>
      </c>
      <c r="M246" s="8">
        <v>0.1506723547337623</v>
      </c>
      <c r="N246" s="59">
        <v>-0.05677848779586936</v>
      </c>
      <c r="O246" s="8">
        <v>-0.18886622517577856</v>
      </c>
      <c r="P246" s="6">
        <v>94.86825203252033</v>
      </c>
      <c r="Q246" s="60">
        <v>2.0881185780277165</v>
      </c>
      <c r="R246" s="60">
        <v>2.46849148</v>
      </c>
      <c r="S246" s="8">
        <v>-0.15409123549913303</v>
      </c>
      <c r="T246" s="6">
        <v>241.56</v>
      </c>
      <c r="U246" s="6">
        <v>207.934848</v>
      </c>
      <c r="V246" s="6">
        <v>-33.625152000000014</v>
      </c>
    </row>
    <row r="247">
      <c r="A247" s="55">
        <v>44619.0</v>
      </c>
      <c r="B247" s="56">
        <v>4.272945</v>
      </c>
      <c r="C247" s="8">
        <v>-0.16446333471588548</v>
      </c>
      <c r="D247" s="57">
        <v>-0.23009999999999997</v>
      </c>
      <c r="E247" s="79">
        <v>85.57</v>
      </c>
      <c r="F247" s="8">
        <v>-0.047855841155834966</v>
      </c>
      <c r="G247" s="57">
        <v>-0.09801226262009077</v>
      </c>
      <c r="H247" s="6">
        <v>155.25372524974046</v>
      </c>
      <c r="I247" s="8">
        <v>-0.13729407045331996</v>
      </c>
      <c r="J247" s="8">
        <v>0.8348004781156778</v>
      </c>
      <c r="K247" s="6">
        <v>30.72331875025955</v>
      </c>
      <c r="L247" s="8">
        <v>-0.027169264262565527</v>
      </c>
      <c r="M247" s="8">
        <v>0.1651995218843222</v>
      </c>
      <c r="N247" s="59">
        <v>-0.11660749356005051</v>
      </c>
      <c r="O247" s="8">
        <v>-0.1320877373799092</v>
      </c>
      <c r="P247" s="6">
        <v>94.86825203252033</v>
      </c>
      <c r="Q247" s="60">
        <v>2.173390721047096</v>
      </c>
      <c r="R247" s="60">
        <v>2.46849148</v>
      </c>
      <c r="S247" s="8">
        <v>-0.11954700323814922</v>
      </c>
      <c r="T247" s="6">
        <v>241.56</v>
      </c>
      <c r="U247" s="6">
        <v>185.977044</v>
      </c>
      <c r="V247" s="6">
        <v>-55.582955999999996</v>
      </c>
    </row>
    <row r="248">
      <c r="A248" s="61">
        <v>44618.0</v>
      </c>
      <c r="B248" s="56">
        <v>5.185716507673164</v>
      </c>
      <c r="C248" s="8">
        <v>-0.02727084197428442</v>
      </c>
      <c r="D248" s="57">
        <v>-0.06563666528411449</v>
      </c>
      <c r="E248" s="79">
        <v>90.11</v>
      </c>
      <c r="F248" s="8">
        <v>-0.027722656881023267</v>
      </c>
      <c r="G248" s="57">
        <v>-0.05015642146425581</v>
      </c>
      <c r="H248" s="6">
        <v>189.48100664920366</v>
      </c>
      <c r="I248" s="8">
        <v>-0.022894091867488066</v>
      </c>
      <c r="J248" s="8">
        <v>0.8395080683272083</v>
      </c>
      <c r="K248" s="6">
        <v>36.22380048476563</v>
      </c>
      <c r="L248" s="8">
        <v>-0.004376750106796356</v>
      </c>
      <c r="M248" s="8">
        <v>0.16049193167279172</v>
      </c>
      <c r="N248" s="59">
        <v>4.518149067388455E-4</v>
      </c>
      <c r="O248" s="8">
        <v>-0.015480243819858686</v>
      </c>
      <c r="P248" s="6">
        <v>94.86825203252033</v>
      </c>
      <c r="Q248" s="60">
        <v>2.504769805060141</v>
      </c>
      <c r="R248" s="60">
        <v>2.46849148</v>
      </c>
      <c r="S248" s="8">
        <v>0.014696556724652272</v>
      </c>
      <c r="T248" s="6">
        <v>241.56</v>
      </c>
      <c r="U248" s="6">
        <v>225.7048071339693</v>
      </c>
      <c r="V248" s="6">
        <v>-15.855192866030706</v>
      </c>
    </row>
    <row r="249">
      <c r="A249" s="61">
        <v>44617.0</v>
      </c>
      <c r="B249" s="56">
        <v>5.337069680630443</v>
      </c>
      <c r="C249" s="8">
        <v>0.038262131895479</v>
      </c>
      <c r="D249" s="57">
        <v>-0.03836582330983007</v>
      </c>
      <c r="E249" s="79">
        <v>92.74</v>
      </c>
      <c r="F249" s="8">
        <v>0.03889604710683492</v>
      </c>
      <c r="G249" s="57">
        <v>-0.02243376458323254</v>
      </c>
      <c r="H249" s="6">
        <v>195.6447842822767</v>
      </c>
      <c r="I249" s="8">
        <v>0.032225712492906525</v>
      </c>
      <c r="J249" s="8">
        <v>0.8422351525246368</v>
      </c>
      <c r="K249" s="6">
        <v>36.64756743900077</v>
      </c>
      <c r="L249" s="8">
        <v>0.006036419402572474</v>
      </c>
      <c r="M249" s="8">
        <v>0.1577648474753632</v>
      </c>
      <c r="N249" s="59">
        <v>-6.339152113559177E-4</v>
      </c>
      <c r="O249" s="8">
        <v>-0.01593205872659753</v>
      </c>
      <c r="P249" s="6">
        <v>94.86825203252033</v>
      </c>
      <c r="Q249" s="60">
        <v>2.5047698050601412</v>
      </c>
      <c r="R249" s="60">
        <v>2.46849148</v>
      </c>
      <c r="S249" s="8">
        <v>0.01469655672465245</v>
      </c>
      <c r="T249" s="6">
        <v>241.56</v>
      </c>
      <c r="U249" s="6">
        <v>232.29235172127747</v>
      </c>
      <c r="V249" s="6">
        <v>-9.267648278722532</v>
      </c>
    </row>
    <row r="250">
      <c r="A250" s="61">
        <v>44616.0</v>
      </c>
      <c r="B250" s="56">
        <v>5.124714848610535</v>
      </c>
      <c r="C250" s="8">
        <v>0.03919535462463708</v>
      </c>
      <c r="D250" s="57">
        <v>-0.07662795520530907</v>
      </c>
      <c r="E250" s="79">
        <v>89.05</v>
      </c>
      <c r="F250" s="8">
        <v>0.03984473118261145</v>
      </c>
      <c r="G250" s="57">
        <v>-0.06132981169006746</v>
      </c>
      <c r="H250" s="6">
        <v>187.00690527275063</v>
      </c>
      <c r="I250" s="8">
        <v>0.03286173569770465</v>
      </c>
      <c r="J250" s="8">
        <v>0.8384089393350889</v>
      </c>
      <c r="K250" s="6">
        <v>36.042845867854936</v>
      </c>
      <c r="L250" s="8">
        <v>0.006333618926932438</v>
      </c>
      <c r="M250" s="8">
        <v>0.1615910606649112</v>
      </c>
      <c r="N250" s="59">
        <v>-6.493765579743682E-4</v>
      </c>
      <c r="O250" s="8">
        <v>-0.015298143515241613</v>
      </c>
      <c r="P250" s="6">
        <v>94.86825203252033</v>
      </c>
      <c r="Q250" s="60">
        <v>2.5047698050601412</v>
      </c>
      <c r="R250" s="60">
        <v>2.46849148</v>
      </c>
      <c r="S250" s="8">
        <v>0.01469655672465245</v>
      </c>
      <c r="T250" s="6">
        <v>241.56</v>
      </c>
      <c r="U250" s="6">
        <v>223.04975114060557</v>
      </c>
      <c r="V250" s="6">
        <v>-18.510248859394437</v>
      </c>
    </row>
    <row r="251">
      <c r="A251" s="61">
        <v>44615.0</v>
      </c>
      <c r="B251" s="56">
        <v>4.907180630443799</v>
      </c>
      <c r="C251" s="8">
        <v>-0.013479883865616049</v>
      </c>
      <c r="D251" s="57">
        <v>-0.11582330982994615</v>
      </c>
      <c r="E251" s="79">
        <v>85.27</v>
      </c>
      <c r="F251" s="8">
        <v>-0.013703214427882249</v>
      </c>
      <c r="G251" s="57">
        <v>-0.10117454287267891</v>
      </c>
      <c r="H251" s="6">
        <v>178.23168326693198</v>
      </c>
      <c r="I251" s="8">
        <v>-0.011248820251290155</v>
      </c>
      <c r="J251" s="8">
        <v>0.8344894038726252</v>
      </c>
      <c r="K251" s="6">
        <v>35.35003801054623</v>
      </c>
      <c r="L251" s="8">
        <v>-0.0022310636143258937</v>
      </c>
      <c r="M251" s="8">
        <v>0.1655105961273748</v>
      </c>
      <c r="N251" s="59">
        <v>2.2333056226619963E-4</v>
      </c>
      <c r="O251" s="8">
        <v>-0.014648766957267245</v>
      </c>
      <c r="P251" s="6">
        <v>94.86825203252033</v>
      </c>
      <c r="Q251" s="60">
        <v>2.504769805060141</v>
      </c>
      <c r="R251" s="60">
        <v>2.46849148</v>
      </c>
      <c r="S251" s="8">
        <v>0.014696556724652272</v>
      </c>
      <c r="T251" s="6">
        <v>241.56</v>
      </c>
      <c r="U251" s="6">
        <v>213.5817212774782</v>
      </c>
      <c r="V251" s="6">
        <v>-27.978278722521793</v>
      </c>
    </row>
    <row r="252">
      <c r="A252" s="61">
        <v>44614.0</v>
      </c>
      <c r="B252" s="56">
        <v>4.981993985897968</v>
      </c>
      <c r="C252" s="8">
        <v>0.035566155122355836</v>
      </c>
      <c r="D252" s="57">
        <v>-0.1023434259643301</v>
      </c>
      <c r="E252" s="79">
        <v>86.57</v>
      </c>
      <c r="F252" s="8">
        <v>0.0772282688364001</v>
      </c>
      <c r="G252" s="57">
        <v>-0.08747132844479666</v>
      </c>
      <c r="H252" s="6">
        <v>181.24124328748817</v>
      </c>
      <c r="I252" s="8">
        <v>0.02972752235015562</v>
      </c>
      <c r="J252" s="8">
        <v>0.8358373922591867</v>
      </c>
      <c r="K252" s="6">
        <v>35.59667873656821</v>
      </c>
      <c r="L252" s="8">
        <v>0.005838632772200215</v>
      </c>
      <c r="M252" s="8">
        <v>0.1641626077408132</v>
      </c>
      <c r="N252" s="59">
        <v>-0.04166211371404427</v>
      </c>
      <c r="O252" s="8">
        <v>-0.014872097519533445</v>
      </c>
      <c r="P252" s="6">
        <v>94.86825203252033</v>
      </c>
      <c r="Q252" s="60">
        <v>2.5047698050601412</v>
      </c>
      <c r="R252" s="60">
        <v>2.46849148</v>
      </c>
      <c r="S252" s="8">
        <v>0.01469655672465245</v>
      </c>
      <c r="T252" s="6">
        <v>241.56</v>
      </c>
      <c r="U252" s="6">
        <v>216.8379220240564</v>
      </c>
      <c r="V252" s="6">
        <v>-24.72207797594359</v>
      </c>
    </row>
    <row r="253">
      <c r="A253" s="61">
        <v>44613.0</v>
      </c>
      <c r="B253" s="56">
        <v>4.784601824968893</v>
      </c>
      <c r="C253" s="8">
        <v>-0.07942762339278309</v>
      </c>
      <c r="D253" s="57">
        <v>-0.13790958108668594</v>
      </c>
      <c r="E253" s="79">
        <v>83.14</v>
      </c>
      <c r="F253" s="8">
        <v>-0.053675512691418015</v>
      </c>
      <c r="G253" s="57">
        <v>-0.16469959728119676</v>
      </c>
      <c r="H253" s="6">
        <v>124.10619700341063</v>
      </c>
      <c r="I253" s="8">
        <v>-0.06610608409250981</v>
      </c>
      <c r="J253" s="8">
        <v>0.8322807767469511</v>
      </c>
      <c r="K253" s="6">
        <v>25.009582756025296</v>
      </c>
      <c r="L253" s="8">
        <v>-0.01332153930027327</v>
      </c>
      <c r="M253" s="8">
        <v>0.16771922325304883</v>
      </c>
      <c r="N253" s="59">
        <v>-0.025752110701365072</v>
      </c>
      <c r="O253" s="8">
        <v>0.026790016194510824</v>
      </c>
      <c r="P253" s="6">
        <v>99.53305389221556</v>
      </c>
      <c r="Q253" s="60">
        <v>1.7935503940273745</v>
      </c>
      <c r="R253" s="60">
        <v>1.67506374</v>
      </c>
      <c r="S253" s="8">
        <v>0.07073560915799812</v>
      </c>
      <c r="T253" s="6">
        <v>172.97</v>
      </c>
      <c r="U253" s="6">
        <v>149.11577975943592</v>
      </c>
      <c r="V253" s="6">
        <v>-23.854220240564075</v>
      </c>
    </row>
    <row r="254">
      <c r="A254" s="61">
        <v>44612.0</v>
      </c>
      <c r="B254" s="56">
        <v>5.225425134798839</v>
      </c>
      <c r="C254" s="8">
        <v>-0.008399004562422152</v>
      </c>
      <c r="D254" s="57">
        <v>-0.05848195769390285</v>
      </c>
      <c r="E254" s="79">
        <v>90.8</v>
      </c>
      <c r="F254" s="8">
        <v>-0.0079302917564128</v>
      </c>
      <c r="G254" s="57">
        <v>-0.11102408458977875</v>
      </c>
      <c r="H254" s="6">
        <v>100.8871493251944</v>
      </c>
      <c r="I254" s="8">
        <v>-0.007057041338239728</v>
      </c>
      <c r="J254" s="8">
        <v>0.8402235390862294</v>
      </c>
      <c r="K254" s="6">
        <v>19.18464661010215</v>
      </c>
      <c r="L254" s="8">
        <v>-0.001341963224182424</v>
      </c>
      <c r="M254" s="8">
        <v>0.1597764609137706</v>
      </c>
      <c r="N254" s="59">
        <v>-4.687128060093526E-4</v>
      </c>
      <c r="O254" s="8">
        <v>0.052542126895875896</v>
      </c>
      <c r="P254" s="6">
        <v>102.14</v>
      </c>
      <c r="Q254" s="60">
        <v>1.3223766072169225</v>
      </c>
      <c r="R254" s="60">
        <v>1.19269081</v>
      </c>
      <c r="S254" s="8">
        <v>0.10873379431583155</v>
      </c>
      <c r="T254" s="6">
        <v>127.53</v>
      </c>
      <c r="U254" s="6">
        <v>120.07179593529656</v>
      </c>
      <c r="V254" s="6">
        <v>-7.4582040647034376</v>
      </c>
    </row>
    <row r="255">
      <c r="A255" s="61">
        <v>44611.0</v>
      </c>
      <c r="B255" s="56">
        <v>5.272039610120282</v>
      </c>
      <c r="C255" s="8">
        <v>0.015553712152633792</v>
      </c>
      <c r="D255" s="57">
        <v>-0.0500829531314807</v>
      </c>
      <c r="E255" s="79">
        <v>91.61</v>
      </c>
      <c r="F255" s="8">
        <v>0.014685725474838485</v>
      </c>
      <c r="G255" s="57">
        <v>-0.10309379283336595</v>
      </c>
      <c r="H255" s="6">
        <v>101.88888180166775</v>
      </c>
      <c r="I255" s="8">
        <v>0.013081658640747718</v>
      </c>
      <c r="J255" s="8">
        <v>0.8410634395424716</v>
      </c>
      <c r="K255" s="6">
        <v>19.25403918547451</v>
      </c>
      <c r="L255" s="8">
        <v>0.002472053511886073</v>
      </c>
      <c r="M255" s="8">
        <v>0.1589365604575283</v>
      </c>
      <c r="N255" s="59">
        <v>8.679866777953071E-4</v>
      </c>
      <c r="O255" s="8">
        <v>0.05301083970188525</v>
      </c>
      <c r="P255" s="6">
        <v>102.14</v>
      </c>
      <c r="Q255" s="60">
        <v>1.3223766072169225</v>
      </c>
      <c r="R255" s="60">
        <v>1.19269081</v>
      </c>
      <c r="S255" s="8">
        <v>0.10873379431583155</v>
      </c>
      <c r="T255" s="6">
        <v>127.53</v>
      </c>
      <c r="U255" s="6">
        <v>121.14292098714226</v>
      </c>
      <c r="V255" s="6">
        <v>-6.38707901285774</v>
      </c>
    </row>
    <row r="256">
      <c r="A256" s="61">
        <v>44610.0</v>
      </c>
      <c r="B256" s="56">
        <v>5.185716507673164</v>
      </c>
      <c r="C256" s="8">
        <v>-0.03411447532144363</v>
      </c>
      <c r="D256" s="57">
        <v>-0.06563666528411449</v>
      </c>
      <c r="E256" s="79">
        <v>90.11</v>
      </c>
      <c r="F256" s="8">
        <v>-0.03221069120814579</v>
      </c>
      <c r="G256" s="57">
        <v>-0.11777951830820443</v>
      </c>
      <c r="H256" s="6">
        <v>100.03524084274277</v>
      </c>
      <c r="I256" s="8">
        <v>-0.028639377279101357</v>
      </c>
      <c r="J256" s="8">
        <v>0.8395080683272083</v>
      </c>
      <c r="K256" s="6">
        <v>19.124115233574116</v>
      </c>
      <c r="L256" s="8">
        <v>-0.005475098042342272</v>
      </c>
      <c r="M256" s="8">
        <v>0.1604919316727918</v>
      </c>
      <c r="N256" s="59">
        <v>-0.001903784113297835</v>
      </c>
      <c r="O256" s="8">
        <v>0.05214285302408994</v>
      </c>
      <c r="P256" s="6">
        <v>102.14</v>
      </c>
      <c r="Q256" s="60">
        <v>1.3223766072169225</v>
      </c>
      <c r="R256" s="60">
        <v>1.19269081</v>
      </c>
      <c r="S256" s="8">
        <v>0.10873379431583155</v>
      </c>
      <c r="T256" s="6">
        <v>127.53</v>
      </c>
      <c r="U256" s="6">
        <v>119.15935607631688</v>
      </c>
      <c r="V256" s="6">
        <v>-8.370643923683119</v>
      </c>
    </row>
    <row r="257">
      <c r="A257" s="61">
        <v>44609.0</v>
      </c>
      <c r="B257" s="56">
        <v>5.375051845707176</v>
      </c>
      <c r="C257" s="8">
        <v>-0.0887598506843631</v>
      </c>
      <c r="D257" s="57">
        <v>-0.031522189962670866</v>
      </c>
      <c r="E257" s="79">
        <v>93.4</v>
      </c>
      <c r="F257" s="8">
        <v>-0.08380654004307797</v>
      </c>
      <c r="G257" s="57">
        <v>-0.08556882710005864</v>
      </c>
      <c r="H257" s="6">
        <v>104.10896842694463</v>
      </c>
      <c r="I257" s="8">
        <v>-0.07481741036661177</v>
      </c>
      <c r="J257" s="8">
        <v>0.8429195158593527</v>
      </c>
      <c r="K257" s="6">
        <v>19.401006687115938</v>
      </c>
      <c r="L257" s="8">
        <v>-0.013942440317751324</v>
      </c>
      <c r="M257" s="8">
        <v>0.15708048414064735</v>
      </c>
      <c r="N257" s="59">
        <v>-0.004953310641285125</v>
      </c>
      <c r="O257" s="8">
        <v>0.054046637137387776</v>
      </c>
      <c r="P257" s="6">
        <v>102.14</v>
      </c>
      <c r="Q257" s="60">
        <v>1.3223766072169225</v>
      </c>
      <c r="R257" s="60">
        <v>1.19269081</v>
      </c>
      <c r="S257" s="8">
        <v>0.10873379431583155</v>
      </c>
      <c r="T257" s="6">
        <v>127.53</v>
      </c>
      <c r="U257" s="6">
        <v>123.50997511406057</v>
      </c>
      <c r="V257" s="6">
        <v>-4.020024885939435</v>
      </c>
    </row>
    <row r="258">
      <c r="A258" s="61">
        <v>44608.0</v>
      </c>
      <c r="B258" s="56">
        <v>5.867669017005392</v>
      </c>
      <c r="C258" s="8">
        <v>-0.029966818747407586</v>
      </c>
      <c r="D258" s="57">
        <v>0.05723766072169223</v>
      </c>
      <c r="E258" s="79">
        <v>101.96</v>
      </c>
      <c r="F258" s="8">
        <v>-0.028294497748188707</v>
      </c>
      <c r="G258" s="57">
        <v>-0.0017622870569806715</v>
      </c>
      <c r="H258" s="6">
        <v>114.84717756728953</v>
      </c>
      <c r="I258" s="8">
        <v>-0.025525601386160304</v>
      </c>
      <c r="J258" s="8">
        <v>0.851795500927789</v>
      </c>
      <c r="K258" s="6">
        <v>19.982341304547887</v>
      </c>
      <c r="L258" s="8">
        <v>-0.004441217361247284</v>
      </c>
      <c r="M258" s="8">
        <v>0.14820449907221103</v>
      </c>
      <c r="N258" s="59">
        <v>-0.0016723209992188792</v>
      </c>
      <c r="O258" s="8">
        <v>0.0589999477786729</v>
      </c>
      <c r="P258" s="6">
        <v>102.14</v>
      </c>
      <c r="Q258" s="60">
        <v>1.3223766072169225</v>
      </c>
      <c r="R258" s="60">
        <v>1.19269081</v>
      </c>
      <c r="S258" s="8">
        <v>0.10873379431583155</v>
      </c>
      <c r="T258" s="6">
        <v>127.53</v>
      </c>
      <c r="U258" s="6">
        <v>134.82951887183742</v>
      </c>
      <c r="V258" s="6">
        <v>7.299518871837421</v>
      </c>
    </row>
    <row r="259">
      <c r="A259" s="61">
        <v>44607.0</v>
      </c>
      <c r="B259" s="56">
        <v>6.033984861053503</v>
      </c>
      <c r="C259" s="8">
        <v>0.08720447946909982</v>
      </c>
      <c r="D259" s="57">
        <v>0.08720447946909982</v>
      </c>
      <c r="E259" s="79">
        <v>104.85</v>
      </c>
      <c r="F259" s="8">
        <v>0.026532210691208036</v>
      </c>
      <c r="G259" s="57">
        <v>0.026532210691208036</v>
      </c>
      <c r="H259" s="6">
        <v>118.51795101185995</v>
      </c>
      <c r="I259" s="8">
        <v>0.07454170735555023</v>
      </c>
      <c r="J259" s="8">
        <v>0.8547921828025298</v>
      </c>
      <c r="K259" s="6">
        <v>20.133236254834358</v>
      </c>
      <c r="L259" s="8">
        <v>0.01266277211354959</v>
      </c>
      <c r="M259" s="8">
        <v>0.14520781719747022</v>
      </c>
      <c r="N259" s="59">
        <v>0.06067226877789178</v>
      </c>
      <c r="O259" s="8">
        <v>0.06067226877789178</v>
      </c>
      <c r="P259" s="6">
        <v>102.14</v>
      </c>
      <c r="Q259" s="60">
        <v>1.3223766072169225</v>
      </c>
      <c r="R259" s="60">
        <v>1.19269081</v>
      </c>
      <c r="S259" s="8">
        <v>0.10873379431583155</v>
      </c>
      <c r="T259" s="6">
        <v>127.53</v>
      </c>
      <c r="U259" s="6">
        <v>138.6511872666943</v>
      </c>
      <c r="V259" s="6">
        <v>11.121187266694307</v>
      </c>
    </row>
    <row r="260">
      <c r="A260" s="81">
        <v>44606.0</v>
      </c>
      <c r="B260" s="82">
        <v>5.55</v>
      </c>
      <c r="C260" s="83">
        <v>0.0</v>
      </c>
      <c r="D260" s="83">
        <v>0.0</v>
      </c>
      <c r="E260" s="84">
        <v>96.44</v>
      </c>
      <c r="F260" s="83">
        <v>0.0</v>
      </c>
      <c r="G260" s="85">
        <v>0.0</v>
      </c>
      <c r="H260" s="86">
        <v>0.0</v>
      </c>
      <c r="I260" s="87">
        <v>0.0</v>
      </c>
      <c r="J260" s="83">
        <v>0.0</v>
      </c>
      <c r="K260" s="86">
        <v>0.0</v>
      </c>
      <c r="L260" s="87">
        <v>0.0</v>
      </c>
      <c r="M260" s="83">
        <v>0.0</v>
      </c>
      <c r="N260" s="88">
        <v>0.0</v>
      </c>
      <c r="O260" s="89">
        <v>0.0</v>
      </c>
      <c r="P260" s="90">
        <v>102.14</v>
      </c>
      <c r="Q260" s="91">
        <v>0.0</v>
      </c>
      <c r="R260" s="91">
        <v>0.0</v>
      </c>
      <c r="S260" s="83">
        <v>0.0</v>
      </c>
      <c r="T260" s="90">
        <v>0.0</v>
      </c>
      <c r="U260" s="90">
        <v>0.0</v>
      </c>
      <c r="V260" s="90">
        <v>0.0</v>
      </c>
    </row>
  </sheetData>
  <conditionalFormatting sqref="U1:V260">
    <cfRule type="expression" dxfId="3" priority="1">
      <formula>U1=MAXIFS(U:U,$R:$R,INDEX($R:$R,2))</formula>
    </cfRule>
  </conditionalFormatting>
  <conditionalFormatting sqref="U1:V260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6.88"/>
    <col customWidth="1" min="3" max="3" width="18.0"/>
    <col customWidth="1" min="4" max="4" width="18.13"/>
    <col customWidth="1" min="5" max="5" width="22.13"/>
    <col customWidth="1" min="6" max="6" width="45.0"/>
  </cols>
  <sheetData>
    <row r="1">
      <c r="A1" s="92" t="s">
        <v>37</v>
      </c>
      <c r="B1" s="93" t="s">
        <v>38</v>
      </c>
      <c r="C1" s="93" t="s">
        <v>39</v>
      </c>
      <c r="D1" s="93" t="s">
        <v>40</v>
      </c>
      <c r="E1" s="93" t="s">
        <v>41</v>
      </c>
      <c r="F1" s="94" t="s">
        <v>42</v>
      </c>
      <c r="G1" s="93" t="s">
        <v>43</v>
      </c>
      <c r="H1" s="93" t="s">
        <v>44</v>
      </c>
      <c r="I1" s="93" t="s">
        <v>45</v>
      </c>
      <c r="J1" s="60" t="s">
        <v>46</v>
      </c>
      <c r="K1" s="93" t="s">
        <v>47</v>
      </c>
    </row>
    <row r="2">
      <c r="A2" s="95" t="s">
        <v>48</v>
      </c>
      <c r="B2" s="96" t="str">
        <f>ImportJSON("https://public-api.solscan.io/account/"&amp;$F$2&amp;PriceCache!$D$2,"/lamports","noHeaders")</f>
        <v>9955000</v>
      </c>
      <c r="C2" s="96">
        <v>8.0</v>
      </c>
      <c r="D2" s="93">
        <f>$B2/POW(10,$C2)</f>
        <v>0.09955</v>
      </c>
      <c r="E2" s="93">
        <f>D2</f>
        <v>0.09955</v>
      </c>
      <c r="F2" s="95" t="s">
        <v>49</v>
      </c>
      <c r="G2" s="96" t="s">
        <v>1</v>
      </c>
      <c r="I2" s="60">
        <f>MAX(OFFSET(I:I,ROW(),0))</f>
        <v>0</v>
      </c>
      <c r="J2" s="60">
        <f>SUM(OFFSET(J:J,ROW(),0))</f>
        <v>0</v>
      </c>
      <c r="K2" s="93" t="str">
        <f>G2</f>
        <v>SOL</v>
      </c>
    </row>
    <row r="3">
      <c r="A3" s="94" t="str">
        <f>ImportJSON("https://public-api.solscan.io/account/tokens?account="&amp;$F$2&amp;PriceCache!$D$2,,"noHeaders")</f>
        <v>EPjFWdd5AufqSSqeM2qN1xzybapC8G4wEGGkZwyTDt1v</v>
      </c>
      <c r="B3" s="93" t="s">
        <v>50</v>
      </c>
      <c r="C3" s="93" t="s">
        <v>51</v>
      </c>
      <c r="D3" s="93">
        <v>0.0</v>
      </c>
      <c r="E3" s="93" t="s">
        <v>50</v>
      </c>
      <c r="F3" s="94" t="s">
        <v>52</v>
      </c>
      <c r="G3" s="93" t="s">
        <v>53</v>
      </c>
      <c r="H3" s="97" t="s">
        <v>54</v>
      </c>
      <c r="I3" s="93" t="s">
        <v>55</v>
      </c>
      <c r="J3" s="60" t="s">
        <v>56</v>
      </c>
      <c r="K3" s="93" t="s">
        <v>57</v>
      </c>
    </row>
    <row r="4">
      <c r="A4" s="94" t="s">
        <v>58</v>
      </c>
      <c r="B4" s="93" t="s">
        <v>50</v>
      </c>
      <c r="C4" s="93" t="s">
        <v>59</v>
      </c>
      <c r="D4" s="93">
        <v>0.0</v>
      </c>
      <c r="E4" s="93" t="s">
        <v>50</v>
      </c>
      <c r="F4" s="94" t="s">
        <v>60</v>
      </c>
      <c r="G4" s="93" t="s">
        <v>61</v>
      </c>
      <c r="H4" s="93" t="s">
        <v>61</v>
      </c>
      <c r="I4" s="93" t="s">
        <v>55</v>
      </c>
      <c r="J4" s="60" t="s">
        <v>56</v>
      </c>
      <c r="K4" s="93" t="s">
        <v>57</v>
      </c>
    </row>
    <row r="5">
      <c r="A5" s="94" t="s">
        <v>62</v>
      </c>
      <c r="B5" s="93" t="s">
        <v>50</v>
      </c>
      <c r="C5" s="93" t="s">
        <v>51</v>
      </c>
      <c r="D5" s="93">
        <v>0.0</v>
      </c>
      <c r="E5" s="93" t="s">
        <v>50</v>
      </c>
      <c r="F5" s="94" t="s">
        <v>63</v>
      </c>
      <c r="G5" s="93" t="s">
        <v>61</v>
      </c>
      <c r="H5" s="93" t="s">
        <v>61</v>
      </c>
      <c r="I5" s="93" t="s">
        <v>55</v>
      </c>
      <c r="J5" s="60" t="s">
        <v>56</v>
      </c>
      <c r="K5" s="93" t="s">
        <v>57</v>
      </c>
    </row>
    <row r="6">
      <c r="A6" s="94" t="s">
        <v>64</v>
      </c>
      <c r="B6" s="93" t="s">
        <v>65</v>
      </c>
      <c r="C6" s="93" t="s">
        <v>66</v>
      </c>
      <c r="D6" s="93" t="s">
        <v>67</v>
      </c>
      <c r="E6" s="93" t="s">
        <v>67</v>
      </c>
      <c r="F6" s="94" t="s">
        <v>68</v>
      </c>
      <c r="G6" s="93" t="s">
        <v>69</v>
      </c>
      <c r="H6" s="97" t="s">
        <v>70</v>
      </c>
      <c r="I6" s="93" t="s">
        <v>55</v>
      </c>
      <c r="J6" s="60" t="s">
        <v>56</v>
      </c>
      <c r="K6" s="93" t="s">
        <v>71</v>
      </c>
    </row>
    <row r="7">
      <c r="A7" s="94" t="s">
        <v>72</v>
      </c>
      <c r="B7" s="93" t="s">
        <v>73</v>
      </c>
      <c r="C7" s="93">
        <v>0.0</v>
      </c>
      <c r="D7" s="93" t="s">
        <v>73</v>
      </c>
      <c r="E7" s="93" t="s">
        <v>73</v>
      </c>
      <c r="F7" s="94" t="s">
        <v>74</v>
      </c>
      <c r="G7" s="93" t="s">
        <v>61</v>
      </c>
      <c r="H7" s="93" t="s">
        <v>61</v>
      </c>
      <c r="I7" s="93">
        <v>0.0</v>
      </c>
      <c r="J7" s="60" t="s">
        <v>56</v>
      </c>
      <c r="K7" s="93" t="s">
        <v>71</v>
      </c>
    </row>
    <row r="8">
      <c r="A8" s="94" t="s">
        <v>75</v>
      </c>
      <c r="B8" s="93" t="s">
        <v>50</v>
      </c>
      <c r="C8" s="93" t="s">
        <v>59</v>
      </c>
      <c r="D8" s="93">
        <v>0.0</v>
      </c>
      <c r="E8" s="93" t="s">
        <v>50</v>
      </c>
      <c r="F8" s="94" t="s">
        <v>76</v>
      </c>
      <c r="G8" s="93" t="s">
        <v>77</v>
      </c>
      <c r="H8" s="97" t="s">
        <v>78</v>
      </c>
      <c r="I8" s="93" t="s">
        <v>55</v>
      </c>
      <c r="J8" s="60" t="s">
        <v>56</v>
      </c>
      <c r="K8" s="93" t="s">
        <v>79</v>
      </c>
    </row>
    <row r="9">
      <c r="A9" s="94" t="s">
        <v>80</v>
      </c>
      <c r="B9" s="93" t="s">
        <v>73</v>
      </c>
      <c r="C9" s="93">
        <v>0.0</v>
      </c>
      <c r="D9" s="93" t="s">
        <v>73</v>
      </c>
      <c r="E9" s="93" t="s">
        <v>73</v>
      </c>
      <c r="F9" s="94" t="s">
        <v>81</v>
      </c>
      <c r="G9" s="93" t="s">
        <v>61</v>
      </c>
      <c r="H9" s="93" t="s">
        <v>61</v>
      </c>
      <c r="I9" s="93" t="s">
        <v>55</v>
      </c>
      <c r="J9" s="60" t="s">
        <v>56</v>
      </c>
      <c r="K9" s="93" t="s">
        <v>79</v>
      </c>
    </row>
    <row r="10">
      <c r="A10" s="94" t="s">
        <v>82</v>
      </c>
      <c r="B10" s="93" t="s">
        <v>73</v>
      </c>
      <c r="C10" s="93">
        <v>0.0</v>
      </c>
      <c r="D10" s="93" t="s">
        <v>73</v>
      </c>
      <c r="E10" s="93" t="s">
        <v>73</v>
      </c>
      <c r="F10" s="94" t="s">
        <v>83</v>
      </c>
      <c r="G10" s="93" t="s">
        <v>61</v>
      </c>
      <c r="H10" s="93" t="s">
        <v>61</v>
      </c>
      <c r="I10" s="93" t="s">
        <v>55</v>
      </c>
      <c r="J10" s="60" t="s">
        <v>56</v>
      </c>
      <c r="K10" s="93" t="s">
        <v>79</v>
      </c>
    </row>
    <row r="11">
      <c r="A11" s="94" t="s">
        <v>84</v>
      </c>
      <c r="B11" s="93" t="s">
        <v>73</v>
      </c>
      <c r="C11" s="93">
        <v>0.0</v>
      </c>
      <c r="D11" s="93" t="s">
        <v>73</v>
      </c>
      <c r="E11" s="93" t="s">
        <v>73</v>
      </c>
      <c r="F11" s="94" t="s">
        <v>85</v>
      </c>
      <c r="G11" s="93" t="s">
        <v>61</v>
      </c>
      <c r="H11" s="93" t="s">
        <v>61</v>
      </c>
      <c r="I11" s="93" t="s">
        <v>55</v>
      </c>
      <c r="J11" s="60" t="s">
        <v>56</v>
      </c>
      <c r="K11" s="93" t="s">
        <v>79</v>
      </c>
    </row>
    <row r="12">
      <c r="A12" s="94" t="s">
        <v>86</v>
      </c>
      <c r="B12" s="93" t="s">
        <v>87</v>
      </c>
      <c r="C12" s="93" t="s">
        <v>59</v>
      </c>
      <c r="D12" s="93" t="s">
        <v>88</v>
      </c>
      <c r="E12" s="93" t="s">
        <v>88</v>
      </c>
      <c r="F12" s="94" t="s">
        <v>89</v>
      </c>
      <c r="G12" s="93" t="s">
        <v>61</v>
      </c>
      <c r="H12" s="93" t="s">
        <v>61</v>
      </c>
      <c r="I12" s="93" t="s">
        <v>55</v>
      </c>
      <c r="J12" s="60" t="s">
        <v>56</v>
      </c>
      <c r="K12" s="93" t="s">
        <v>79</v>
      </c>
    </row>
    <row r="13">
      <c r="A13" s="94" t="s">
        <v>90</v>
      </c>
      <c r="B13" s="93" t="s">
        <v>50</v>
      </c>
      <c r="C13" s="93" t="s">
        <v>51</v>
      </c>
      <c r="D13" s="93">
        <v>0.0</v>
      </c>
      <c r="E13" s="93" t="s">
        <v>50</v>
      </c>
      <c r="F13" s="94" t="s">
        <v>91</v>
      </c>
      <c r="G13" s="93" t="s">
        <v>92</v>
      </c>
      <c r="H13" s="97" t="s">
        <v>93</v>
      </c>
      <c r="I13" s="93" t="s">
        <v>55</v>
      </c>
      <c r="J13" s="60" t="s">
        <v>56</v>
      </c>
      <c r="K13" s="93" t="s">
        <v>92</v>
      </c>
    </row>
    <row r="14">
      <c r="A14" s="94" t="s">
        <v>94</v>
      </c>
      <c r="B14" s="93" t="s">
        <v>50</v>
      </c>
      <c r="C14" s="93" t="s">
        <v>51</v>
      </c>
      <c r="D14" s="93">
        <v>0.0</v>
      </c>
      <c r="E14" s="93" t="s">
        <v>50</v>
      </c>
      <c r="F14" s="94" t="s">
        <v>95</v>
      </c>
      <c r="G14" s="93" t="s">
        <v>61</v>
      </c>
      <c r="H14" s="93" t="s">
        <v>61</v>
      </c>
      <c r="I14" s="93" t="s">
        <v>55</v>
      </c>
      <c r="J14" s="60" t="s">
        <v>56</v>
      </c>
      <c r="K14" s="93" t="s">
        <v>92</v>
      </c>
    </row>
    <row r="15">
      <c r="A15" s="94"/>
      <c r="F15" s="94"/>
      <c r="J15" s="60"/>
    </row>
    <row r="16">
      <c r="A16" s="94"/>
      <c r="F16" s="94"/>
      <c r="J16" s="60"/>
    </row>
    <row r="17">
      <c r="A17" s="94"/>
      <c r="F17" s="94"/>
      <c r="J17" s="60"/>
    </row>
    <row r="18">
      <c r="A18" s="94"/>
      <c r="F18" s="94"/>
      <c r="J18" s="60"/>
    </row>
    <row r="19">
      <c r="A19" s="94"/>
      <c r="F19" s="94"/>
      <c r="J19" s="60"/>
    </row>
    <row r="20">
      <c r="A20" s="94"/>
      <c r="F20" s="94"/>
      <c r="J20" s="60"/>
    </row>
  </sheetData>
  <hyperlinks>
    <hyperlink r:id="rId1" ref="H3"/>
    <hyperlink r:id="rId2" ref="H6"/>
    <hyperlink r:id="rId3" ref="H8"/>
    <hyperlink r:id="rId4" ref="H13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19</v>
      </c>
      <c r="B1" s="98" t="s">
        <v>96</v>
      </c>
      <c r="C1" s="3" t="s">
        <v>97</v>
      </c>
      <c r="D1" s="3" t="s">
        <v>98</v>
      </c>
      <c r="E1" s="3" t="s">
        <v>5</v>
      </c>
      <c r="F1" s="3" t="s">
        <v>99</v>
      </c>
      <c r="G1" s="99" t="s">
        <v>99</v>
      </c>
      <c r="H1" s="100" t="s">
        <v>100</v>
      </c>
      <c r="I1" s="101" t="s">
        <v>101</v>
      </c>
      <c r="J1" s="101" t="s">
        <v>11</v>
      </c>
    </row>
    <row r="2">
      <c r="A2" s="3" t="s">
        <v>9</v>
      </c>
      <c r="B2" s="102">
        <f>SUM(OFFSET(B:B,2,0))</f>
        <v>292000</v>
      </c>
      <c r="C2" s="103">
        <f>$E$2/$B$2</f>
        <v>1.059227637</v>
      </c>
      <c r="D2" s="103">
        <f>$F$2/$G$2</f>
        <v>56.78551704</v>
      </c>
      <c r="E2" s="103">
        <f t="shared" ref="E2:H2" si="1">SUM(OFFSET(E:E,2,0))</f>
        <v>309294.47</v>
      </c>
      <c r="F2" s="103">
        <f t="shared" si="1"/>
        <v>307240.6202</v>
      </c>
      <c r="G2" s="104">
        <f t="shared" si="1"/>
        <v>5410.545439</v>
      </c>
      <c r="H2" s="105">
        <f t="shared" si="1"/>
        <v>2053.849736</v>
      </c>
      <c r="I2" s="106">
        <f>AVERAGE(OFFSET(I:I,2,0))</f>
        <v>0.01683846503</v>
      </c>
      <c r="J2" s="105">
        <f>SUM(OFFSET(J:J,2,0))</f>
        <v>-130207.5735</v>
      </c>
    </row>
    <row r="3">
      <c r="A3" s="61">
        <v>44782.0</v>
      </c>
      <c r="B3" s="62">
        <v>-46000.0</v>
      </c>
      <c r="C3" s="107">
        <v>0.9939</v>
      </c>
      <c r="D3" s="107">
        <v>34.68</v>
      </c>
      <c r="E3" s="17">
        <f t="shared" ref="E3:E34" si="2">B3*C3</f>
        <v>-45719.4</v>
      </c>
      <c r="F3" s="108">
        <v>-45705.95</v>
      </c>
      <c r="G3" s="109">
        <f>F3/D3</f>
        <v>-1317.933968</v>
      </c>
      <c r="H3" s="110">
        <f t="shared" ref="H3:H34" si="3">E3-F3</f>
        <v>-13.45</v>
      </c>
      <c r="I3" s="111">
        <f t="shared" ref="I3:I34" si="4">H3/B3</f>
        <v>0.0002923913043</v>
      </c>
      <c r="J3" s="110">
        <f>$G3*HLOOKUP("*(SOL)*",Price!$A:$CF,2,0)-$F3</f>
        <v>2583.150577</v>
      </c>
    </row>
    <row r="4">
      <c r="A4" s="61">
        <v>44782.0</v>
      </c>
      <c r="B4" s="62">
        <v>43000.0</v>
      </c>
      <c r="C4" s="107">
        <v>1.0194718473</v>
      </c>
      <c r="D4" s="107">
        <v>41.654</v>
      </c>
      <c r="E4" s="17">
        <f t="shared" si="2"/>
        <v>43837.28943</v>
      </c>
      <c r="F4" s="17">
        <f t="shared" ref="F4:F5" si="5">G4*D4</f>
        <v>43708.28943</v>
      </c>
      <c r="G4" s="112">
        <v>1049.31793904</v>
      </c>
      <c r="H4" s="110">
        <f t="shared" si="3"/>
        <v>129.0000011</v>
      </c>
      <c r="I4" s="111">
        <f t="shared" si="4"/>
        <v>0.003000000026</v>
      </c>
      <c r="J4" s="110">
        <f>$G4*HLOOKUP("*(SOL)*",Price!$A:$CF,2,0)-$F4</f>
        <v>-9374.606467</v>
      </c>
    </row>
    <row r="5">
      <c r="A5" s="61">
        <v>44781.0</v>
      </c>
      <c r="B5" s="62">
        <v>98000.0</v>
      </c>
      <c r="C5" s="107">
        <v>1.0177571811</v>
      </c>
      <c r="D5" s="107">
        <v>38.293</v>
      </c>
      <c r="E5" s="17">
        <f t="shared" si="2"/>
        <v>99740.20375</v>
      </c>
      <c r="F5" s="17">
        <f t="shared" si="5"/>
        <v>99446.20375</v>
      </c>
      <c r="G5" s="112">
        <v>2596.98126932</v>
      </c>
      <c r="H5" s="110">
        <f t="shared" si="3"/>
        <v>294.0000017</v>
      </c>
      <c r="I5" s="111">
        <f t="shared" si="4"/>
        <v>0.003000000018</v>
      </c>
      <c r="J5" s="110">
        <f>$G5*HLOOKUP("*(SOL)*",Price!$A:$CF,2,0)-$F5</f>
        <v>-14472.97661</v>
      </c>
    </row>
    <row r="6">
      <c r="A6" s="61">
        <v>44756.0</v>
      </c>
      <c r="B6" s="62">
        <v>26300.0</v>
      </c>
      <c r="C6" s="107">
        <v>0.99657</v>
      </c>
      <c r="D6" s="107">
        <v>36.82</v>
      </c>
      <c r="E6" s="17">
        <f t="shared" si="2"/>
        <v>26209.791</v>
      </c>
      <c r="F6" s="108">
        <v>26157.701073</v>
      </c>
      <c r="G6" s="109">
        <f t="shared" ref="G6:G34" si="6">F6/D6</f>
        <v>710.420996</v>
      </c>
      <c r="H6" s="110">
        <f t="shared" si="3"/>
        <v>52.089927</v>
      </c>
      <c r="I6" s="111">
        <f t="shared" si="4"/>
        <v>0.001980605589</v>
      </c>
      <c r="J6" s="110">
        <f>$G6*HLOOKUP("*(SOL)*",Price!$A:$CF,2,0)-$F6</f>
        <v>-2912.726084</v>
      </c>
    </row>
    <row r="7">
      <c r="A7" s="61">
        <v>44735.0</v>
      </c>
      <c r="B7" s="62">
        <v>40000.0</v>
      </c>
      <c r="C7" s="107">
        <v>1.05421</v>
      </c>
      <c r="D7" s="107">
        <v>39.86</v>
      </c>
      <c r="E7" s="17">
        <f t="shared" si="2"/>
        <v>42168.4</v>
      </c>
      <c r="F7" s="108">
        <v>42044.44</v>
      </c>
      <c r="G7" s="109">
        <f t="shared" si="6"/>
        <v>1054.80281</v>
      </c>
      <c r="H7" s="110">
        <f t="shared" si="3"/>
        <v>123.96</v>
      </c>
      <c r="I7" s="111">
        <f t="shared" si="4"/>
        <v>0.003099</v>
      </c>
      <c r="J7" s="110">
        <f>$G7*HLOOKUP("*(SOL)*",Price!$A:$CF,2,0)-$F7</f>
        <v>-7531.292062</v>
      </c>
    </row>
    <row r="8">
      <c r="A8" s="61">
        <v>44704.0</v>
      </c>
      <c r="B8" s="62">
        <v>200.0</v>
      </c>
      <c r="C8" s="107">
        <v>1.067804</v>
      </c>
      <c r="D8" s="107">
        <v>53.95</v>
      </c>
      <c r="E8" s="17">
        <f t="shared" si="2"/>
        <v>213.5608</v>
      </c>
      <c r="F8" s="108">
        <v>213.5608</v>
      </c>
      <c r="G8" s="109">
        <f t="shared" si="6"/>
        <v>3.958494903</v>
      </c>
      <c r="H8" s="110">
        <f t="shared" si="3"/>
        <v>0</v>
      </c>
      <c r="I8" s="111">
        <f t="shared" si="4"/>
        <v>0</v>
      </c>
      <c r="J8" s="110">
        <f>$G8*HLOOKUP("*(SOL)*",Price!$A:$CF,2,0)-$F8</f>
        <v>-84.03884678</v>
      </c>
    </row>
    <row r="9">
      <c r="A9" s="61">
        <v>44699.0</v>
      </c>
      <c r="B9" s="62">
        <v>500.0</v>
      </c>
      <c r="C9" s="107">
        <v>1.04</v>
      </c>
      <c r="D9" s="107">
        <v>51.47</v>
      </c>
      <c r="E9" s="17">
        <f t="shared" si="2"/>
        <v>520</v>
      </c>
      <c r="F9" s="108">
        <v>518.77</v>
      </c>
      <c r="G9" s="109">
        <f t="shared" si="6"/>
        <v>10.07907519</v>
      </c>
      <c r="H9" s="110">
        <f t="shared" si="3"/>
        <v>1.23</v>
      </c>
      <c r="I9" s="111">
        <f t="shared" si="4"/>
        <v>0.00246</v>
      </c>
      <c r="J9" s="110">
        <f>$G9*HLOOKUP("*(SOL)*",Price!$A:$CF,2,0)-$F9</f>
        <v>-188.9826598</v>
      </c>
    </row>
    <row r="10">
      <c r="A10" s="61">
        <v>44690.0</v>
      </c>
      <c r="B10" s="62">
        <v>2000.0</v>
      </c>
      <c r="C10" s="107">
        <v>1.052</v>
      </c>
      <c r="D10" s="107">
        <v>74.77</v>
      </c>
      <c r="E10" s="17">
        <f t="shared" si="2"/>
        <v>2104</v>
      </c>
      <c r="F10" s="108">
        <v>2099.922207</v>
      </c>
      <c r="G10" s="109">
        <f t="shared" si="6"/>
        <v>28.08509037</v>
      </c>
      <c r="H10" s="110">
        <f t="shared" si="3"/>
        <v>4.077793</v>
      </c>
      <c r="I10" s="111">
        <f t="shared" si="4"/>
        <v>0.0020388965</v>
      </c>
      <c r="J10" s="110">
        <f>$G10*HLOOKUP("*(SOL)*",Price!$A:$CF,2,0)-$F10</f>
        <v>-1180.97805</v>
      </c>
    </row>
    <row r="11">
      <c r="A11" s="61">
        <v>44672.0</v>
      </c>
      <c r="B11" s="62">
        <v>88500.0</v>
      </c>
      <c r="C11" s="107">
        <v>1.09222</v>
      </c>
      <c r="D11" s="107">
        <v>106.98</v>
      </c>
      <c r="E11" s="17">
        <f t="shared" si="2"/>
        <v>96661.47</v>
      </c>
      <c r="F11" s="108">
        <v>95667.61</v>
      </c>
      <c r="G11" s="109">
        <f t="shared" si="6"/>
        <v>894.2569639</v>
      </c>
      <c r="H11" s="110">
        <f t="shared" si="3"/>
        <v>993.86</v>
      </c>
      <c r="I11" s="111">
        <f t="shared" si="4"/>
        <v>0.0112300565</v>
      </c>
      <c r="J11" s="110">
        <f>$G11*HLOOKUP("*(SOL)*",Price!$A:$CF,2,0)-$F11</f>
        <v>-66407.52214</v>
      </c>
    </row>
    <row r="12">
      <c r="A12" s="61">
        <v>44655.0</v>
      </c>
      <c r="B12" s="62">
        <v>21500.0</v>
      </c>
      <c r="C12" s="107">
        <v>1.10531</v>
      </c>
      <c r="D12" s="107">
        <v>136.25</v>
      </c>
      <c r="E12" s="17">
        <f t="shared" si="2"/>
        <v>23764.165</v>
      </c>
      <c r="F12" s="17">
        <v>23639.7021703125</v>
      </c>
      <c r="G12" s="112">
        <f t="shared" si="6"/>
        <v>173.5024013</v>
      </c>
      <c r="H12" s="110">
        <f t="shared" si="3"/>
        <v>124.4628297</v>
      </c>
      <c r="I12" s="111">
        <f t="shared" si="4"/>
        <v>0.005788968823</v>
      </c>
      <c r="J12" s="110">
        <f>$G12*HLOOKUP("*(SOL)*",Price!$A:$CF,2,0)-$F12</f>
        <v>-17962.7036</v>
      </c>
    </row>
    <row r="13">
      <c r="A13" s="61">
        <v>44654.0</v>
      </c>
      <c r="B13" s="62">
        <v>1000.0</v>
      </c>
      <c r="C13" s="107">
        <v>1.10486</v>
      </c>
      <c r="D13" s="107">
        <v>138.55</v>
      </c>
      <c r="E13" s="17">
        <f t="shared" si="2"/>
        <v>1104.86</v>
      </c>
      <c r="F13" s="17">
        <v>1100.4814005865</v>
      </c>
      <c r="G13" s="112">
        <f t="shared" si="6"/>
        <v>7.94284663</v>
      </c>
      <c r="H13" s="110">
        <f t="shared" si="3"/>
        <v>4.378599413</v>
      </c>
      <c r="I13" s="111">
        <f t="shared" si="4"/>
        <v>0.004378599413</v>
      </c>
      <c r="J13" s="110">
        <f>$G13*HLOOKUP("*(SOL)*",Price!$A:$CF,2,0)-$F13</f>
        <v>-840.5914589</v>
      </c>
    </row>
    <row r="14">
      <c r="A14" s="61">
        <v>44653.0</v>
      </c>
      <c r="B14" s="62">
        <v>1000.0</v>
      </c>
      <c r="C14" s="107">
        <v>1.10518</v>
      </c>
      <c r="D14" s="107">
        <v>135.77</v>
      </c>
      <c r="E14" s="17">
        <f t="shared" si="2"/>
        <v>1105.18</v>
      </c>
      <c r="F14" s="17">
        <v>1104.0357823248003</v>
      </c>
      <c r="G14" s="112">
        <f t="shared" si="6"/>
        <v>8.13166224</v>
      </c>
      <c r="H14" s="110">
        <f t="shared" si="3"/>
        <v>1.144217675</v>
      </c>
      <c r="I14" s="111">
        <f t="shared" si="4"/>
        <v>0.001144217675</v>
      </c>
      <c r="J14" s="110">
        <f>$G14*HLOOKUP("*(SOL)*",Price!$A:$CF,2,0)-$F14</f>
        <v>-837.9677938</v>
      </c>
    </row>
    <row r="15">
      <c r="A15" s="61">
        <v>44652.0</v>
      </c>
      <c r="B15" s="62">
        <v>1000.0</v>
      </c>
      <c r="C15" s="107">
        <v>1.10549</v>
      </c>
      <c r="D15" s="107">
        <v>124.68</v>
      </c>
      <c r="E15" s="17">
        <f t="shared" si="2"/>
        <v>1105.49</v>
      </c>
      <c r="F15" s="17">
        <v>1098.6418944612</v>
      </c>
      <c r="G15" s="112">
        <f t="shared" si="6"/>
        <v>8.81169309</v>
      </c>
      <c r="H15" s="110">
        <f t="shared" si="3"/>
        <v>6.848105539</v>
      </c>
      <c r="I15" s="111">
        <f t="shared" si="4"/>
        <v>0.006848105539</v>
      </c>
      <c r="J15" s="110">
        <f>$G15*HLOOKUP("*(SOL)*",Price!$A:$CF,2,0)-$F15</f>
        <v>-810.3232966</v>
      </c>
    </row>
    <row r="16">
      <c r="A16" s="61">
        <v>44651.0</v>
      </c>
      <c r="B16" s="62">
        <v>1000.0</v>
      </c>
      <c r="C16" s="107">
        <v>1.10663</v>
      </c>
      <c r="D16" s="107">
        <v>124.61</v>
      </c>
      <c r="E16" s="17">
        <f t="shared" si="2"/>
        <v>1106.63</v>
      </c>
      <c r="F16" s="17">
        <v>1105.6031446218</v>
      </c>
      <c r="G16" s="112">
        <f t="shared" si="6"/>
        <v>8.87250738</v>
      </c>
      <c r="H16" s="110">
        <f t="shared" si="3"/>
        <v>1.026855378</v>
      </c>
      <c r="I16" s="111">
        <f t="shared" si="4"/>
        <v>0.001026855378</v>
      </c>
      <c r="J16" s="110">
        <f>$G16*HLOOKUP("*(SOL)*",Price!$A:$CF,2,0)-$F16</f>
        <v>-815.2947031</v>
      </c>
    </row>
    <row r="17">
      <c r="A17" s="61">
        <v>44644.0</v>
      </c>
      <c r="B17" s="62">
        <v>1000.0</v>
      </c>
      <c r="C17" s="107">
        <v>1.09937</v>
      </c>
      <c r="D17" s="107">
        <v>99.455</v>
      </c>
      <c r="E17" s="17">
        <f t="shared" si="2"/>
        <v>1099.37</v>
      </c>
      <c r="F17" s="17">
        <v>1077.61902791925</v>
      </c>
      <c r="G17" s="112">
        <f t="shared" si="6"/>
        <v>10.83524235</v>
      </c>
      <c r="H17" s="110">
        <f t="shared" si="3"/>
        <v>21.75097208</v>
      </c>
      <c r="I17" s="111">
        <f t="shared" si="4"/>
        <v>0.02175097208</v>
      </c>
      <c r="J17" s="110">
        <f>$G17*HLOOKUP("*(SOL)*",Price!$A:$CF,2,0)-$F17</f>
        <v>-723.0898982</v>
      </c>
    </row>
    <row r="18">
      <c r="A18" s="61">
        <v>44643.0</v>
      </c>
      <c r="B18" s="62">
        <v>1000.0</v>
      </c>
      <c r="C18" s="107">
        <v>1.0975</v>
      </c>
      <c r="D18" s="107">
        <v>92.655</v>
      </c>
      <c r="E18" s="17">
        <f t="shared" si="2"/>
        <v>1097.5</v>
      </c>
      <c r="F18" s="17">
        <v>1071.1302870339</v>
      </c>
      <c r="G18" s="112">
        <f t="shared" si="6"/>
        <v>11.56041538</v>
      </c>
      <c r="H18" s="110">
        <f t="shared" si="3"/>
        <v>26.36971297</v>
      </c>
      <c r="I18" s="111">
        <f t="shared" si="4"/>
        <v>0.02636971297</v>
      </c>
      <c r="J18" s="110">
        <f>$G18*HLOOKUP("*(SOL)*",Price!$A:$CF,2,0)-$F18</f>
        <v>-692.8734958</v>
      </c>
    </row>
    <row r="19">
      <c r="A19" s="61">
        <v>44642.0</v>
      </c>
      <c r="B19" s="62">
        <v>1000.0</v>
      </c>
      <c r="C19" s="107">
        <v>1.10226</v>
      </c>
      <c r="D19" s="107">
        <v>92.551</v>
      </c>
      <c r="E19" s="17">
        <f t="shared" si="2"/>
        <v>1102.26</v>
      </c>
      <c r="F19" s="17">
        <v>1082.8467</v>
      </c>
      <c r="G19" s="112">
        <f t="shared" si="6"/>
        <v>11.7</v>
      </c>
      <c r="H19" s="110">
        <f t="shared" si="3"/>
        <v>19.4133</v>
      </c>
      <c r="I19" s="111">
        <f t="shared" si="4"/>
        <v>0.0194133</v>
      </c>
      <c r="J19" s="110">
        <f>$G19*HLOOKUP("*(SOL)*",Price!$A:$CF,2,0)-$F19</f>
        <v>-700.0227</v>
      </c>
    </row>
    <row r="20">
      <c r="A20" s="61">
        <v>44638.0</v>
      </c>
      <c r="B20" s="62">
        <v>1000.0</v>
      </c>
      <c r="C20" s="107">
        <v>1.10549</v>
      </c>
      <c r="D20" s="107">
        <v>86.521</v>
      </c>
      <c r="E20" s="17">
        <f t="shared" si="2"/>
        <v>1105.49</v>
      </c>
      <c r="F20" s="17">
        <v>1088.43418</v>
      </c>
      <c r="G20" s="112">
        <f t="shared" si="6"/>
        <v>12.58</v>
      </c>
      <c r="H20" s="110">
        <f t="shared" si="3"/>
        <v>17.05582</v>
      </c>
      <c r="I20" s="111">
        <f t="shared" si="4"/>
        <v>0.01705582</v>
      </c>
      <c r="J20" s="110">
        <f>$G20*HLOOKUP("*(SOL)*",Price!$A:$CF,2,0)-$F20</f>
        <v>-676.81658</v>
      </c>
    </row>
    <row r="21">
      <c r="A21" s="61">
        <v>44637.0</v>
      </c>
      <c r="B21" s="62">
        <v>786.98</v>
      </c>
      <c r="C21" s="107">
        <v>1.1107397900836107</v>
      </c>
      <c r="D21" s="107">
        <v>89.42</v>
      </c>
      <c r="E21" s="17">
        <f t="shared" si="2"/>
        <v>874.13</v>
      </c>
      <c r="F21" s="17">
        <v>853.0668</v>
      </c>
      <c r="G21" s="112">
        <f t="shared" si="6"/>
        <v>9.54</v>
      </c>
      <c r="H21" s="110">
        <f t="shared" si="3"/>
        <v>21.0632</v>
      </c>
      <c r="I21" s="111">
        <f t="shared" si="4"/>
        <v>0.02676459376</v>
      </c>
      <c r="J21" s="110">
        <f>$G21*HLOOKUP("*(SOL)*",Price!$A:$CF,2,0)-$F21</f>
        <v>-540.918</v>
      </c>
    </row>
    <row r="22">
      <c r="A22" s="61">
        <v>44636.0</v>
      </c>
      <c r="B22" s="62">
        <v>1000.0</v>
      </c>
      <c r="C22" s="107">
        <v>1.10027</v>
      </c>
      <c r="D22" s="107">
        <v>83.03</v>
      </c>
      <c r="E22" s="17">
        <f t="shared" si="2"/>
        <v>1100.27</v>
      </c>
      <c r="F22" s="17">
        <v>1070.2567000000001</v>
      </c>
      <c r="G22" s="112">
        <f t="shared" si="6"/>
        <v>12.89</v>
      </c>
      <c r="H22" s="110">
        <f t="shared" si="3"/>
        <v>30.0133</v>
      </c>
      <c r="I22" s="111">
        <f t="shared" si="4"/>
        <v>0.0300133</v>
      </c>
      <c r="J22" s="110">
        <f>$G22*HLOOKUP("*(SOL)*",Price!$A:$CF,2,0)-$F22</f>
        <v>-648.4959</v>
      </c>
    </row>
    <row r="23">
      <c r="A23" s="61">
        <v>44634.0</v>
      </c>
      <c r="B23" s="62">
        <v>1000.0</v>
      </c>
      <c r="C23" s="107">
        <v>1.09954</v>
      </c>
      <c r="D23" s="107">
        <v>80.46</v>
      </c>
      <c r="E23" s="17">
        <f t="shared" si="2"/>
        <v>1099.54</v>
      </c>
      <c r="F23" s="17">
        <v>1067.7042</v>
      </c>
      <c r="G23" s="112">
        <f t="shared" si="6"/>
        <v>13.27</v>
      </c>
      <c r="H23" s="110">
        <f t="shared" si="3"/>
        <v>31.8358</v>
      </c>
      <c r="I23" s="111">
        <f t="shared" si="4"/>
        <v>0.0318358</v>
      </c>
      <c r="J23" s="110">
        <f>$G23*HLOOKUP("*(SOL)*",Price!$A:$CF,2,0)-$F23</f>
        <v>-633.5098</v>
      </c>
    </row>
    <row r="24">
      <c r="A24" s="61">
        <v>44633.0</v>
      </c>
      <c r="B24" s="62">
        <v>1000.0</v>
      </c>
      <c r="C24" s="107">
        <v>1.0911199999999999</v>
      </c>
      <c r="D24" s="107">
        <v>80.37</v>
      </c>
      <c r="E24" s="17">
        <f t="shared" si="2"/>
        <v>1091.12</v>
      </c>
      <c r="F24" s="17">
        <v>1060.884</v>
      </c>
      <c r="G24" s="112">
        <f t="shared" si="6"/>
        <v>13.2</v>
      </c>
      <c r="H24" s="110">
        <f t="shared" si="3"/>
        <v>30.236</v>
      </c>
      <c r="I24" s="111">
        <f t="shared" si="4"/>
        <v>0.030236</v>
      </c>
      <c r="J24" s="110">
        <f>$G24*HLOOKUP("*(SOL)*",Price!$A:$CF,2,0)-$F24</f>
        <v>-628.98</v>
      </c>
    </row>
    <row r="25">
      <c r="A25" s="61">
        <v>44632.0</v>
      </c>
      <c r="B25" s="62">
        <v>1000.0</v>
      </c>
      <c r="C25" s="107">
        <v>1.0911300000000002</v>
      </c>
      <c r="D25" s="107">
        <v>82.97</v>
      </c>
      <c r="E25" s="17">
        <f t="shared" si="2"/>
        <v>1091.13</v>
      </c>
      <c r="F25" s="17">
        <v>1086.0773</v>
      </c>
      <c r="G25" s="112">
        <f t="shared" si="6"/>
        <v>13.09</v>
      </c>
      <c r="H25" s="110">
        <f t="shared" si="3"/>
        <v>5.0527</v>
      </c>
      <c r="I25" s="111">
        <f t="shared" si="4"/>
        <v>0.0050527</v>
      </c>
      <c r="J25" s="110">
        <f>$G25*HLOOKUP("*(SOL)*",Price!$A:$CF,2,0)-$F25</f>
        <v>-657.7725</v>
      </c>
    </row>
    <row r="26">
      <c r="A26" s="61">
        <v>44631.0</v>
      </c>
      <c r="B26" s="62">
        <v>1000.0</v>
      </c>
      <c r="C26" s="107">
        <v>1.0958599999999998</v>
      </c>
      <c r="D26" s="107">
        <v>81.9</v>
      </c>
      <c r="E26" s="17">
        <f t="shared" si="2"/>
        <v>1095.86</v>
      </c>
      <c r="F26" s="17">
        <v>1069.614</v>
      </c>
      <c r="G26" s="112">
        <f t="shared" si="6"/>
        <v>13.06</v>
      </c>
      <c r="H26" s="110">
        <f t="shared" si="3"/>
        <v>26.246</v>
      </c>
      <c r="I26" s="111">
        <f t="shared" si="4"/>
        <v>0.026246</v>
      </c>
      <c r="J26" s="110">
        <f>$G26*HLOOKUP("*(SOL)*",Price!$A:$CF,2,0)-$F26</f>
        <v>-642.2908</v>
      </c>
    </row>
    <row r="27">
      <c r="A27" s="61">
        <v>44629.0</v>
      </c>
      <c r="B27" s="62">
        <v>1000.0</v>
      </c>
      <c r="C27" s="107">
        <v>1.0963399999999999</v>
      </c>
      <c r="D27" s="107">
        <v>88.5</v>
      </c>
      <c r="E27" s="17">
        <f t="shared" si="2"/>
        <v>1096.34</v>
      </c>
      <c r="F27" s="17">
        <v>1069.965</v>
      </c>
      <c r="G27" s="112">
        <f t="shared" si="6"/>
        <v>12.09</v>
      </c>
      <c r="H27" s="110">
        <f t="shared" si="3"/>
        <v>26.375</v>
      </c>
      <c r="I27" s="111">
        <f t="shared" si="4"/>
        <v>0.026375</v>
      </c>
      <c r="J27" s="110">
        <f>$G27*HLOOKUP("*(SOL)*",Price!$A:$CF,2,0)-$F27</f>
        <v>-674.3802</v>
      </c>
    </row>
    <row r="28">
      <c r="A28" s="61">
        <v>44628.0</v>
      </c>
      <c r="B28" s="62">
        <v>1000.0</v>
      </c>
      <c r="C28" s="107">
        <v>1.0889000000000002</v>
      </c>
      <c r="D28" s="107">
        <v>83.93</v>
      </c>
      <c r="E28" s="17">
        <f t="shared" si="2"/>
        <v>1088.9</v>
      </c>
      <c r="F28" s="17">
        <v>1070.9468000000002</v>
      </c>
      <c r="G28" s="112">
        <f t="shared" si="6"/>
        <v>12.76</v>
      </c>
      <c r="H28" s="110">
        <f t="shared" si="3"/>
        <v>17.9532</v>
      </c>
      <c r="I28" s="111">
        <f t="shared" si="4"/>
        <v>0.0179532</v>
      </c>
      <c r="J28" s="110">
        <f>$G28*HLOOKUP("*(SOL)*",Price!$A:$CF,2,0)-$F28</f>
        <v>-653.4396</v>
      </c>
    </row>
    <row r="29">
      <c r="A29" s="61">
        <v>44626.0</v>
      </c>
      <c r="B29" s="62">
        <v>1000.0</v>
      </c>
      <c r="C29" s="107">
        <v>1.09468</v>
      </c>
      <c r="D29" s="107">
        <v>87.25</v>
      </c>
      <c r="E29" s="17">
        <f t="shared" si="2"/>
        <v>1094.68</v>
      </c>
      <c r="F29" s="17">
        <v>1070.5575</v>
      </c>
      <c r="G29" s="112">
        <f t="shared" si="6"/>
        <v>12.27</v>
      </c>
      <c r="H29" s="110">
        <f t="shared" si="3"/>
        <v>24.1225</v>
      </c>
      <c r="I29" s="111">
        <f t="shared" si="4"/>
        <v>0.0241225</v>
      </c>
      <c r="J29" s="110">
        <f>$G29*HLOOKUP("*(SOL)*",Price!$A:$CF,2,0)-$F29</f>
        <v>-669.0831</v>
      </c>
    </row>
    <row r="30">
      <c r="A30" s="61">
        <v>44625.0</v>
      </c>
      <c r="B30" s="62">
        <v>1000.0</v>
      </c>
      <c r="C30" s="107">
        <v>1.09468</v>
      </c>
      <c r="D30" s="107">
        <v>89.02</v>
      </c>
      <c r="E30" s="17">
        <f t="shared" si="2"/>
        <v>1094.68</v>
      </c>
      <c r="F30" s="17">
        <v>1069.1301999999998</v>
      </c>
      <c r="G30" s="112">
        <f t="shared" si="6"/>
        <v>12.01</v>
      </c>
      <c r="H30" s="110">
        <f t="shared" si="3"/>
        <v>25.5498</v>
      </c>
      <c r="I30" s="111">
        <f t="shared" si="4"/>
        <v>0.0255498</v>
      </c>
      <c r="J30" s="110">
        <f>$G30*HLOOKUP("*(SOL)*",Price!$A:$CF,2,0)-$F30</f>
        <v>-676.163</v>
      </c>
    </row>
    <row r="31">
      <c r="A31" s="61">
        <v>44614.0</v>
      </c>
      <c r="B31" s="62">
        <v>55.0</v>
      </c>
      <c r="C31" s="107">
        <v>1.1329090909090909</v>
      </c>
      <c r="D31" s="107">
        <v>85.11</v>
      </c>
      <c r="E31" s="17">
        <f t="shared" si="2"/>
        <v>62.31</v>
      </c>
      <c r="F31" s="17">
        <v>61.279199999999996</v>
      </c>
      <c r="G31" s="112">
        <f t="shared" si="6"/>
        <v>0.72</v>
      </c>
      <c r="H31" s="110">
        <f t="shared" si="3"/>
        <v>1.0308</v>
      </c>
      <c r="I31" s="111">
        <f t="shared" si="4"/>
        <v>0.01874181818</v>
      </c>
      <c r="J31" s="110">
        <f>$G31*HLOOKUP("*(SOL)*",Price!$A:$CF,2,0)-$F31</f>
        <v>-37.7208</v>
      </c>
    </row>
    <row r="32">
      <c r="A32" s="61">
        <v>44614.0</v>
      </c>
      <c r="B32" s="62">
        <v>5.55</v>
      </c>
      <c r="C32" s="107">
        <v>1.1315315315315315</v>
      </c>
      <c r="D32" s="107">
        <v>83.95</v>
      </c>
      <c r="E32" s="17">
        <f t="shared" si="2"/>
        <v>6.28</v>
      </c>
      <c r="F32" s="17">
        <v>5.876500000000001</v>
      </c>
      <c r="G32" s="112">
        <f t="shared" si="6"/>
        <v>0.07</v>
      </c>
      <c r="H32" s="110">
        <f t="shared" si="3"/>
        <v>0.4035</v>
      </c>
      <c r="I32" s="111">
        <f t="shared" si="4"/>
        <v>0.0727027027</v>
      </c>
      <c r="J32" s="110">
        <f>$G32*HLOOKUP("*(SOL)*",Price!$A:$CF,2,0)-$F32</f>
        <v>-3.5861</v>
      </c>
    </row>
    <row r="33">
      <c r="A33" s="61">
        <v>44613.0</v>
      </c>
      <c r="B33" s="62">
        <v>40.0</v>
      </c>
      <c r="C33" s="107">
        <v>1.136</v>
      </c>
      <c r="D33" s="107">
        <v>93.07</v>
      </c>
      <c r="E33" s="17">
        <f t="shared" si="2"/>
        <v>45.44</v>
      </c>
      <c r="F33" s="17">
        <v>44.67359999999999</v>
      </c>
      <c r="G33" s="112">
        <f t="shared" si="6"/>
        <v>0.48</v>
      </c>
      <c r="H33" s="110">
        <f t="shared" si="3"/>
        <v>0.7664</v>
      </c>
      <c r="I33" s="111">
        <f t="shared" si="4"/>
        <v>0.01916</v>
      </c>
      <c r="J33" s="110">
        <f>$G33*HLOOKUP("*(SOL)*",Price!$A:$CF,2,0)-$F33</f>
        <v>-28.968</v>
      </c>
    </row>
    <row r="34">
      <c r="A34" s="61">
        <v>44607.0</v>
      </c>
      <c r="B34" s="62">
        <v>112.47</v>
      </c>
      <c r="C34" s="107">
        <v>1.1339023739663912</v>
      </c>
      <c r="D34" s="107">
        <v>102.14</v>
      </c>
      <c r="E34" s="17">
        <f t="shared" si="2"/>
        <v>127.53</v>
      </c>
      <c r="F34" s="17">
        <v>121.5466</v>
      </c>
      <c r="G34" s="112">
        <f t="shared" si="6"/>
        <v>1.19</v>
      </c>
      <c r="H34" s="110">
        <f t="shared" si="3"/>
        <v>5.9834</v>
      </c>
      <c r="I34" s="111">
        <f t="shared" si="4"/>
        <v>0.05319996443</v>
      </c>
      <c r="J34" s="110">
        <f>$G34*HLOOKUP("*(SOL)*",Price!$A:$CF,2,0)-$F34</f>
        <v>-82.6098</v>
      </c>
    </row>
  </sheetData>
  <conditionalFormatting sqref="J3:J34">
    <cfRule type="cellIs" dxfId="1" priority="1" operator="greaterThan">
      <formula>0</formula>
    </cfRule>
  </conditionalFormatting>
  <conditionalFormatting sqref="J3:J3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2.63"/>
  </cols>
  <sheetData>
    <row r="1">
      <c r="A1" s="38" t="s">
        <v>19</v>
      </c>
      <c r="B1" s="113" t="s">
        <v>102</v>
      </c>
      <c r="C1" s="38" t="s">
        <v>103</v>
      </c>
      <c r="D1" s="114" t="s">
        <v>104</v>
      </c>
      <c r="E1" s="114" t="s">
        <v>105</v>
      </c>
      <c r="F1" s="114" t="s">
        <v>106</v>
      </c>
      <c r="G1" s="114" t="s">
        <v>107</v>
      </c>
      <c r="H1" s="114" t="s">
        <v>108</v>
      </c>
      <c r="I1" s="115" t="str">
        <f>IFERROR(__xludf.DUMMYFUNCTION("INDEX(SPLIT(E$1,"" ""),2)&amp;"" Interest"""),"Low Interest")</f>
        <v>Low Interest</v>
      </c>
      <c r="J1" s="115" t="str">
        <f>IFERROR(__xludf.DUMMYFUNCTION("INDEX(SPLIT(F$1,"" ""),2)&amp;"" Interest"""),"High Interest")</f>
        <v>High Interest</v>
      </c>
      <c r="K1" s="115" t="str">
        <f>IFERROR(__xludf.DUMMYFUNCTION("INDEX(SPLIT(G$1,"" ""),2)&amp;"" Interest"""),"Protection Interest")</f>
        <v>Protection Interest</v>
      </c>
      <c r="L1" s="115" t="str">
        <f>IFERROR(__xludf.DUMMYFUNCTION("INDEX(SPLIT(H$1,"" ""),2)&amp;"" Interest"""),"Crab Interest")</f>
        <v>Crab Interest</v>
      </c>
    </row>
    <row r="2">
      <c r="A2" s="55">
        <f>NOW()-TIME(1,0,0)</f>
        <v>44864.01324</v>
      </c>
      <c r="B2" s="116">
        <f t="array" ref="B2:L2">TRANSPOSE(OFFSET(PriceCache!B:B,1,0))</f>
        <v>0.9964</v>
      </c>
      <c r="C2" s="68">
        <v>32.72</v>
      </c>
      <c r="D2" s="117">
        <v>1.0</v>
      </c>
      <c r="E2" s="117">
        <v>1.23159729464035</v>
      </c>
      <c r="F2" s="117">
        <v>1.19691452491279</v>
      </c>
      <c r="G2" s="117">
        <v>1.00498289002634</v>
      </c>
      <c r="H2" s="117">
        <v>1.14027789251054</v>
      </c>
      <c r="I2" s="72">
        <v>0.2</v>
      </c>
      <c r="J2" s="72">
        <v>0.39</v>
      </c>
      <c r="K2" s="72">
        <v>0.0</v>
      </c>
      <c r="L2" s="72">
        <v>0.33</v>
      </c>
    </row>
    <row r="3">
      <c r="A3" s="61">
        <v>44863.95968537037</v>
      </c>
      <c r="B3" s="118">
        <v>0.9964</v>
      </c>
      <c r="C3" s="119">
        <v>33.04</v>
      </c>
      <c r="D3" s="120">
        <v>1.0</v>
      </c>
      <c r="E3" s="120">
        <v>1.23159729464035</v>
      </c>
      <c r="F3" s="120">
        <v>1.19691452491279</v>
      </c>
      <c r="G3" s="120">
        <v>1.00498289002634</v>
      </c>
      <c r="H3" s="120">
        <v>1.13983206435473</v>
      </c>
      <c r="I3" s="121">
        <v>0.2</v>
      </c>
      <c r="J3" s="121">
        <v>0.39</v>
      </c>
      <c r="K3" s="121">
        <v>0.0</v>
      </c>
      <c r="L3" s="121">
        <v>0.33</v>
      </c>
    </row>
    <row r="4">
      <c r="A4" s="61">
        <v>44862.95969780092</v>
      </c>
      <c r="B4" s="118">
        <v>0.99329</v>
      </c>
      <c r="C4" s="119">
        <v>32.2</v>
      </c>
      <c r="D4" s="120">
        <v>1.0</v>
      </c>
      <c r="E4" s="120">
        <v>1.23159729464035</v>
      </c>
      <c r="F4" s="120">
        <v>1.19691452491279</v>
      </c>
      <c r="G4" s="120">
        <v>1.00498289002266</v>
      </c>
      <c r="H4" s="120">
        <v>1.13861092661315</v>
      </c>
      <c r="I4" s="121">
        <v>0.2</v>
      </c>
      <c r="J4" s="121">
        <v>0.39</v>
      </c>
      <c r="K4" s="121">
        <v>0.0</v>
      </c>
      <c r="L4" s="121">
        <v>0.33</v>
      </c>
    </row>
    <row r="5">
      <c r="A5" s="61">
        <v>44861.95973903935</v>
      </c>
      <c r="B5" s="118">
        <v>0.9977699999999999</v>
      </c>
      <c r="C5" s="119">
        <v>30.76</v>
      </c>
      <c r="D5" s="120">
        <v>1.0</v>
      </c>
      <c r="E5" s="120">
        <v>1.23159729464034</v>
      </c>
      <c r="F5" s="120">
        <v>1.19691452491274</v>
      </c>
      <c r="G5" s="120">
        <v>1.00498289001874</v>
      </c>
      <c r="H5" s="120">
        <v>1.15525385950147</v>
      </c>
      <c r="I5" s="121">
        <v>0.25</v>
      </c>
      <c r="J5" s="121">
        <v>0.32</v>
      </c>
      <c r="K5" s="121">
        <v>0.0</v>
      </c>
      <c r="L5" s="121">
        <v>0.0</v>
      </c>
    </row>
    <row r="6">
      <c r="A6" s="61">
        <v>44860.959699375</v>
      </c>
      <c r="B6" s="118">
        <v>1.00697</v>
      </c>
      <c r="C6" s="119">
        <v>31.2</v>
      </c>
      <c r="D6" s="120">
        <v>1.0</v>
      </c>
      <c r="E6" s="120">
        <v>1.23159729464034</v>
      </c>
      <c r="F6" s="120">
        <v>1.19691452491274</v>
      </c>
      <c r="G6" s="120">
        <v>1.00498289001551</v>
      </c>
      <c r="H6" s="120">
        <v>1.15516629714674</v>
      </c>
      <c r="I6" s="121">
        <v>0.25</v>
      </c>
      <c r="J6" s="121">
        <v>0.32</v>
      </c>
      <c r="K6" s="121">
        <v>0.0</v>
      </c>
      <c r="L6" s="121">
        <v>0.0</v>
      </c>
    </row>
    <row r="7">
      <c r="A7" s="61">
        <v>44859.95969012732</v>
      </c>
      <c r="B7" s="118">
        <v>0.99639</v>
      </c>
      <c r="C7" s="119">
        <v>31.05</v>
      </c>
      <c r="D7" s="120">
        <v>1.0</v>
      </c>
      <c r="E7" s="120">
        <v>1.23159729464034</v>
      </c>
      <c r="F7" s="120">
        <v>1.19691452491274</v>
      </c>
      <c r="G7" s="120">
        <v>1.00498289001476</v>
      </c>
      <c r="H7" s="120">
        <v>1.15533112099689</v>
      </c>
      <c r="I7" s="121">
        <v>0.25</v>
      </c>
      <c r="J7" s="121">
        <v>0.32</v>
      </c>
      <c r="K7" s="121">
        <v>0.0</v>
      </c>
      <c r="L7" s="121">
        <v>0.0</v>
      </c>
    </row>
    <row r="8">
      <c r="A8" s="61">
        <v>44858.95969337963</v>
      </c>
      <c r="B8" s="118">
        <v>0.98727</v>
      </c>
      <c r="C8" s="119">
        <v>28.36</v>
      </c>
      <c r="D8" s="120">
        <v>1.0</v>
      </c>
      <c r="E8" s="120">
        <v>1.23159729464034</v>
      </c>
      <c r="F8" s="120">
        <v>1.19691452491274</v>
      </c>
      <c r="G8" s="120">
        <v>1.00498289001348</v>
      </c>
      <c r="H8" s="120">
        <v>1.15402814048016</v>
      </c>
      <c r="I8" s="121">
        <v>0.25</v>
      </c>
      <c r="J8" s="121">
        <v>0.32</v>
      </c>
      <c r="K8" s="121">
        <v>0.0</v>
      </c>
      <c r="L8" s="121">
        <v>0.0</v>
      </c>
    </row>
    <row r="9">
      <c r="A9" s="61">
        <v>44857.95968673611</v>
      </c>
      <c r="B9" s="118">
        <v>0.98629</v>
      </c>
      <c r="C9" s="119">
        <v>28.76</v>
      </c>
      <c r="D9" s="120">
        <v>1.0</v>
      </c>
      <c r="E9" s="120">
        <v>1.22916707762691</v>
      </c>
      <c r="F9" s="120">
        <v>1.19363418937497</v>
      </c>
      <c r="G9" s="120">
        <v>1.00498289001348</v>
      </c>
      <c r="H9" s="120">
        <v>1.15276000467346</v>
      </c>
      <c r="I9" s="121">
        <v>0.25</v>
      </c>
      <c r="J9" s="121">
        <v>0.32</v>
      </c>
      <c r="K9" s="121">
        <v>0.0</v>
      </c>
      <c r="L9" s="121">
        <v>0.0</v>
      </c>
    </row>
    <row r="10">
      <c r="A10" s="61">
        <v>44856.959687083334</v>
      </c>
      <c r="B10" s="118">
        <v>0.98609</v>
      </c>
      <c r="C10" s="119">
        <v>28.0</v>
      </c>
      <c r="D10" s="120">
        <v>1.0</v>
      </c>
      <c r="E10" s="120">
        <v>1.22916707762691</v>
      </c>
      <c r="F10" s="120">
        <v>1.19363418937497</v>
      </c>
      <c r="G10" s="120">
        <v>1.00498289001348</v>
      </c>
      <c r="H10" s="120">
        <v>1.1491291835884</v>
      </c>
      <c r="I10" s="121">
        <v>0.25</v>
      </c>
      <c r="J10" s="121">
        <v>0.32</v>
      </c>
      <c r="K10" s="121">
        <v>0.0</v>
      </c>
      <c r="L10" s="121">
        <v>0.0</v>
      </c>
    </row>
    <row r="11">
      <c r="A11" s="61">
        <v>44855.95969314815</v>
      </c>
      <c r="B11" s="118">
        <v>0.98081</v>
      </c>
      <c r="C11" s="119">
        <v>28.21</v>
      </c>
      <c r="D11" s="120">
        <v>1.0</v>
      </c>
      <c r="E11" s="120">
        <v>1.22916707762691</v>
      </c>
      <c r="F11" s="120">
        <v>1.19363418937497</v>
      </c>
      <c r="G11" s="120">
        <v>1.00498289000817</v>
      </c>
      <c r="H11" s="120">
        <v>1.14805187619784</v>
      </c>
      <c r="I11" s="121">
        <v>0.25</v>
      </c>
      <c r="J11" s="121">
        <v>0.32</v>
      </c>
      <c r="K11" s="121">
        <v>0.0</v>
      </c>
      <c r="L11" s="121">
        <v>0.0</v>
      </c>
    </row>
    <row r="12">
      <c r="A12" s="61">
        <v>44854.95969340278</v>
      </c>
      <c r="B12" s="118">
        <v>0.9823099999999999</v>
      </c>
      <c r="C12" s="119">
        <v>28.34</v>
      </c>
      <c r="D12" s="120">
        <v>1.0</v>
      </c>
      <c r="E12" s="120">
        <v>1.22555459534219</v>
      </c>
      <c r="F12" s="120">
        <v>1.18811547381094</v>
      </c>
      <c r="G12" s="120">
        <v>1.00498289000817</v>
      </c>
      <c r="H12" s="120">
        <v>1.14737630600446</v>
      </c>
      <c r="I12" s="121">
        <v>0.32</v>
      </c>
      <c r="J12" s="121">
        <v>0.47</v>
      </c>
      <c r="K12" s="121">
        <v>0.0</v>
      </c>
      <c r="L12" s="121">
        <v>0.0</v>
      </c>
    </row>
    <row r="13">
      <c r="A13" s="61">
        <v>44853.95971053241</v>
      </c>
      <c r="B13" s="118">
        <v>0.9785499999999999</v>
      </c>
      <c r="C13" s="119">
        <v>29.63</v>
      </c>
      <c r="D13" s="120">
        <v>1.0</v>
      </c>
      <c r="E13" s="120">
        <v>1.22555459534219</v>
      </c>
      <c r="F13" s="120">
        <v>1.18811547381094</v>
      </c>
      <c r="G13" s="120">
        <v>1.004982890008</v>
      </c>
      <c r="H13" s="120">
        <v>1.1463280567604</v>
      </c>
      <c r="I13" s="121">
        <v>0.32</v>
      </c>
      <c r="J13" s="121">
        <v>0.47</v>
      </c>
      <c r="K13" s="121">
        <v>0.0</v>
      </c>
      <c r="L13" s="121">
        <v>0.0</v>
      </c>
    </row>
    <row r="14">
      <c r="A14" s="61">
        <v>44852.95969512731</v>
      </c>
      <c r="B14" s="118">
        <v>0.98445</v>
      </c>
      <c r="C14" s="119">
        <v>30.23</v>
      </c>
      <c r="D14" s="120">
        <v>1.0</v>
      </c>
      <c r="E14" s="120">
        <v>1.22555459534219</v>
      </c>
      <c r="F14" s="120">
        <v>1.18811547381094</v>
      </c>
      <c r="G14" s="120">
        <v>1.00498289000554</v>
      </c>
      <c r="H14" s="120">
        <v>1.14519493356348</v>
      </c>
      <c r="I14" s="121">
        <v>0.32</v>
      </c>
      <c r="J14" s="121">
        <v>0.47</v>
      </c>
      <c r="K14" s="121">
        <v>0.0</v>
      </c>
      <c r="L14" s="121">
        <v>0.0</v>
      </c>
    </row>
    <row r="15">
      <c r="A15" s="61">
        <v>44851.95969146991</v>
      </c>
      <c r="B15" s="118">
        <v>0.9814299999999999</v>
      </c>
      <c r="C15" s="119">
        <v>30.97</v>
      </c>
      <c r="D15" s="120">
        <v>1.0</v>
      </c>
      <c r="E15" s="120">
        <v>1.22555459534219</v>
      </c>
      <c r="F15" s="120">
        <v>1.18811547381094</v>
      </c>
      <c r="G15" s="120">
        <v>1.00498289000526</v>
      </c>
      <c r="H15" s="120">
        <v>1.14405561794805</v>
      </c>
      <c r="I15" s="121">
        <v>0.32</v>
      </c>
      <c r="J15" s="121">
        <v>0.47</v>
      </c>
      <c r="K15" s="121">
        <v>0.0</v>
      </c>
      <c r="L15" s="121">
        <v>0.0</v>
      </c>
    </row>
    <row r="16">
      <c r="A16" s="61">
        <v>44850.95968954861</v>
      </c>
      <c r="B16" s="118">
        <v>0.97221</v>
      </c>
      <c r="C16" s="119">
        <v>30.21</v>
      </c>
      <c r="D16" s="120">
        <v>1.0</v>
      </c>
      <c r="E16" s="120">
        <v>1.22555459534219</v>
      </c>
      <c r="F16" s="120">
        <v>1.18811547381094</v>
      </c>
      <c r="G16" s="120">
        <v>1.00498289000526</v>
      </c>
      <c r="H16" s="120">
        <v>1.14248170058478</v>
      </c>
      <c r="I16" s="121">
        <v>0.32</v>
      </c>
      <c r="J16" s="121">
        <v>0.47</v>
      </c>
      <c r="K16" s="121">
        <v>0.0</v>
      </c>
      <c r="L16" s="121">
        <v>0.0</v>
      </c>
    </row>
    <row r="17">
      <c r="A17" s="61">
        <v>44849.95973204861</v>
      </c>
      <c r="B17" s="118">
        <v>0.97224</v>
      </c>
      <c r="C17" s="119">
        <v>29.77</v>
      </c>
      <c r="D17" s="120">
        <v>1.0</v>
      </c>
      <c r="E17" s="120">
        <v>1.22555459534219</v>
      </c>
      <c r="F17" s="120">
        <v>1.18811547381094</v>
      </c>
      <c r="G17" s="120">
        <v>1.00498289000525</v>
      </c>
      <c r="H17" s="120">
        <v>1.1411527324396</v>
      </c>
      <c r="I17" s="121">
        <v>0.32</v>
      </c>
      <c r="J17" s="121">
        <v>0.47</v>
      </c>
      <c r="K17" s="121">
        <v>0.0</v>
      </c>
      <c r="L17" s="121">
        <v>0.0</v>
      </c>
    </row>
    <row r="18">
      <c r="A18" s="61">
        <v>44848.959697314815</v>
      </c>
      <c r="B18" s="118">
        <v>0.97358</v>
      </c>
      <c r="C18" s="119">
        <v>30.15</v>
      </c>
      <c r="D18" s="120">
        <v>1.0</v>
      </c>
      <c r="E18" s="120">
        <v>1.22555459534219</v>
      </c>
      <c r="F18" s="120">
        <v>1.18811547381094</v>
      </c>
      <c r="G18" s="120">
        <v>1.00498289000337</v>
      </c>
      <c r="H18" s="120">
        <v>1.13992506530992</v>
      </c>
      <c r="I18" s="121">
        <v>0.32</v>
      </c>
      <c r="J18" s="121">
        <v>0.47</v>
      </c>
      <c r="K18" s="121">
        <v>0.0</v>
      </c>
      <c r="L18" s="121">
        <v>0.12</v>
      </c>
    </row>
    <row r="19">
      <c r="A19" s="61">
        <v>44847.95971791667</v>
      </c>
      <c r="B19" s="118">
        <v>0.96972</v>
      </c>
      <c r="C19" s="119">
        <v>30.18</v>
      </c>
      <c r="D19" s="120">
        <v>1.0</v>
      </c>
      <c r="E19" s="120">
        <v>1.22264354257701</v>
      </c>
      <c r="F19" s="120">
        <v>1.18257321350098</v>
      </c>
      <c r="G19" s="120">
        <v>1.0</v>
      </c>
      <c r="H19" s="120">
        <v>1.1395521784951</v>
      </c>
      <c r="I19" s="121">
        <v>0.24300000000000002</v>
      </c>
      <c r="J19" s="121">
        <v>0.459</v>
      </c>
      <c r="K19" s="121">
        <v>1.0</v>
      </c>
      <c r="L19" s="121">
        <v>1.1395521784951</v>
      </c>
    </row>
    <row r="20">
      <c r="A20" s="61">
        <v>44846.95969304398</v>
      </c>
      <c r="B20" s="118">
        <v>0.96962</v>
      </c>
      <c r="C20" s="119">
        <v>31.22</v>
      </c>
      <c r="D20" s="120"/>
      <c r="E20" s="120">
        <v>1.22264354257701</v>
      </c>
      <c r="F20" s="120">
        <v>1.18257321350098</v>
      </c>
      <c r="G20" s="120">
        <v>1.0</v>
      </c>
      <c r="H20" s="120">
        <v>1.13721557831014</v>
      </c>
      <c r="I20" s="121">
        <v>0.24300000000000002</v>
      </c>
      <c r="J20" s="121">
        <v>0.459</v>
      </c>
      <c r="K20" s="121">
        <v>1.0</v>
      </c>
      <c r="L20" s="121">
        <v>1.13721557831014</v>
      </c>
    </row>
    <row r="21">
      <c r="A21" s="61">
        <v>44845.95969505787</v>
      </c>
      <c r="B21" s="118">
        <v>0.9705900000000001</v>
      </c>
      <c r="C21" s="119">
        <v>31.18</v>
      </c>
      <c r="D21" s="120"/>
      <c r="E21" s="120">
        <v>1.22264</v>
      </c>
      <c r="F21" s="120">
        <v>1.18257</v>
      </c>
      <c r="G21" s="120">
        <v>1.0</v>
      </c>
      <c r="H21" s="117">
        <v>1.1366</v>
      </c>
      <c r="I21" s="121">
        <v>0.24300000000000002</v>
      </c>
      <c r="J21" s="121">
        <v>0.459</v>
      </c>
      <c r="K21" s="121">
        <v>0.0</v>
      </c>
      <c r="L21" s="72">
        <v>0.108</v>
      </c>
    </row>
    <row r="22">
      <c r="A22" s="61">
        <v>44844.95971393518</v>
      </c>
      <c r="B22" s="118">
        <v>0.9701799999999999</v>
      </c>
      <c r="C22" s="119">
        <v>32.44</v>
      </c>
      <c r="D22" s="120"/>
      <c r="E22" s="120">
        <v>1.22264</v>
      </c>
      <c r="F22" s="120">
        <v>1.18257</v>
      </c>
      <c r="G22" s="120">
        <v>1.0</v>
      </c>
      <c r="H22" s="117">
        <v>1.1366</v>
      </c>
      <c r="I22" s="121">
        <v>0.24300000000000002</v>
      </c>
      <c r="J22" s="121">
        <v>0.459</v>
      </c>
      <c r="K22" s="121">
        <v>0.0</v>
      </c>
      <c r="L22" s="72">
        <v>0.108</v>
      </c>
    </row>
    <row r="23">
      <c r="A23" s="61">
        <v>44843.95972135417</v>
      </c>
      <c r="B23" s="118">
        <v>0.97376</v>
      </c>
      <c r="C23" s="119">
        <v>32.9</v>
      </c>
      <c r="D23" s="120"/>
      <c r="E23" s="120">
        <v>1.22264</v>
      </c>
      <c r="F23" s="120">
        <v>1.18257</v>
      </c>
      <c r="G23" s="120">
        <v>1.0</v>
      </c>
      <c r="H23" s="117">
        <v>1.1366</v>
      </c>
      <c r="I23" s="121">
        <v>0.24300000000000002</v>
      </c>
      <c r="J23" s="121">
        <v>0.459</v>
      </c>
      <c r="K23" s="121">
        <v>0.0</v>
      </c>
      <c r="L23" s="72">
        <v>0.108</v>
      </c>
    </row>
    <row r="24">
      <c r="A24" s="61">
        <v>44842.95971729167</v>
      </c>
      <c r="B24" s="118">
        <v>0.97405</v>
      </c>
      <c r="C24" s="119">
        <v>32.89</v>
      </c>
      <c r="D24" s="120"/>
      <c r="E24" s="120">
        <v>1.22264</v>
      </c>
      <c r="F24" s="120">
        <v>1.18257</v>
      </c>
      <c r="G24" s="120">
        <v>1.0</v>
      </c>
      <c r="H24" s="117">
        <v>1.1366</v>
      </c>
      <c r="I24" s="121">
        <v>0.24300000000000002</v>
      </c>
      <c r="J24" s="121">
        <v>0.459</v>
      </c>
      <c r="K24" s="121">
        <v>0.0</v>
      </c>
      <c r="L24" s="72">
        <v>0.108</v>
      </c>
    </row>
    <row r="25">
      <c r="A25" s="61">
        <v>44841.9597078125</v>
      </c>
      <c r="B25" s="118">
        <v>0.97419</v>
      </c>
      <c r="C25" s="119">
        <v>32.89</v>
      </c>
      <c r="D25" s="120"/>
      <c r="E25" s="120">
        <v>1.22264</v>
      </c>
      <c r="F25" s="120">
        <v>1.18257</v>
      </c>
      <c r="G25" s="120">
        <v>1.0</v>
      </c>
      <c r="H25" s="117">
        <v>1.1366</v>
      </c>
      <c r="I25" s="121">
        <v>0.24300000000000002</v>
      </c>
      <c r="J25" s="121">
        <v>0.459</v>
      </c>
      <c r="K25" s="121">
        <v>0.0</v>
      </c>
      <c r="L25" s="72">
        <v>0.108</v>
      </c>
    </row>
    <row r="26">
      <c r="A26" s="61">
        <v>44840.960027928246</v>
      </c>
      <c r="B26" s="118">
        <v>0.97899</v>
      </c>
      <c r="C26" s="119">
        <v>33.55</v>
      </c>
      <c r="D26" s="120"/>
      <c r="E26" s="120">
        <v>1.22042</v>
      </c>
      <c r="F26" s="120">
        <v>1.17643</v>
      </c>
      <c r="G26" s="120">
        <v>1.0</v>
      </c>
      <c r="H26" s="121"/>
      <c r="I26" s="121">
        <v>0.189</v>
      </c>
      <c r="J26" s="121">
        <v>0.531</v>
      </c>
      <c r="K26" s="121">
        <v>0.0</v>
      </c>
      <c r="L26" s="121"/>
    </row>
    <row r="27">
      <c r="A27" s="61">
        <v>44839.960052083334</v>
      </c>
      <c r="B27" s="118">
        <v>0.98799</v>
      </c>
      <c r="C27" s="119">
        <v>33.88</v>
      </c>
      <c r="D27" s="120"/>
      <c r="E27" s="120">
        <v>1.22042</v>
      </c>
      <c r="F27" s="120">
        <v>1.17643</v>
      </c>
      <c r="G27" s="120">
        <v>1.0</v>
      </c>
      <c r="H27" s="121"/>
      <c r="I27" s="121">
        <v>0.189</v>
      </c>
      <c r="J27" s="121">
        <v>0.531</v>
      </c>
      <c r="K27" s="121">
        <v>0.0</v>
      </c>
      <c r="L27" s="121"/>
    </row>
    <row r="28">
      <c r="A28" s="61">
        <v>44838.95968645833</v>
      </c>
      <c r="B28" s="118">
        <v>0.99872</v>
      </c>
      <c r="C28" s="119">
        <v>34.12</v>
      </c>
      <c r="D28" s="120"/>
      <c r="E28" s="120">
        <v>1.22042</v>
      </c>
      <c r="F28" s="120">
        <v>1.17643</v>
      </c>
      <c r="G28" s="120">
        <v>1.0</v>
      </c>
      <c r="H28" s="121"/>
      <c r="I28" s="121">
        <v>0.189</v>
      </c>
      <c r="J28" s="121">
        <v>0.531</v>
      </c>
      <c r="K28" s="121">
        <v>0.0</v>
      </c>
      <c r="L28" s="121"/>
    </row>
    <row r="29">
      <c r="A29" s="61">
        <v>44837.95968368056</v>
      </c>
      <c r="B29" s="118">
        <v>0.98241</v>
      </c>
      <c r="C29" s="119">
        <v>32.97</v>
      </c>
      <c r="D29" s="120"/>
      <c r="E29" s="120">
        <v>1.22042</v>
      </c>
      <c r="F29" s="120">
        <v>1.17643</v>
      </c>
      <c r="G29" s="120">
        <v>1.0</v>
      </c>
      <c r="H29" s="121"/>
      <c r="I29" s="121">
        <v>0.189</v>
      </c>
      <c r="J29" s="121">
        <v>0.531</v>
      </c>
      <c r="K29" s="121">
        <v>0.0</v>
      </c>
      <c r="L29" s="121"/>
    </row>
    <row r="30">
      <c r="A30" s="61">
        <v>44836.95968645833</v>
      </c>
      <c r="B30" s="118">
        <v>0.97921</v>
      </c>
      <c r="C30" s="119">
        <v>32.47</v>
      </c>
      <c r="D30" s="120"/>
      <c r="E30" s="120">
        <v>1.22042</v>
      </c>
      <c r="F30" s="120">
        <v>1.17643</v>
      </c>
      <c r="G30" s="120">
        <v>1.0</v>
      </c>
      <c r="H30" s="121"/>
      <c r="I30" s="121">
        <v>0.189</v>
      </c>
      <c r="J30" s="121">
        <v>0.531</v>
      </c>
      <c r="K30" s="121">
        <v>0.0</v>
      </c>
      <c r="L30" s="121"/>
    </row>
    <row r="31">
      <c r="A31" s="61">
        <v>44835.95968421296</v>
      </c>
      <c r="B31" s="118">
        <v>0.9804299999999999</v>
      </c>
      <c r="C31" s="119">
        <v>32.67</v>
      </c>
      <c r="D31" s="120"/>
      <c r="E31" s="120">
        <v>1.22042</v>
      </c>
      <c r="F31" s="120">
        <v>1.17643</v>
      </c>
      <c r="G31" s="120">
        <v>1.0</v>
      </c>
      <c r="H31" s="121"/>
      <c r="I31" s="121">
        <v>0.189</v>
      </c>
      <c r="J31" s="121">
        <v>0.531</v>
      </c>
      <c r="K31" s="121">
        <v>0.0</v>
      </c>
      <c r="L31" s="121"/>
    </row>
    <row r="32">
      <c r="A32" s="61">
        <v>44834.959742314815</v>
      </c>
      <c r="B32" s="118">
        <v>0.9801799999999999</v>
      </c>
      <c r="C32" s="119">
        <v>33.33</v>
      </c>
      <c r="D32" s="120"/>
      <c r="E32" s="120">
        <v>1.22042</v>
      </c>
      <c r="F32" s="120">
        <v>1.17643</v>
      </c>
      <c r="G32" s="120">
        <v>1.0</v>
      </c>
      <c r="H32" s="121"/>
      <c r="I32" s="121">
        <v>0.189</v>
      </c>
      <c r="J32" s="121">
        <v>0.531</v>
      </c>
      <c r="K32" s="121">
        <v>0.0</v>
      </c>
      <c r="L32" s="121"/>
    </row>
    <row r="33">
      <c r="A33" s="61">
        <v>44833.95969267361</v>
      </c>
      <c r="B33" s="118">
        <v>0.9772799999999999</v>
      </c>
      <c r="C33" s="119">
        <v>33.91</v>
      </c>
      <c r="D33" s="120"/>
      <c r="E33" s="120">
        <v>1.21657</v>
      </c>
      <c r="F33" s="120">
        <v>1.17191</v>
      </c>
      <c r="G33" s="120">
        <v>1.0</v>
      </c>
      <c r="H33" s="121"/>
      <c r="I33" s="121">
        <v>0.342</v>
      </c>
      <c r="J33" s="121">
        <v>0.41400000000000003</v>
      </c>
      <c r="K33" s="121">
        <v>0.0</v>
      </c>
      <c r="L33" s="121"/>
    </row>
    <row r="34">
      <c r="A34" s="61">
        <v>44832.95969230324</v>
      </c>
      <c r="B34" s="118">
        <v>0.97256</v>
      </c>
      <c r="C34" s="119">
        <v>33.35</v>
      </c>
      <c r="D34" s="120"/>
      <c r="E34" s="120">
        <v>1.21657</v>
      </c>
      <c r="F34" s="120">
        <v>1.17191</v>
      </c>
      <c r="G34" s="120">
        <v>1.0</v>
      </c>
      <c r="H34" s="121"/>
      <c r="I34" s="121">
        <v>0.342</v>
      </c>
      <c r="J34" s="121">
        <v>0.41400000000000003</v>
      </c>
      <c r="K34" s="121">
        <v>0.0</v>
      </c>
      <c r="L34" s="121"/>
    </row>
    <row r="35">
      <c r="A35" s="61">
        <v>44831.95972549768</v>
      </c>
      <c r="B35" s="118">
        <v>0.9582999999999999</v>
      </c>
      <c r="C35" s="119">
        <v>32.69</v>
      </c>
      <c r="D35" s="120"/>
      <c r="E35" s="120">
        <v>1.21657</v>
      </c>
      <c r="F35" s="120">
        <v>1.17191</v>
      </c>
      <c r="G35" s="120">
        <v>1.0</v>
      </c>
      <c r="H35" s="121"/>
      <c r="I35" s="121">
        <v>0.342</v>
      </c>
      <c r="J35" s="121">
        <v>0.41400000000000003</v>
      </c>
      <c r="K35" s="121">
        <v>0.0</v>
      </c>
      <c r="L35" s="121"/>
    </row>
    <row r="36">
      <c r="A36" s="61">
        <v>44830.95968414352</v>
      </c>
      <c r="B36" s="118">
        <v>0.96166</v>
      </c>
      <c r="C36" s="119">
        <v>33.44</v>
      </c>
      <c r="D36" s="120"/>
      <c r="E36" s="120">
        <v>1.21657</v>
      </c>
      <c r="F36" s="120">
        <v>1.17191</v>
      </c>
      <c r="G36" s="120">
        <v>1.0</v>
      </c>
      <c r="H36" s="121"/>
      <c r="I36" s="121">
        <v>0.342</v>
      </c>
      <c r="J36" s="121">
        <v>0.41400000000000003</v>
      </c>
      <c r="K36" s="121">
        <v>0.0</v>
      </c>
      <c r="L36" s="121"/>
    </row>
    <row r="37">
      <c r="A37" s="61">
        <v>44829.960039212965</v>
      </c>
      <c r="B37" s="118">
        <v>0.96949</v>
      </c>
      <c r="C37" s="119">
        <v>32.3</v>
      </c>
      <c r="D37" s="120"/>
      <c r="E37" s="120">
        <v>1.21657</v>
      </c>
      <c r="F37" s="120">
        <v>1.17191</v>
      </c>
      <c r="G37" s="120">
        <v>1.0</v>
      </c>
      <c r="H37" s="121"/>
      <c r="I37" s="121">
        <v>0.342</v>
      </c>
      <c r="J37" s="121">
        <v>0.41400000000000003</v>
      </c>
      <c r="K37" s="121">
        <v>0.0</v>
      </c>
      <c r="L37" s="121"/>
    </row>
    <row r="38">
      <c r="A38" s="61">
        <v>44828.960031180555</v>
      </c>
      <c r="B38" s="118">
        <v>0.96914</v>
      </c>
      <c r="C38" s="119">
        <v>33.56</v>
      </c>
      <c r="D38" s="120"/>
      <c r="E38" s="120">
        <v>1.21657</v>
      </c>
      <c r="F38" s="120">
        <v>1.17191</v>
      </c>
      <c r="G38" s="120">
        <v>1.0</v>
      </c>
      <c r="H38" s="121"/>
      <c r="I38" s="121">
        <v>0.342</v>
      </c>
      <c r="J38" s="121">
        <v>0.41400000000000003</v>
      </c>
      <c r="K38" s="121">
        <v>0.0</v>
      </c>
      <c r="L38" s="121"/>
    </row>
    <row r="39">
      <c r="A39" s="61">
        <v>44827.95971579861</v>
      </c>
      <c r="B39" s="118">
        <v>0.96934</v>
      </c>
      <c r="C39" s="119">
        <v>33.32</v>
      </c>
      <c r="D39" s="120"/>
      <c r="E39" s="120">
        <v>1.21657</v>
      </c>
      <c r="F39" s="120">
        <v>1.17191</v>
      </c>
      <c r="G39" s="120">
        <v>1.0</v>
      </c>
      <c r="H39" s="121"/>
      <c r="I39" s="121">
        <v>0.342</v>
      </c>
      <c r="J39" s="121">
        <v>0.41400000000000003</v>
      </c>
      <c r="K39" s="121">
        <v>0.0</v>
      </c>
      <c r="L39" s="121"/>
    </row>
    <row r="40">
      <c r="A40" s="61">
        <v>44826.95968530093</v>
      </c>
      <c r="B40" s="118">
        <v>0.9838899999999999</v>
      </c>
      <c r="C40" s="119">
        <v>32.11</v>
      </c>
      <c r="D40" s="120"/>
      <c r="E40" s="120">
        <v>1.21247</v>
      </c>
      <c r="F40" s="120">
        <v>1.1639</v>
      </c>
      <c r="G40" s="120">
        <v>1.0</v>
      </c>
      <c r="H40" s="121"/>
      <c r="I40" s="121">
        <v>0.333</v>
      </c>
      <c r="J40" s="121">
        <v>0.684</v>
      </c>
      <c r="K40" s="121">
        <v>0.0</v>
      </c>
      <c r="L40" s="121"/>
    </row>
    <row r="41">
      <c r="A41" s="61">
        <v>44825.95969199074</v>
      </c>
      <c r="B41" s="118">
        <v>0.98376</v>
      </c>
      <c r="C41" s="119">
        <v>30.69</v>
      </c>
      <c r="D41" s="120"/>
      <c r="E41" s="120">
        <v>1.21247</v>
      </c>
      <c r="F41" s="120">
        <v>1.1639</v>
      </c>
      <c r="G41" s="120">
        <v>1.0</v>
      </c>
      <c r="H41" s="121"/>
      <c r="I41" s="121">
        <v>0.333</v>
      </c>
      <c r="J41" s="121">
        <v>0.684</v>
      </c>
      <c r="K41" s="121">
        <v>0.0</v>
      </c>
      <c r="L41" s="121"/>
    </row>
    <row r="42">
      <c r="A42" s="61">
        <v>44824.95968810185</v>
      </c>
      <c r="B42" s="118">
        <v>0.99714</v>
      </c>
      <c r="C42" s="119">
        <v>31.7</v>
      </c>
      <c r="D42" s="120"/>
      <c r="E42" s="120">
        <v>1.21247</v>
      </c>
      <c r="F42" s="120">
        <v>1.1639</v>
      </c>
      <c r="G42" s="120">
        <v>1.0</v>
      </c>
      <c r="H42" s="121"/>
      <c r="I42" s="121">
        <v>0.333</v>
      </c>
      <c r="J42" s="121">
        <v>0.684</v>
      </c>
      <c r="K42" s="121">
        <v>0.0</v>
      </c>
      <c r="L42" s="121"/>
    </row>
    <row r="43">
      <c r="A43" s="61">
        <v>44823.959686145834</v>
      </c>
      <c r="B43" s="118">
        <v>1.001</v>
      </c>
      <c r="C43" s="119">
        <v>32.79</v>
      </c>
      <c r="D43" s="120"/>
      <c r="E43" s="120">
        <v>1.21247</v>
      </c>
      <c r="F43" s="120">
        <v>1.1639</v>
      </c>
      <c r="G43" s="120">
        <v>1.0</v>
      </c>
      <c r="H43" s="121"/>
      <c r="I43" s="121">
        <v>0.333</v>
      </c>
      <c r="J43" s="121">
        <v>0.684</v>
      </c>
      <c r="K43" s="121">
        <v>0.0</v>
      </c>
      <c r="L43" s="121"/>
    </row>
    <row r="44">
      <c r="A44" s="61">
        <v>44822.959683865745</v>
      </c>
      <c r="B44" s="118">
        <v>1.00169</v>
      </c>
      <c r="C44" s="119">
        <v>31.59</v>
      </c>
      <c r="D44" s="120"/>
      <c r="E44" s="120">
        <v>1.21247</v>
      </c>
      <c r="F44" s="120">
        <v>1.1639</v>
      </c>
      <c r="G44" s="120">
        <v>1.0</v>
      </c>
      <c r="H44" s="121"/>
      <c r="I44" s="121">
        <v>0.333</v>
      </c>
      <c r="J44" s="121">
        <v>0.684</v>
      </c>
      <c r="K44" s="121">
        <v>0.0</v>
      </c>
      <c r="L44" s="121"/>
    </row>
    <row r="45">
      <c r="A45" s="61">
        <v>44821.95968101852</v>
      </c>
      <c r="B45" s="118">
        <v>1.00159</v>
      </c>
      <c r="C45" s="119">
        <v>33.35</v>
      </c>
      <c r="D45" s="120"/>
      <c r="E45" s="120">
        <v>1.21247</v>
      </c>
      <c r="F45" s="120">
        <v>1.1639</v>
      </c>
      <c r="G45" s="120">
        <v>1.0</v>
      </c>
      <c r="H45" s="121"/>
      <c r="I45" s="121">
        <v>0.333</v>
      </c>
      <c r="J45" s="121">
        <v>0.684</v>
      </c>
      <c r="K45" s="121">
        <v>0.0</v>
      </c>
      <c r="L45" s="121"/>
    </row>
    <row r="46">
      <c r="A46" s="61">
        <v>44820.959688773146</v>
      </c>
      <c r="B46" s="118">
        <v>1.00062</v>
      </c>
      <c r="C46" s="119">
        <v>32.34</v>
      </c>
      <c r="D46" s="120"/>
      <c r="E46" s="120">
        <v>1.21247</v>
      </c>
      <c r="F46" s="120">
        <v>1.1639</v>
      </c>
      <c r="G46" s="120">
        <v>1.0</v>
      </c>
      <c r="H46" s="121"/>
      <c r="I46" s="121">
        <v>0.333</v>
      </c>
      <c r="J46" s="121">
        <v>0.684</v>
      </c>
      <c r="K46" s="121">
        <v>0.0</v>
      </c>
      <c r="L46" s="121"/>
    </row>
    <row r="47">
      <c r="A47" s="61">
        <v>44819.95968560185</v>
      </c>
      <c r="B47" s="118">
        <v>0.99928</v>
      </c>
      <c r="C47" s="119">
        <v>33.4</v>
      </c>
      <c r="D47" s="120"/>
      <c r="E47" s="120">
        <v>1.20653</v>
      </c>
      <c r="F47" s="120">
        <v>1.15505</v>
      </c>
      <c r="G47" s="120">
        <v>1.0</v>
      </c>
      <c r="H47" s="121"/>
      <c r="I47" s="121">
        <v>0.468</v>
      </c>
      <c r="J47" s="121">
        <v>0.7290000000000001</v>
      </c>
      <c r="K47" s="121">
        <v>0.0</v>
      </c>
      <c r="L47" s="121"/>
    </row>
    <row r="48">
      <c r="A48" s="61">
        <v>44818.95968332176</v>
      </c>
      <c r="B48" s="118">
        <v>0.99822</v>
      </c>
      <c r="C48" s="119">
        <v>33.72</v>
      </c>
      <c r="D48" s="120"/>
      <c r="E48" s="120">
        <v>1.20652</v>
      </c>
      <c r="F48" s="120">
        <v>1.15505</v>
      </c>
      <c r="G48" s="120">
        <v>1.0</v>
      </c>
      <c r="H48" s="121"/>
      <c r="I48" s="121">
        <v>0.468</v>
      </c>
      <c r="J48" s="121">
        <v>0.7290000000000001</v>
      </c>
      <c r="K48" s="121">
        <v>0.0</v>
      </c>
      <c r="L48" s="121"/>
    </row>
    <row r="49">
      <c r="A49" s="61">
        <v>44817.9596906713</v>
      </c>
      <c r="B49" s="118">
        <v>1.00247</v>
      </c>
      <c r="C49" s="119">
        <v>33.76</v>
      </c>
      <c r="D49" s="120"/>
      <c r="E49" s="120">
        <v>1.20652</v>
      </c>
      <c r="F49" s="120">
        <v>1.15505</v>
      </c>
      <c r="G49" s="120">
        <v>1.0</v>
      </c>
      <c r="H49" s="121"/>
      <c r="I49" s="121">
        <v>0.468</v>
      </c>
      <c r="J49" s="121">
        <v>0.7290000000000001</v>
      </c>
      <c r="K49" s="121">
        <v>0.0</v>
      </c>
      <c r="L49" s="121"/>
    </row>
    <row r="50">
      <c r="A50" s="61">
        <v>44816.95973827546</v>
      </c>
      <c r="B50" s="118">
        <v>1.0123</v>
      </c>
      <c r="C50" s="119">
        <v>37.49</v>
      </c>
      <c r="D50" s="120"/>
      <c r="E50" s="120">
        <v>1.20652</v>
      </c>
      <c r="F50" s="120">
        <v>1.15505</v>
      </c>
      <c r="G50" s="120">
        <v>1.0</v>
      </c>
      <c r="H50" s="121"/>
      <c r="I50" s="121">
        <v>0.468</v>
      </c>
      <c r="J50" s="121">
        <v>0.7290000000000001</v>
      </c>
      <c r="K50" s="72"/>
      <c r="L50" s="72"/>
    </row>
    <row r="51">
      <c r="A51" s="61">
        <v>44815.959714537035</v>
      </c>
      <c r="B51" s="118">
        <v>1.01126</v>
      </c>
      <c r="C51" s="119">
        <v>34.69</v>
      </c>
      <c r="D51" s="120"/>
      <c r="E51" s="120">
        <v>1.20652</v>
      </c>
      <c r="F51" s="120">
        <v>1.15505</v>
      </c>
      <c r="G51" s="120">
        <v>1.0</v>
      </c>
      <c r="H51" s="121"/>
      <c r="I51" s="121">
        <v>0.468</v>
      </c>
      <c r="J51" s="121">
        <v>0.7290000000000001</v>
      </c>
      <c r="K51" s="72"/>
      <c r="L51" s="72"/>
    </row>
    <row r="52">
      <c r="A52" s="61">
        <v>44814.95969153935</v>
      </c>
      <c r="B52" s="118">
        <v>1.01143</v>
      </c>
      <c r="C52" s="119">
        <v>34.82</v>
      </c>
      <c r="D52" s="120"/>
      <c r="E52" s="120">
        <v>1.20652</v>
      </c>
      <c r="F52" s="120">
        <v>1.15505</v>
      </c>
      <c r="G52" s="120">
        <v>1.0</v>
      </c>
      <c r="H52" s="121"/>
      <c r="I52" s="121">
        <v>0.468</v>
      </c>
      <c r="J52" s="121">
        <v>0.7290000000000001</v>
      </c>
      <c r="K52" s="121"/>
      <c r="L52" s="121"/>
    </row>
    <row r="53">
      <c r="A53" s="61">
        <v>44813.96003637731</v>
      </c>
      <c r="B53" s="118">
        <v>1.01305</v>
      </c>
      <c r="C53" s="119">
        <v>34.75</v>
      </c>
      <c r="D53" s="120"/>
      <c r="E53" s="120">
        <v>1.20652</v>
      </c>
      <c r="F53" s="120">
        <v>1.15505</v>
      </c>
      <c r="G53" s="120">
        <v>1.0</v>
      </c>
      <c r="I53" s="121">
        <v>0.468</v>
      </c>
      <c r="J53" s="121">
        <v>0.7290000000000001</v>
      </c>
      <c r="K53" s="121"/>
      <c r="L53" s="121"/>
    </row>
    <row r="54">
      <c r="A54" s="61">
        <v>44812.9600350463</v>
      </c>
      <c r="B54" s="118">
        <v>0.9999199999999999</v>
      </c>
      <c r="C54" s="119">
        <v>33.63</v>
      </c>
      <c r="D54" s="120"/>
      <c r="E54" s="120">
        <v>1.20284</v>
      </c>
      <c r="F54" s="120">
        <v>1.14803</v>
      </c>
      <c r="G54" s="120">
        <v>1.0</v>
      </c>
      <c r="J54" s="121">
        <v>0.72</v>
      </c>
      <c r="K54" s="121"/>
      <c r="L54" s="121"/>
    </row>
    <row r="55">
      <c r="A55" s="61">
        <v>44811.959682291665</v>
      </c>
      <c r="B55" s="118">
        <v>0.99476</v>
      </c>
      <c r="C55" s="119">
        <v>32.62</v>
      </c>
      <c r="D55" s="120"/>
      <c r="E55" s="120">
        <v>1.20284</v>
      </c>
      <c r="F55" s="120">
        <v>1.14803</v>
      </c>
      <c r="G55" s="120">
        <v>1.0</v>
      </c>
      <c r="J55" s="121">
        <v>0.72</v>
      </c>
      <c r="K55" s="121"/>
      <c r="L55" s="121"/>
    </row>
    <row r="56">
      <c r="A56" s="61">
        <v>44810.95969930556</v>
      </c>
      <c r="B56" s="118">
        <v>0.9907</v>
      </c>
      <c r="C56" s="119">
        <v>31.21</v>
      </c>
      <c r="D56" s="120"/>
      <c r="E56" s="120">
        <v>1.20284</v>
      </c>
      <c r="F56" s="120">
        <v>1.14803</v>
      </c>
      <c r="G56" s="120">
        <v>1.0</v>
      </c>
      <c r="J56" s="121">
        <v>0.72</v>
      </c>
      <c r="K56" s="121"/>
      <c r="L56" s="121"/>
    </row>
    <row r="57">
      <c r="A57" s="61">
        <v>44809.95972194444</v>
      </c>
      <c r="B57" s="118">
        <v>0.9922300000000001</v>
      </c>
      <c r="C57" s="119">
        <v>32.08</v>
      </c>
      <c r="D57" s="120"/>
      <c r="E57" s="120">
        <v>1.20284</v>
      </c>
      <c r="F57" s="120">
        <v>1.14803</v>
      </c>
      <c r="G57" s="120">
        <v>1.0</v>
      </c>
      <c r="J57" s="121">
        <v>0.72</v>
      </c>
      <c r="K57" s="121"/>
      <c r="L57" s="121"/>
    </row>
    <row r="58">
      <c r="A58" s="61">
        <v>44808.959680949076</v>
      </c>
      <c r="B58" s="118">
        <v>0.9953500000000001</v>
      </c>
      <c r="C58" s="119">
        <v>32.04</v>
      </c>
      <c r="D58" s="120"/>
      <c r="E58" s="120">
        <v>1.20284</v>
      </c>
      <c r="F58" s="120">
        <v>1.14803</v>
      </c>
      <c r="G58" s="120">
        <v>1.0</v>
      </c>
      <c r="J58" s="121">
        <v>0.72</v>
      </c>
      <c r="K58" s="121"/>
      <c r="L58" s="121"/>
    </row>
    <row r="59">
      <c r="A59" s="61">
        <v>44807.95967872685</v>
      </c>
      <c r="B59" s="118">
        <v>0.99554</v>
      </c>
      <c r="C59" s="119">
        <v>31.07</v>
      </c>
      <c r="D59" s="120"/>
      <c r="E59" s="120">
        <v>1.20284</v>
      </c>
      <c r="F59" s="120">
        <v>1.14803</v>
      </c>
      <c r="G59" s="120">
        <v>1.0</v>
      </c>
      <c r="J59" s="121">
        <v>0.72</v>
      </c>
      <c r="K59" s="121"/>
      <c r="L59" s="121"/>
    </row>
    <row r="60">
      <c r="A60" s="61">
        <v>44806.95968164352</v>
      </c>
      <c r="B60" s="118">
        <v>0.99605</v>
      </c>
      <c r="C60" s="119">
        <v>31.24</v>
      </c>
      <c r="D60" s="120"/>
      <c r="E60" s="120">
        <v>1.20284</v>
      </c>
      <c r="F60" s="120">
        <v>1.14803</v>
      </c>
      <c r="G60" s="120"/>
      <c r="H60" s="121"/>
      <c r="I60" s="121"/>
      <c r="J60" s="121"/>
      <c r="K60" s="121"/>
      <c r="L60" s="121"/>
    </row>
    <row r="61">
      <c r="A61" s="61">
        <v>44805.9597130787</v>
      </c>
      <c r="B61" s="118">
        <v>0.99482</v>
      </c>
      <c r="C61" s="119">
        <v>31.39</v>
      </c>
      <c r="D61" s="120"/>
      <c r="E61" s="120"/>
      <c r="F61" s="120"/>
      <c r="G61" s="120"/>
      <c r="H61" s="121"/>
      <c r="I61" s="121"/>
      <c r="J61" s="121"/>
      <c r="K61" s="121"/>
      <c r="L61" s="121"/>
    </row>
    <row r="62">
      <c r="A62" s="61">
        <v>44804.95970152778</v>
      </c>
      <c r="B62" s="118">
        <v>1.00583</v>
      </c>
      <c r="C62" s="119">
        <v>32.22</v>
      </c>
      <c r="D62" s="120"/>
      <c r="E62" s="120"/>
      <c r="F62" s="120"/>
      <c r="G62" s="120"/>
      <c r="H62" s="121"/>
      <c r="I62" s="121"/>
      <c r="J62" s="121"/>
      <c r="K62" s="121"/>
      <c r="L62" s="121"/>
    </row>
    <row r="63">
      <c r="A63" s="61">
        <v>44803.960035682874</v>
      </c>
      <c r="B63" s="118">
        <v>1.00297</v>
      </c>
      <c r="C63" s="119">
        <v>31.74</v>
      </c>
      <c r="D63" s="120"/>
      <c r="E63" s="120"/>
      <c r="F63" s="120"/>
      <c r="G63" s="120"/>
      <c r="H63" s="121"/>
      <c r="I63" s="121"/>
      <c r="J63" s="121"/>
      <c r="K63" s="121"/>
      <c r="L63" s="121"/>
    </row>
    <row r="64">
      <c r="A64" s="61">
        <v>44802.95970614583</v>
      </c>
      <c r="B64" s="118">
        <v>0.99991</v>
      </c>
      <c r="C64" s="119">
        <v>31.96</v>
      </c>
      <c r="D64" s="120"/>
      <c r="E64" s="120"/>
      <c r="F64" s="120"/>
      <c r="G64" s="120"/>
      <c r="H64" s="121"/>
      <c r="I64" s="121"/>
      <c r="J64" s="121"/>
      <c r="K64" s="121"/>
      <c r="L64" s="121"/>
    </row>
    <row r="65">
      <c r="A65" s="61">
        <v>44801.959718287035</v>
      </c>
      <c r="B65" s="118">
        <v>0.99657</v>
      </c>
      <c r="C65" s="119">
        <v>31.59</v>
      </c>
      <c r="D65" s="120"/>
      <c r="E65" s="120"/>
      <c r="F65" s="120"/>
      <c r="G65" s="120"/>
      <c r="H65" s="121"/>
      <c r="I65" s="121"/>
      <c r="J65" s="121"/>
      <c r="K65" s="121"/>
      <c r="L65" s="121"/>
    </row>
    <row r="66">
      <c r="A66" s="61">
        <v>44800.95969394676</v>
      </c>
      <c r="B66" s="118">
        <v>0.9967</v>
      </c>
      <c r="C66" s="119">
        <v>31.43</v>
      </c>
      <c r="D66" s="120"/>
      <c r="E66" s="120"/>
      <c r="F66" s="120"/>
      <c r="G66" s="120"/>
      <c r="H66" s="121"/>
      <c r="I66" s="121"/>
      <c r="J66" s="121"/>
      <c r="K66" s="121"/>
      <c r="L66" s="121"/>
    </row>
    <row r="67">
      <c r="A67" s="61">
        <v>44799.95846270834</v>
      </c>
      <c r="B67" s="118">
        <v>0.99689</v>
      </c>
      <c r="C67" s="119">
        <v>32.62</v>
      </c>
      <c r="D67" s="120"/>
      <c r="E67" s="120"/>
      <c r="F67" s="120"/>
      <c r="G67" s="120"/>
      <c r="H67" s="121"/>
      <c r="I67" s="121"/>
      <c r="J67" s="121"/>
      <c r="K67" s="121"/>
      <c r="L67" s="121"/>
    </row>
    <row r="68">
      <c r="A68" s="61">
        <v>44798.959695011574</v>
      </c>
      <c r="B68" s="118">
        <v>0.9978</v>
      </c>
      <c r="C68" s="119">
        <v>35.72</v>
      </c>
      <c r="D68" s="120"/>
      <c r="E68" s="120"/>
      <c r="F68" s="120"/>
      <c r="G68" s="120"/>
      <c r="H68" s="121"/>
      <c r="I68" s="121"/>
      <c r="J68" s="121"/>
      <c r="K68" s="121"/>
      <c r="L68" s="121"/>
    </row>
    <row r="69">
      <c r="A69" s="61">
        <v>44797.95969268518</v>
      </c>
      <c r="B69" s="118">
        <v>0.99683</v>
      </c>
      <c r="C69" s="119">
        <v>35.93</v>
      </c>
      <c r="D69" s="120"/>
      <c r="E69" s="120"/>
      <c r="F69" s="120"/>
      <c r="G69" s="120"/>
      <c r="H69" s="121"/>
      <c r="I69" s="121"/>
      <c r="J69" s="121"/>
      <c r="K69" s="121"/>
      <c r="L69" s="121"/>
    </row>
    <row r="70">
      <c r="A70" s="61">
        <v>44796.959708379625</v>
      </c>
      <c r="B70" s="118">
        <v>0.99667</v>
      </c>
      <c r="C70" s="119">
        <v>35.44</v>
      </c>
      <c r="D70" s="120"/>
      <c r="E70" s="120"/>
      <c r="F70" s="120"/>
      <c r="G70" s="120"/>
      <c r="H70" s="121"/>
      <c r="I70" s="121"/>
      <c r="J70" s="121"/>
      <c r="K70" s="121"/>
      <c r="L70" s="121"/>
    </row>
    <row r="71">
      <c r="A71" s="61">
        <v>44795.95971268519</v>
      </c>
      <c r="B71" s="118">
        <v>0.9939</v>
      </c>
      <c r="C71" s="119">
        <v>34.61</v>
      </c>
      <c r="D71" s="120"/>
      <c r="E71" s="120"/>
      <c r="F71" s="120"/>
      <c r="G71" s="120"/>
      <c r="H71" s="121"/>
      <c r="I71" s="121"/>
      <c r="J71" s="121"/>
      <c r="K71" s="121"/>
      <c r="L71" s="121"/>
    </row>
    <row r="72">
      <c r="A72" s="61">
        <v>44794.960039108795</v>
      </c>
      <c r="B72" s="118">
        <v>1.00446</v>
      </c>
      <c r="C72" s="119">
        <v>36.99</v>
      </c>
      <c r="D72" s="120"/>
      <c r="E72" s="120"/>
      <c r="F72" s="120"/>
      <c r="G72" s="120"/>
      <c r="H72" s="121"/>
      <c r="I72" s="121"/>
      <c r="J72" s="121"/>
      <c r="K72" s="121"/>
      <c r="L72" s="121"/>
    </row>
    <row r="73">
      <c r="A73" s="61">
        <v>44793.95970266203</v>
      </c>
      <c r="B73" s="118">
        <v>1.00388</v>
      </c>
      <c r="C73" s="119">
        <v>34.91</v>
      </c>
      <c r="D73" s="120"/>
      <c r="E73" s="120"/>
      <c r="F73" s="120"/>
      <c r="G73" s="120"/>
      <c r="H73" s="121"/>
      <c r="I73" s="121"/>
      <c r="J73" s="121"/>
      <c r="K73" s="121"/>
      <c r="L73" s="121"/>
    </row>
    <row r="74">
      <c r="A74" s="61">
        <v>44792.959697280094</v>
      </c>
      <c r="B74" s="118">
        <v>1.00372</v>
      </c>
      <c r="C74" s="119">
        <v>36.89</v>
      </c>
      <c r="D74" s="120"/>
      <c r="E74" s="120"/>
      <c r="F74" s="120"/>
      <c r="G74" s="120"/>
      <c r="H74" s="121"/>
      <c r="I74" s="121"/>
      <c r="J74" s="121"/>
      <c r="K74" s="121"/>
      <c r="L74" s="121"/>
    </row>
    <row r="75">
      <c r="A75" s="61">
        <v>44791.95969959491</v>
      </c>
      <c r="B75" s="118">
        <v>1.01165</v>
      </c>
      <c r="C75" s="119">
        <v>41.16</v>
      </c>
      <c r="D75" s="120"/>
      <c r="E75" s="120"/>
      <c r="F75" s="120"/>
      <c r="G75" s="120"/>
      <c r="H75" s="121"/>
      <c r="I75" s="121"/>
      <c r="J75" s="121"/>
      <c r="K75" s="121"/>
      <c r="L75" s="121"/>
    </row>
    <row r="76">
      <c r="A76" s="61">
        <v>44790.96004503472</v>
      </c>
      <c r="B76" s="118">
        <v>1.01651</v>
      </c>
      <c r="C76" s="119">
        <v>40.41</v>
      </c>
      <c r="D76" s="120"/>
      <c r="E76" s="120"/>
      <c r="F76" s="120"/>
      <c r="G76" s="120"/>
      <c r="H76" s="121"/>
      <c r="I76" s="121"/>
      <c r="J76" s="121"/>
      <c r="K76" s="121"/>
      <c r="L76" s="121"/>
    </row>
    <row r="77">
      <c r="A77" s="61">
        <v>44789.959704016204</v>
      </c>
      <c r="B77" s="118">
        <v>1.01766</v>
      </c>
      <c r="C77" s="119">
        <v>43.28</v>
      </c>
      <c r="D77" s="120"/>
      <c r="E77" s="120"/>
      <c r="F77" s="120"/>
      <c r="G77" s="120"/>
      <c r="H77" s="121"/>
      <c r="I77" s="121"/>
      <c r="J77" s="121"/>
      <c r="K77" s="121"/>
      <c r="L77" s="121"/>
    </row>
    <row r="78">
      <c r="A78" s="61">
        <v>44788.95972883102</v>
      </c>
      <c r="B78" s="118">
        <v>1.01859</v>
      </c>
      <c r="C78" s="119">
        <v>43.96</v>
      </c>
      <c r="D78" s="120"/>
      <c r="E78" s="120"/>
      <c r="F78" s="120"/>
      <c r="G78" s="120"/>
      <c r="H78" s="121"/>
      <c r="I78" s="121"/>
      <c r="J78" s="121"/>
      <c r="K78" s="121"/>
      <c r="L78" s="121"/>
    </row>
    <row r="79">
      <c r="A79" s="61">
        <v>44787.959701053245</v>
      </c>
      <c r="B79" s="118">
        <v>1.02567</v>
      </c>
      <c r="C79" s="119">
        <v>45.49</v>
      </c>
      <c r="D79" s="120"/>
      <c r="E79" s="120"/>
      <c r="F79" s="120"/>
      <c r="G79" s="120"/>
      <c r="H79" s="121"/>
      <c r="I79" s="121"/>
      <c r="J79" s="121"/>
      <c r="K79" s="121"/>
      <c r="L79" s="121"/>
    </row>
    <row r="80">
      <c r="A80" s="61">
        <v>44786.95968702546</v>
      </c>
      <c r="B80" s="118">
        <v>1.02596</v>
      </c>
      <c r="C80" s="119">
        <v>46.55</v>
      </c>
      <c r="D80" s="120"/>
      <c r="E80" s="120"/>
      <c r="F80" s="120"/>
      <c r="G80" s="120"/>
      <c r="H80" s="121"/>
      <c r="I80" s="121"/>
      <c r="J80" s="121"/>
      <c r="K80" s="121"/>
      <c r="L80" s="121"/>
    </row>
    <row r="81">
      <c r="A81" s="61">
        <v>44785.95971159722</v>
      </c>
      <c r="B81" s="118">
        <v>1.02634</v>
      </c>
      <c r="C81" s="119">
        <v>44.59</v>
      </c>
      <c r="D81" s="120"/>
      <c r="E81" s="120"/>
      <c r="F81" s="120"/>
      <c r="G81" s="120"/>
      <c r="H81" s="121"/>
      <c r="I81" s="121"/>
      <c r="J81" s="121"/>
      <c r="K81" s="121"/>
      <c r="L81" s="121"/>
    </row>
    <row r="82">
      <c r="A82" s="61">
        <v>44784.95969506944</v>
      </c>
      <c r="B82" s="118">
        <v>1.03341</v>
      </c>
      <c r="C82" s="119">
        <v>43.24</v>
      </c>
      <c r="D82" s="120"/>
      <c r="E82" s="120"/>
      <c r="F82" s="120"/>
      <c r="G82" s="120"/>
      <c r="H82" s="121"/>
      <c r="I82" s="121"/>
      <c r="J82" s="121"/>
      <c r="K82" s="121"/>
      <c r="L82" s="121"/>
    </row>
    <row r="83">
      <c r="A83" s="61">
        <v>44783.959683587964</v>
      </c>
      <c r="B83" s="118">
        <v>1.03239</v>
      </c>
      <c r="C83" s="119">
        <v>42.36</v>
      </c>
      <c r="D83" s="120"/>
      <c r="E83" s="120"/>
      <c r="F83" s="120"/>
      <c r="G83" s="120"/>
      <c r="H83" s="121"/>
      <c r="I83" s="121"/>
      <c r="J83" s="121"/>
      <c r="K83" s="121"/>
      <c r="L83" s="121"/>
    </row>
    <row r="84">
      <c r="A84" s="61">
        <v>44782.95969859954</v>
      </c>
      <c r="B84" s="118">
        <v>1.02277</v>
      </c>
      <c r="C84" s="119">
        <v>40.59</v>
      </c>
      <c r="D84" s="120"/>
      <c r="E84" s="120"/>
      <c r="F84" s="120"/>
      <c r="G84" s="120"/>
      <c r="H84" s="121"/>
      <c r="I84" s="121"/>
      <c r="J84" s="121"/>
      <c r="K84" s="121"/>
      <c r="L84" s="121"/>
    </row>
    <row r="85">
      <c r="A85" s="61">
        <v>44781.95970466435</v>
      </c>
      <c r="B85" s="118">
        <v>1.02092</v>
      </c>
      <c r="C85" s="119">
        <v>42.52</v>
      </c>
      <c r="D85" s="120"/>
      <c r="E85" s="120"/>
      <c r="F85" s="120"/>
      <c r="G85" s="120"/>
      <c r="H85" s="121"/>
      <c r="I85" s="121"/>
      <c r="J85" s="121"/>
      <c r="K85" s="121"/>
      <c r="L85" s="121"/>
    </row>
    <row r="86">
      <c r="A86" s="61">
        <v>44780.9598237037</v>
      </c>
      <c r="B86" s="118">
        <v>1.0184</v>
      </c>
      <c r="C86" s="119">
        <v>41.32</v>
      </c>
      <c r="D86" s="120"/>
      <c r="E86" s="120"/>
      <c r="F86" s="120"/>
      <c r="G86" s="120"/>
      <c r="H86" s="121"/>
      <c r="I86" s="121"/>
      <c r="J86" s="121"/>
      <c r="K86" s="121"/>
      <c r="L86" s="121"/>
    </row>
    <row r="87">
      <c r="A87" s="61">
        <v>44779.95970010417</v>
      </c>
      <c r="B87" s="118">
        <v>1.01805</v>
      </c>
      <c r="C87" s="119">
        <v>40.74</v>
      </c>
      <c r="D87" s="120"/>
      <c r="E87" s="120"/>
      <c r="F87" s="120"/>
      <c r="G87" s="120"/>
      <c r="H87" s="121"/>
      <c r="I87" s="121"/>
      <c r="J87" s="121"/>
      <c r="K87" s="121"/>
      <c r="L87" s="121"/>
    </row>
    <row r="88">
      <c r="A88" s="61">
        <v>44778.95971480324</v>
      </c>
      <c r="B88" s="118">
        <v>1.01663</v>
      </c>
      <c r="C88" s="119">
        <v>40.49</v>
      </c>
      <c r="D88" s="120"/>
      <c r="E88" s="120"/>
      <c r="F88" s="120"/>
      <c r="G88" s="120"/>
      <c r="H88" s="121"/>
      <c r="I88" s="121"/>
      <c r="J88" s="121"/>
      <c r="K88" s="121"/>
      <c r="L88" s="121"/>
    </row>
    <row r="89">
      <c r="A89" s="61">
        <v>44777.95969053241</v>
      </c>
      <c r="B89" s="118">
        <v>1.02111</v>
      </c>
      <c r="C89" s="119">
        <v>38.64</v>
      </c>
      <c r="D89" s="120"/>
      <c r="E89" s="120"/>
      <c r="F89" s="120"/>
      <c r="G89" s="120"/>
      <c r="H89" s="121"/>
      <c r="I89" s="121"/>
      <c r="J89" s="121"/>
      <c r="K89" s="121"/>
      <c r="L89" s="121"/>
    </row>
    <row r="90">
      <c r="A90" s="61">
        <v>44776.95969982639</v>
      </c>
      <c r="B90" s="118">
        <v>1.01377</v>
      </c>
      <c r="C90" s="119">
        <v>39.69</v>
      </c>
      <c r="D90" s="120"/>
      <c r="E90" s="120"/>
      <c r="F90" s="120"/>
      <c r="G90" s="120"/>
      <c r="H90" s="121"/>
      <c r="I90" s="121"/>
      <c r="J90" s="121"/>
      <c r="K90" s="121"/>
      <c r="L90" s="121"/>
    </row>
    <row r="91">
      <c r="A91" s="61">
        <v>44775.95970738426</v>
      </c>
      <c r="B91" s="118">
        <v>1.01949</v>
      </c>
      <c r="C91" s="119">
        <v>41.47</v>
      </c>
      <c r="D91" s="120"/>
      <c r="E91" s="120"/>
      <c r="F91" s="120"/>
      <c r="G91" s="120"/>
      <c r="H91" s="121"/>
      <c r="I91" s="121"/>
      <c r="J91" s="121"/>
      <c r="K91" s="121"/>
      <c r="L91" s="121"/>
    </row>
    <row r="92">
      <c r="A92" s="61">
        <v>44774.95970334491</v>
      </c>
      <c r="B92" s="118">
        <v>1.02705</v>
      </c>
      <c r="C92" s="119">
        <v>41.18</v>
      </c>
      <c r="D92" s="120"/>
      <c r="E92" s="120"/>
      <c r="F92" s="120"/>
      <c r="G92" s="120"/>
      <c r="H92" s="121"/>
      <c r="I92" s="121"/>
      <c r="J92" s="121"/>
      <c r="K92" s="121"/>
      <c r="L92" s="121"/>
    </row>
    <row r="93">
      <c r="A93" s="61">
        <v>44773.95969555556</v>
      </c>
      <c r="B93" s="118">
        <v>1.02238</v>
      </c>
      <c r="C93" s="119">
        <v>43.29</v>
      </c>
      <c r="D93" s="120"/>
      <c r="E93" s="120"/>
      <c r="F93" s="120"/>
      <c r="G93" s="120"/>
      <c r="H93" s="121"/>
      <c r="I93" s="121"/>
      <c r="J93" s="121"/>
      <c r="K93" s="121"/>
      <c r="L93" s="121"/>
    </row>
    <row r="94">
      <c r="A94" s="61">
        <v>44772.95969603009</v>
      </c>
      <c r="B94" s="118">
        <v>1.02252</v>
      </c>
      <c r="C94" s="119">
        <v>44.92</v>
      </c>
      <c r="D94" s="120"/>
      <c r="E94" s="120"/>
      <c r="F94" s="120"/>
      <c r="G94" s="120"/>
      <c r="H94" s="121"/>
      <c r="I94" s="121"/>
      <c r="J94" s="121"/>
      <c r="K94" s="121"/>
      <c r="L94" s="121"/>
    </row>
    <row r="95">
      <c r="A95" s="61">
        <v>44771.95969795139</v>
      </c>
      <c r="B95" s="118">
        <v>1.01996</v>
      </c>
      <c r="C95" s="119">
        <v>41.68</v>
      </c>
      <c r="D95" s="120"/>
      <c r="E95" s="120"/>
      <c r="F95" s="120"/>
      <c r="G95" s="120"/>
      <c r="H95" s="121"/>
      <c r="I95" s="121"/>
      <c r="J95" s="121"/>
      <c r="K95" s="121"/>
      <c r="L95" s="121"/>
    </row>
    <row r="96">
      <c r="A96" s="61">
        <v>44770.95969513889</v>
      </c>
      <c r="B96" s="118">
        <v>1.01656</v>
      </c>
      <c r="C96" s="119">
        <v>43.36</v>
      </c>
      <c r="D96" s="120"/>
      <c r="E96" s="120"/>
      <c r="F96" s="120"/>
      <c r="G96" s="120"/>
      <c r="H96" s="121"/>
      <c r="I96" s="121"/>
      <c r="J96" s="121"/>
      <c r="K96" s="121"/>
      <c r="L96" s="121"/>
    </row>
    <row r="97">
      <c r="A97" s="61">
        <v>44769.95970466435</v>
      </c>
      <c r="B97" s="118">
        <v>1.01212</v>
      </c>
      <c r="C97" s="119">
        <v>39.57</v>
      </c>
      <c r="D97" s="120"/>
      <c r="E97" s="120"/>
      <c r="F97" s="120"/>
      <c r="G97" s="120"/>
      <c r="H97" s="121"/>
      <c r="I97" s="121"/>
      <c r="J97" s="121"/>
      <c r="K97" s="121"/>
      <c r="L97" s="121"/>
    </row>
    <row r="98">
      <c r="A98" s="61">
        <v>44768.95970946759</v>
      </c>
      <c r="B98" s="118">
        <v>1.01409</v>
      </c>
      <c r="C98" s="119">
        <v>35.27</v>
      </c>
      <c r="D98" s="120"/>
      <c r="E98" s="120"/>
      <c r="F98" s="120"/>
      <c r="G98" s="120"/>
      <c r="H98" s="121"/>
      <c r="I98" s="121"/>
      <c r="J98" s="121"/>
      <c r="K98" s="121"/>
      <c r="L98" s="121"/>
    </row>
    <row r="99">
      <c r="A99" s="61">
        <v>44767.95970086806</v>
      </c>
      <c r="B99" s="118">
        <v>1.02221</v>
      </c>
      <c r="C99" s="119">
        <v>38.69</v>
      </c>
      <c r="D99" s="120"/>
      <c r="E99" s="120"/>
      <c r="F99" s="120"/>
      <c r="G99" s="120"/>
      <c r="H99" s="121"/>
      <c r="I99" s="121"/>
      <c r="J99" s="121"/>
      <c r="K99" s="121"/>
      <c r="L99" s="121"/>
    </row>
    <row r="100">
      <c r="A100" s="61">
        <v>44766.9596784375</v>
      </c>
      <c r="B100" s="118">
        <v>1.02102</v>
      </c>
      <c r="C100" s="119">
        <v>41.39</v>
      </c>
      <c r="D100" s="120"/>
      <c r="E100" s="120"/>
      <c r="F100" s="120"/>
      <c r="G100" s="120"/>
      <c r="H100" s="121"/>
      <c r="I100" s="121"/>
      <c r="J100" s="121"/>
      <c r="K100" s="121"/>
      <c r="L100" s="121"/>
    </row>
    <row r="101">
      <c r="A101" s="61">
        <v>44765.95968025463</v>
      </c>
      <c r="B101" s="118">
        <v>1.02143</v>
      </c>
      <c r="C101" s="119">
        <v>39.39</v>
      </c>
      <c r="D101" s="120"/>
      <c r="E101" s="120"/>
      <c r="F101" s="120"/>
      <c r="G101" s="120"/>
      <c r="H101" s="121"/>
      <c r="I101" s="121"/>
      <c r="J101" s="121"/>
      <c r="K101" s="121"/>
      <c r="L101" s="121"/>
    </row>
    <row r="102">
      <c r="A102" s="61">
        <v>44764.95968829861</v>
      </c>
      <c r="B102" s="118">
        <v>1.02366</v>
      </c>
      <c r="C102" s="119">
        <v>40.87</v>
      </c>
      <c r="D102" s="120"/>
      <c r="E102" s="120"/>
      <c r="F102" s="120"/>
      <c r="G102" s="120"/>
      <c r="H102" s="121"/>
      <c r="I102" s="121"/>
      <c r="J102" s="121"/>
      <c r="K102" s="121"/>
      <c r="L102" s="121"/>
    </row>
    <row r="103">
      <c r="A103" s="61">
        <v>44763.9597003588</v>
      </c>
      <c r="B103" s="118">
        <v>1.0228</v>
      </c>
      <c r="C103" s="119">
        <v>43.25</v>
      </c>
      <c r="D103" s="120"/>
      <c r="E103" s="120"/>
      <c r="F103" s="120"/>
      <c r="G103" s="120"/>
      <c r="H103" s="121"/>
      <c r="I103" s="121"/>
      <c r="J103" s="121"/>
      <c r="K103" s="121"/>
      <c r="L103" s="121"/>
    </row>
    <row r="104">
      <c r="A104" s="61">
        <v>44762.95968273148</v>
      </c>
      <c r="B104" s="118">
        <v>1.01797</v>
      </c>
      <c r="C104" s="119">
        <v>43.32</v>
      </c>
      <c r="D104" s="120"/>
      <c r="E104" s="120"/>
      <c r="F104" s="120"/>
      <c r="G104" s="120"/>
      <c r="H104" s="121"/>
      <c r="I104" s="121"/>
      <c r="J104" s="121"/>
      <c r="K104" s="121"/>
      <c r="L104" s="121"/>
    </row>
    <row r="105">
      <c r="A105" s="61">
        <v>44761.95969646991</v>
      </c>
      <c r="B105" s="118">
        <v>1.0229</v>
      </c>
      <c r="C105" s="119">
        <v>45.86</v>
      </c>
      <c r="D105" s="120"/>
      <c r="E105" s="120"/>
      <c r="F105" s="120"/>
      <c r="G105" s="120"/>
      <c r="H105" s="121"/>
      <c r="I105" s="121"/>
      <c r="J105" s="121"/>
      <c r="K105" s="121"/>
      <c r="L105" s="121"/>
    </row>
    <row r="106">
      <c r="A106" s="61">
        <v>44760.95969822917</v>
      </c>
      <c r="B106" s="118">
        <v>1.01594</v>
      </c>
      <c r="C106" s="119">
        <v>40.4</v>
      </c>
      <c r="D106" s="120"/>
      <c r="E106" s="120"/>
      <c r="F106" s="120"/>
      <c r="G106" s="120"/>
      <c r="H106" s="121"/>
      <c r="I106" s="121"/>
      <c r="J106" s="121"/>
      <c r="K106" s="121"/>
      <c r="L106" s="121"/>
    </row>
    <row r="107">
      <c r="A107" s="61">
        <v>44759.959690578704</v>
      </c>
      <c r="B107" s="118">
        <v>1.00817</v>
      </c>
      <c r="C107" s="119">
        <v>39.37</v>
      </c>
      <c r="D107" s="120"/>
      <c r="E107" s="120"/>
      <c r="F107" s="120"/>
      <c r="G107" s="120"/>
      <c r="H107" s="121"/>
      <c r="I107" s="121"/>
      <c r="J107" s="121"/>
      <c r="K107" s="121"/>
      <c r="L107" s="121"/>
    </row>
    <row r="108">
      <c r="A108" s="61">
        <v>44758.95969016204</v>
      </c>
      <c r="B108" s="118">
        <v>1.00847</v>
      </c>
      <c r="C108" s="119">
        <v>39.5</v>
      </c>
      <c r="D108" s="120"/>
      <c r="E108" s="120"/>
      <c r="F108" s="120"/>
      <c r="G108" s="120"/>
      <c r="H108" s="121"/>
      <c r="I108" s="121"/>
      <c r="J108" s="121"/>
      <c r="K108" s="121"/>
      <c r="L108" s="121"/>
    </row>
    <row r="109">
      <c r="A109" s="61">
        <v>44757.95971930555</v>
      </c>
      <c r="B109" s="118">
        <v>1.00775</v>
      </c>
      <c r="C109" s="119">
        <v>37.94</v>
      </c>
      <c r="D109" s="120"/>
      <c r="E109" s="120"/>
      <c r="F109" s="120"/>
      <c r="G109" s="120"/>
      <c r="H109" s="121"/>
      <c r="I109" s="121"/>
      <c r="J109" s="121"/>
      <c r="K109" s="121"/>
      <c r="L109" s="121"/>
    </row>
    <row r="110">
      <c r="A110" s="61">
        <v>44756.95968381944</v>
      </c>
      <c r="B110" s="118">
        <v>1.00142</v>
      </c>
      <c r="C110" s="119">
        <v>36.51</v>
      </c>
      <c r="D110" s="120"/>
      <c r="E110" s="120"/>
      <c r="F110" s="120"/>
      <c r="G110" s="120"/>
      <c r="H110" s="121"/>
      <c r="I110" s="121"/>
      <c r="J110" s="121"/>
      <c r="K110" s="121"/>
      <c r="L110" s="121"/>
    </row>
    <row r="111">
      <c r="A111" s="61">
        <v>44755.959682395835</v>
      </c>
      <c r="B111" s="118">
        <v>1.00807</v>
      </c>
      <c r="C111" s="119">
        <v>34.0</v>
      </c>
      <c r="D111" s="120"/>
      <c r="E111" s="120"/>
      <c r="F111" s="120"/>
      <c r="G111" s="120"/>
      <c r="H111" s="121"/>
      <c r="I111" s="121"/>
      <c r="J111" s="121"/>
      <c r="K111" s="121"/>
      <c r="L111" s="121"/>
    </row>
    <row r="112">
      <c r="A112" s="61">
        <v>44754.959684421294</v>
      </c>
      <c r="B112" s="118">
        <v>1.00696</v>
      </c>
      <c r="C112" s="119">
        <v>33.06</v>
      </c>
      <c r="D112" s="120"/>
      <c r="E112" s="120"/>
      <c r="F112" s="120"/>
      <c r="G112" s="120"/>
      <c r="H112" s="121"/>
      <c r="I112" s="121"/>
      <c r="J112" s="121"/>
      <c r="K112" s="121"/>
      <c r="L112" s="121"/>
    </row>
    <row r="113">
      <c r="A113" s="61">
        <v>44753.959694652774</v>
      </c>
      <c r="B113" s="118">
        <v>1.00739</v>
      </c>
      <c r="C113" s="119">
        <v>34.99</v>
      </c>
      <c r="D113" s="120"/>
      <c r="E113" s="120"/>
      <c r="F113" s="120"/>
      <c r="G113" s="120"/>
      <c r="H113" s="121"/>
      <c r="I113" s="121"/>
      <c r="J113" s="121"/>
      <c r="K113" s="121"/>
      <c r="L113" s="121"/>
    </row>
    <row r="114">
      <c r="A114" s="61">
        <v>44752.95969829861</v>
      </c>
      <c r="B114" s="118">
        <v>1.01904</v>
      </c>
      <c r="C114" s="119">
        <v>37.23</v>
      </c>
      <c r="D114" s="120"/>
      <c r="E114" s="120"/>
      <c r="F114" s="120"/>
      <c r="G114" s="120"/>
      <c r="H114" s="121"/>
      <c r="I114" s="121"/>
      <c r="J114" s="121"/>
      <c r="K114" s="121"/>
      <c r="L114" s="121"/>
    </row>
    <row r="115">
      <c r="A115" s="61">
        <v>44751.95970990741</v>
      </c>
      <c r="B115" s="118">
        <v>1.01864</v>
      </c>
      <c r="C115" s="119">
        <v>38.38</v>
      </c>
      <c r="D115" s="120"/>
      <c r="E115" s="120"/>
      <c r="F115" s="120"/>
      <c r="G115" s="120"/>
      <c r="H115" s="121"/>
      <c r="I115" s="121"/>
      <c r="J115" s="121"/>
      <c r="K115" s="121"/>
      <c r="L115" s="121"/>
    </row>
    <row r="116">
      <c r="A116" s="61">
        <v>44750.95969373843</v>
      </c>
      <c r="B116" s="118">
        <v>1.01883</v>
      </c>
      <c r="C116" s="119">
        <v>38.51</v>
      </c>
      <c r="D116" s="120"/>
      <c r="E116" s="120"/>
      <c r="F116" s="120"/>
      <c r="G116" s="120"/>
      <c r="H116" s="121"/>
      <c r="I116" s="121"/>
      <c r="J116" s="121"/>
      <c r="K116" s="121"/>
      <c r="L116" s="121"/>
    </row>
    <row r="117">
      <c r="A117" s="61">
        <v>44749.95969525463</v>
      </c>
      <c r="B117" s="118">
        <v>1.01627</v>
      </c>
      <c r="C117" s="119">
        <v>38.48</v>
      </c>
      <c r="D117" s="120"/>
      <c r="E117" s="120"/>
      <c r="F117" s="120"/>
      <c r="G117" s="120"/>
      <c r="H117" s="121"/>
      <c r="I117" s="121"/>
      <c r="J117" s="121"/>
      <c r="K117" s="121"/>
      <c r="L117" s="121"/>
    </row>
    <row r="118">
      <c r="A118" s="61">
        <v>44748.95969777778</v>
      </c>
      <c r="B118" s="118">
        <v>1.01831</v>
      </c>
      <c r="C118" s="119">
        <v>36.25</v>
      </c>
      <c r="D118" s="120"/>
      <c r="E118" s="120"/>
      <c r="F118" s="120"/>
      <c r="G118" s="120"/>
      <c r="H118" s="121"/>
      <c r="I118" s="121"/>
      <c r="J118" s="121"/>
      <c r="K118" s="121"/>
      <c r="L118" s="121"/>
    </row>
    <row r="119">
      <c r="A119" s="61">
        <v>44747.959729803246</v>
      </c>
      <c r="B119" s="118">
        <v>1.02401</v>
      </c>
      <c r="C119" s="119">
        <v>35.89</v>
      </c>
      <c r="D119" s="120"/>
      <c r="E119" s="120"/>
      <c r="F119" s="120"/>
      <c r="G119" s="120"/>
      <c r="H119" s="121"/>
      <c r="I119" s="121"/>
      <c r="J119" s="121"/>
      <c r="K119" s="121"/>
      <c r="L119" s="121"/>
    </row>
    <row r="120">
      <c r="A120" s="61">
        <v>44746.95967813657</v>
      </c>
      <c r="B120" s="118">
        <v>1.04296</v>
      </c>
      <c r="C120" s="119">
        <v>35.88</v>
      </c>
      <c r="D120" s="120"/>
      <c r="E120" s="120"/>
      <c r="F120" s="120"/>
      <c r="G120" s="120"/>
      <c r="H120" s="121"/>
      <c r="I120" s="121"/>
      <c r="J120" s="121"/>
      <c r="K120" s="121"/>
      <c r="L120" s="121"/>
    </row>
    <row r="121">
      <c r="A121" s="61">
        <v>44745.95969216435</v>
      </c>
      <c r="B121" s="118">
        <v>1.0427</v>
      </c>
      <c r="C121" s="119">
        <v>33.31</v>
      </c>
      <c r="D121" s="120"/>
      <c r="E121" s="120"/>
      <c r="F121" s="120"/>
      <c r="G121" s="120"/>
      <c r="H121" s="121"/>
      <c r="I121" s="121"/>
      <c r="J121" s="121"/>
      <c r="K121" s="121"/>
      <c r="L121" s="121"/>
    </row>
    <row r="122">
      <c r="A122" s="61">
        <v>44744.95970987268</v>
      </c>
      <c r="B122" s="118">
        <v>1.04263</v>
      </c>
      <c r="C122" s="119">
        <v>33.42</v>
      </c>
      <c r="D122" s="120"/>
      <c r="E122" s="120"/>
      <c r="F122" s="120"/>
      <c r="G122" s="120"/>
      <c r="H122" s="121"/>
      <c r="I122" s="121"/>
      <c r="J122" s="121"/>
      <c r="K122" s="121"/>
      <c r="L122" s="121"/>
    </row>
    <row r="123">
      <c r="A123" s="61">
        <v>44743.959688877316</v>
      </c>
      <c r="B123" s="118">
        <v>1.04081</v>
      </c>
      <c r="C123" s="119">
        <v>32.96</v>
      </c>
      <c r="D123" s="120"/>
      <c r="E123" s="120"/>
      <c r="F123" s="120"/>
      <c r="G123" s="120"/>
      <c r="H123" s="121"/>
      <c r="I123" s="121"/>
      <c r="J123" s="121"/>
      <c r="K123" s="121"/>
      <c r="L123" s="121"/>
    </row>
    <row r="124">
      <c r="A124" s="61">
        <v>44742.95969229167</v>
      </c>
      <c r="B124" s="118">
        <v>1.04657</v>
      </c>
      <c r="C124" s="119">
        <v>32.21</v>
      </c>
      <c r="D124" s="120"/>
      <c r="E124" s="120"/>
      <c r="F124" s="120"/>
      <c r="G124" s="120"/>
      <c r="H124" s="121"/>
      <c r="I124" s="121"/>
      <c r="J124" s="121"/>
      <c r="K124" s="121"/>
      <c r="L124" s="121"/>
    </row>
    <row r="125">
      <c r="A125" s="61">
        <v>44741.959680555556</v>
      </c>
      <c r="B125" s="118">
        <v>1.04713</v>
      </c>
      <c r="C125" s="119">
        <v>34.26</v>
      </c>
      <c r="D125" s="120"/>
      <c r="E125" s="120"/>
      <c r="F125" s="120"/>
      <c r="G125" s="120"/>
      <c r="H125" s="121"/>
      <c r="I125" s="121"/>
      <c r="J125" s="121"/>
      <c r="K125" s="121"/>
      <c r="L125" s="121"/>
    </row>
    <row r="126">
      <c r="A126" s="61">
        <v>44740.959689780095</v>
      </c>
      <c r="B126" s="118">
        <v>1.05271</v>
      </c>
      <c r="C126" s="119">
        <v>35.88</v>
      </c>
      <c r="D126" s="120"/>
      <c r="E126" s="120"/>
      <c r="F126" s="120"/>
      <c r="G126" s="120"/>
      <c r="H126" s="121"/>
      <c r="I126" s="121"/>
      <c r="J126" s="121"/>
      <c r="K126" s="121"/>
      <c r="L126" s="121"/>
    </row>
    <row r="127">
      <c r="A127" s="61">
        <v>44739.95969509259</v>
      </c>
      <c r="B127" s="118">
        <v>1.05993</v>
      </c>
      <c r="C127" s="119">
        <v>38.48</v>
      </c>
      <c r="D127" s="120"/>
      <c r="E127" s="120"/>
      <c r="F127" s="120"/>
      <c r="G127" s="120"/>
      <c r="H127" s="121"/>
      <c r="I127" s="121"/>
      <c r="J127" s="121"/>
      <c r="K127" s="121"/>
      <c r="L127" s="121"/>
    </row>
    <row r="128">
      <c r="A128" s="61">
        <v>44738.95967748843</v>
      </c>
      <c r="B128" s="118">
        <v>1.05573</v>
      </c>
      <c r="C128" s="119">
        <v>40.82</v>
      </c>
      <c r="D128" s="120"/>
      <c r="E128" s="120"/>
      <c r="F128" s="120"/>
      <c r="G128" s="120"/>
      <c r="H128" s="121"/>
      <c r="I128" s="121"/>
      <c r="J128" s="121"/>
      <c r="K128" s="121"/>
      <c r="L128" s="121"/>
    </row>
    <row r="129">
      <c r="A129" s="61">
        <v>44737.95969251158</v>
      </c>
      <c r="B129" s="118">
        <v>1.05555</v>
      </c>
      <c r="C129" s="119">
        <v>42.04</v>
      </c>
      <c r="D129" s="120"/>
      <c r="E129" s="120"/>
      <c r="F129" s="120"/>
      <c r="G129" s="120"/>
      <c r="H129" s="121"/>
      <c r="I129" s="121"/>
      <c r="J129" s="121"/>
      <c r="K129" s="121"/>
      <c r="L129" s="121"/>
    </row>
    <row r="130">
      <c r="A130" s="61">
        <v>44736.95969877315</v>
      </c>
      <c r="B130" s="118">
        <v>1.05501</v>
      </c>
      <c r="C130" s="119">
        <v>41.86</v>
      </c>
      <c r="D130" s="120"/>
      <c r="E130" s="120"/>
      <c r="F130" s="120"/>
      <c r="G130" s="120"/>
      <c r="H130" s="121"/>
      <c r="I130" s="121"/>
      <c r="J130" s="121"/>
      <c r="K130" s="121"/>
      <c r="L130" s="121"/>
    </row>
    <row r="131">
      <c r="A131" s="61">
        <v>44735.959688703704</v>
      </c>
      <c r="B131" s="118">
        <v>1.0526</v>
      </c>
      <c r="C131" s="119">
        <v>37.48</v>
      </c>
      <c r="D131" s="120"/>
      <c r="E131" s="120"/>
      <c r="F131" s="120"/>
      <c r="G131" s="120"/>
      <c r="H131" s="121"/>
      <c r="I131" s="121"/>
      <c r="J131" s="121"/>
      <c r="K131" s="121"/>
      <c r="L131" s="121"/>
    </row>
    <row r="132">
      <c r="A132" s="61">
        <v>44734.95970118056</v>
      </c>
      <c r="B132" s="118">
        <v>1.05776</v>
      </c>
      <c r="C132" s="119">
        <v>34.74</v>
      </c>
      <c r="D132" s="120"/>
      <c r="E132" s="120"/>
      <c r="F132" s="120"/>
      <c r="G132" s="120"/>
      <c r="H132" s="121"/>
      <c r="I132" s="121"/>
      <c r="J132" s="121"/>
      <c r="K132" s="121"/>
      <c r="L132" s="121"/>
    </row>
    <row r="133">
      <c r="A133" s="61">
        <v>44733.95969679398</v>
      </c>
      <c r="B133" s="118">
        <v>1.05352</v>
      </c>
      <c r="C133" s="119">
        <v>36.17</v>
      </c>
      <c r="D133" s="120"/>
      <c r="E133" s="120"/>
      <c r="F133" s="120"/>
      <c r="G133" s="120"/>
      <c r="H133" s="121"/>
      <c r="I133" s="121"/>
      <c r="J133" s="121"/>
      <c r="K133" s="121"/>
      <c r="L133" s="121"/>
    </row>
    <row r="134">
      <c r="A134" s="61">
        <v>44732.95968231482</v>
      </c>
      <c r="B134" s="118">
        <v>1.05109</v>
      </c>
      <c r="C134" s="119">
        <v>34.52</v>
      </c>
      <c r="D134" s="120"/>
      <c r="E134" s="120"/>
      <c r="F134" s="120"/>
      <c r="G134" s="120"/>
      <c r="H134" s="121"/>
      <c r="I134" s="121"/>
      <c r="J134" s="121"/>
      <c r="K134" s="121"/>
      <c r="L134" s="121"/>
    </row>
    <row r="135">
      <c r="A135" s="61">
        <v>44731.95968626157</v>
      </c>
      <c r="B135" s="118">
        <v>1.04845</v>
      </c>
      <c r="C135" s="119">
        <v>34.45</v>
      </c>
      <c r="D135" s="120"/>
      <c r="E135" s="120"/>
      <c r="F135" s="120"/>
      <c r="G135" s="120"/>
      <c r="H135" s="121"/>
      <c r="I135" s="121"/>
      <c r="J135" s="121"/>
      <c r="K135" s="121"/>
      <c r="L135" s="121"/>
    </row>
    <row r="136">
      <c r="A136" s="61">
        <v>44730.95967737268</v>
      </c>
      <c r="B136" s="118">
        <v>1.04926</v>
      </c>
      <c r="C136" s="119">
        <v>29.34</v>
      </c>
      <c r="D136" s="120"/>
      <c r="E136" s="120"/>
      <c r="F136" s="120"/>
      <c r="G136" s="120"/>
      <c r="H136" s="121"/>
      <c r="I136" s="121"/>
      <c r="J136" s="121"/>
      <c r="K136" s="121"/>
      <c r="L136" s="121"/>
    </row>
    <row r="137">
      <c r="A137" s="61">
        <v>44729.959707800925</v>
      </c>
      <c r="B137" s="118">
        <v>1.04951</v>
      </c>
      <c r="C137" s="119">
        <v>31.39</v>
      </c>
      <c r="D137" s="120"/>
      <c r="E137" s="120"/>
      <c r="F137" s="120"/>
      <c r="G137" s="120"/>
      <c r="H137" s="121"/>
      <c r="I137" s="121"/>
      <c r="J137" s="121"/>
      <c r="K137" s="121"/>
      <c r="L137" s="121"/>
    </row>
    <row r="138">
      <c r="A138" s="61">
        <v>44728.95969921297</v>
      </c>
      <c r="B138" s="118">
        <v>1.055</v>
      </c>
      <c r="C138" s="119">
        <v>31.33</v>
      </c>
      <c r="D138" s="120"/>
      <c r="E138" s="120"/>
      <c r="F138" s="120"/>
      <c r="G138" s="120"/>
      <c r="H138" s="121"/>
      <c r="I138" s="121"/>
      <c r="J138" s="121"/>
      <c r="K138" s="121"/>
      <c r="L138" s="121"/>
    </row>
    <row r="139">
      <c r="A139" s="61">
        <v>44727.95969297454</v>
      </c>
      <c r="B139" s="118">
        <v>1.04544</v>
      </c>
      <c r="C139" s="119">
        <v>33.26</v>
      </c>
      <c r="D139" s="120"/>
      <c r="E139" s="120"/>
      <c r="F139" s="120"/>
      <c r="G139" s="120"/>
      <c r="H139" s="121"/>
      <c r="I139" s="121"/>
      <c r="J139" s="121"/>
      <c r="K139" s="121"/>
      <c r="L139" s="121"/>
    </row>
    <row r="140">
      <c r="A140" s="61">
        <v>44726.959689525465</v>
      </c>
      <c r="B140" s="118">
        <v>1.04135</v>
      </c>
      <c r="C140" s="119">
        <v>28.44</v>
      </c>
      <c r="D140" s="120"/>
      <c r="E140" s="120"/>
      <c r="F140" s="120"/>
      <c r="G140" s="120"/>
      <c r="H140" s="121"/>
      <c r="I140" s="121"/>
      <c r="J140" s="121"/>
      <c r="K140" s="121"/>
      <c r="L140" s="121"/>
    </row>
    <row r="141">
      <c r="A141" s="61">
        <v>44725.959677430554</v>
      </c>
      <c r="B141" s="118">
        <v>1.04013</v>
      </c>
      <c r="C141" s="119">
        <v>28.24</v>
      </c>
      <c r="D141" s="120"/>
      <c r="E141" s="120"/>
      <c r="F141" s="120"/>
      <c r="G141" s="120"/>
      <c r="H141" s="121"/>
      <c r="I141" s="121"/>
      <c r="J141" s="121"/>
      <c r="K141" s="121"/>
      <c r="L141" s="121"/>
    </row>
    <row r="142">
      <c r="A142" s="61">
        <v>44724.95927280093</v>
      </c>
      <c r="B142" s="118">
        <v>1.05671</v>
      </c>
      <c r="C142" s="119">
        <v>32.21</v>
      </c>
      <c r="D142" s="120"/>
      <c r="E142" s="120"/>
      <c r="F142" s="120"/>
      <c r="G142" s="120"/>
      <c r="H142" s="121"/>
      <c r="I142" s="121"/>
      <c r="J142" s="121"/>
      <c r="K142" s="121"/>
      <c r="L142" s="121"/>
    </row>
    <row r="143">
      <c r="A143" s="61">
        <v>44723.95969287037</v>
      </c>
      <c r="B143" s="118">
        <v>1.05189</v>
      </c>
      <c r="C143" s="119">
        <v>34.48</v>
      </c>
      <c r="D143" s="120"/>
      <c r="E143" s="120"/>
      <c r="F143" s="120"/>
      <c r="G143" s="120"/>
      <c r="H143" s="121"/>
      <c r="I143" s="121"/>
      <c r="J143" s="121"/>
      <c r="K143" s="121"/>
      <c r="L143" s="121"/>
    </row>
    <row r="144">
      <c r="A144" s="61">
        <v>44722.959697592596</v>
      </c>
      <c r="B144" s="118">
        <v>1.05211</v>
      </c>
      <c r="C144" s="119">
        <v>37.83</v>
      </c>
      <c r="D144" s="120"/>
      <c r="E144" s="120"/>
      <c r="F144" s="120"/>
      <c r="G144" s="120"/>
      <c r="H144" s="121"/>
      <c r="I144" s="121"/>
      <c r="J144" s="121"/>
      <c r="K144" s="121"/>
      <c r="L144" s="121"/>
    </row>
    <row r="145">
      <c r="A145" s="61">
        <v>44721.9597244676</v>
      </c>
      <c r="B145" s="118">
        <v>1.06303</v>
      </c>
      <c r="C145" s="119">
        <v>40.03</v>
      </c>
      <c r="D145" s="120"/>
      <c r="E145" s="120"/>
      <c r="F145" s="120"/>
      <c r="G145" s="120"/>
      <c r="H145" s="121"/>
      <c r="I145" s="121"/>
      <c r="J145" s="121"/>
      <c r="K145" s="121"/>
      <c r="L145" s="121"/>
    </row>
    <row r="146">
      <c r="A146" s="61">
        <v>44720.9596791088</v>
      </c>
      <c r="B146" s="118">
        <v>1.07258</v>
      </c>
      <c r="C146" s="119">
        <v>39.13</v>
      </c>
      <c r="D146" s="120"/>
      <c r="E146" s="120"/>
      <c r="F146" s="120"/>
      <c r="G146" s="120"/>
      <c r="H146" s="121"/>
      <c r="I146" s="121"/>
      <c r="J146" s="121"/>
      <c r="K146" s="121"/>
      <c r="L146" s="121"/>
    </row>
    <row r="147">
      <c r="A147" s="61">
        <v>44719.959684201385</v>
      </c>
      <c r="B147" s="118">
        <v>1.07114</v>
      </c>
      <c r="C147" s="119">
        <v>40.44</v>
      </c>
      <c r="D147" s="120"/>
      <c r="E147" s="120"/>
      <c r="F147" s="120"/>
      <c r="G147" s="120"/>
      <c r="H147" s="121"/>
      <c r="I147" s="121"/>
      <c r="J147" s="121"/>
      <c r="K147" s="121"/>
      <c r="L147" s="121"/>
    </row>
    <row r="148">
      <c r="A148" s="61">
        <v>44718.9596891088</v>
      </c>
      <c r="B148" s="118">
        <v>1.06934</v>
      </c>
      <c r="C148" s="119">
        <v>42.93</v>
      </c>
      <c r="D148" s="120"/>
      <c r="E148" s="120"/>
      <c r="F148" s="120"/>
      <c r="G148" s="120"/>
      <c r="H148" s="121"/>
      <c r="I148" s="121"/>
      <c r="J148" s="121"/>
      <c r="K148" s="121"/>
      <c r="L148" s="121"/>
    </row>
    <row r="149">
      <c r="A149" s="61">
        <v>44717.9596780787</v>
      </c>
      <c r="B149" s="118">
        <v>1.07234</v>
      </c>
      <c r="C149" s="119">
        <v>39.63</v>
      </c>
      <c r="D149" s="120"/>
      <c r="E149" s="120"/>
      <c r="F149" s="120"/>
      <c r="G149" s="120"/>
      <c r="H149" s="121"/>
      <c r="I149" s="121"/>
      <c r="J149" s="121"/>
      <c r="K149" s="121"/>
      <c r="L149" s="121"/>
    </row>
    <row r="150">
      <c r="A150" s="61">
        <v>44716.95967679398</v>
      </c>
      <c r="B150" s="118">
        <v>1.07188</v>
      </c>
      <c r="C150" s="119">
        <v>38.58</v>
      </c>
      <c r="D150" s="120"/>
      <c r="E150" s="120"/>
      <c r="F150" s="120"/>
      <c r="G150" s="120"/>
      <c r="H150" s="121"/>
      <c r="I150" s="121"/>
      <c r="J150" s="121"/>
      <c r="K150" s="121"/>
      <c r="L150" s="121"/>
    </row>
    <row r="151">
      <c r="A151" s="61">
        <v>44715.959689386575</v>
      </c>
      <c r="B151" s="118">
        <v>1.07215</v>
      </c>
      <c r="C151" s="119">
        <v>38.74</v>
      </c>
      <c r="D151" s="120"/>
      <c r="E151" s="120"/>
      <c r="F151" s="120"/>
      <c r="G151" s="120"/>
      <c r="H151" s="121"/>
      <c r="I151" s="121"/>
      <c r="J151" s="121"/>
      <c r="K151" s="121"/>
      <c r="L151" s="121"/>
    </row>
    <row r="152">
      <c r="A152" s="61">
        <v>44714.959829178246</v>
      </c>
      <c r="B152" s="118">
        <v>1.07176</v>
      </c>
      <c r="C152" s="119">
        <v>40.73</v>
      </c>
      <c r="D152" s="120"/>
      <c r="E152" s="120"/>
      <c r="F152" s="120"/>
      <c r="G152" s="120"/>
      <c r="H152" s="121"/>
      <c r="I152" s="121"/>
      <c r="J152" s="121"/>
      <c r="K152" s="121"/>
      <c r="L152" s="121"/>
    </row>
    <row r="153">
      <c r="A153" s="61">
        <v>44713.95968539352</v>
      </c>
      <c r="B153" s="118">
        <v>1.06555</v>
      </c>
      <c r="C153" s="119">
        <v>40.53</v>
      </c>
      <c r="D153" s="120"/>
      <c r="E153" s="120"/>
      <c r="F153" s="120"/>
      <c r="G153" s="120"/>
      <c r="H153" s="121"/>
      <c r="I153" s="121"/>
      <c r="J153" s="121"/>
      <c r="K153" s="121"/>
      <c r="L153" s="121"/>
    </row>
    <row r="154">
      <c r="A154" s="61">
        <v>44712.95968552084</v>
      </c>
      <c r="B154" s="118">
        <v>1.07251</v>
      </c>
      <c r="C154" s="119">
        <v>45.6</v>
      </c>
      <c r="D154" s="120"/>
      <c r="E154" s="120"/>
      <c r="F154" s="120"/>
      <c r="G154" s="120"/>
      <c r="H154" s="121"/>
      <c r="I154" s="121"/>
      <c r="J154" s="121"/>
      <c r="K154" s="121"/>
      <c r="L154" s="121"/>
    </row>
    <row r="155">
      <c r="A155" s="61">
        <v>44711.95969052083</v>
      </c>
      <c r="B155" s="118">
        <v>1.07812</v>
      </c>
      <c r="C155" s="119">
        <v>47.18</v>
      </c>
      <c r="D155" s="120"/>
      <c r="E155" s="120"/>
      <c r="F155" s="120"/>
      <c r="G155" s="120"/>
      <c r="H155" s="121"/>
      <c r="I155" s="121"/>
      <c r="J155" s="121"/>
      <c r="K155" s="121"/>
      <c r="L155" s="121"/>
    </row>
    <row r="156">
      <c r="A156" s="61">
        <v>44710.95968615741</v>
      </c>
      <c r="B156" s="118">
        <v>1.07345</v>
      </c>
      <c r="C156" s="119">
        <v>44.61</v>
      </c>
      <c r="D156" s="120"/>
      <c r="E156" s="120"/>
      <c r="F156" s="120"/>
      <c r="G156" s="120"/>
      <c r="H156" s="121"/>
      <c r="I156" s="121"/>
      <c r="J156" s="121"/>
      <c r="K156" s="121"/>
      <c r="L156" s="121"/>
    </row>
    <row r="157">
      <c r="A157" s="61">
        <v>44709.95967619213</v>
      </c>
      <c r="B157" s="118">
        <v>1.07355</v>
      </c>
      <c r="C157" s="119">
        <v>44.05</v>
      </c>
      <c r="D157" s="120"/>
      <c r="E157" s="120"/>
      <c r="F157" s="120"/>
      <c r="G157" s="120"/>
      <c r="H157" s="121"/>
      <c r="I157" s="121"/>
      <c r="J157" s="121"/>
      <c r="K157" s="121"/>
      <c r="L157" s="121"/>
    </row>
    <row r="158">
      <c r="A158" s="61">
        <v>44708.959697314815</v>
      </c>
      <c r="B158" s="118">
        <v>1.07349</v>
      </c>
      <c r="C158" s="119">
        <v>41.99</v>
      </c>
      <c r="D158" s="120"/>
      <c r="E158" s="120"/>
      <c r="F158" s="120"/>
      <c r="G158" s="120"/>
      <c r="H158" s="121"/>
      <c r="I158" s="121"/>
      <c r="J158" s="121"/>
      <c r="K158" s="121"/>
      <c r="L158" s="121"/>
    </row>
    <row r="159">
      <c r="A159" s="61">
        <v>44707.95968770834</v>
      </c>
      <c r="B159" s="118">
        <v>1.072924</v>
      </c>
      <c r="C159" s="119">
        <v>44.42</v>
      </c>
      <c r="D159" s="120"/>
      <c r="E159" s="120"/>
      <c r="F159" s="120"/>
      <c r="G159" s="120"/>
      <c r="H159" s="121"/>
      <c r="I159" s="121"/>
      <c r="J159" s="121"/>
      <c r="K159" s="121"/>
      <c r="L159" s="121"/>
    </row>
    <row r="160">
      <c r="A160" s="61">
        <v>44706.95969775463</v>
      </c>
      <c r="B160" s="118">
        <v>1.072924</v>
      </c>
      <c r="C160" s="119">
        <v>48.76</v>
      </c>
      <c r="D160" s="120"/>
      <c r="E160" s="120"/>
      <c r="F160" s="120"/>
      <c r="G160" s="120"/>
      <c r="H160" s="121"/>
      <c r="I160" s="121"/>
      <c r="J160" s="121"/>
      <c r="K160" s="121"/>
      <c r="L160" s="121"/>
    </row>
    <row r="161">
      <c r="A161" s="61">
        <v>44705.959883495365</v>
      </c>
      <c r="B161" s="118">
        <v>1.07333</v>
      </c>
      <c r="C161" s="119">
        <v>49.65</v>
      </c>
      <c r="D161" s="120"/>
      <c r="E161" s="120"/>
      <c r="F161" s="120"/>
      <c r="G161" s="120"/>
      <c r="H161" s="121"/>
      <c r="I161" s="121"/>
      <c r="J161" s="121"/>
      <c r="K161" s="121"/>
      <c r="L161" s="121"/>
    </row>
    <row r="162">
      <c r="A162" s="61">
        <v>44704.959678287036</v>
      </c>
      <c r="B162" s="118">
        <v>1.069038</v>
      </c>
      <c r="C162" s="119">
        <v>50.57</v>
      </c>
      <c r="D162" s="120"/>
      <c r="E162" s="120"/>
      <c r="F162" s="120"/>
      <c r="G162" s="120"/>
      <c r="H162" s="121"/>
      <c r="I162" s="121"/>
      <c r="J162" s="121"/>
      <c r="K162" s="121"/>
      <c r="L162" s="121"/>
    </row>
    <row r="163">
      <c r="A163" s="61">
        <v>44703.959688773146</v>
      </c>
      <c r="B163" s="118">
        <v>1.056312</v>
      </c>
      <c r="C163" s="119">
        <v>51.86</v>
      </c>
      <c r="D163" s="120"/>
      <c r="E163" s="120"/>
      <c r="F163" s="120"/>
      <c r="G163" s="120"/>
      <c r="H163" s="121"/>
      <c r="I163" s="121"/>
      <c r="J163" s="121"/>
      <c r="K163" s="121"/>
      <c r="L163" s="121"/>
    </row>
    <row r="164">
      <c r="A164" s="61">
        <v>44702.95968722222</v>
      </c>
      <c r="B164" s="118">
        <v>1.056245</v>
      </c>
      <c r="C164" s="119">
        <v>50.03</v>
      </c>
      <c r="D164" s="120"/>
      <c r="E164" s="120"/>
      <c r="F164" s="120"/>
      <c r="G164" s="120"/>
      <c r="H164" s="121"/>
      <c r="I164" s="121"/>
      <c r="J164" s="121"/>
      <c r="K164" s="121"/>
      <c r="L164" s="121"/>
    </row>
    <row r="165">
      <c r="A165" s="61">
        <v>44701.959692951394</v>
      </c>
      <c r="B165" s="118">
        <v>1.056245</v>
      </c>
      <c r="C165" s="119">
        <v>49.79</v>
      </c>
      <c r="D165" s="120"/>
      <c r="E165" s="120"/>
      <c r="F165" s="120"/>
      <c r="G165" s="120"/>
      <c r="H165" s="121"/>
      <c r="I165" s="121"/>
      <c r="J165" s="121"/>
      <c r="K165" s="121"/>
      <c r="L165" s="121"/>
    </row>
    <row r="166">
      <c r="A166" s="61">
        <v>44700.959698182865</v>
      </c>
      <c r="B166" s="118">
        <v>1.058369</v>
      </c>
      <c r="C166" s="119">
        <v>52.78</v>
      </c>
      <c r="D166" s="120"/>
      <c r="E166" s="120"/>
      <c r="F166" s="120"/>
      <c r="G166" s="120"/>
      <c r="H166" s="121"/>
      <c r="I166" s="121"/>
      <c r="J166" s="121"/>
      <c r="K166" s="121"/>
      <c r="L166" s="121"/>
    </row>
    <row r="167">
      <c r="A167" s="61">
        <v>44699.95968126158</v>
      </c>
      <c r="B167" s="118">
        <v>1.046357</v>
      </c>
      <c r="C167" s="119">
        <v>50.84</v>
      </c>
      <c r="D167" s="120"/>
      <c r="E167" s="120"/>
      <c r="F167" s="120"/>
      <c r="G167" s="120"/>
      <c r="H167" s="121"/>
      <c r="I167" s="121"/>
      <c r="J167" s="121"/>
      <c r="K167" s="121"/>
      <c r="L167" s="121"/>
    </row>
    <row r="168">
      <c r="A168" s="61">
        <v>44698.95968528935</v>
      </c>
      <c r="B168" s="118">
        <v>1.05498</v>
      </c>
      <c r="C168" s="119">
        <v>56.46</v>
      </c>
      <c r="D168" s="120"/>
      <c r="E168" s="120"/>
      <c r="F168" s="120"/>
      <c r="G168" s="120"/>
      <c r="H168" s="121"/>
      <c r="I168" s="121"/>
      <c r="J168" s="121"/>
      <c r="K168" s="121"/>
      <c r="L168" s="121"/>
    </row>
    <row r="169">
      <c r="A169" s="61">
        <v>44697.95969078704</v>
      </c>
      <c r="B169" s="118">
        <v>1.043667</v>
      </c>
      <c r="C169" s="119">
        <v>55.29</v>
      </c>
      <c r="D169" s="120"/>
      <c r="E169" s="120"/>
      <c r="F169" s="120"/>
      <c r="G169" s="120"/>
      <c r="H169" s="121"/>
      <c r="I169" s="121"/>
      <c r="J169" s="121"/>
      <c r="K169" s="121"/>
      <c r="L169" s="121"/>
    </row>
    <row r="170">
      <c r="A170" s="61">
        <v>44696.95969101852</v>
      </c>
      <c r="B170" s="118">
        <v>1.039901</v>
      </c>
      <c r="C170" s="119">
        <v>56.94</v>
      </c>
      <c r="D170" s="120"/>
      <c r="E170" s="120"/>
      <c r="F170" s="120"/>
      <c r="G170" s="120"/>
      <c r="H170" s="121"/>
      <c r="I170" s="121"/>
      <c r="J170" s="121"/>
      <c r="K170" s="121"/>
      <c r="L170" s="121"/>
    </row>
    <row r="171">
      <c r="A171" s="61">
        <v>44695.9596953588</v>
      </c>
      <c r="B171" s="118">
        <v>1.04107</v>
      </c>
      <c r="C171" s="119">
        <v>51.28</v>
      </c>
      <c r="D171" s="120"/>
      <c r="E171" s="120"/>
      <c r="F171" s="120"/>
      <c r="G171" s="120"/>
      <c r="H171" s="121"/>
      <c r="I171" s="121"/>
      <c r="J171" s="121"/>
      <c r="K171" s="121"/>
      <c r="L171" s="121"/>
    </row>
    <row r="172">
      <c r="A172" s="61">
        <v>44694.95968644676</v>
      </c>
      <c r="B172" s="118">
        <v>1.04107</v>
      </c>
      <c r="C172" s="119">
        <v>50.84</v>
      </c>
      <c r="D172" s="120"/>
      <c r="E172" s="120"/>
      <c r="F172" s="120"/>
      <c r="G172" s="120"/>
      <c r="H172" s="121"/>
      <c r="I172" s="121"/>
      <c r="J172" s="121"/>
      <c r="K172" s="121"/>
      <c r="L172" s="121"/>
    </row>
    <row r="173">
      <c r="A173" s="61">
        <v>44693.95969209491</v>
      </c>
      <c r="B173" s="118">
        <v>1.038066</v>
      </c>
      <c r="C173" s="119">
        <v>42.0</v>
      </c>
      <c r="D173" s="120"/>
      <c r="E173" s="120"/>
      <c r="F173" s="120"/>
      <c r="G173" s="120"/>
      <c r="H173" s="121"/>
      <c r="I173" s="121"/>
      <c r="J173" s="121"/>
      <c r="K173" s="121"/>
      <c r="L173" s="121"/>
    </row>
    <row r="174">
      <c r="A174" s="61">
        <v>44692.959691111115</v>
      </c>
      <c r="B174" s="118">
        <v>1.05473</v>
      </c>
      <c r="C174" s="119">
        <v>44.45</v>
      </c>
      <c r="D174" s="120"/>
      <c r="E174" s="120"/>
      <c r="F174" s="120"/>
      <c r="G174" s="120"/>
      <c r="H174" s="121"/>
      <c r="I174" s="121"/>
      <c r="J174" s="121"/>
      <c r="K174" s="121"/>
      <c r="L174" s="121"/>
    </row>
    <row r="175">
      <c r="A175" s="61">
        <v>44691.959684710644</v>
      </c>
      <c r="B175" s="118">
        <v>1.0531</v>
      </c>
      <c r="C175" s="119">
        <v>64.16</v>
      </c>
      <c r="D175" s="120"/>
      <c r="E175" s="120"/>
      <c r="F175" s="120"/>
      <c r="G175" s="120"/>
      <c r="H175" s="121"/>
      <c r="I175" s="121"/>
      <c r="J175" s="121"/>
      <c r="K175" s="121"/>
      <c r="L175" s="121"/>
    </row>
    <row r="176">
      <c r="A176" s="61">
        <v>44690.95972133102</v>
      </c>
      <c r="B176" s="118">
        <v>1.05601</v>
      </c>
      <c r="C176" s="119">
        <v>67.51</v>
      </c>
      <c r="D176" s="120"/>
      <c r="E176" s="120"/>
      <c r="F176" s="120"/>
      <c r="G176" s="120"/>
      <c r="H176" s="121"/>
      <c r="I176" s="121"/>
      <c r="J176" s="121"/>
      <c r="K176" s="121"/>
      <c r="L176" s="121"/>
    </row>
    <row r="177">
      <c r="A177" s="61">
        <v>44689.95970787037</v>
      </c>
      <c r="B177" s="118">
        <v>1.05493</v>
      </c>
      <c r="C177" s="119">
        <v>76.55</v>
      </c>
      <c r="D177" s="120"/>
      <c r="E177" s="120"/>
      <c r="F177" s="120"/>
      <c r="G177" s="120"/>
      <c r="H177" s="121"/>
      <c r="I177" s="121"/>
      <c r="J177" s="121"/>
      <c r="K177" s="121"/>
      <c r="L177" s="121"/>
    </row>
    <row r="178">
      <c r="A178" s="61">
        <v>44688.95994045139</v>
      </c>
      <c r="B178" s="118">
        <v>1.05499</v>
      </c>
      <c r="C178" s="119">
        <v>80.32</v>
      </c>
      <c r="D178" s="120"/>
      <c r="E178" s="120"/>
      <c r="F178" s="120"/>
      <c r="G178" s="120"/>
      <c r="H178" s="121"/>
      <c r="I178" s="121"/>
      <c r="J178" s="121"/>
      <c r="K178" s="121"/>
      <c r="L178" s="121"/>
    </row>
    <row r="179">
      <c r="A179" s="61">
        <v>44687.98121358796</v>
      </c>
      <c r="B179" s="118">
        <v>1.0548</v>
      </c>
      <c r="C179" s="122">
        <v>83.35</v>
      </c>
      <c r="D179" s="120"/>
      <c r="E179" s="120"/>
      <c r="F179" s="120"/>
      <c r="G179" s="120"/>
      <c r="H179" s="121"/>
      <c r="I179" s="121"/>
      <c r="J179" s="121"/>
      <c r="K179" s="121"/>
      <c r="L179" s="121"/>
    </row>
    <row r="180">
      <c r="A180" s="61">
        <v>44686.0</v>
      </c>
      <c r="B180" s="118">
        <v>1.0548</v>
      </c>
      <c r="C180" s="122">
        <v>84.21</v>
      </c>
      <c r="D180" s="120"/>
      <c r="E180" s="120"/>
      <c r="F180" s="120"/>
      <c r="G180" s="120"/>
      <c r="H180" s="121"/>
      <c r="I180" s="121"/>
      <c r="J180" s="121"/>
      <c r="K180" s="121"/>
      <c r="L180" s="121"/>
    </row>
    <row r="181">
      <c r="A181" s="61">
        <v>44685.0</v>
      </c>
      <c r="B181" s="118">
        <v>1.0607</v>
      </c>
      <c r="C181" s="122">
        <v>86.41</v>
      </c>
      <c r="D181" s="120"/>
      <c r="E181" s="120"/>
      <c r="F181" s="120"/>
      <c r="G181" s="120"/>
      <c r="H181" s="121"/>
      <c r="I181" s="121"/>
      <c r="J181" s="121"/>
      <c r="K181" s="121"/>
      <c r="L181" s="121"/>
    </row>
    <row r="182">
      <c r="A182" s="61">
        <v>44684.0</v>
      </c>
      <c r="B182" s="118">
        <v>1.0525</v>
      </c>
      <c r="C182" s="69">
        <v>85.72</v>
      </c>
      <c r="D182" s="117"/>
      <c r="E182" s="117"/>
      <c r="F182" s="117"/>
      <c r="G182" s="117"/>
      <c r="H182" s="72"/>
      <c r="I182" s="72"/>
      <c r="J182" s="72"/>
      <c r="K182" s="72"/>
      <c r="L182" s="72"/>
    </row>
    <row r="183">
      <c r="A183" s="61">
        <v>44683.0</v>
      </c>
      <c r="B183" s="118">
        <v>1.0511</v>
      </c>
      <c r="C183" s="122">
        <v>88.68</v>
      </c>
      <c r="D183" s="120"/>
      <c r="E183" s="120"/>
      <c r="F183" s="120"/>
      <c r="G183" s="120"/>
      <c r="H183" s="121"/>
      <c r="I183" s="121"/>
      <c r="J183" s="121"/>
      <c r="K183" s="121"/>
      <c r="L183" s="121"/>
    </row>
    <row r="184">
      <c r="A184" s="61">
        <v>44682.0</v>
      </c>
      <c r="B184" s="118">
        <v>1.0546</v>
      </c>
      <c r="C184" s="122">
        <v>88.09</v>
      </c>
      <c r="D184" s="120"/>
      <c r="E184" s="120"/>
      <c r="F184" s="120"/>
      <c r="G184" s="120"/>
      <c r="H184" s="121"/>
      <c r="I184" s="121"/>
      <c r="J184" s="121"/>
      <c r="K184" s="121"/>
      <c r="L184" s="121"/>
    </row>
    <row r="185">
      <c r="A185" s="61">
        <v>44681.0</v>
      </c>
      <c r="B185" s="118">
        <v>1.0543</v>
      </c>
      <c r="C185" s="122">
        <v>90.88</v>
      </c>
      <c r="D185" s="120"/>
      <c r="E185" s="120"/>
      <c r="F185" s="120"/>
      <c r="G185" s="120"/>
      <c r="H185" s="121"/>
      <c r="I185" s="121"/>
      <c r="J185" s="121"/>
      <c r="K185" s="121"/>
      <c r="L185" s="121"/>
    </row>
    <row r="186">
      <c r="A186" s="61">
        <v>44680.0</v>
      </c>
      <c r="B186" s="118">
        <v>1.0543</v>
      </c>
      <c r="C186" s="122">
        <v>94.04</v>
      </c>
      <c r="D186" s="120"/>
      <c r="E186" s="120"/>
      <c r="F186" s="120"/>
      <c r="G186" s="120"/>
      <c r="H186" s="121"/>
      <c r="I186" s="121"/>
      <c r="J186" s="121"/>
      <c r="K186" s="121"/>
      <c r="L186" s="121"/>
    </row>
    <row r="187">
      <c r="A187" s="61">
        <v>44679.0</v>
      </c>
      <c r="B187" s="118">
        <v>1.0495</v>
      </c>
      <c r="C187" s="122">
        <v>98.53</v>
      </c>
      <c r="D187" s="120"/>
      <c r="E187" s="120"/>
      <c r="F187" s="120"/>
      <c r="G187" s="120"/>
      <c r="H187" s="121"/>
      <c r="I187" s="121"/>
      <c r="J187" s="121"/>
      <c r="K187" s="121"/>
      <c r="L187" s="121"/>
    </row>
    <row r="188">
      <c r="A188" s="61">
        <v>44678.0</v>
      </c>
      <c r="B188" s="118">
        <v>1.0551</v>
      </c>
      <c r="C188" s="122">
        <v>98.36</v>
      </c>
      <c r="D188" s="120"/>
      <c r="E188" s="120"/>
      <c r="F188" s="120"/>
      <c r="G188" s="120"/>
      <c r="H188" s="121"/>
      <c r="I188" s="121"/>
      <c r="J188" s="121"/>
      <c r="K188" s="121"/>
      <c r="L188" s="121"/>
    </row>
    <row r="189">
      <c r="A189" s="61">
        <v>44677.0</v>
      </c>
      <c r="B189" s="118">
        <v>1.0645</v>
      </c>
      <c r="C189" s="69">
        <v>97.39</v>
      </c>
      <c r="D189" s="117"/>
      <c r="E189" s="117"/>
      <c r="F189" s="117"/>
      <c r="G189" s="117"/>
      <c r="H189" s="72"/>
      <c r="I189" s="72"/>
      <c r="J189" s="72"/>
      <c r="K189" s="72"/>
      <c r="L189" s="72"/>
    </row>
    <row r="190">
      <c r="A190" s="61">
        <v>44676.0</v>
      </c>
      <c r="B190" s="118">
        <v>1.0713</v>
      </c>
      <c r="C190" s="122">
        <v>100.04</v>
      </c>
      <c r="D190" s="120"/>
      <c r="E190" s="120"/>
      <c r="F190" s="120"/>
      <c r="G190" s="120"/>
      <c r="H190" s="121"/>
      <c r="I190" s="121"/>
      <c r="J190" s="121"/>
      <c r="K190" s="121"/>
      <c r="L190" s="121"/>
    </row>
    <row r="191">
      <c r="A191" s="55">
        <v>44675.0</v>
      </c>
      <c r="B191" s="118">
        <v>1.0806</v>
      </c>
      <c r="C191" s="69">
        <v>100.02</v>
      </c>
      <c r="D191" s="117"/>
      <c r="E191" s="117"/>
      <c r="F191" s="117"/>
      <c r="G191" s="117"/>
      <c r="H191" s="72"/>
      <c r="I191" s="72"/>
      <c r="J191" s="72"/>
      <c r="K191" s="72"/>
      <c r="L191" s="72"/>
    </row>
    <row r="192">
      <c r="A192" s="61">
        <v>44674.0</v>
      </c>
      <c r="B192" s="118">
        <v>1.0786</v>
      </c>
      <c r="C192" s="69">
        <v>101.78</v>
      </c>
      <c r="D192" s="117"/>
      <c r="E192" s="117"/>
      <c r="F192" s="117"/>
      <c r="G192" s="117"/>
      <c r="H192" s="72"/>
      <c r="I192" s="72"/>
      <c r="J192" s="72"/>
      <c r="K192" s="72"/>
      <c r="L192" s="72"/>
    </row>
    <row r="193">
      <c r="A193" s="61">
        <v>44673.0</v>
      </c>
      <c r="B193" s="118">
        <v>1.0786</v>
      </c>
      <c r="C193" s="69">
        <v>101.53</v>
      </c>
      <c r="D193" s="117"/>
      <c r="E193" s="117"/>
      <c r="F193" s="117"/>
      <c r="G193" s="117"/>
      <c r="H193" s="72"/>
      <c r="I193" s="72"/>
      <c r="J193" s="72"/>
      <c r="K193" s="72"/>
      <c r="L193" s="72"/>
    </row>
    <row r="194">
      <c r="A194" s="61">
        <v>44672.0</v>
      </c>
      <c r="B194" s="118">
        <v>1.0837</v>
      </c>
      <c r="C194" s="68">
        <v>104.91</v>
      </c>
      <c r="D194" s="117"/>
      <c r="E194" s="117"/>
      <c r="F194" s="117"/>
      <c r="G194" s="117"/>
      <c r="H194" s="72"/>
      <c r="I194" s="72"/>
      <c r="J194" s="72"/>
      <c r="K194" s="72"/>
      <c r="L194" s="72"/>
    </row>
    <row r="195">
      <c r="A195" s="61">
        <v>44671.0</v>
      </c>
      <c r="B195" s="118">
        <v>1.0853</v>
      </c>
      <c r="C195" s="119">
        <v>105.6</v>
      </c>
      <c r="D195" s="120"/>
      <c r="E195" s="120"/>
      <c r="F195" s="120"/>
      <c r="G195" s="120"/>
      <c r="H195" s="121"/>
      <c r="I195" s="121"/>
      <c r="J195" s="121"/>
      <c r="K195" s="121"/>
      <c r="L195" s="121"/>
    </row>
    <row r="196">
      <c r="A196" s="61">
        <v>44670.0</v>
      </c>
      <c r="B196" s="118">
        <v>1.0791</v>
      </c>
      <c r="C196" s="119">
        <v>108.54</v>
      </c>
      <c r="D196" s="120"/>
      <c r="E196" s="120"/>
      <c r="F196" s="120"/>
      <c r="G196" s="120"/>
      <c r="H196" s="121"/>
      <c r="I196" s="121"/>
      <c r="J196" s="121"/>
      <c r="K196" s="121"/>
      <c r="L196" s="121"/>
    </row>
    <row r="197">
      <c r="A197" s="61">
        <v>44669.0</v>
      </c>
      <c r="B197" s="118">
        <v>1.0781</v>
      </c>
      <c r="C197" s="119">
        <v>102.27</v>
      </c>
      <c r="D197" s="120"/>
      <c r="E197" s="120"/>
      <c r="F197" s="120"/>
      <c r="G197" s="120"/>
      <c r="H197" s="121"/>
      <c r="I197" s="121"/>
      <c r="J197" s="121"/>
      <c r="K197" s="121"/>
      <c r="L197" s="121"/>
    </row>
    <row r="198">
      <c r="A198" s="61">
        <v>44668.0</v>
      </c>
      <c r="B198" s="118">
        <v>1.0817</v>
      </c>
      <c r="C198" s="119">
        <v>100.44</v>
      </c>
      <c r="D198" s="120"/>
      <c r="E198" s="120"/>
      <c r="F198" s="120"/>
      <c r="G198" s="120"/>
      <c r="H198" s="121"/>
      <c r="I198" s="121"/>
      <c r="J198" s="121"/>
      <c r="K198" s="121"/>
      <c r="L198" s="121"/>
    </row>
    <row r="199">
      <c r="A199" s="61">
        <v>44667.0</v>
      </c>
      <c r="B199" s="118">
        <v>1.0814</v>
      </c>
      <c r="C199" s="119">
        <v>102.31</v>
      </c>
      <c r="D199" s="120"/>
      <c r="E199" s="120"/>
      <c r="F199" s="120"/>
      <c r="G199" s="120"/>
      <c r="H199" s="121"/>
      <c r="I199" s="121"/>
      <c r="J199" s="121"/>
      <c r="K199" s="121"/>
      <c r="L199" s="121"/>
    </row>
    <row r="200">
      <c r="A200" s="61">
        <v>44666.0</v>
      </c>
      <c r="B200" s="118">
        <v>1.0814</v>
      </c>
      <c r="C200" s="119">
        <v>101.35</v>
      </c>
      <c r="D200" s="120"/>
      <c r="E200" s="120"/>
      <c r="F200" s="120"/>
      <c r="G200" s="120"/>
      <c r="H200" s="121"/>
      <c r="I200" s="121"/>
      <c r="J200" s="121"/>
      <c r="K200" s="121"/>
      <c r="L200" s="121"/>
    </row>
    <row r="201">
      <c r="A201" s="61">
        <v>44665.0</v>
      </c>
      <c r="B201" s="118">
        <v>1.0824</v>
      </c>
      <c r="C201" s="119">
        <v>100.74</v>
      </c>
      <c r="D201" s="120"/>
      <c r="E201" s="120"/>
      <c r="F201" s="120"/>
      <c r="G201" s="120"/>
      <c r="H201" s="121"/>
      <c r="I201" s="121"/>
      <c r="J201" s="121"/>
      <c r="K201" s="121"/>
      <c r="L201" s="121"/>
    </row>
    <row r="202">
      <c r="A202" s="61">
        <v>44664.0</v>
      </c>
      <c r="B202" s="118">
        <v>1.089</v>
      </c>
      <c r="C202" s="119">
        <v>104.84</v>
      </c>
      <c r="D202" s="120"/>
      <c r="E202" s="120"/>
      <c r="F202" s="120"/>
      <c r="G202" s="120"/>
      <c r="H202" s="121"/>
      <c r="I202" s="121"/>
      <c r="J202" s="121"/>
      <c r="K202" s="121"/>
      <c r="L202" s="121"/>
    </row>
    <row r="203">
      <c r="A203" s="61">
        <v>44663.0</v>
      </c>
      <c r="B203" s="118">
        <v>1.0828</v>
      </c>
      <c r="C203" s="119">
        <v>103.5</v>
      </c>
      <c r="D203" s="120"/>
      <c r="E203" s="120"/>
      <c r="F203" s="120"/>
      <c r="G203" s="120"/>
      <c r="H203" s="121"/>
      <c r="I203" s="121"/>
      <c r="J203" s="121"/>
      <c r="K203" s="121"/>
      <c r="L203" s="121"/>
    </row>
    <row r="204">
      <c r="A204" s="55">
        <v>44662.0</v>
      </c>
      <c r="B204" s="118">
        <v>1.0881</v>
      </c>
      <c r="C204" s="119">
        <v>99.45</v>
      </c>
      <c r="D204" s="120"/>
      <c r="E204" s="120"/>
      <c r="F204" s="120"/>
      <c r="G204" s="120"/>
      <c r="H204" s="121"/>
      <c r="I204" s="121"/>
      <c r="J204" s="121"/>
      <c r="K204" s="121"/>
      <c r="L204" s="121"/>
    </row>
    <row r="205">
      <c r="A205" s="61">
        <v>44661.0</v>
      </c>
      <c r="B205" s="118">
        <v>1.089</v>
      </c>
      <c r="C205" s="119">
        <v>112.17</v>
      </c>
      <c r="D205" s="120"/>
      <c r="E205" s="120"/>
      <c r="F205" s="120"/>
      <c r="G205" s="120"/>
      <c r="H205" s="121"/>
      <c r="I205" s="121"/>
      <c r="J205" s="121"/>
      <c r="K205" s="121"/>
      <c r="L205" s="121"/>
    </row>
    <row r="206">
      <c r="A206" s="61">
        <v>44660.0</v>
      </c>
      <c r="B206" s="118">
        <v>1.0876</v>
      </c>
      <c r="C206" s="119">
        <v>113.01</v>
      </c>
      <c r="D206" s="120"/>
      <c r="E206" s="120"/>
      <c r="F206" s="120"/>
      <c r="G206" s="120"/>
      <c r="H206" s="121"/>
      <c r="I206" s="121"/>
      <c r="J206" s="121"/>
      <c r="K206" s="121"/>
      <c r="L206" s="121"/>
    </row>
    <row r="207">
      <c r="A207" s="61">
        <v>44659.0</v>
      </c>
      <c r="B207" s="118">
        <v>1.0876</v>
      </c>
      <c r="C207" s="119">
        <v>109.69</v>
      </c>
      <c r="D207" s="120"/>
      <c r="E207" s="120"/>
      <c r="F207" s="120"/>
      <c r="G207" s="120"/>
      <c r="H207" s="121"/>
      <c r="I207" s="121"/>
      <c r="J207" s="121"/>
      <c r="K207" s="121"/>
      <c r="L207" s="121"/>
    </row>
    <row r="208">
      <c r="A208" s="61">
        <v>44658.0</v>
      </c>
      <c r="B208" s="118">
        <v>1.0875</v>
      </c>
      <c r="C208" s="119">
        <v>118.69</v>
      </c>
      <c r="D208" s="120"/>
      <c r="E208" s="120"/>
      <c r="F208" s="120"/>
      <c r="G208" s="120"/>
      <c r="H208" s="121"/>
      <c r="I208" s="121"/>
      <c r="J208" s="121"/>
      <c r="K208" s="121"/>
      <c r="L208" s="121"/>
    </row>
    <row r="209">
      <c r="A209" s="61">
        <v>44657.0</v>
      </c>
      <c r="B209" s="118">
        <v>1.0898</v>
      </c>
      <c r="C209" s="119">
        <v>112.53</v>
      </c>
      <c r="D209" s="120"/>
      <c r="E209" s="120"/>
      <c r="F209" s="120"/>
      <c r="G209" s="120"/>
      <c r="H209" s="121"/>
      <c r="I209" s="121"/>
      <c r="J209" s="121"/>
      <c r="K209" s="121"/>
      <c r="L209" s="121"/>
    </row>
    <row r="210">
      <c r="A210" s="123">
        <v>44656.0</v>
      </c>
      <c r="B210" s="118">
        <v>1.0908</v>
      </c>
      <c r="C210" s="124">
        <v>126.61</v>
      </c>
      <c r="D210" s="125"/>
      <c r="E210" s="125"/>
      <c r="F210" s="125"/>
      <c r="G210" s="125"/>
      <c r="H210" s="126"/>
      <c r="I210" s="126"/>
      <c r="J210" s="126"/>
      <c r="K210" s="126"/>
      <c r="L210" s="126"/>
    </row>
    <row r="211">
      <c r="A211" s="55">
        <v>44655.0</v>
      </c>
      <c r="B211" s="118">
        <v>1.0973</v>
      </c>
      <c r="C211" s="25">
        <v>132.34</v>
      </c>
      <c r="D211" s="127"/>
      <c r="E211" s="127"/>
      <c r="F211" s="127"/>
      <c r="G211" s="127"/>
      <c r="H211" s="128"/>
      <c r="I211" s="128"/>
      <c r="J211" s="128"/>
      <c r="K211" s="128"/>
      <c r="L211" s="128"/>
    </row>
    <row r="212">
      <c r="A212" s="55">
        <v>44654.0</v>
      </c>
      <c r="B212" s="118">
        <v>1.1043</v>
      </c>
      <c r="C212" s="129">
        <v>136.67</v>
      </c>
      <c r="D212" s="130"/>
      <c r="E212" s="130"/>
      <c r="F212" s="130"/>
      <c r="G212" s="130"/>
      <c r="H212" s="66"/>
      <c r="I212" s="66"/>
      <c r="J212" s="66"/>
      <c r="K212" s="66"/>
      <c r="L212" s="66"/>
    </row>
    <row r="213">
      <c r="A213" s="55">
        <v>44653.0</v>
      </c>
      <c r="B213" s="118">
        <v>1.1044</v>
      </c>
      <c r="C213" s="129">
        <v>132.27</v>
      </c>
      <c r="D213" s="130"/>
      <c r="E213" s="130"/>
      <c r="F213" s="130"/>
      <c r="G213" s="130"/>
      <c r="H213" s="66"/>
      <c r="I213" s="66"/>
      <c r="J213" s="66"/>
      <c r="K213" s="66"/>
      <c r="L213" s="66"/>
    </row>
    <row r="214">
      <c r="A214" s="55">
        <v>44652.0</v>
      </c>
      <c r="B214" s="118">
        <v>1.1049</v>
      </c>
      <c r="C214" s="129">
        <v>134.37</v>
      </c>
      <c r="D214" s="130"/>
      <c r="E214" s="130"/>
      <c r="F214" s="130"/>
      <c r="G214" s="130"/>
      <c r="H214" s="66"/>
      <c r="I214" s="66"/>
      <c r="J214" s="66"/>
      <c r="K214" s="66"/>
      <c r="L214" s="66"/>
    </row>
    <row r="215">
      <c r="A215" s="55">
        <v>44651.0</v>
      </c>
      <c r="B215" s="118">
        <v>1.1074</v>
      </c>
      <c r="C215" s="129">
        <v>122.76</v>
      </c>
      <c r="D215" s="130"/>
      <c r="E215" s="130"/>
      <c r="F215" s="130"/>
      <c r="G215" s="130"/>
      <c r="H215" s="66"/>
      <c r="I215" s="66"/>
      <c r="J215" s="66"/>
      <c r="K215" s="66"/>
      <c r="L215" s="66"/>
    </row>
    <row r="216">
      <c r="A216" s="55">
        <v>44650.0</v>
      </c>
      <c r="B216" s="118">
        <v>1.1158</v>
      </c>
      <c r="C216" s="129">
        <v>120.7</v>
      </c>
      <c r="D216" s="130"/>
      <c r="E216" s="130"/>
      <c r="F216" s="130"/>
      <c r="G216" s="130"/>
      <c r="H216" s="66"/>
      <c r="I216" s="66"/>
      <c r="J216" s="66"/>
      <c r="K216" s="66"/>
      <c r="L216" s="66"/>
    </row>
    <row r="217">
      <c r="A217" s="55">
        <v>44649.0</v>
      </c>
      <c r="B217" s="118">
        <v>1.1092</v>
      </c>
      <c r="C217" s="129">
        <v>111.75</v>
      </c>
      <c r="D217" s="130"/>
      <c r="E217" s="130"/>
      <c r="F217" s="130"/>
      <c r="G217" s="130"/>
      <c r="H217" s="66"/>
      <c r="I217" s="66"/>
      <c r="J217" s="66"/>
      <c r="K217" s="66"/>
      <c r="L217" s="66"/>
    </row>
    <row r="218">
      <c r="A218" s="55">
        <v>44648.0</v>
      </c>
      <c r="B218" s="118">
        <v>1.0989</v>
      </c>
      <c r="C218" s="129">
        <v>106.24</v>
      </c>
      <c r="D218" s="130"/>
      <c r="E218" s="130"/>
      <c r="F218" s="130"/>
      <c r="G218" s="130"/>
      <c r="H218" s="66"/>
      <c r="I218" s="66"/>
      <c r="J218" s="66"/>
      <c r="K218" s="66"/>
      <c r="L218" s="66"/>
    </row>
    <row r="219">
      <c r="A219" s="55">
        <v>44647.0</v>
      </c>
      <c r="B219" s="118">
        <v>1.0981</v>
      </c>
      <c r="C219" s="129">
        <v>106.91</v>
      </c>
      <c r="D219" s="130"/>
      <c r="E219" s="130"/>
      <c r="F219" s="130"/>
      <c r="G219" s="130"/>
      <c r="H219" s="66"/>
      <c r="I219" s="66"/>
      <c r="J219" s="66"/>
      <c r="K219" s="66"/>
      <c r="L219" s="66"/>
    </row>
    <row r="220">
      <c r="A220" s="55">
        <v>44646.0</v>
      </c>
      <c r="B220" s="118">
        <v>1.0985</v>
      </c>
      <c r="C220" s="129">
        <v>101.64</v>
      </c>
      <c r="D220" s="130"/>
      <c r="E220" s="130"/>
      <c r="F220" s="130"/>
      <c r="G220" s="130"/>
      <c r="H220" s="66"/>
      <c r="I220" s="66"/>
      <c r="J220" s="66"/>
      <c r="K220" s="66"/>
      <c r="L220" s="66"/>
    </row>
    <row r="221">
      <c r="A221" s="55">
        <v>44645.0</v>
      </c>
      <c r="B221" s="118">
        <v>1.0983</v>
      </c>
      <c r="C221" s="129">
        <v>98.65</v>
      </c>
      <c r="D221" s="130"/>
      <c r="E221" s="130"/>
      <c r="F221" s="130"/>
      <c r="G221" s="130"/>
      <c r="H221" s="66"/>
      <c r="I221" s="66"/>
      <c r="J221" s="66"/>
      <c r="K221" s="66"/>
      <c r="L221" s="66"/>
    </row>
    <row r="222">
      <c r="A222" s="55">
        <v>44644.0</v>
      </c>
      <c r="B222" s="118">
        <v>1.1009</v>
      </c>
      <c r="C222" s="129">
        <v>102.18</v>
      </c>
      <c r="D222" s="130"/>
      <c r="E222" s="130"/>
      <c r="F222" s="130"/>
      <c r="G222" s="130"/>
      <c r="H222" s="66"/>
      <c r="I222" s="66"/>
      <c r="J222" s="66"/>
      <c r="K222" s="66"/>
      <c r="L222" s="66"/>
    </row>
    <row r="223">
      <c r="A223" s="55">
        <v>44643.0</v>
      </c>
      <c r="B223" s="118">
        <v>1.1006</v>
      </c>
      <c r="C223" s="129">
        <v>94.92</v>
      </c>
      <c r="D223" s="130"/>
      <c r="E223" s="130"/>
      <c r="F223" s="130"/>
      <c r="G223" s="130"/>
      <c r="H223" s="66"/>
      <c r="I223" s="66"/>
      <c r="J223" s="66"/>
      <c r="K223" s="66"/>
      <c r="L223" s="66"/>
    </row>
    <row r="224">
      <c r="A224" s="55">
        <v>44642.0</v>
      </c>
      <c r="B224" s="118">
        <v>1.1028</v>
      </c>
      <c r="C224" s="129">
        <v>90.5</v>
      </c>
      <c r="D224" s="130"/>
      <c r="E224" s="130"/>
      <c r="F224" s="130"/>
      <c r="G224" s="130"/>
      <c r="H224" s="66"/>
      <c r="I224" s="66"/>
      <c r="J224" s="66"/>
      <c r="K224" s="66"/>
      <c r="L224" s="66"/>
    </row>
    <row r="225">
      <c r="A225" s="55">
        <v>44641.0</v>
      </c>
      <c r="B225" s="118">
        <v>1.1016</v>
      </c>
      <c r="C225" s="17">
        <v>88.77</v>
      </c>
      <c r="D225" s="130"/>
      <c r="E225" s="130"/>
      <c r="F225" s="130"/>
      <c r="G225" s="130"/>
      <c r="H225" s="66"/>
      <c r="I225" s="66"/>
      <c r="J225" s="66"/>
      <c r="K225" s="66"/>
      <c r="L225" s="66"/>
    </row>
    <row r="226">
      <c r="A226" s="55">
        <v>44640.0</v>
      </c>
      <c r="B226" s="118">
        <v>1.1041</v>
      </c>
      <c r="C226" s="17">
        <v>88.6</v>
      </c>
      <c r="D226" s="130"/>
      <c r="E226" s="130"/>
      <c r="F226" s="130"/>
      <c r="G226" s="130"/>
      <c r="H226" s="66"/>
      <c r="I226" s="66"/>
      <c r="J226" s="66"/>
      <c r="K226" s="66"/>
      <c r="L226" s="66"/>
    </row>
    <row r="227">
      <c r="A227" s="55">
        <v>44639.0</v>
      </c>
      <c r="B227" s="118">
        <v>1.1065</v>
      </c>
      <c r="C227" s="17">
        <v>92.4</v>
      </c>
      <c r="D227" s="130"/>
      <c r="E227" s="130"/>
      <c r="F227" s="130"/>
      <c r="G227" s="130"/>
      <c r="H227" s="66"/>
      <c r="I227" s="66"/>
      <c r="J227" s="66"/>
      <c r="K227" s="66"/>
      <c r="L227" s="66"/>
    </row>
    <row r="228">
      <c r="A228" s="55">
        <v>44638.0</v>
      </c>
      <c r="B228" s="118">
        <v>1.1065</v>
      </c>
      <c r="C228" s="17">
        <v>89.91</v>
      </c>
      <c r="D228" s="130"/>
      <c r="E228" s="130"/>
      <c r="F228" s="130"/>
      <c r="G228" s="130"/>
      <c r="H228" s="66"/>
      <c r="I228" s="66"/>
      <c r="J228" s="66"/>
      <c r="K228" s="66"/>
      <c r="L228" s="66"/>
    </row>
    <row r="229">
      <c r="A229" s="55">
        <v>44637.0</v>
      </c>
      <c r="B229" s="118">
        <v>1.1098</v>
      </c>
      <c r="C229" s="17">
        <v>87.97</v>
      </c>
      <c r="D229" s="130"/>
      <c r="E229" s="130"/>
      <c r="F229" s="130"/>
      <c r="G229" s="130"/>
      <c r="H229" s="66"/>
      <c r="I229" s="66"/>
      <c r="J229" s="66"/>
      <c r="K229" s="66"/>
      <c r="L229" s="66"/>
    </row>
    <row r="230">
      <c r="A230" s="55">
        <v>44636.0</v>
      </c>
      <c r="B230" s="118">
        <v>1.1022</v>
      </c>
      <c r="C230" s="17">
        <v>87.85</v>
      </c>
      <c r="D230" s="130"/>
      <c r="E230" s="130"/>
      <c r="F230" s="130"/>
      <c r="G230" s="130"/>
      <c r="H230" s="66"/>
      <c r="I230" s="66"/>
      <c r="J230" s="66"/>
      <c r="K230" s="66"/>
      <c r="L230" s="66"/>
    </row>
    <row r="231">
      <c r="A231" s="55">
        <v>44635.0</v>
      </c>
      <c r="B231" s="118">
        <v>1.0969</v>
      </c>
      <c r="C231" s="17">
        <v>82.94</v>
      </c>
      <c r="D231" s="130"/>
      <c r="E231" s="130"/>
      <c r="F231" s="130"/>
      <c r="G231" s="130"/>
      <c r="H231" s="66"/>
      <c r="I231" s="66"/>
      <c r="J231" s="66"/>
      <c r="K231" s="66"/>
      <c r="L231" s="66"/>
    </row>
    <row r="232">
      <c r="A232" s="55">
        <v>44634.0</v>
      </c>
      <c r="B232" s="118">
        <v>1.0945</v>
      </c>
      <c r="C232" s="17">
        <v>81.17</v>
      </c>
      <c r="D232" s="130"/>
      <c r="E232" s="130"/>
      <c r="F232" s="130"/>
      <c r="G232" s="130"/>
      <c r="H232" s="66"/>
      <c r="I232" s="66"/>
      <c r="J232" s="66"/>
      <c r="K232" s="66"/>
      <c r="L232" s="66"/>
    </row>
    <row r="233">
      <c r="A233" s="55">
        <v>44633.0</v>
      </c>
      <c r="B233" s="118">
        <v>1.0938</v>
      </c>
      <c r="C233" s="17">
        <v>79.0</v>
      </c>
      <c r="D233" s="130"/>
      <c r="E233" s="130"/>
      <c r="F233" s="130"/>
      <c r="G233" s="130"/>
      <c r="H233" s="66"/>
      <c r="I233" s="66"/>
      <c r="J233" s="66"/>
      <c r="K233" s="66"/>
      <c r="L233" s="66"/>
    </row>
    <row r="234">
      <c r="A234" s="55">
        <v>44632.0</v>
      </c>
      <c r="B234" s="118">
        <v>1.0914</v>
      </c>
      <c r="C234" s="17">
        <v>81.61</v>
      </c>
      <c r="D234" s="130"/>
      <c r="E234" s="130"/>
      <c r="F234" s="130"/>
      <c r="G234" s="130"/>
      <c r="H234" s="66"/>
      <c r="I234" s="66"/>
      <c r="J234" s="66"/>
      <c r="K234" s="66"/>
      <c r="L234" s="66"/>
    </row>
    <row r="235">
      <c r="A235" s="55">
        <v>44631.0</v>
      </c>
      <c r="B235" s="118">
        <v>1.0914</v>
      </c>
      <c r="C235" s="17">
        <v>80.69</v>
      </c>
      <c r="D235" s="130"/>
      <c r="E235" s="130"/>
      <c r="F235" s="130"/>
      <c r="G235" s="130"/>
      <c r="H235" s="66"/>
      <c r="I235" s="66"/>
      <c r="J235" s="66"/>
      <c r="K235" s="66"/>
      <c r="L235" s="66"/>
    </row>
    <row r="236">
      <c r="A236" s="55">
        <v>44630.0</v>
      </c>
      <c r="B236" s="118">
        <v>1.1014</v>
      </c>
      <c r="C236" s="17">
        <v>83.03</v>
      </c>
      <c r="D236" s="130"/>
      <c r="E236" s="130"/>
      <c r="F236" s="130"/>
      <c r="G236" s="130"/>
      <c r="H236" s="66"/>
      <c r="I236" s="66"/>
      <c r="J236" s="66"/>
      <c r="K236" s="66"/>
      <c r="L236" s="66"/>
    </row>
    <row r="237">
      <c r="A237" s="55">
        <v>44629.0</v>
      </c>
      <c r="B237" s="118">
        <v>1.1072</v>
      </c>
      <c r="C237" s="17">
        <v>88.19</v>
      </c>
      <c r="D237" s="130"/>
      <c r="E237" s="130"/>
      <c r="F237" s="130"/>
      <c r="G237" s="130"/>
      <c r="H237" s="66"/>
      <c r="I237" s="66"/>
      <c r="J237" s="66"/>
      <c r="K237" s="66"/>
      <c r="L237" s="66"/>
    </row>
    <row r="238">
      <c r="A238" s="55">
        <v>44628.0</v>
      </c>
      <c r="B238" s="118">
        <v>1.0897</v>
      </c>
      <c r="C238" s="17">
        <v>82.25</v>
      </c>
      <c r="D238" s="130"/>
      <c r="E238" s="130"/>
      <c r="F238" s="130"/>
      <c r="G238" s="130"/>
      <c r="H238" s="66"/>
      <c r="I238" s="66"/>
      <c r="J238" s="66"/>
      <c r="K238" s="66"/>
      <c r="L238" s="66"/>
    </row>
    <row r="239">
      <c r="A239" s="55">
        <v>44627.0</v>
      </c>
      <c r="B239" s="118">
        <v>1.0866</v>
      </c>
      <c r="C239" s="17">
        <v>82.07</v>
      </c>
      <c r="D239" s="130"/>
      <c r="E239" s="130"/>
      <c r="F239" s="130"/>
      <c r="G239" s="130"/>
      <c r="H239" s="66"/>
      <c r="I239" s="66"/>
      <c r="J239" s="66"/>
      <c r="K239" s="66"/>
      <c r="L239" s="66"/>
    </row>
    <row r="240">
      <c r="A240" s="55">
        <v>44626.0</v>
      </c>
      <c r="B240" s="118">
        <v>1.0871</v>
      </c>
      <c r="C240" s="17">
        <v>84.64</v>
      </c>
      <c r="D240" s="130"/>
      <c r="E240" s="130"/>
      <c r="F240" s="130"/>
      <c r="G240" s="130"/>
      <c r="H240" s="66"/>
      <c r="I240" s="66"/>
      <c r="J240" s="66"/>
      <c r="K240" s="66"/>
      <c r="L240" s="66"/>
    </row>
    <row r="241">
      <c r="A241" s="55">
        <v>44625.0</v>
      </c>
      <c r="B241" s="118">
        <v>1.0927</v>
      </c>
      <c r="C241" s="17">
        <v>89.79</v>
      </c>
      <c r="D241" s="130"/>
      <c r="E241" s="130"/>
      <c r="F241" s="130"/>
      <c r="G241" s="130"/>
      <c r="H241" s="66"/>
      <c r="I241" s="66"/>
      <c r="J241" s="66"/>
      <c r="K241" s="66"/>
      <c r="L241" s="66"/>
    </row>
    <row r="242">
      <c r="A242" s="55">
        <v>44624.0</v>
      </c>
      <c r="B242" s="118">
        <v>1.0948</v>
      </c>
      <c r="C242" s="17">
        <v>88.25</v>
      </c>
      <c r="D242" s="130"/>
      <c r="E242" s="130"/>
      <c r="F242" s="130"/>
      <c r="G242" s="130"/>
      <c r="H242" s="66"/>
      <c r="I242" s="66"/>
      <c r="J242" s="66"/>
      <c r="K242" s="66"/>
      <c r="L242" s="66"/>
    </row>
    <row r="243">
      <c r="A243" s="55">
        <v>44623.0</v>
      </c>
      <c r="B243" s="118">
        <v>1.1066</v>
      </c>
      <c r="C243" s="17">
        <v>95.56</v>
      </c>
      <c r="D243" s="130"/>
      <c r="E243" s="130"/>
      <c r="F243" s="130"/>
      <c r="G243" s="130"/>
      <c r="H243" s="66"/>
      <c r="I243" s="66"/>
      <c r="J243" s="66"/>
      <c r="K243" s="66"/>
      <c r="L243" s="66"/>
    </row>
    <row r="244">
      <c r="A244" s="55">
        <v>44622.0</v>
      </c>
      <c r="B244" s="118">
        <v>1.1113</v>
      </c>
      <c r="C244" s="17">
        <v>100.79</v>
      </c>
      <c r="D244" s="130"/>
      <c r="E244" s="130"/>
      <c r="F244" s="130"/>
      <c r="G244" s="130"/>
      <c r="H244" s="66"/>
      <c r="I244" s="66"/>
      <c r="J244" s="66"/>
      <c r="K244" s="66"/>
      <c r="L244" s="66"/>
    </row>
    <row r="245">
      <c r="A245" s="55">
        <v>44621.0</v>
      </c>
      <c r="B245" s="118">
        <v>1.113</v>
      </c>
      <c r="C245" s="17">
        <v>98.76</v>
      </c>
      <c r="D245" s="130"/>
      <c r="E245" s="130"/>
      <c r="F245" s="130"/>
      <c r="G245" s="130"/>
      <c r="H245" s="66"/>
      <c r="I245" s="66"/>
      <c r="J245" s="66"/>
      <c r="K245" s="66"/>
      <c r="L245" s="66"/>
    </row>
    <row r="246">
      <c r="A246" s="55">
        <v>44620.0</v>
      </c>
      <c r="B246" s="118">
        <v>1.1215</v>
      </c>
      <c r="C246" s="17">
        <v>99.58</v>
      </c>
      <c r="D246" s="130"/>
      <c r="E246" s="130"/>
      <c r="F246" s="130"/>
      <c r="G246" s="130"/>
      <c r="H246" s="66"/>
      <c r="I246" s="66"/>
      <c r="J246" s="66"/>
      <c r="K246" s="66"/>
      <c r="L246" s="66"/>
    </row>
    <row r="247">
      <c r="A247" s="55">
        <v>44619.0</v>
      </c>
      <c r="B247" s="118">
        <v>1.1182</v>
      </c>
      <c r="C247" s="17">
        <v>85.57</v>
      </c>
      <c r="D247" s="130"/>
      <c r="E247" s="130"/>
      <c r="F247" s="130"/>
      <c r="G247" s="130"/>
      <c r="H247" s="66"/>
      <c r="I247" s="66"/>
      <c r="J247" s="66"/>
      <c r="K247" s="66"/>
      <c r="L247" s="66"/>
    </row>
    <row r="248">
      <c r="A248" s="55">
        <v>44618.0</v>
      </c>
      <c r="B248" s="118">
        <v>1.1272</v>
      </c>
      <c r="C248" s="17">
        <v>90.11</v>
      </c>
      <c r="D248" s="130"/>
      <c r="E248" s="130"/>
      <c r="F248" s="130"/>
      <c r="G248" s="130"/>
      <c r="H248" s="66"/>
      <c r="I248" s="66"/>
      <c r="J248" s="66"/>
      <c r="K248" s="66"/>
      <c r="L248" s="66"/>
    </row>
    <row r="249">
      <c r="A249" s="55">
        <v>44617.0</v>
      </c>
      <c r="B249" s="118">
        <v>1.1273</v>
      </c>
      <c r="C249" s="17">
        <v>92.74</v>
      </c>
      <c r="D249" s="130"/>
      <c r="E249" s="130"/>
      <c r="F249" s="130"/>
      <c r="G249" s="130"/>
      <c r="H249" s="66"/>
      <c r="I249" s="66"/>
      <c r="J249" s="66"/>
      <c r="K249" s="66"/>
      <c r="L249" s="66"/>
    </row>
    <row r="250">
      <c r="A250" s="55">
        <v>44616.0</v>
      </c>
      <c r="B250" s="118">
        <v>1.119</v>
      </c>
      <c r="C250" s="17">
        <v>89.05</v>
      </c>
      <c r="D250" s="130"/>
      <c r="E250" s="130"/>
      <c r="F250" s="130"/>
      <c r="G250" s="130"/>
      <c r="H250" s="66"/>
      <c r="I250" s="66"/>
      <c r="J250" s="66"/>
      <c r="K250" s="66"/>
      <c r="L250" s="66"/>
    </row>
    <row r="251">
      <c r="A251" s="55">
        <v>44615.0</v>
      </c>
      <c r="B251" s="118">
        <v>1.1305</v>
      </c>
      <c r="C251" s="17">
        <v>85.27</v>
      </c>
      <c r="D251" s="130"/>
      <c r="E251" s="130"/>
      <c r="F251" s="130"/>
      <c r="G251" s="130"/>
      <c r="H251" s="66"/>
      <c r="I251" s="66"/>
      <c r="J251" s="66"/>
      <c r="K251" s="66"/>
      <c r="L251" s="66"/>
    </row>
    <row r="252">
      <c r="A252" s="55">
        <v>44614.0</v>
      </c>
      <c r="B252" s="118">
        <v>1.133</v>
      </c>
      <c r="C252" s="17">
        <v>86.57</v>
      </c>
      <c r="D252" s="130"/>
      <c r="E252" s="130"/>
      <c r="F252" s="130"/>
      <c r="G252" s="130"/>
      <c r="H252" s="66"/>
      <c r="I252" s="66"/>
      <c r="J252" s="66"/>
      <c r="K252" s="66"/>
      <c r="L252" s="66"/>
    </row>
    <row r="253">
      <c r="A253" s="55">
        <v>44613.0</v>
      </c>
      <c r="B253" s="118">
        <v>1.1307</v>
      </c>
      <c r="C253" s="17">
        <v>83.14</v>
      </c>
      <c r="D253" s="130"/>
      <c r="E253" s="130"/>
      <c r="F253" s="130"/>
      <c r="G253" s="130"/>
      <c r="H253" s="66"/>
      <c r="I253" s="66"/>
      <c r="J253" s="66"/>
      <c r="K253" s="66"/>
      <c r="L253" s="66"/>
    </row>
    <row r="254">
      <c r="A254" s="55">
        <v>44612.0</v>
      </c>
      <c r="B254" s="118">
        <v>1.1316</v>
      </c>
      <c r="C254" s="17">
        <v>90.8</v>
      </c>
      <c r="D254" s="130"/>
      <c r="E254" s="130"/>
      <c r="F254" s="130"/>
      <c r="G254" s="130"/>
      <c r="H254" s="66"/>
      <c r="I254" s="66"/>
      <c r="J254" s="66"/>
      <c r="K254" s="66"/>
      <c r="L254" s="66"/>
    </row>
    <row r="255">
      <c r="A255" s="55">
        <v>44611.0</v>
      </c>
      <c r="B255" s="118">
        <v>1.1322</v>
      </c>
      <c r="C255" s="17">
        <v>91.61</v>
      </c>
      <c r="D255" s="130"/>
      <c r="E255" s="130"/>
      <c r="F255" s="130"/>
      <c r="G255" s="130"/>
      <c r="H255" s="66"/>
      <c r="I255" s="66"/>
      <c r="J255" s="66"/>
      <c r="K255" s="66"/>
      <c r="L255" s="66"/>
    </row>
    <row r="256">
      <c r="A256" s="55">
        <v>44610.0</v>
      </c>
      <c r="B256" s="118">
        <v>1.1323</v>
      </c>
      <c r="C256" s="17">
        <v>90.11</v>
      </c>
      <c r="D256" s="130"/>
      <c r="E256" s="130"/>
      <c r="F256" s="130"/>
      <c r="G256" s="130"/>
      <c r="H256" s="66"/>
      <c r="I256" s="66"/>
      <c r="J256" s="66"/>
      <c r="K256" s="66"/>
      <c r="L256" s="66"/>
    </row>
    <row r="257">
      <c r="A257" s="55">
        <v>44609.0</v>
      </c>
      <c r="B257" s="118">
        <v>1.1366</v>
      </c>
      <c r="C257" s="17">
        <v>93.4</v>
      </c>
      <c r="D257" s="130"/>
      <c r="E257" s="130"/>
      <c r="F257" s="130"/>
      <c r="G257" s="130"/>
      <c r="H257" s="66"/>
      <c r="I257" s="66"/>
      <c r="J257" s="66"/>
      <c r="K257" s="66"/>
      <c r="L257" s="66"/>
    </row>
    <row r="258">
      <c r="A258" s="55">
        <v>44608.0</v>
      </c>
      <c r="B258" s="118">
        <v>1.1374</v>
      </c>
      <c r="C258" s="17">
        <v>101.96</v>
      </c>
      <c r="D258" s="130"/>
      <c r="E258" s="130"/>
      <c r="F258" s="130"/>
      <c r="G258" s="130"/>
      <c r="H258" s="66"/>
      <c r="I258" s="66"/>
      <c r="J258" s="66"/>
      <c r="K258" s="66"/>
      <c r="L258" s="66"/>
    </row>
    <row r="259">
      <c r="A259" s="55">
        <v>44607.0</v>
      </c>
      <c r="B259" s="118">
        <v>1.1356</v>
      </c>
      <c r="C259" s="17">
        <v>104.85</v>
      </c>
      <c r="D259" s="130"/>
      <c r="E259" s="130"/>
      <c r="F259" s="130"/>
      <c r="G259" s="130"/>
      <c r="H259" s="66"/>
      <c r="I259" s="66"/>
      <c r="J259" s="66"/>
      <c r="K259" s="66"/>
      <c r="L259" s="66"/>
    </row>
    <row r="260">
      <c r="A260" s="55">
        <v>44606.0</v>
      </c>
      <c r="B260" s="118">
        <v>1.1306</v>
      </c>
      <c r="C260" s="17">
        <v>96.44</v>
      </c>
      <c r="D260" s="130"/>
      <c r="E260" s="130"/>
      <c r="F260" s="130"/>
      <c r="G260" s="130"/>
      <c r="H260" s="66"/>
      <c r="I260" s="66"/>
      <c r="J260" s="66"/>
      <c r="K260" s="66"/>
      <c r="L260" s="66"/>
    </row>
    <row r="261">
      <c r="A261" s="55">
        <v>44605.0</v>
      </c>
      <c r="B261" s="118">
        <v>1.1367</v>
      </c>
      <c r="C261" s="17">
        <v>93.37</v>
      </c>
      <c r="D261" s="130"/>
      <c r="E261" s="130"/>
      <c r="F261" s="130"/>
      <c r="G261" s="130"/>
      <c r="H261" s="66"/>
      <c r="I261" s="66"/>
      <c r="J261" s="66"/>
      <c r="K261" s="66"/>
      <c r="L261" s="66"/>
    </row>
    <row r="262">
      <c r="A262" s="55">
        <v>44604.0</v>
      </c>
      <c r="B262" s="118">
        <v>1.1351</v>
      </c>
      <c r="C262" s="17">
        <v>95.7</v>
      </c>
      <c r="D262" s="130"/>
      <c r="E262" s="130"/>
      <c r="F262" s="130"/>
      <c r="G262" s="130"/>
      <c r="H262" s="66"/>
      <c r="I262" s="66"/>
      <c r="J262" s="66"/>
      <c r="K262" s="66"/>
      <c r="L262" s="66"/>
    </row>
    <row r="263">
      <c r="A263" s="55">
        <v>44603.0</v>
      </c>
      <c r="B263" s="118">
        <v>1.1351</v>
      </c>
      <c r="C263" s="17">
        <v>96.46</v>
      </c>
      <c r="D263" s="130"/>
      <c r="E263" s="130"/>
      <c r="F263" s="130"/>
      <c r="G263" s="130"/>
      <c r="H263" s="66"/>
      <c r="I263" s="66"/>
      <c r="J263" s="66"/>
      <c r="K263" s="66"/>
      <c r="L263" s="66"/>
    </row>
    <row r="264">
      <c r="A264" s="55">
        <v>44602.0</v>
      </c>
      <c r="B264" s="118">
        <v>1.1413</v>
      </c>
      <c r="C264" s="17">
        <v>106.42</v>
      </c>
      <c r="D264" s="130"/>
      <c r="E264" s="130"/>
      <c r="F264" s="130"/>
      <c r="G264" s="130"/>
      <c r="H264" s="66"/>
      <c r="I264" s="66"/>
      <c r="J264" s="66"/>
      <c r="K264" s="66"/>
      <c r="L264" s="66"/>
    </row>
    <row r="265">
      <c r="A265" s="55">
        <v>44601.0</v>
      </c>
      <c r="B265" s="118">
        <v>1.1421</v>
      </c>
      <c r="C265" s="17">
        <v>114.34</v>
      </c>
      <c r="D265" s="130"/>
      <c r="E265" s="130"/>
      <c r="F265" s="130"/>
      <c r="G265" s="130"/>
      <c r="H265" s="66"/>
      <c r="I265" s="66"/>
      <c r="J265" s="66"/>
      <c r="K265" s="66"/>
      <c r="L265" s="66"/>
    </row>
    <row r="266">
      <c r="A266" s="55">
        <v>44600.0</v>
      </c>
      <c r="B266" s="118">
        <v>1.1421</v>
      </c>
      <c r="C266" s="17">
        <v>113.7</v>
      </c>
      <c r="D266" s="130"/>
      <c r="E266" s="130"/>
      <c r="F266" s="130"/>
      <c r="G266" s="130"/>
      <c r="H266" s="66"/>
      <c r="I266" s="66"/>
      <c r="J266" s="66"/>
      <c r="K266" s="66"/>
      <c r="L266" s="66"/>
    </row>
    <row r="267">
      <c r="A267" s="55">
        <v>44599.0</v>
      </c>
      <c r="B267" s="118">
        <v>1.1441</v>
      </c>
      <c r="C267" s="17">
        <v>117.67</v>
      </c>
      <c r="D267" s="130"/>
      <c r="E267" s="130"/>
      <c r="F267" s="130"/>
      <c r="G267" s="130"/>
      <c r="H267" s="66"/>
      <c r="I267" s="66"/>
      <c r="J267" s="66"/>
      <c r="K267" s="66"/>
      <c r="L267" s="66"/>
    </row>
    <row r="268">
      <c r="A268" s="55">
        <v>44598.0</v>
      </c>
      <c r="B268" s="118">
        <v>1.1455</v>
      </c>
      <c r="C268" s="17">
        <v>115.28</v>
      </c>
      <c r="D268" s="130"/>
      <c r="E268" s="130"/>
      <c r="F268" s="130"/>
      <c r="G268" s="130"/>
      <c r="H268" s="66"/>
      <c r="I268" s="66"/>
      <c r="J268" s="66"/>
      <c r="K268" s="66"/>
      <c r="L268" s="66"/>
    </row>
    <row r="269">
      <c r="A269" s="55">
        <v>44597.0</v>
      </c>
      <c r="B269" s="118">
        <v>1.145</v>
      </c>
      <c r="C269" s="17">
        <v>114.33</v>
      </c>
      <c r="D269" s="130"/>
      <c r="E269" s="130"/>
      <c r="F269" s="130"/>
      <c r="G269" s="130"/>
      <c r="H269" s="66"/>
      <c r="I269" s="66"/>
      <c r="J269" s="66"/>
      <c r="K269" s="66"/>
      <c r="L269" s="66"/>
    </row>
    <row r="270">
      <c r="A270" s="55">
        <v>44596.0</v>
      </c>
      <c r="B270" s="118">
        <v>1.1449</v>
      </c>
      <c r="C270" s="17">
        <v>112.48</v>
      </c>
      <c r="D270" s="130"/>
      <c r="E270" s="130"/>
      <c r="F270" s="130"/>
      <c r="G270" s="130"/>
      <c r="H270" s="66"/>
      <c r="I270" s="66"/>
      <c r="J270" s="66"/>
      <c r="K270" s="66"/>
      <c r="L270" s="66"/>
    </row>
    <row r="271">
      <c r="A271" s="55">
        <v>44595.0</v>
      </c>
      <c r="B271" s="118">
        <v>1.1435</v>
      </c>
      <c r="C271" s="17">
        <v>100.88</v>
      </c>
      <c r="D271" s="130"/>
      <c r="E271" s="130"/>
      <c r="F271" s="130"/>
      <c r="G271" s="130"/>
      <c r="H271" s="66"/>
      <c r="I271" s="66"/>
      <c r="J271" s="66"/>
      <c r="K271" s="66"/>
      <c r="L271" s="66"/>
    </row>
    <row r="272">
      <c r="A272" s="55">
        <v>44594.0</v>
      </c>
      <c r="B272" s="118">
        <v>1.1299</v>
      </c>
      <c r="C272" s="17">
        <v>101.83</v>
      </c>
      <c r="D272" s="130"/>
      <c r="E272" s="130"/>
      <c r="F272" s="130"/>
      <c r="G272" s="130"/>
      <c r="H272" s="66"/>
      <c r="I272" s="66"/>
      <c r="J272" s="66"/>
      <c r="K272" s="66"/>
      <c r="L272" s="66"/>
    </row>
    <row r="273">
      <c r="A273" s="55">
        <v>44593.0</v>
      </c>
      <c r="B273" s="118">
        <v>1.1273</v>
      </c>
      <c r="C273" s="17">
        <v>110.13</v>
      </c>
      <c r="D273" s="130"/>
      <c r="E273" s="130"/>
      <c r="F273" s="130"/>
      <c r="G273" s="130"/>
      <c r="H273" s="66"/>
      <c r="I273" s="66"/>
      <c r="J273" s="66"/>
      <c r="K273" s="66"/>
      <c r="L273" s="66"/>
    </row>
    <row r="274">
      <c r="A274" s="55">
        <v>44592.0</v>
      </c>
      <c r="B274" s="118">
        <v>1.123</v>
      </c>
      <c r="C274" s="17">
        <v>99.89</v>
      </c>
      <c r="D274" s="130"/>
      <c r="E274" s="130"/>
      <c r="F274" s="130"/>
      <c r="G274" s="130"/>
      <c r="H274" s="66"/>
      <c r="I274" s="66"/>
      <c r="J274" s="66"/>
      <c r="K274" s="66"/>
      <c r="L274" s="66"/>
    </row>
    <row r="275">
      <c r="A275" s="55">
        <v>44591.0</v>
      </c>
      <c r="B275" s="118">
        <v>1.1149</v>
      </c>
      <c r="C275" s="17">
        <v>93.4</v>
      </c>
      <c r="D275" s="130"/>
      <c r="E275" s="130"/>
      <c r="F275" s="130"/>
      <c r="G275" s="130"/>
      <c r="H275" s="66"/>
      <c r="I275" s="66"/>
      <c r="J275" s="66"/>
      <c r="K275" s="66"/>
      <c r="L275" s="66"/>
    </row>
    <row r="276">
      <c r="A276" s="55">
        <v>44590.0</v>
      </c>
      <c r="B276" s="118">
        <v>1.1149</v>
      </c>
      <c r="C276" s="17">
        <v>96.18</v>
      </c>
      <c r="D276" s="130"/>
      <c r="E276" s="130"/>
      <c r="F276" s="130"/>
      <c r="G276" s="130"/>
      <c r="H276" s="66"/>
      <c r="I276" s="66"/>
      <c r="J276" s="66"/>
      <c r="K276" s="66"/>
      <c r="L276" s="66"/>
    </row>
    <row r="277">
      <c r="A277" s="55">
        <v>44589.0</v>
      </c>
      <c r="B277" s="118">
        <v>1.115</v>
      </c>
      <c r="C277" s="17">
        <v>91.43</v>
      </c>
      <c r="D277" s="130"/>
      <c r="E277" s="130"/>
      <c r="F277" s="130"/>
      <c r="G277" s="130"/>
      <c r="H277" s="66"/>
      <c r="I277" s="66"/>
      <c r="J277" s="66"/>
      <c r="K277" s="66"/>
      <c r="L277" s="66"/>
    </row>
    <row r="278">
      <c r="A278" s="55">
        <v>44588.0</v>
      </c>
      <c r="B278" s="118">
        <v>1.1144</v>
      </c>
      <c r="C278" s="17">
        <v>89.6</v>
      </c>
      <c r="D278" s="130"/>
      <c r="E278" s="130"/>
      <c r="F278" s="130"/>
      <c r="G278" s="130"/>
      <c r="H278" s="66"/>
      <c r="I278" s="66"/>
      <c r="J278" s="66"/>
      <c r="K278" s="66"/>
      <c r="L278" s="66"/>
    </row>
    <row r="279">
      <c r="A279" s="55">
        <v>44587.0</v>
      </c>
      <c r="B279" s="118">
        <v>1.124</v>
      </c>
      <c r="C279" s="17">
        <v>92.25</v>
      </c>
      <c r="D279" s="130"/>
      <c r="E279" s="130"/>
      <c r="F279" s="130"/>
      <c r="G279" s="130"/>
      <c r="H279" s="66"/>
      <c r="I279" s="66"/>
      <c r="J279" s="66"/>
      <c r="K279" s="66"/>
      <c r="L279" s="66"/>
    </row>
    <row r="280">
      <c r="A280" s="55">
        <v>44586.0</v>
      </c>
      <c r="B280" s="118">
        <v>1.1304</v>
      </c>
      <c r="C280" s="17">
        <v>95.09</v>
      </c>
      <c r="D280" s="130"/>
      <c r="E280" s="130"/>
      <c r="F280" s="130"/>
      <c r="G280" s="130"/>
      <c r="H280" s="66"/>
      <c r="I280" s="66"/>
      <c r="J280" s="66"/>
      <c r="K280" s="66"/>
      <c r="L280" s="66"/>
    </row>
    <row r="281">
      <c r="A281" s="55">
        <v>44585.0</v>
      </c>
      <c r="B281" s="118">
        <v>1.1324</v>
      </c>
      <c r="C281" s="17">
        <v>91.92</v>
      </c>
      <c r="D281" s="130"/>
      <c r="E281" s="130"/>
      <c r="F281" s="130"/>
      <c r="G281" s="130"/>
      <c r="H281" s="66"/>
      <c r="I281" s="66"/>
      <c r="J281" s="66"/>
      <c r="K281" s="66"/>
      <c r="L281" s="66"/>
    </row>
    <row r="282">
      <c r="A282" s="55">
        <v>44584.0</v>
      </c>
      <c r="B282" s="118">
        <v>1.134</v>
      </c>
      <c r="C282" s="17">
        <v>99.69</v>
      </c>
      <c r="D282" s="130"/>
      <c r="E282" s="130"/>
      <c r="F282" s="130"/>
      <c r="G282" s="130"/>
      <c r="H282" s="66"/>
      <c r="I282" s="66"/>
      <c r="J282" s="66"/>
      <c r="K282" s="66"/>
      <c r="L282" s="66"/>
    </row>
    <row r="283">
      <c r="A283" s="55">
        <v>44583.0</v>
      </c>
      <c r="B283" s="118">
        <v>1.1344</v>
      </c>
      <c r="C283" s="17">
        <v>94.52</v>
      </c>
      <c r="D283" s="130"/>
      <c r="E283" s="130"/>
      <c r="F283" s="130"/>
      <c r="G283" s="130"/>
      <c r="H283" s="66"/>
      <c r="I283" s="66"/>
      <c r="J283" s="66"/>
      <c r="K283" s="66"/>
      <c r="L283" s="66"/>
    </row>
    <row r="284">
      <c r="A284" s="55">
        <v>44582.0</v>
      </c>
      <c r="B284" s="118">
        <v>1.1344</v>
      </c>
      <c r="C284" s="17">
        <v>111.78</v>
      </c>
      <c r="D284" s="130"/>
      <c r="E284" s="130"/>
      <c r="F284" s="130"/>
      <c r="G284" s="130"/>
      <c r="H284" s="66"/>
      <c r="I284" s="66"/>
      <c r="J284" s="66"/>
      <c r="K284" s="66"/>
      <c r="L284" s="66"/>
    </row>
    <row r="285">
      <c r="A285" s="55">
        <v>44581.0</v>
      </c>
      <c r="B285" s="118">
        <v>1.1313</v>
      </c>
      <c r="C285" s="17">
        <v>128.57</v>
      </c>
      <c r="D285" s="130"/>
      <c r="E285" s="130"/>
      <c r="F285" s="130"/>
      <c r="G285" s="130"/>
      <c r="H285" s="66"/>
      <c r="I285" s="66"/>
      <c r="J285" s="66"/>
      <c r="K285" s="66"/>
      <c r="L285" s="66"/>
    </row>
    <row r="286">
      <c r="A286" s="55">
        <v>44580.0</v>
      </c>
      <c r="B286" s="118">
        <v>1.1344</v>
      </c>
      <c r="C286" s="17">
        <v>135.59</v>
      </c>
      <c r="D286" s="130"/>
      <c r="E286" s="130"/>
      <c r="F286" s="130"/>
      <c r="G286" s="130"/>
      <c r="H286" s="66"/>
      <c r="I286" s="66"/>
      <c r="J286" s="66"/>
      <c r="K286" s="66"/>
      <c r="L286" s="66"/>
    </row>
    <row r="287">
      <c r="A287" s="55">
        <v>44579.0</v>
      </c>
      <c r="B287" s="118">
        <v>1.1329</v>
      </c>
      <c r="C287" s="17">
        <v>141.63</v>
      </c>
      <c r="D287" s="130"/>
      <c r="E287" s="130"/>
      <c r="F287" s="130"/>
      <c r="G287" s="130"/>
      <c r="H287" s="66"/>
      <c r="I287" s="66"/>
      <c r="J287" s="66"/>
      <c r="K287" s="66"/>
      <c r="L287" s="66"/>
    </row>
    <row r="288">
      <c r="A288" s="55">
        <v>44578.0</v>
      </c>
      <c r="B288" s="118">
        <v>1.141</v>
      </c>
      <c r="C288" s="17">
        <v>140.05</v>
      </c>
      <c r="D288" s="130"/>
      <c r="E288" s="130"/>
      <c r="F288" s="130"/>
      <c r="G288" s="130"/>
      <c r="H288" s="66"/>
      <c r="I288" s="66"/>
      <c r="J288" s="66"/>
      <c r="K288" s="66"/>
      <c r="L288" s="66"/>
    </row>
    <row r="289">
      <c r="A289" s="55">
        <v>44577.0</v>
      </c>
      <c r="B289" s="118">
        <v>1.141</v>
      </c>
      <c r="C289" s="17">
        <v>147.94</v>
      </c>
      <c r="D289" s="130"/>
      <c r="E289" s="130"/>
      <c r="F289" s="130"/>
      <c r="G289" s="130"/>
      <c r="H289" s="66"/>
      <c r="I289" s="66"/>
      <c r="J289" s="66"/>
      <c r="K289" s="66"/>
      <c r="L289" s="66"/>
    </row>
    <row r="290">
      <c r="A290" s="55">
        <v>44576.0</v>
      </c>
      <c r="B290" s="118">
        <v>1.1416</v>
      </c>
      <c r="C290" s="17">
        <v>147.7</v>
      </c>
      <c r="D290" s="130"/>
      <c r="E290" s="130"/>
      <c r="F290" s="130"/>
      <c r="G290" s="130"/>
      <c r="H290" s="66"/>
      <c r="I290" s="66"/>
      <c r="J290" s="66"/>
      <c r="K290" s="66"/>
      <c r="L290" s="66"/>
    </row>
    <row r="291">
      <c r="A291" s="55">
        <v>44575.0</v>
      </c>
      <c r="B291" s="118">
        <v>1.1415</v>
      </c>
      <c r="C291" s="17">
        <v>146.31</v>
      </c>
      <c r="D291" s="130"/>
      <c r="E291" s="130"/>
      <c r="F291" s="130"/>
      <c r="G291" s="130"/>
      <c r="H291" s="66"/>
      <c r="I291" s="66"/>
      <c r="J291" s="66"/>
      <c r="K291" s="66"/>
      <c r="L291" s="66"/>
    </row>
    <row r="292">
      <c r="A292" s="55">
        <v>44574.0</v>
      </c>
      <c r="B292" s="118">
        <v>1.1455</v>
      </c>
      <c r="C292" s="17">
        <v>146.9</v>
      </c>
      <c r="D292" s="130"/>
      <c r="E292" s="130"/>
      <c r="F292" s="130"/>
      <c r="G292" s="130"/>
      <c r="H292" s="66"/>
      <c r="I292" s="66"/>
      <c r="J292" s="66"/>
      <c r="K292" s="66"/>
      <c r="L292" s="66"/>
    </row>
    <row r="293">
      <c r="A293" s="55">
        <v>44573.0</v>
      </c>
      <c r="B293" s="118">
        <v>1.1441</v>
      </c>
      <c r="C293" s="17">
        <v>151.92</v>
      </c>
      <c r="D293" s="130"/>
      <c r="E293" s="130"/>
      <c r="F293" s="130"/>
      <c r="G293" s="130"/>
      <c r="H293" s="66"/>
      <c r="I293" s="66"/>
      <c r="J293" s="66"/>
      <c r="K293" s="66"/>
      <c r="L293" s="66"/>
    </row>
    <row r="294">
      <c r="A294" s="55">
        <v>44572.0</v>
      </c>
      <c r="B294" s="118">
        <v>1.1367</v>
      </c>
      <c r="C294" s="17">
        <v>140.26</v>
      </c>
      <c r="D294" s="130"/>
      <c r="E294" s="130"/>
      <c r="F294" s="130"/>
      <c r="G294" s="130"/>
      <c r="H294" s="66"/>
      <c r="I294" s="66"/>
      <c r="J294" s="66"/>
      <c r="K294" s="66"/>
      <c r="L294" s="66"/>
    </row>
    <row r="295">
      <c r="A295" s="55">
        <v>44571.0</v>
      </c>
      <c r="B295" s="118">
        <v>1.1331</v>
      </c>
      <c r="C295" s="17">
        <v>135.98</v>
      </c>
      <c r="D295" s="130"/>
      <c r="E295" s="130"/>
      <c r="F295" s="130"/>
      <c r="G295" s="130"/>
      <c r="H295" s="66"/>
      <c r="I295" s="66"/>
      <c r="J295" s="66"/>
      <c r="K295" s="66"/>
      <c r="L295" s="66"/>
    </row>
    <row r="296">
      <c r="A296" s="55">
        <v>44570.0</v>
      </c>
      <c r="B296" s="118">
        <v>1.1353</v>
      </c>
      <c r="C296" s="17">
        <v>140.97</v>
      </c>
      <c r="D296" s="130"/>
      <c r="E296" s="130"/>
      <c r="F296" s="130"/>
      <c r="G296" s="130"/>
      <c r="H296" s="66"/>
      <c r="I296" s="66"/>
      <c r="J296" s="66"/>
      <c r="K296" s="66"/>
      <c r="L296" s="66"/>
    </row>
    <row r="297">
      <c r="A297" s="55">
        <v>44569.0</v>
      </c>
      <c r="B297" s="118">
        <v>1.1361</v>
      </c>
      <c r="C297" s="17">
        <v>142.38</v>
      </c>
      <c r="D297" s="130"/>
      <c r="E297" s="130"/>
      <c r="F297" s="130"/>
      <c r="G297" s="130"/>
      <c r="H297" s="66"/>
      <c r="I297" s="66"/>
      <c r="J297" s="66"/>
      <c r="K297" s="66"/>
      <c r="L297" s="66"/>
    </row>
    <row r="298">
      <c r="A298" s="55">
        <v>44568.0</v>
      </c>
      <c r="B298" s="118">
        <v>1.1362</v>
      </c>
      <c r="C298" s="17">
        <v>136.61</v>
      </c>
      <c r="D298" s="130"/>
      <c r="E298" s="130"/>
      <c r="F298" s="130"/>
      <c r="G298" s="130"/>
      <c r="H298" s="66"/>
      <c r="I298" s="66"/>
      <c r="J298" s="66"/>
      <c r="K298" s="66"/>
      <c r="L298" s="66"/>
    </row>
    <row r="299">
      <c r="A299" s="55">
        <v>44567.0</v>
      </c>
      <c r="B299" s="118">
        <v>1.1296</v>
      </c>
      <c r="C299" s="17">
        <v>150.72</v>
      </c>
      <c r="D299" s="130"/>
      <c r="E299" s="130"/>
      <c r="F299" s="130"/>
      <c r="G299" s="130"/>
      <c r="H299" s="66"/>
      <c r="I299" s="66"/>
      <c r="J299" s="66"/>
      <c r="K299" s="66"/>
      <c r="L299" s="66"/>
    </row>
    <row r="300">
      <c r="A300" s="55">
        <v>44566.0</v>
      </c>
      <c r="B300" s="118">
        <v>1.1312</v>
      </c>
      <c r="C300" s="17">
        <v>155.72</v>
      </c>
      <c r="D300" s="130"/>
      <c r="E300" s="130"/>
      <c r="F300" s="130"/>
      <c r="G300" s="130"/>
      <c r="H300" s="66"/>
      <c r="I300" s="66"/>
      <c r="J300" s="66"/>
      <c r="K300" s="66"/>
      <c r="L300" s="66"/>
    </row>
    <row r="301">
      <c r="A301" s="55">
        <v>44565.0</v>
      </c>
      <c r="B301" s="118">
        <v>1.1284</v>
      </c>
      <c r="C301" s="17">
        <v>168.04</v>
      </c>
      <c r="D301" s="130"/>
      <c r="E301" s="130"/>
      <c r="F301" s="130"/>
      <c r="G301" s="130"/>
      <c r="H301" s="66"/>
      <c r="I301" s="66"/>
      <c r="J301" s="66"/>
      <c r="K301" s="66"/>
      <c r="L301" s="66"/>
    </row>
    <row r="302">
      <c r="A302" s="55">
        <v>44564.0</v>
      </c>
      <c r="B302" s="118">
        <v>1.13</v>
      </c>
      <c r="C302" s="17">
        <v>170.57</v>
      </c>
      <c r="D302" s="130"/>
      <c r="E302" s="130"/>
      <c r="F302" s="130"/>
      <c r="G302" s="130"/>
      <c r="H302" s="66"/>
      <c r="I302" s="66"/>
      <c r="J302" s="66"/>
      <c r="K302" s="66"/>
      <c r="L302" s="66"/>
    </row>
    <row r="303">
      <c r="A303" s="55">
        <v>44563.0</v>
      </c>
      <c r="B303" s="118">
        <v>1.1373</v>
      </c>
      <c r="C303" s="17">
        <v>176.32</v>
      </c>
      <c r="D303" s="130"/>
      <c r="E303" s="130"/>
      <c r="F303" s="130"/>
      <c r="G303" s="130"/>
      <c r="H303" s="66"/>
      <c r="I303" s="66"/>
      <c r="J303" s="66"/>
      <c r="K303" s="66"/>
      <c r="L303" s="66"/>
    </row>
    <row r="304">
      <c r="A304" s="55">
        <v>44562.0</v>
      </c>
      <c r="B304" s="118">
        <v>1.1374</v>
      </c>
      <c r="C304" s="17">
        <v>178.89</v>
      </c>
      <c r="D304" s="130"/>
      <c r="E304" s="130"/>
      <c r="F304" s="130"/>
      <c r="G304" s="130"/>
      <c r="H304" s="66"/>
      <c r="I304" s="66"/>
      <c r="J304" s="66"/>
      <c r="K304" s="66"/>
      <c r="L304" s="66"/>
    </row>
    <row r="305">
      <c r="A305" s="55">
        <v>44561.0</v>
      </c>
      <c r="B305" s="118">
        <v>1.1371</v>
      </c>
      <c r="C305" s="17">
        <v>170.2</v>
      </c>
      <c r="D305" s="130"/>
      <c r="E305" s="130"/>
      <c r="F305" s="130"/>
      <c r="G305" s="130"/>
      <c r="H305" s="66"/>
      <c r="I305" s="66"/>
      <c r="J305" s="66"/>
      <c r="K305" s="66"/>
      <c r="L305" s="66"/>
    </row>
    <row r="306">
      <c r="A306" s="55">
        <v>44560.0</v>
      </c>
      <c r="B306" s="118">
        <v>1.1322</v>
      </c>
      <c r="C306" s="17">
        <v>172.51</v>
      </c>
      <c r="D306" s="130"/>
      <c r="E306" s="130"/>
      <c r="F306" s="130"/>
      <c r="G306" s="130"/>
      <c r="H306" s="66"/>
      <c r="I306" s="66"/>
      <c r="J306" s="66"/>
      <c r="K306" s="66"/>
      <c r="L306" s="66"/>
    </row>
    <row r="307">
      <c r="A307" s="55">
        <v>44559.0</v>
      </c>
      <c r="B307" s="118">
        <v>1.1359</v>
      </c>
      <c r="C307" s="17">
        <v>171.27</v>
      </c>
      <c r="D307" s="130"/>
      <c r="E307" s="130"/>
      <c r="F307" s="130"/>
      <c r="G307" s="130"/>
      <c r="H307" s="66"/>
      <c r="I307" s="66"/>
      <c r="J307" s="66"/>
      <c r="K307" s="66"/>
      <c r="L307" s="66"/>
    </row>
    <row r="308">
      <c r="A308" s="55">
        <v>44558.0</v>
      </c>
      <c r="B308" s="118">
        <v>1.1313</v>
      </c>
      <c r="C308" s="17">
        <v>178.3</v>
      </c>
      <c r="D308" s="130"/>
      <c r="E308" s="130"/>
      <c r="F308" s="130"/>
      <c r="G308" s="130"/>
      <c r="H308" s="66"/>
      <c r="I308" s="66"/>
      <c r="J308" s="66"/>
      <c r="K308" s="66"/>
      <c r="L308" s="66"/>
    </row>
    <row r="309">
      <c r="A309" s="55">
        <v>44557.0</v>
      </c>
      <c r="B309" s="118">
        <v>1.1329</v>
      </c>
      <c r="C309" s="17">
        <v>196.04</v>
      </c>
      <c r="D309" s="130"/>
      <c r="E309" s="130"/>
      <c r="F309" s="130"/>
      <c r="G309" s="130"/>
      <c r="H309" s="66"/>
      <c r="I309" s="66"/>
      <c r="J309" s="66"/>
      <c r="K309" s="66"/>
      <c r="L309" s="66"/>
    </row>
    <row r="310">
      <c r="A310" s="55">
        <v>44556.0</v>
      </c>
      <c r="B310" s="118">
        <v>1.1324</v>
      </c>
      <c r="C310" s="17">
        <v>198.2</v>
      </c>
      <c r="D310" s="130"/>
      <c r="E310" s="130"/>
      <c r="F310" s="130"/>
      <c r="G310" s="130"/>
      <c r="H310" s="66"/>
      <c r="I310" s="66"/>
      <c r="J310" s="66"/>
      <c r="K310" s="66"/>
      <c r="L310" s="66"/>
    </row>
    <row r="311">
      <c r="A311" s="55">
        <v>44555.0</v>
      </c>
      <c r="B311" s="118">
        <v>1.1322</v>
      </c>
      <c r="C311" s="17">
        <v>193.29</v>
      </c>
      <c r="D311" s="130"/>
      <c r="E311" s="130"/>
      <c r="F311" s="130"/>
      <c r="G311" s="130"/>
      <c r="H311" s="66"/>
      <c r="I311" s="66"/>
      <c r="J311" s="66"/>
      <c r="K311" s="66"/>
      <c r="L311" s="66"/>
    </row>
    <row r="312">
      <c r="A312" s="55">
        <v>44554.0</v>
      </c>
      <c r="B312" s="118">
        <v>1.1322</v>
      </c>
      <c r="C312" s="17">
        <v>190.44</v>
      </c>
      <c r="D312" s="130"/>
      <c r="E312" s="130"/>
      <c r="F312" s="130"/>
      <c r="G312" s="130"/>
      <c r="H312" s="66"/>
      <c r="I312" s="66"/>
      <c r="J312" s="66"/>
      <c r="K312" s="66"/>
      <c r="L312" s="66"/>
    </row>
    <row r="313">
      <c r="A313" s="55">
        <v>44553.0</v>
      </c>
      <c r="B313" s="118">
        <v>1.1326</v>
      </c>
      <c r="C313" s="17">
        <v>190.51</v>
      </c>
      <c r="D313" s="130"/>
      <c r="E313" s="130"/>
      <c r="F313" s="130"/>
      <c r="G313" s="130"/>
      <c r="H313" s="66"/>
      <c r="I313" s="66"/>
      <c r="J313" s="66"/>
      <c r="K313" s="66"/>
      <c r="L313" s="66"/>
    </row>
    <row r="314">
      <c r="A314" s="55">
        <v>44552.0</v>
      </c>
      <c r="B314" s="118">
        <v>1.1327</v>
      </c>
      <c r="C314" s="17">
        <v>178.57</v>
      </c>
      <c r="D314" s="130"/>
      <c r="E314" s="130"/>
      <c r="F314" s="130"/>
      <c r="G314" s="130"/>
      <c r="H314" s="66"/>
      <c r="I314" s="66"/>
      <c r="J314" s="66"/>
      <c r="K314" s="66"/>
      <c r="L314" s="66"/>
    </row>
    <row r="315">
      <c r="A315" s="55">
        <v>44551.0</v>
      </c>
      <c r="B315" s="118">
        <v>1.1286</v>
      </c>
      <c r="C315" s="17">
        <v>180.13</v>
      </c>
      <c r="D315" s="130"/>
      <c r="E315" s="130"/>
      <c r="F315" s="130"/>
      <c r="G315" s="130"/>
      <c r="H315" s="66"/>
      <c r="I315" s="66"/>
      <c r="J315" s="66"/>
      <c r="K315" s="66"/>
      <c r="L315" s="66"/>
    </row>
    <row r="316">
      <c r="A316" s="55">
        <v>44550.0</v>
      </c>
      <c r="B316" s="118">
        <v>1.1277</v>
      </c>
      <c r="C316" s="17">
        <v>174.37</v>
      </c>
      <c r="D316" s="130"/>
      <c r="E316" s="130"/>
      <c r="F316" s="130"/>
      <c r="G316" s="130"/>
      <c r="H316" s="66"/>
      <c r="I316" s="66"/>
      <c r="J316" s="66"/>
      <c r="K316" s="66"/>
      <c r="L316" s="66"/>
    </row>
    <row r="317">
      <c r="A317" s="55">
        <v>44549.0</v>
      </c>
      <c r="B317" s="118">
        <v>1.1243</v>
      </c>
      <c r="C317" s="17">
        <v>179.94</v>
      </c>
      <c r="D317" s="130"/>
      <c r="E317" s="130"/>
      <c r="F317" s="130"/>
      <c r="G317" s="130"/>
      <c r="H317" s="66"/>
      <c r="I317" s="66"/>
      <c r="J317" s="66"/>
      <c r="K317" s="66"/>
      <c r="L317" s="66"/>
    </row>
    <row r="318">
      <c r="A318" s="55">
        <v>44548.0</v>
      </c>
      <c r="B318" s="118">
        <v>1.1241</v>
      </c>
      <c r="C318" s="17">
        <v>182.97</v>
      </c>
      <c r="D318" s="130"/>
      <c r="E318" s="130"/>
      <c r="F318" s="130"/>
      <c r="G318" s="130"/>
      <c r="H318" s="66"/>
      <c r="I318" s="66"/>
      <c r="J318" s="66"/>
      <c r="K318" s="66"/>
      <c r="L318" s="66"/>
    </row>
    <row r="319">
      <c r="A319" s="55">
        <v>44547.0</v>
      </c>
      <c r="B319" s="118">
        <v>1.1238</v>
      </c>
      <c r="C319" s="17">
        <v>175.79</v>
      </c>
      <c r="D319" s="130"/>
      <c r="E319" s="130"/>
      <c r="F319" s="130"/>
      <c r="G319" s="130"/>
      <c r="H319" s="66"/>
      <c r="I319" s="66"/>
      <c r="J319" s="66"/>
      <c r="K319" s="66"/>
      <c r="L319" s="66"/>
    </row>
    <row r="320">
      <c r="A320" s="55">
        <v>44546.0</v>
      </c>
      <c r="B320" s="118">
        <v>1.1335</v>
      </c>
      <c r="C320" s="17">
        <v>176.81</v>
      </c>
      <c r="D320" s="130"/>
      <c r="E320" s="130"/>
      <c r="F320" s="130"/>
      <c r="G320" s="130"/>
      <c r="H320" s="66"/>
      <c r="I320" s="66"/>
      <c r="J320" s="66"/>
      <c r="K320" s="66"/>
      <c r="L320" s="66"/>
    </row>
    <row r="321">
      <c r="A321" s="55">
        <v>44545.0</v>
      </c>
      <c r="B321" s="118">
        <v>1.1291</v>
      </c>
      <c r="C321" s="17">
        <v>178.26</v>
      </c>
      <c r="D321" s="130"/>
      <c r="E321" s="130"/>
      <c r="F321" s="130"/>
      <c r="G321" s="130"/>
      <c r="H321" s="66"/>
      <c r="I321" s="66"/>
      <c r="J321" s="66"/>
      <c r="K321" s="66"/>
      <c r="L321" s="66"/>
    </row>
    <row r="322">
      <c r="A322" s="55">
        <v>44544.0</v>
      </c>
      <c r="B322" s="118">
        <v>1.1258</v>
      </c>
      <c r="C322" s="17">
        <v>161.06</v>
      </c>
      <c r="D322" s="130"/>
      <c r="E322" s="130"/>
      <c r="F322" s="130"/>
      <c r="G322" s="130"/>
      <c r="H322" s="66"/>
      <c r="I322" s="66"/>
      <c r="J322" s="66"/>
      <c r="K322" s="66"/>
      <c r="L322" s="66"/>
    </row>
    <row r="323">
      <c r="A323" s="55">
        <v>44543.0</v>
      </c>
      <c r="B323" s="118">
        <v>1.1284</v>
      </c>
      <c r="C323" s="17">
        <v>155.08</v>
      </c>
      <c r="D323" s="130"/>
      <c r="E323" s="130"/>
      <c r="F323" s="130"/>
      <c r="G323" s="130"/>
      <c r="H323" s="66"/>
      <c r="I323" s="66"/>
      <c r="J323" s="66"/>
      <c r="K323" s="66"/>
      <c r="L323" s="66"/>
    </row>
    <row r="324">
      <c r="A324" s="55">
        <v>44542.0</v>
      </c>
      <c r="B324" s="118">
        <v>1.1312</v>
      </c>
      <c r="C324" s="17">
        <v>173.74</v>
      </c>
      <c r="D324" s="130"/>
      <c r="E324" s="130"/>
      <c r="F324" s="130"/>
      <c r="G324" s="130"/>
      <c r="H324" s="66"/>
      <c r="I324" s="66"/>
      <c r="J324" s="66"/>
      <c r="K324" s="66"/>
      <c r="L324" s="66"/>
    </row>
    <row r="325">
      <c r="A325" s="55">
        <v>44541.0</v>
      </c>
      <c r="B325" s="118">
        <v>1.1317</v>
      </c>
      <c r="C325" s="17">
        <v>171.84</v>
      </c>
      <c r="D325" s="130"/>
      <c r="E325" s="130"/>
      <c r="F325" s="130"/>
      <c r="G325" s="130"/>
      <c r="H325" s="66"/>
      <c r="I325" s="66"/>
      <c r="J325" s="66"/>
      <c r="K325" s="66"/>
      <c r="L325" s="66"/>
    </row>
    <row r="326">
      <c r="A326" s="55">
        <v>44540.0</v>
      </c>
      <c r="B326" s="118">
        <v>1.1317</v>
      </c>
      <c r="C326" s="17">
        <v>169.46</v>
      </c>
      <c r="D326" s="130"/>
      <c r="E326" s="130"/>
      <c r="F326" s="130"/>
      <c r="G326" s="130"/>
      <c r="H326" s="66"/>
      <c r="I326" s="66"/>
      <c r="J326" s="66"/>
      <c r="K326" s="66"/>
      <c r="L326" s="66"/>
    </row>
    <row r="327">
      <c r="A327" s="55">
        <v>44539.0</v>
      </c>
      <c r="B327" s="118">
        <v>1.1293</v>
      </c>
      <c r="C327" s="17">
        <v>181.75</v>
      </c>
      <c r="D327" s="130"/>
      <c r="E327" s="130"/>
      <c r="F327" s="130"/>
      <c r="G327" s="130"/>
      <c r="H327" s="66"/>
      <c r="I327" s="66"/>
      <c r="J327" s="66"/>
      <c r="K327" s="66"/>
      <c r="L327" s="66"/>
    </row>
    <row r="328">
      <c r="A328" s="55">
        <v>44538.0</v>
      </c>
      <c r="B328" s="118">
        <v>1.1344</v>
      </c>
      <c r="C328" s="17">
        <v>194.3</v>
      </c>
      <c r="D328" s="130"/>
      <c r="E328" s="130"/>
      <c r="F328" s="130"/>
      <c r="G328" s="130"/>
      <c r="H328" s="66"/>
      <c r="I328" s="66"/>
      <c r="J328" s="66"/>
      <c r="K328" s="66"/>
      <c r="L328" s="66"/>
    </row>
    <row r="329">
      <c r="A329" s="55">
        <v>44537.0</v>
      </c>
      <c r="B329" s="118">
        <v>1.1272</v>
      </c>
      <c r="C329" s="17">
        <v>190.37</v>
      </c>
      <c r="D329" s="130"/>
      <c r="E329" s="130"/>
      <c r="F329" s="130"/>
      <c r="G329" s="130"/>
      <c r="H329" s="66"/>
      <c r="I329" s="66"/>
      <c r="J329" s="66"/>
      <c r="K329" s="66"/>
      <c r="L329" s="66"/>
    </row>
    <row r="330">
      <c r="A330" s="55">
        <v>44536.0</v>
      </c>
      <c r="B330" s="118">
        <v>1.1283</v>
      </c>
      <c r="C330" s="17">
        <v>193.89</v>
      </c>
      <c r="D330" s="130"/>
      <c r="E330" s="130"/>
      <c r="F330" s="130"/>
      <c r="G330" s="130"/>
      <c r="H330" s="66"/>
      <c r="I330" s="66"/>
      <c r="J330" s="66"/>
      <c r="K330" s="66"/>
      <c r="L330" s="66"/>
    </row>
    <row r="331">
      <c r="A331" s="55">
        <v>44535.0</v>
      </c>
      <c r="B331" s="118">
        <v>1.1303</v>
      </c>
      <c r="C331" s="17">
        <v>196.57</v>
      </c>
      <c r="D331" s="130"/>
      <c r="E331" s="130"/>
      <c r="F331" s="130"/>
      <c r="G331" s="130"/>
      <c r="H331" s="66"/>
      <c r="I331" s="66"/>
      <c r="J331" s="66"/>
      <c r="K331" s="66"/>
      <c r="L331" s="66"/>
    </row>
    <row r="332">
      <c r="A332" s="55">
        <v>44534.0</v>
      </c>
      <c r="B332" s="118">
        <v>1.1313</v>
      </c>
      <c r="C332" s="17">
        <v>200.94</v>
      </c>
      <c r="D332" s="130"/>
      <c r="E332" s="130"/>
      <c r="F332" s="130"/>
      <c r="G332" s="130"/>
      <c r="H332" s="66"/>
      <c r="I332" s="66"/>
      <c r="J332" s="66"/>
      <c r="K332" s="66"/>
      <c r="L332" s="66"/>
    </row>
    <row r="333">
      <c r="A333" s="55">
        <v>44533.0</v>
      </c>
      <c r="B333" s="118">
        <v>1.1315</v>
      </c>
      <c r="C333" s="17">
        <v>212.13</v>
      </c>
      <c r="D333" s="130"/>
      <c r="E333" s="130"/>
      <c r="F333" s="130"/>
      <c r="G333" s="130"/>
      <c r="H333" s="66"/>
      <c r="I333" s="66"/>
      <c r="J333" s="66"/>
      <c r="K333" s="66"/>
      <c r="L333" s="66"/>
    </row>
    <row r="334">
      <c r="A334" s="55">
        <v>44532.0</v>
      </c>
      <c r="B334" s="118">
        <v>1.1306</v>
      </c>
      <c r="C334" s="17">
        <v>232.57</v>
      </c>
      <c r="D334" s="130"/>
      <c r="E334" s="130"/>
      <c r="F334" s="130"/>
      <c r="G334" s="130"/>
      <c r="H334" s="66"/>
      <c r="I334" s="66"/>
      <c r="J334" s="66"/>
      <c r="K334" s="66"/>
      <c r="L334" s="66"/>
    </row>
    <row r="335">
      <c r="A335" s="55">
        <v>44531.0</v>
      </c>
      <c r="B335" s="118">
        <v>1.132</v>
      </c>
      <c r="C335" s="17">
        <v>229.45</v>
      </c>
      <c r="D335" s="130"/>
      <c r="E335" s="130"/>
      <c r="F335" s="130"/>
      <c r="G335" s="130"/>
      <c r="H335" s="66"/>
      <c r="I335" s="66"/>
      <c r="J335" s="66"/>
      <c r="K335" s="66"/>
      <c r="L335" s="66"/>
    </row>
    <row r="336">
      <c r="A336" s="55">
        <v>44530.0</v>
      </c>
      <c r="B336" s="118">
        <v>1.1331</v>
      </c>
      <c r="C336" s="17">
        <v>208.71</v>
      </c>
      <c r="D336" s="130"/>
      <c r="E336" s="130"/>
      <c r="F336" s="130"/>
      <c r="G336" s="130"/>
      <c r="H336" s="66"/>
      <c r="I336" s="66"/>
      <c r="J336" s="66"/>
      <c r="K336" s="66"/>
      <c r="L336" s="66"/>
    </row>
    <row r="337">
      <c r="A337" s="55">
        <v>44529.0</v>
      </c>
      <c r="B337" s="118">
        <v>1.1293</v>
      </c>
      <c r="C337" s="17">
        <v>204.35</v>
      </c>
      <c r="D337" s="130"/>
      <c r="E337" s="130"/>
      <c r="F337" s="130"/>
      <c r="G337" s="130"/>
      <c r="H337" s="66"/>
      <c r="I337" s="66"/>
      <c r="J337" s="66"/>
      <c r="K337" s="66"/>
      <c r="L337" s="66"/>
    </row>
    <row r="338">
      <c r="A338" s="55">
        <v>44528.0</v>
      </c>
      <c r="B338" s="118">
        <v>1.1292</v>
      </c>
      <c r="C338" s="17">
        <v>200.46</v>
      </c>
      <c r="D338" s="130"/>
      <c r="E338" s="130"/>
      <c r="F338" s="130"/>
      <c r="G338" s="130"/>
      <c r="H338" s="66"/>
      <c r="I338" s="66"/>
      <c r="J338" s="66"/>
      <c r="K338" s="66"/>
      <c r="L338" s="66"/>
    </row>
    <row r="339">
      <c r="A339" s="55">
        <v>44527.0</v>
      </c>
      <c r="B339" s="118">
        <v>1.1319</v>
      </c>
      <c r="C339" s="17">
        <v>192.14</v>
      </c>
      <c r="D339" s="130"/>
      <c r="E339" s="130"/>
      <c r="F339" s="130"/>
      <c r="G339" s="130"/>
      <c r="H339" s="66"/>
      <c r="I339" s="66"/>
      <c r="J339" s="66"/>
      <c r="K339" s="66"/>
      <c r="L339" s="66"/>
    </row>
    <row r="340">
      <c r="A340" s="55">
        <v>44526.0</v>
      </c>
      <c r="B340" s="118">
        <v>1.1318</v>
      </c>
      <c r="C340" s="17">
        <v>192.15</v>
      </c>
      <c r="D340" s="130"/>
      <c r="E340" s="130"/>
      <c r="F340" s="130"/>
      <c r="G340" s="130"/>
      <c r="H340" s="66"/>
      <c r="I340" s="66"/>
      <c r="J340" s="66"/>
      <c r="K340" s="66"/>
      <c r="L340" s="66"/>
    </row>
    <row r="341">
      <c r="A341" s="55">
        <v>44525.0</v>
      </c>
      <c r="B341" s="118">
        <v>1.1209</v>
      </c>
      <c r="C341" s="17">
        <v>209.79</v>
      </c>
      <c r="D341" s="130"/>
      <c r="E341" s="130"/>
      <c r="F341" s="130"/>
      <c r="G341" s="130"/>
      <c r="H341" s="66"/>
      <c r="I341" s="66"/>
      <c r="J341" s="66"/>
      <c r="K341" s="66"/>
      <c r="L341" s="66"/>
    </row>
    <row r="342">
      <c r="A342" s="55">
        <v>44524.0</v>
      </c>
      <c r="B342" s="118">
        <v>1.1203</v>
      </c>
      <c r="C342" s="17">
        <v>205.55</v>
      </c>
      <c r="D342" s="130"/>
      <c r="E342" s="130">
        <v>1.0</v>
      </c>
      <c r="F342" s="130"/>
      <c r="G342" s="130"/>
      <c r="H342" s="66"/>
      <c r="I342" s="66"/>
      <c r="J342" s="66"/>
      <c r="K342" s="66"/>
      <c r="L342" s="66"/>
    </row>
    <row r="343">
      <c r="A343" s="55">
        <v>44523.0</v>
      </c>
      <c r="B343" s="118">
        <v>1.1243</v>
      </c>
      <c r="C343" s="17">
        <v>222.1</v>
      </c>
      <c r="D343" s="130"/>
      <c r="E343" s="130"/>
      <c r="F343" s="130"/>
      <c r="G343" s="130"/>
      <c r="H343" s="66"/>
      <c r="I343" s="66"/>
      <c r="J343" s="66"/>
      <c r="K343" s="66"/>
      <c r="L343" s="66"/>
    </row>
    <row r="344">
      <c r="A344" s="55">
        <v>44522.0</v>
      </c>
      <c r="B344" s="118">
        <v>1.1241</v>
      </c>
      <c r="C344" s="17">
        <v>216.4</v>
      </c>
      <c r="D344" s="130"/>
      <c r="E344" s="130"/>
      <c r="F344" s="130"/>
      <c r="G344" s="130"/>
      <c r="H344" s="66"/>
      <c r="I344" s="66"/>
      <c r="J344" s="66"/>
      <c r="K344" s="66"/>
      <c r="L344" s="66"/>
    </row>
    <row r="345">
      <c r="A345" s="55">
        <v>44521.0</v>
      </c>
      <c r="B345" s="118">
        <v>1.1276</v>
      </c>
      <c r="C345" s="17">
        <v>232.44</v>
      </c>
      <c r="D345" s="130"/>
      <c r="E345" s="130"/>
      <c r="F345" s="130"/>
      <c r="G345" s="130"/>
      <c r="H345" s="66"/>
      <c r="I345" s="66"/>
      <c r="J345" s="66"/>
      <c r="K345" s="66"/>
      <c r="L345" s="66"/>
    </row>
    <row r="346">
      <c r="A346" s="55">
        <v>44520.0</v>
      </c>
      <c r="B346" s="118">
        <v>1.128</v>
      </c>
      <c r="C346" s="17">
        <v>218.33</v>
      </c>
      <c r="D346" s="130"/>
      <c r="E346" s="130"/>
      <c r="F346" s="130"/>
      <c r="G346" s="130"/>
      <c r="H346" s="66"/>
      <c r="I346" s="66"/>
      <c r="J346" s="66"/>
      <c r="K346" s="66"/>
      <c r="L346" s="66"/>
    </row>
    <row r="347">
      <c r="A347" s="55">
        <v>44519.0</v>
      </c>
      <c r="B347" s="118">
        <v>1.128</v>
      </c>
      <c r="C347" s="17">
        <v>215.83</v>
      </c>
      <c r="D347" s="130"/>
      <c r="E347" s="130"/>
      <c r="F347" s="130"/>
      <c r="G347" s="130"/>
      <c r="H347" s="66"/>
      <c r="I347" s="66"/>
      <c r="J347" s="66"/>
      <c r="K347" s="66"/>
      <c r="L347" s="66"/>
    </row>
    <row r="348">
      <c r="A348" s="55">
        <v>44518.0</v>
      </c>
      <c r="B348" s="118">
        <v>1.1369</v>
      </c>
      <c r="C348" s="17">
        <v>195.08</v>
      </c>
      <c r="D348" s="130"/>
      <c r="E348" s="130"/>
      <c r="F348" s="130"/>
      <c r="G348" s="130"/>
      <c r="H348" s="66"/>
      <c r="I348" s="66"/>
      <c r="J348" s="66"/>
      <c r="K348" s="66"/>
      <c r="L348" s="66"/>
    </row>
    <row r="349">
      <c r="A349" s="55">
        <v>44517.0</v>
      </c>
      <c r="B349" s="118">
        <v>1.1318</v>
      </c>
      <c r="C349" s="17">
        <v>219.11</v>
      </c>
      <c r="D349" s="130"/>
      <c r="E349" s="130"/>
      <c r="F349" s="130"/>
      <c r="G349" s="130"/>
      <c r="H349" s="66"/>
      <c r="I349" s="66"/>
      <c r="J349" s="66"/>
      <c r="K349" s="66"/>
      <c r="L349" s="66"/>
    </row>
    <row r="350">
      <c r="A350" s="55">
        <v>44516.0</v>
      </c>
      <c r="B350" s="118">
        <v>1.1318</v>
      </c>
      <c r="C350" s="17">
        <v>220.1</v>
      </c>
      <c r="D350" s="130"/>
      <c r="E350" s="130"/>
      <c r="F350" s="130"/>
      <c r="G350" s="130"/>
      <c r="H350" s="66"/>
      <c r="I350" s="66"/>
      <c r="J350" s="66"/>
      <c r="K350" s="66"/>
      <c r="L350" s="66"/>
    </row>
    <row r="351">
      <c r="A351" s="55">
        <v>44515.0</v>
      </c>
      <c r="B351" s="118">
        <v>1.1366</v>
      </c>
      <c r="C351" s="17">
        <v>238.76</v>
      </c>
      <c r="D351" s="130"/>
      <c r="E351" s="130"/>
      <c r="F351" s="130"/>
      <c r="G351" s="130"/>
      <c r="H351" s="66"/>
      <c r="I351" s="66"/>
      <c r="J351" s="66"/>
      <c r="K351" s="66"/>
      <c r="L351" s="66"/>
    </row>
    <row r="352">
      <c r="A352" s="55">
        <v>44514.0</v>
      </c>
      <c r="B352" s="118">
        <v>1.1441</v>
      </c>
      <c r="C352" s="17">
        <v>239.51</v>
      </c>
      <c r="D352" s="130"/>
      <c r="E352" s="130"/>
      <c r="F352" s="130"/>
      <c r="G352" s="130"/>
      <c r="H352" s="66"/>
      <c r="I352" s="66"/>
      <c r="J352" s="66"/>
      <c r="K352" s="66"/>
      <c r="L352" s="66"/>
    </row>
    <row r="353">
      <c r="A353" s="55">
        <v>44513.0</v>
      </c>
      <c r="B353" s="118">
        <v>1.1444</v>
      </c>
      <c r="C353" s="17">
        <v>241.33</v>
      </c>
      <c r="D353" s="130"/>
      <c r="E353" s="130"/>
      <c r="F353" s="130"/>
      <c r="G353" s="130"/>
      <c r="H353" s="66"/>
      <c r="I353" s="66"/>
      <c r="J353" s="66"/>
      <c r="K353" s="66"/>
      <c r="L353" s="66"/>
    </row>
    <row r="354">
      <c r="A354" s="55">
        <v>44512.0</v>
      </c>
      <c r="B354" s="118">
        <v>1.1445</v>
      </c>
      <c r="C354" s="17">
        <v>229.4</v>
      </c>
      <c r="D354" s="130"/>
      <c r="E354" s="130"/>
      <c r="F354" s="130"/>
      <c r="G354" s="130"/>
      <c r="H354" s="66"/>
      <c r="I354" s="66"/>
      <c r="J354" s="66"/>
      <c r="K354" s="66"/>
      <c r="L354" s="66"/>
    </row>
    <row r="355">
      <c r="A355" s="55">
        <v>44511.0</v>
      </c>
      <c r="B355" s="118">
        <v>1.1448</v>
      </c>
      <c r="C355" s="17">
        <v>234.86</v>
      </c>
      <c r="D355" s="130"/>
      <c r="E355" s="130"/>
      <c r="F355" s="130"/>
      <c r="G355" s="130"/>
      <c r="H355" s="66"/>
      <c r="I355" s="66"/>
      <c r="J355" s="66"/>
      <c r="K355" s="66"/>
      <c r="L355" s="66"/>
    </row>
    <row r="356">
      <c r="A356" s="55">
        <v>44510.0</v>
      </c>
      <c r="B356" s="118">
        <v>1.1486</v>
      </c>
      <c r="C356" s="17">
        <v>233.07</v>
      </c>
      <c r="D356" s="130"/>
      <c r="E356" s="130"/>
      <c r="F356" s="130"/>
      <c r="G356" s="130"/>
      <c r="H356" s="66"/>
      <c r="I356" s="66"/>
      <c r="J356" s="66"/>
      <c r="K356" s="66"/>
      <c r="L356" s="66"/>
    </row>
    <row r="357">
      <c r="A357" s="55">
        <v>44509.0</v>
      </c>
      <c r="B357" s="118">
        <v>1.1594</v>
      </c>
      <c r="C357" s="17">
        <v>239.42</v>
      </c>
      <c r="D357" s="130"/>
      <c r="E357" s="130"/>
      <c r="F357" s="130"/>
      <c r="G357" s="130"/>
      <c r="H357" s="66"/>
      <c r="I357" s="66"/>
      <c r="J357" s="66"/>
      <c r="K357" s="66"/>
      <c r="L357" s="66"/>
    </row>
    <row r="358">
      <c r="A358" s="55">
        <v>44508.0</v>
      </c>
      <c r="B358" s="118">
        <v>1.1587</v>
      </c>
      <c r="C358" s="17">
        <v>248.82</v>
      </c>
      <c r="D358" s="130"/>
      <c r="E358" s="130"/>
      <c r="F358" s="130"/>
      <c r="G358" s="130"/>
      <c r="H358" s="66"/>
      <c r="I358" s="66"/>
      <c r="J358" s="66"/>
      <c r="K358" s="66"/>
      <c r="L358" s="66"/>
    </row>
    <row r="359">
      <c r="A359" s="55">
        <v>44507.0</v>
      </c>
      <c r="B359" s="118">
        <v>1.1569</v>
      </c>
      <c r="C359" s="17">
        <v>250.36</v>
      </c>
      <c r="D359" s="130"/>
      <c r="E359" s="130"/>
      <c r="F359" s="130"/>
      <c r="G359" s="130"/>
      <c r="H359" s="66"/>
      <c r="I359" s="66"/>
      <c r="J359" s="66"/>
      <c r="K359" s="66"/>
      <c r="L359" s="66"/>
    </row>
    <row r="360">
      <c r="A360" s="55">
        <v>44506.0</v>
      </c>
      <c r="B360" s="118">
        <v>1.1552</v>
      </c>
      <c r="C360" s="17">
        <v>259.24</v>
      </c>
      <c r="D360" s="130"/>
      <c r="E360" s="130"/>
      <c r="F360" s="130"/>
      <c r="G360" s="130"/>
      <c r="H360" s="66"/>
      <c r="I360" s="66"/>
      <c r="J360" s="66"/>
      <c r="K360" s="66"/>
      <c r="L360" s="66"/>
    </row>
    <row r="361">
      <c r="A361" s="55">
        <v>44505.0</v>
      </c>
      <c r="B361" s="118">
        <v>1.1552</v>
      </c>
      <c r="C361" s="17">
        <v>237.89</v>
      </c>
      <c r="D361" s="130"/>
      <c r="E361" s="130"/>
      <c r="F361" s="130"/>
      <c r="G361" s="130"/>
      <c r="H361" s="66"/>
      <c r="I361" s="66"/>
      <c r="J361" s="66"/>
      <c r="K361" s="66"/>
      <c r="L361" s="66"/>
    </row>
    <row r="362">
      <c r="A362" s="55">
        <v>44504.0</v>
      </c>
      <c r="B362" s="118">
        <v>1.1554</v>
      </c>
      <c r="C362" s="17">
        <v>249.06</v>
      </c>
      <c r="D362" s="130"/>
      <c r="E362" s="130"/>
      <c r="F362" s="130"/>
      <c r="G362" s="130"/>
      <c r="H362" s="66"/>
      <c r="I362" s="66"/>
      <c r="J362" s="66"/>
      <c r="K362" s="66"/>
      <c r="L362" s="66"/>
    </row>
    <row r="363">
      <c r="A363" s="55">
        <v>44503.0</v>
      </c>
      <c r="B363" s="118">
        <v>1.1617</v>
      </c>
      <c r="C363" s="17">
        <v>242.05</v>
      </c>
      <c r="D363" s="130"/>
      <c r="E363" s="130"/>
      <c r="F363" s="130"/>
      <c r="G363" s="130"/>
      <c r="H363" s="66"/>
      <c r="I363" s="66"/>
      <c r="J363" s="66"/>
      <c r="K363" s="66"/>
      <c r="L363" s="66"/>
    </row>
    <row r="364">
      <c r="A364" s="55">
        <v>44502.0</v>
      </c>
      <c r="B364" s="118">
        <v>1.1579</v>
      </c>
      <c r="C364" s="17">
        <v>220.65</v>
      </c>
      <c r="D364" s="130"/>
      <c r="E364" s="130"/>
      <c r="F364" s="130"/>
      <c r="G364" s="130"/>
      <c r="H364" s="66"/>
      <c r="I364" s="66"/>
      <c r="J364" s="66"/>
      <c r="K364" s="66"/>
      <c r="L364" s="66"/>
    </row>
    <row r="365">
      <c r="A365" s="55">
        <v>44501.0</v>
      </c>
      <c r="B365" s="118">
        <v>1.1598</v>
      </c>
      <c r="C365" s="17">
        <v>203.81</v>
      </c>
      <c r="D365" s="130"/>
      <c r="E365" s="130"/>
      <c r="F365" s="130"/>
      <c r="G365" s="130"/>
      <c r="H365" s="66"/>
      <c r="I365" s="66"/>
      <c r="J365" s="66"/>
      <c r="K365" s="66"/>
      <c r="L365" s="66"/>
    </row>
    <row r="366">
      <c r="A366" s="55">
        <v>44500.0</v>
      </c>
      <c r="B366" s="118">
        <v>1.1559</v>
      </c>
      <c r="C366" s="17">
        <v>202.39</v>
      </c>
      <c r="D366" s="130"/>
      <c r="E366" s="130"/>
      <c r="F366" s="130"/>
      <c r="G366" s="130"/>
      <c r="H366" s="66"/>
      <c r="I366" s="66"/>
      <c r="J366" s="66"/>
      <c r="K366" s="66"/>
      <c r="L366" s="66"/>
    </row>
    <row r="367">
      <c r="A367" s="55">
        <v>44499.0</v>
      </c>
      <c r="B367" s="118">
        <v>1.1561</v>
      </c>
      <c r="C367" s="17">
        <v>193.34</v>
      </c>
      <c r="D367" s="130"/>
      <c r="E367" s="130"/>
      <c r="F367" s="130"/>
      <c r="G367" s="130"/>
      <c r="H367" s="66"/>
      <c r="I367" s="66"/>
      <c r="J367" s="66"/>
      <c r="K367" s="66"/>
      <c r="L367" s="66"/>
    </row>
    <row r="368">
      <c r="A368" s="55">
        <v>44498.0</v>
      </c>
      <c r="B368" s="118">
        <v>1.1561</v>
      </c>
      <c r="C368" s="17">
        <v>199.78</v>
      </c>
      <c r="D368" s="130"/>
      <c r="E368" s="130"/>
      <c r="F368" s="130"/>
      <c r="G368" s="130"/>
      <c r="H368" s="66"/>
      <c r="I368" s="66"/>
      <c r="J368" s="66"/>
      <c r="K368" s="66"/>
      <c r="L368" s="66"/>
    </row>
    <row r="369">
      <c r="A369" s="55">
        <v>44497.0</v>
      </c>
      <c r="B369" s="118">
        <v>1.1683</v>
      </c>
      <c r="C369" s="17">
        <v>195.09</v>
      </c>
      <c r="D369" s="130"/>
      <c r="E369" s="130"/>
      <c r="F369" s="130"/>
      <c r="G369" s="130"/>
      <c r="H369" s="66"/>
      <c r="I369" s="66"/>
      <c r="J369" s="66"/>
      <c r="K369" s="66"/>
      <c r="L369" s="66"/>
    </row>
    <row r="370">
      <c r="A370" s="55">
        <v>44496.0</v>
      </c>
      <c r="B370" s="118">
        <v>1.1602</v>
      </c>
      <c r="C370" s="17">
        <v>183.54</v>
      </c>
      <c r="D370" s="130"/>
      <c r="E370" s="130"/>
      <c r="F370" s="130"/>
      <c r="G370" s="130"/>
      <c r="H370" s="66"/>
      <c r="I370" s="66"/>
      <c r="J370" s="66"/>
      <c r="K370" s="66"/>
      <c r="L370" s="66"/>
    </row>
    <row r="371">
      <c r="A371" s="55">
        <v>44495.0</v>
      </c>
      <c r="B371" s="118">
        <v>1.1595</v>
      </c>
      <c r="C371" s="17">
        <v>199.75</v>
      </c>
      <c r="D371" s="130"/>
      <c r="E371" s="130"/>
      <c r="F371" s="130"/>
      <c r="G371" s="130"/>
      <c r="H371" s="66"/>
      <c r="I371" s="66"/>
      <c r="J371" s="66"/>
      <c r="K371" s="66"/>
      <c r="L371" s="66"/>
    </row>
    <row r="372">
      <c r="A372" s="55">
        <v>44494.0</v>
      </c>
      <c r="B372" s="118">
        <v>1.1608</v>
      </c>
      <c r="C372" s="17">
        <v>211.19</v>
      </c>
      <c r="D372" s="130"/>
      <c r="E372" s="130"/>
      <c r="F372" s="130"/>
      <c r="G372" s="130"/>
      <c r="H372" s="66"/>
      <c r="I372" s="66"/>
      <c r="J372" s="66"/>
      <c r="K372" s="66"/>
      <c r="L372" s="66"/>
    </row>
    <row r="373">
      <c r="A373" s="55">
        <v>44493.0</v>
      </c>
      <c r="B373" s="118">
        <v>1.1645</v>
      </c>
      <c r="C373" s="17">
        <v>203.17</v>
      </c>
      <c r="D373" s="130"/>
      <c r="E373" s="130"/>
      <c r="F373" s="130"/>
      <c r="G373" s="130"/>
      <c r="H373" s="66"/>
      <c r="I373" s="66"/>
      <c r="J373" s="66"/>
      <c r="K373" s="66"/>
      <c r="L373" s="66"/>
    </row>
    <row r="374">
      <c r="A374" s="55">
        <v>44492.0</v>
      </c>
      <c r="B374" s="118">
        <v>1.1643</v>
      </c>
      <c r="C374" s="17">
        <v>198.31</v>
      </c>
      <c r="D374" s="130"/>
      <c r="E374" s="130"/>
      <c r="F374" s="130"/>
      <c r="G374" s="130"/>
      <c r="H374" s="66"/>
      <c r="I374" s="66"/>
      <c r="J374" s="66"/>
      <c r="K374" s="66"/>
      <c r="L374" s="66"/>
    </row>
    <row r="375">
      <c r="A375" s="55">
        <v>44491.0</v>
      </c>
      <c r="B375" s="118">
        <v>1.1646</v>
      </c>
      <c r="C375" s="17">
        <v>197.83</v>
      </c>
      <c r="D375" s="130"/>
      <c r="E375" s="130"/>
      <c r="F375" s="130"/>
      <c r="G375" s="130"/>
      <c r="H375" s="66"/>
      <c r="I375" s="66"/>
      <c r="J375" s="66"/>
      <c r="K375" s="66"/>
      <c r="L375" s="66"/>
    </row>
    <row r="376">
      <c r="A376" s="55">
        <v>44490.0</v>
      </c>
      <c r="B376" s="118">
        <v>1.1624</v>
      </c>
      <c r="C376" s="17">
        <v>189.06</v>
      </c>
      <c r="D376" s="130"/>
      <c r="E376" s="130"/>
      <c r="F376" s="130"/>
      <c r="G376" s="130"/>
      <c r="H376" s="66"/>
      <c r="I376" s="66"/>
      <c r="J376" s="66"/>
      <c r="K376" s="66"/>
      <c r="L376" s="66"/>
    </row>
    <row r="377">
      <c r="A377" s="55">
        <v>44489.0</v>
      </c>
      <c r="B377" s="118">
        <v>1.1652</v>
      </c>
      <c r="C377" s="17">
        <v>175.6</v>
      </c>
      <c r="D377" s="130"/>
      <c r="E377" s="130"/>
      <c r="F377" s="130"/>
      <c r="G377" s="130"/>
      <c r="H377" s="66"/>
      <c r="I377" s="66"/>
      <c r="J377" s="66"/>
      <c r="K377" s="66"/>
      <c r="L377" s="66"/>
    </row>
    <row r="378">
      <c r="A378" s="55">
        <v>44488.0</v>
      </c>
      <c r="B378" s="118">
        <v>1.1635</v>
      </c>
      <c r="C378" s="17">
        <v>156.39</v>
      </c>
      <c r="D378" s="130"/>
      <c r="E378" s="130"/>
      <c r="F378" s="130"/>
      <c r="G378" s="130"/>
      <c r="H378" s="66"/>
      <c r="I378" s="66"/>
      <c r="J378" s="66"/>
      <c r="K378" s="66"/>
      <c r="L378" s="66"/>
    </row>
    <row r="379">
      <c r="A379" s="55">
        <v>44487.0</v>
      </c>
      <c r="B379" s="118">
        <v>1.1611</v>
      </c>
      <c r="C379" s="17">
        <v>157.38</v>
      </c>
      <c r="D379" s="130"/>
      <c r="E379" s="130"/>
      <c r="F379" s="130"/>
      <c r="G379" s="130"/>
      <c r="H379" s="66"/>
      <c r="I379" s="66"/>
      <c r="J379" s="66"/>
      <c r="K379" s="66"/>
      <c r="L379" s="66"/>
    </row>
    <row r="380">
      <c r="A380" s="55">
        <v>44486.0</v>
      </c>
      <c r="B380" s="118">
        <v>1.1599</v>
      </c>
      <c r="C380" s="17">
        <v>159.86</v>
      </c>
      <c r="D380" s="130"/>
      <c r="E380" s="130"/>
      <c r="F380" s="130"/>
      <c r="G380" s="130"/>
      <c r="H380" s="66"/>
      <c r="I380" s="66"/>
      <c r="J380" s="66"/>
      <c r="K380" s="66"/>
      <c r="L380" s="66"/>
    </row>
    <row r="381">
      <c r="A381" s="55">
        <v>44485.0</v>
      </c>
      <c r="B381" s="118">
        <v>1.16</v>
      </c>
      <c r="C381" s="17">
        <v>158.27</v>
      </c>
      <c r="D381" s="130"/>
      <c r="E381" s="130"/>
      <c r="F381" s="130"/>
      <c r="G381" s="130"/>
      <c r="H381" s="66"/>
      <c r="I381" s="66"/>
      <c r="J381" s="66"/>
      <c r="K381" s="66"/>
      <c r="L381" s="66"/>
    </row>
    <row r="382">
      <c r="A382" s="55">
        <v>44484.0</v>
      </c>
      <c r="B382" s="118">
        <v>1.1599</v>
      </c>
      <c r="C382" s="17">
        <v>162.98</v>
      </c>
      <c r="D382" s="130"/>
      <c r="E382" s="130"/>
      <c r="F382" s="130"/>
      <c r="G382" s="130"/>
      <c r="H382" s="66"/>
      <c r="I382" s="66"/>
      <c r="J382" s="66"/>
      <c r="K382" s="66"/>
      <c r="L382" s="66"/>
    </row>
    <row r="383">
      <c r="A383" s="55">
        <v>44483.0</v>
      </c>
      <c r="B383" s="118">
        <v>1.1598</v>
      </c>
      <c r="C383" s="17">
        <v>150.09</v>
      </c>
      <c r="D383" s="130"/>
      <c r="E383" s="130"/>
      <c r="F383" s="130"/>
      <c r="G383" s="130"/>
      <c r="H383" s="66"/>
      <c r="I383" s="66"/>
      <c r="J383" s="66"/>
      <c r="K383" s="66"/>
      <c r="L383" s="66"/>
    </row>
    <row r="384">
      <c r="A384" s="55">
        <v>44482.0</v>
      </c>
      <c r="B384" s="118">
        <v>1.1597</v>
      </c>
      <c r="C384" s="17">
        <v>148.39</v>
      </c>
      <c r="D384" s="130"/>
      <c r="E384" s="130"/>
      <c r="F384" s="130"/>
      <c r="G384" s="130"/>
      <c r="H384" s="66"/>
      <c r="I384" s="66"/>
      <c r="J384" s="66"/>
      <c r="K384" s="66"/>
      <c r="L384" s="66"/>
    </row>
    <row r="385">
      <c r="A385" s="55">
        <v>44481.0</v>
      </c>
      <c r="B385" s="118">
        <v>1.1532</v>
      </c>
      <c r="C385" s="17">
        <v>152.0</v>
      </c>
      <c r="D385" s="130"/>
      <c r="E385" s="130"/>
      <c r="F385" s="130"/>
      <c r="G385" s="130"/>
      <c r="H385" s="66"/>
      <c r="I385" s="66"/>
      <c r="J385" s="66"/>
      <c r="K385" s="66"/>
      <c r="L385" s="66"/>
    </row>
    <row r="386">
      <c r="A386" s="55">
        <v>44480.0</v>
      </c>
      <c r="B386" s="118">
        <v>1.155</v>
      </c>
      <c r="C386" s="17">
        <v>144.86</v>
      </c>
      <c r="D386" s="130"/>
      <c r="E386" s="130"/>
      <c r="F386" s="130"/>
      <c r="G386" s="130"/>
      <c r="H386" s="66"/>
      <c r="I386" s="66"/>
      <c r="J386" s="66"/>
      <c r="K386" s="66"/>
      <c r="L386" s="66"/>
    </row>
    <row r="387">
      <c r="A387" s="55">
        <v>44479.0</v>
      </c>
      <c r="B387" s="118">
        <v>1.157</v>
      </c>
      <c r="C387" s="17">
        <v>147.7</v>
      </c>
      <c r="D387" s="130"/>
      <c r="E387" s="130"/>
      <c r="F387" s="130"/>
      <c r="G387" s="130"/>
      <c r="H387" s="66"/>
      <c r="I387" s="66"/>
      <c r="J387" s="66"/>
      <c r="K387" s="66"/>
      <c r="L387" s="66"/>
    </row>
    <row r="388">
      <c r="A388" s="55">
        <v>44478.0</v>
      </c>
      <c r="B388" s="118">
        <v>1.157</v>
      </c>
      <c r="C388" s="17">
        <v>157.34</v>
      </c>
      <c r="D388" s="130"/>
      <c r="E388" s="130"/>
      <c r="F388" s="130"/>
      <c r="G388" s="130"/>
      <c r="H388" s="66"/>
      <c r="I388" s="66"/>
      <c r="J388" s="66"/>
      <c r="K388" s="66"/>
      <c r="L388" s="66"/>
    </row>
    <row r="389">
      <c r="A389" s="55">
        <v>44477.0</v>
      </c>
      <c r="B389" s="118">
        <v>1.1575</v>
      </c>
      <c r="C389" s="17">
        <v>158.91</v>
      </c>
      <c r="D389" s="130"/>
      <c r="E389" s="130"/>
      <c r="F389" s="130"/>
      <c r="G389" s="130"/>
      <c r="H389" s="66"/>
      <c r="I389" s="66"/>
      <c r="J389" s="66"/>
      <c r="K389" s="66"/>
      <c r="L389" s="66"/>
    </row>
    <row r="390">
      <c r="A390" s="55">
        <v>44476.0</v>
      </c>
      <c r="B390" s="118">
        <v>1.1555</v>
      </c>
      <c r="C390" s="17">
        <v>154.26</v>
      </c>
      <c r="D390" s="130"/>
      <c r="E390" s="130"/>
      <c r="F390" s="130"/>
      <c r="G390" s="130"/>
      <c r="H390" s="66"/>
      <c r="I390" s="66"/>
      <c r="J390" s="66"/>
      <c r="K390" s="66"/>
      <c r="L390" s="66"/>
    </row>
    <row r="391">
      <c r="A391" s="55">
        <v>44475.0</v>
      </c>
      <c r="B391" s="118">
        <v>1.1554</v>
      </c>
      <c r="C391" s="17">
        <v>154.09</v>
      </c>
      <c r="D391" s="130"/>
      <c r="E391" s="130"/>
      <c r="F391" s="130"/>
      <c r="G391" s="130"/>
      <c r="H391" s="66"/>
      <c r="I391" s="66"/>
      <c r="J391" s="66"/>
      <c r="K391" s="66"/>
      <c r="L391" s="66"/>
    </row>
    <row r="392">
      <c r="A392" s="55">
        <v>44474.0</v>
      </c>
      <c r="B392" s="118">
        <v>1.1598</v>
      </c>
      <c r="C392" s="17">
        <v>164.37</v>
      </c>
      <c r="D392" s="130"/>
      <c r="E392" s="130"/>
      <c r="F392" s="130"/>
      <c r="G392" s="130"/>
      <c r="H392" s="66"/>
      <c r="I392" s="66"/>
      <c r="J392" s="66"/>
      <c r="K392" s="66"/>
      <c r="L392" s="66"/>
    </row>
    <row r="393">
      <c r="A393" s="55">
        <v>44473.0</v>
      </c>
      <c r="B393" s="118">
        <v>1.1617</v>
      </c>
      <c r="C393" s="17">
        <v>167.88</v>
      </c>
      <c r="D393" s="130"/>
      <c r="E393" s="130"/>
      <c r="F393" s="130"/>
      <c r="G393" s="130"/>
      <c r="H393" s="66"/>
      <c r="I393" s="66"/>
      <c r="J393" s="66"/>
      <c r="K393" s="66"/>
      <c r="L393" s="66"/>
    </row>
    <row r="394">
      <c r="A394" s="55">
        <v>44472.0</v>
      </c>
      <c r="B394" s="118">
        <v>1.1608</v>
      </c>
      <c r="C394" s="17">
        <v>172.86</v>
      </c>
      <c r="D394" s="130"/>
      <c r="E394" s="130"/>
      <c r="F394" s="130"/>
      <c r="G394" s="130"/>
      <c r="H394" s="66"/>
      <c r="I394" s="66"/>
      <c r="J394" s="66"/>
      <c r="K394" s="66"/>
      <c r="L394" s="66"/>
    </row>
    <row r="395">
      <c r="A395" s="55">
        <v>44471.0</v>
      </c>
      <c r="B395" s="118">
        <v>1.1594</v>
      </c>
      <c r="C395" s="17">
        <v>169.21</v>
      </c>
      <c r="D395" s="130"/>
      <c r="E395" s="130"/>
      <c r="F395" s="130"/>
      <c r="G395" s="130"/>
      <c r="H395" s="66"/>
      <c r="I395" s="66"/>
      <c r="J395" s="66"/>
      <c r="K395" s="66"/>
      <c r="L395" s="66"/>
    </row>
    <row r="396">
      <c r="A396" s="55">
        <v>44470.0</v>
      </c>
      <c r="B396" s="118">
        <v>1.1596</v>
      </c>
      <c r="C396" s="17">
        <v>161.37</v>
      </c>
      <c r="D396" s="130"/>
      <c r="E396" s="130"/>
      <c r="F396" s="130"/>
      <c r="G396" s="130"/>
      <c r="H396" s="66"/>
      <c r="I396" s="66"/>
      <c r="J396" s="66"/>
      <c r="K396" s="66"/>
      <c r="L396" s="66"/>
    </row>
    <row r="397">
      <c r="A397" s="55">
        <v>44469.0</v>
      </c>
      <c r="B397" s="118">
        <v>1.1581</v>
      </c>
      <c r="C397" s="17">
        <v>141.18</v>
      </c>
      <c r="D397" s="130"/>
      <c r="E397" s="130"/>
      <c r="F397" s="130"/>
      <c r="G397" s="130"/>
      <c r="H397" s="66"/>
      <c r="I397" s="66"/>
      <c r="J397" s="66"/>
      <c r="K397" s="66"/>
      <c r="L397" s="66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1" t="s">
        <v>19</v>
      </c>
      <c r="B1" s="132" t="str">
        <f t="array" ref="B1:E1">TRANSPOSE(Dashboard!$A$2:$A$5)</f>
        <v>Transfered</v>
      </c>
      <c r="C1" s="132" t="s">
        <v>6</v>
      </c>
      <c r="D1" s="132" t="s">
        <v>7</v>
      </c>
      <c r="E1" s="132" t="s">
        <v>8</v>
      </c>
      <c r="F1" s="132" t="str">
        <f>Dashboard!$A$7</f>
        <v>TOTAL</v>
      </c>
      <c r="G1" s="132" t="str">
        <f>Dashboard!$A$8</f>
        <v>Bought Price</v>
      </c>
      <c r="H1" s="132" t="str">
        <f>IFERROR(__xludf.DUMMYFUNCTION("INDEX(SPLIT(Dashboard!$A$9,"" ""),1)"),"Price")</f>
        <v>Price</v>
      </c>
      <c r="I1" s="132" t="str">
        <f>Dashboard!$A$10</f>
        <v>Profit</v>
      </c>
      <c r="J1" s="132" t="s">
        <v>109</v>
      </c>
      <c r="K1" s="132" t="s">
        <v>25</v>
      </c>
      <c r="L1" s="132" t="s">
        <v>26</v>
      </c>
    </row>
    <row r="2">
      <c r="A2" s="55">
        <f>TODAY()</f>
        <v>44864</v>
      </c>
      <c r="B2" s="133">
        <f t="array" ref="B2:E2">TRANSPOSE(Dashboard!$D$2:Dashboard!$D$5)</f>
        <v>292000</v>
      </c>
      <c r="C2" s="133">
        <v>-1939.0069367545923</v>
      </c>
      <c r="D2" s="133">
        <v>1730.8022271628142</v>
      </c>
      <c r="E2" s="133">
        <v>-130678.0143271097</v>
      </c>
      <c r="F2" s="133">
        <f>Dashboard!$D$7</f>
        <v>161113.781</v>
      </c>
      <c r="G2" s="133">
        <f t="array" ref="G2:I2">TRANSPOSE(Dashboard!$D$8:$D$10)</f>
        <v>56.9906835</v>
      </c>
      <c r="H2" s="133">
        <v>32.83821758329988</v>
      </c>
      <c r="I2" s="133">
        <v>-130886.21903670146</v>
      </c>
      <c r="J2" s="134">
        <f>Dashboard!$E$10</f>
        <v>-0.4809678577</v>
      </c>
      <c r="K2" s="133">
        <f t="shared" ref="K2:L2" si="1">INDEX(I:I,ROW())-INDEX(I:I,ROW()+1)</f>
        <v>-2313.556471</v>
      </c>
      <c r="L2" s="134">
        <f t="shared" si="1"/>
        <v>0.001117264546</v>
      </c>
    </row>
    <row r="3">
      <c r="A3" s="61">
        <v>44835.0</v>
      </c>
      <c r="B3" s="133">
        <v>291999.99999999994</v>
      </c>
      <c r="C3" s="133">
        <v>-1939.0069367545923</v>
      </c>
      <c r="D3" s="133">
        <v>6206.815994196426</v>
      </c>
      <c r="E3" s="133">
        <v>-132840.47162310197</v>
      </c>
      <c r="F3" s="133">
        <v>163427.33743433983</v>
      </c>
      <c r="G3" s="133">
        <v>57.933764249798486</v>
      </c>
      <c r="H3" s="133">
        <v>33.38162378338673</v>
      </c>
      <c r="I3" s="133">
        <v>-128572.66256566011</v>
      </c>
      <c r="J3" s="134">
        <v>-0.48208512225947964</v>
      </c>
      <c r="K3" s="133">
        <v>11050.934597037092</v>
      </c>
      <c r="L3" s="134">
        <v>0.02236219768558667</v>
      </c>
    </row>
    <row r="4">
      <c r="A4" s="61">
        <v>44805.0</v>
      </c>
      <c r="B4" s="133">
        <v>292013.5325485461</v>
      </c>
      <c r="C4" s="133">
        <v>-1951.7104465482175</v>
      </c>
      <c r="D4" s="133">
        <v>-4184.634839658072</v>
      </c>
      <c r="E4" s="133">
        <v>-133487.2518764909</v>
      </c>
      <c r="F4" s="133">
        <v>152389.9353858489</v>
      </c>
      <c r="G4" s="133">
        <v>56.45637636814121</v>
      </c>
      <c r="H4" s="133">
        <v>31.784695226827594</v>
      </c>
      <c r="I4" s="133">
        <v>-139623.5971626972</v>
      </c>
      <c r="J4" s="134">
        <v>-0.5044473199450663</v>
      </c>
      <c r="K4" s="133">
        <v>-40421.353766746135</v>
      </c>
      <c r="L4" s="134">
        <v>0.022661156325193055</v>
      </c>
    </row>
    <row r="5">
      <c r="A5" s="61">
        <v>44774.0</v>
      </c>
      <c r="B5" s="133">
        <v>197000.0</v>
      </c>
      <c r="C5" s="133">
        <v>-1532.0308276763358</v>
      </c>
      <c r="D5" s="133">
        <v>-20444.985510717568</v>
      </c>
      <c r="E5" s="133">
        <v>-77225.22705755717</v>
      </c>
      <c r="F5" s="133">
        <v>97797.75660404893</v>
      </c>
      <c r="G5" s="133">
        <v>66.57615531626674</v>
      </c>
      <c r="H5" s="133">
        <v>41.52076527318609</v>
      </c>
      <c r="I5" s="133">
        <v>-99202.24339595107</v>
      </c>
      <c r="J5" s="134">
        <v>-0.5271084762702594</v>
      </c>
      <c r="K5" s="133">
        <v>19431.409007061957</v>
      </c>
      <c r="L5" s="134">
        <v>0.18032721372491833</v>
      </c>
    </row>
    <row r="6">
      <c r="A6" s="61">
        <v>44743.0</v>
      </c>
      <c r="B6" s="133">
        <v>170700.0</v>
      </c>
      <c r="C6" s="133">
        <v>-1526.6259547250622</v>
      </c>
      <c r="D6" s="133">
        <v>-24229.34283282014</v>
      </c>
      <c r="E6" s="133">
        <v>-91534.60523428526</v>
      </c>
      <c r="F6" s="133">
        <v>52066.34759698697</v>
      </c>
      <c r="G6" s="133">
        <v>71.44891332932649</v>
      </c>
      <c r="H6" s="133">
        <v>31.552348651531023</v>
      </c>
      <c r="I6" s="133">
        <v>-118633.65240301302</v>
      </c>
      <c r="J6" s="134">
        <v>-0.7074356899951777</v>
      </c>
      <c r="K6" s="133">
        <v>-4291.13240301302</v>
      </c>
      <c r="L6" s="134">
        <v>0.16986431000482227</v>
      </c>
    </row>
    <row r="7">
      <c r="A7" s="61">
        <v>44713.0</v>
      </c>
      <c r="B7" s="133">
        <v>130700.0</v>
      </c>
      <c r="C7" s="133">
        <v>-1368.8953791232839</v>
      </c>
      <c r="D7" s="133">
        <v>-39087.8</v>
      </c>
      <c r="E7" s="133">
        <v>-72447.83</v>
      </c>
      <c r="F7" s="133">
        <v>16357.48</v>
      </c>
      <c r="G7" s="133">
        <v>98.18</v>
      </c>
      <c r="H7" s="133">
        <v>42.56</v>
      </c>
      <c r="I7" s="133">
        <v>-114342.52</v>
      </c>
      <c r="J7" s="134">
        <v>-0.8773</v>
      </c>
      <c r="K7" s="133">
        <v>-95721.89</v>
      </c>
      <c r="L7" s="134">
        <v>-0.7256</v>
      </c>
    </row>
    <row r="8">
      <c r="A8" s="61">
        <v>44682.0</v>
      </c>
      <c r="B8" s="133">
        <v>128000.0</v>
      </c>
      <c r="C8" s="133">
        <v>-1356.938015007654</v>
      </c>
      <c r="D8" s="133">
        <v>739.0</v>
      </c>
      <c r="E8" s="133">
        <v>-16523.37</v>
      </c>
      <c r="F8" s="133">
        <v>109379.37</v>
      </c>
      <c r="G8" s="133">
        <v>99.3</v>
      </c>
      <c r="H8" s="133">
        <v>86.2</v>
      </c>
      <c r="I8" s="133">
        <v>-18620.63</v>
      </c>
      <c r="J8" s="134">
        <v>-0.1517</v>
      </c>
      <c r="K8" s="133">
        <v>-20833.21</v>
      </c>
      <c r="L8" s="134">
        <v>-0.3106</v>
      </c>
    </row>
    <row r="9">
      <c r="A9" s="55">
        <v>44652.0</v>
      </c>
      <c r="B9" s="133">
        <v>14000.0</v>
      </c>
      <c r="C9" s="133">
        <v>-307.0412585692232</v>
      </c>
      <c r="D9" s="133">
        <v>135.78</v>
      </c>
      <c r="E9" s="133">
        <v>2378.11</v>
      </c>
      <c r="F9" s="133">
        <v>16212.58</v>
      </c>
      <c r="G9" s="133">
        <v>92.76</v>
      </c>
      <c r="H9" s="133">
        <v>79.04</v>
      </c>
      <c r="I9" s="133">
        <v>2212.58</v>
      </c>
      <c r="J9" s="134">
        <v>0.1589</v>
      </c>
      <c r="K9" s="133">
        <v>2259.7799999999997</v>
      </c>
      <c r="L9" s="134">
        <v>0.3805</v>
      </c>
    </row>
    <row r="10">
      <c r="A10" s="61">
        <v>44621.0</v>
      </c>
      <c r="B10" s="133">
        <v>213.02</v>
      </c>
      <c r="C10" s="133">
        <v>-7.334737408137676</v>
      </c>
      <c r="D10" s="133">
        <v>-14.9</v>
      </c>
      <c r="E10" s="133">
        <v>-12.86</v>
      </c>
      <c r="F10" s="133">
        <v>165.82</v>
      </c>
      <c r="G10" s="133">
        <v>76.38</v>
      </c>
      <c r="H10" s="133">
        <v>81.81</v>
      </c>
      <c r="I10" s="133">
        <v>-47.2</v>
      </c>
      <c r="J10" s="134">
        <v>-0.2216</v>
      </c>
      <c r="K10" s="133">
        <v>-47.2</v>
      </c>
      <c r="L10" s="134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63"/>
  </cols>
  <sheetData>
    <row r="1">
      <c r="A1" s="135" t="s">
        <v>110</v>
      </c>
      <c r="B1" s="136" t="s">
        <v>111</v>
      </c>
      <c r="C1" s="135" t="s">
        <v>112</v>
      </c>
      <c r="D1" s="136" t="s">
        <v>113</v>
      </c>
      <c r="E1" s="137" t="s">
        <v>114</v>
      </c>
      <c r="F1" s="132" t="s">
        <v>115</v>
      </c>
      <c r="G1" s="132" t="s">
        <v>116</v>
      </c>
      <c r="H1" s="132" t="s">
        <v>117</v>
      </c>
      <c r="I1" s="132" t="s">
        <v>118</v>
      </c>
      <c r="J1" s="53" t="s">
        <v>119</v>
      </c>
    </row>
    <row r="2">
      <c r="A2" s="96" t="s">
        <v>71</v>
      </c>
      <c r="B2" s="96" t="s">
        <v>120</v>
      </c>
      <c r="C2" s="138">
        <v>1.0</v>
      </c>
      <c r="D2" s="94" t="s">
        <v>64</v>
      </c>
      <c r="E2" s="59" t="str">
        <f t="shared" ref="E2:E10" si="1">IF($H2&lt;&gt;"",$F2/$H2*365.25,)</f>
        <v/>
      </c>
      <c r="F2" s="63" t="str">
        <f>IF($H2&lt;&gt;"",HLOOKUP("*("&amp;$A2&amp;")*",OFFSET(Price!A:A,0,0,2,10),2,FALSE)-1,)</f>
        <v/>
      </c>
      <c r="G2" s="139">
        <v>70.07</v>
      </c>
      <c r="H2" s="139"/>
      <c r="I2" s="140" t="str">
        <f t="shared" ref="I2:I10" si="2">IF($A2="SOL","Fee",IF($E2="","Pay","Defi"))</f>
        <v>Pay</v>
      </c>
      <c r="J2" s="141">
        <f>IFERROR(VLOOKUP($D2,Wallet!$A:$E,5,FALSE)*1,)</f>
        <v>70.07</v>
      </c>
    </row>
    <row r="3">
      <c r="A3" s="142" t="s">
        <v>57</v>
      </c>
      <c r="B3" s="143" t="s">
        <v>121</v>
      </c>
      <c r="C3" s="9">
        <f t="array" ref="C3">ROUNDDOWN(1/INDEX(Price!$B:$B,2),2)</f>
        <v>1</v>
      </c>
      <c r="D3" s="144" t="s">
        <v>122</v>
      </c>
      <c r="E3" s="59" t="str">
        <f t="shared" si="1"/>
        <v/>
      </c>
      <c r="F3" s="63" t="str">
        <f>IF($H3&lt;&gt;"",HLOOKUP("*("&amp;$A3&amp;")*",OFFSET(Price!A:A,0,0,2,10),2,FALSE)-1,)</f>
        <v/>
      </c>
      <c r="G3" s="139">
        <v>0.0</v>
      </c>
      <c r="H3" s="145"/>
      <c r="I3" s="140" t="str">
        <f t="shared" si="2"/>
        <v>Pay</v>
      </c>
      <c r="J3" s="141">
        <f>IFERROR(VLOOKUP($D3,Wallet!$A:$E,5,FALSE)*1,)</f>
        <v>0</v>
      </c>
    </row>
    <row r="4">
      <c r="A4" s="142" t="s">
        <v>92</v>
      </c>
      <c r="B4" s="143" t="s">
        <v>123</v>
      </c>
      <c r="C4" s="9">
        <f t="array" ref="C4">ROUNDDOWN(1/INDEX(Price!$B:$B,2),2)</f>
        <v>1</v>
      </c>
      <c r="D4" s="144" t="s">
        <v>90</v>
      </c>
      <c r="E4" s="59" t="str">
        <f t="shared" si="1"/>
        <v/>
      </c>
      <c r="F4" s="63" t="str">
        <f>IF($H4&lt;&gt;"",HLOOKUP("*("&amp;$A4&amp;")*",OFFSET(Price!A:A,0,0,2,10),2,FALSE)-1,)</f>
        <v/>
      </c>
      <c r="G4" s="139">
        <v>0.0</v>
      </c>
      <c r="H4" s="145"/>
      <c r="I4" s="140" t="str">
        <f t="shared" si="2"/>
        <v>Pay</v>
      </c>
      <c r="J4" s="141">
        <f>IFERROR(VLOOKUP($D4,Wallet!$A:$E,5,FALSE)*1,)</f>
        <v>0</v>
      </c>
    </row>
    <row r="5">
      <c r="A5" s="96" t="s">
        <v>1</v>
      </c>
      <c r="B5" s="96" t="s">
        <v>124</v>
      </c>
      <c r="C5" s="9">
        <f>Dashboard!$D$9*1.005</f>
        <v>33.00240867</v>
      </c>
      <c r="D5" s="95" t="s">
        <v>48</v>
      </c>
      <c r="E5" s="59" t="str">
        <f t="shared" si="1"/>
        <v/>
      </c>
      <c r="F5" s="63" t="str">
        <f>IF($H5&lt;&gt;"",HLOOKUP("*("&amp;$A5&amp;")*",OFFSET(Price!A:A,0,0,2,10),2,FALSE)-1,)</f>
        <v/>
      </c>
      <c r="G5" s="139">
        <v>0.09955</v>
      </c>
      <c r="H5" s="145"/>
      <c r="I5" s="140" t="str">
        <f t="shared" si="2"/>
        <v>Fee</v>
      </c>
      <c r="J5" s="141">
        <f>IFERROR(VLOOKUP($D5,Wallet!$A:$E,5,FALSE)*1,)</f>
        <v>0.09955</v>
      </c>
    </row>
    <row r="6">
      <c r="A6" s="96" t="s">
        <v>125</v>
      </c>
      <c r="B6" s="96" t="s">
        <v>126</v>
      </c>
      <c r="C6" s="24">
        <f>HLOOKUP("*("&amp;$A6&amp;")*",OFFSET(Price!A:A,0,0,2,10),2,FALSE)*$C$3</f>
        <v>1.00498289</v>
      </c>
      <c r="D6" s="95" t="s">
        <v>62</v>
      </c>
      <c r="E6" s="59">
        <f t="shared" si="1"/>
        <v>0.03137932038</v>
      </c>
      <c r="F6" s="63">
        <f>IF($H6&lt;&gt;"",HLOOKUP("*("&amp;$A6&amp;")*",OFFSET(Price!A:A,0,0,2,10),2,FALSE)-1,)</f>
        <v>0.004982890026</v>
      </c>
      <c r="G6" s="139">
        <v>0.0</v>
      </c>
      <c r="H6" s="145">
        <f>TODAY()-DATE(2022,9,2)</f>
        <v>58</v>
      </c>
      <c r="I6" s="140" t="str">
        <f t="shared" si="2"/>
        <v>Defi</v>
      </c>
      <c r="J6" s="141">
        <f>IFERROR(VLOOKUP($D6,Wallet!$A:$E,5,FALSE)*1,)</f>
        <v>0</v>
      </c>
    </row>
    <row r="7">
      <c r="A7" s="96" t="s">
        <v>127</v>
      </c>
      <c r="B7" s="96" t="s">
        <v>128</v>
      </c>
      <c r="C7" s="24">
        <f>HLOOKUP("*("&amp;$A7&amp;")*",OFFSET(Price!A:A,0,0,2,10),2,FALSE)*$C$3</f>
        <v>1.140277893</v>
      </c>
      <c r="D7" s="95" t="s">
        <v>94</v>
      </c>
      <c r="E7" s="59">
        <f t="shared" si="1"/>
        <v>0.2523965529</v>
      </c>
      <c r="F7" s="63">
        <f>IF($H7&lt;&gt;"",HLOOKUP("*("&amp;$A7&amp;")*",OFFSET(Price!A:A,0,0,2,10),2,FALSE)-1,)</f>
        <v>0.1402778925</v>
      </c>
      <c r="G7" s="139">
        <v>0.0</v>
      </c>
      <c r="H7" s="145">
        <f>TODAY()-DATE(2022,4,10)</f>
        <v>203</v>
      </c>
      <c r="I7" s="140" t="str">
        <f t="shared" si="2"/>
        <v>Defi</v>
      </c>
      <c r="J7" s="141">
        <f>IFERROR(VLOOKUP($D7,Wallet!$A:$E,5,FALSE)*1,)</f>
        <v>0</v>
      </c>
    </row>
    <row r="8">
      <c r="A8" s="96" t="s">
        <v>79</v>
      </c>
      <c r="B8" s="96" t="s">
        <v>129</v>
      </c>
      <c r="C8" s="24">
        <f>HLOOKUP("*("&amp;$A8&amp;")*",OFFSET(Price!A:A,0,0,2,10),2,FALSE)*$C$5</f>
        <v>40.64567724</v>
      </c>
      <c r="D8" s="95" t="s">
        <v>75</v>
      </c>
      <c r="E8" s="59">
        <f t="shared" si="1"/>
        <v>0.2728739092</v>
      </c>
      <c r="F8" s="63">
        <f>IF($H8&lt;&gt;"",HLOOKUP("*("&amp;$A8&amp;")*",OFFSET(Price!A:A,0,0,2,10),2,FALSE)-1,)</f>
        <v>0.2315972946</v>
      </c>
      <c r="G8" s="139">
        <v>0.0</v>
      </c>
      <c r="H8" s="145">
        <f>TODAY()-DATE(2021,12,24)</f>
        <v>310</v>
      </c>
      <c r="I8" s="140" t="str">
        <f t="shared" si="2"/>
        <v>Defi</v>
      </c>
      <c r="J8" s="141">
        <f>IFERROR(VLOOKUP($D8,Wallet!$A:$E,5,FALSE)*1,)</f>
        <v>0</v>
      </c>
    </row>
    <row r="9">
      <c r="A9" s="96" t="s">
        <v>130</v>
      </c>
      <c r="B9" s="96" t="s">
        <v>131</v>
      </c>
      <c r="C9" s="24">
        <f>HLOOKUP("*("&amp;$A9&amp;")*",OFFSET(Price!A:A,0,0,2,10),2,FALSE)*$C$5</f>
        <v>39.5010623</v>
      </c>
      <c r="D9" s="95" t="s">
        <v>86</v>
      </c>
      <c r="E9" s="59">
        <f t="shared" si="1"/>
        <v>0.2911863572</v>
      </c>
      <c r="F9" s="63">
        <f>IF($H9&lt;&gt;"",HLOOKUP("*("&amp;$A9&amp;")*",OFFSET(Price!A:A,0,0,2,10),2,FALSE)-1,)</f>
        <v>0.1969145249</v>
      </c>
      <c r="G9" s="139">
        <v>4099.113807524</v>
      </c>
      <c r="H9" s="145">
        <f>TODAY()-DATE(2022,2,25)</f>
        <v>247</v>
      </c>
      <c r="I9" s="140" t="str">
        <f t="shared" si="2"/>
        <v>Defi</v>
      </c>
      <c r="J9" s="141">
        <f>IFERROR(VLOOKUP($D9,Wallet!$A:$E,5,FALSE)*1,)</f>
        <v>4099.113808</v>
      </c>
    </row>
    <row r="10">
      <c r="A10" s="96" t="s">
        <v>132</v>
      </c>
      <c r="B10" s="96" t="s">
        <v>133</v>
      </c>
      <c r="C10" s="24">
        <f>HLOOKUP("*("&amp;$A10&amp;")*",OFFSET(Price!A:A,0,0,2,10),2,FALSE)*$C$2</f>
        <v>1</v>
      </c>
      <c r="D10" s="94" t="s">
        <v>58</v>
      </c>
      <c r="E10" s="59">
        <f t="shared" si="1"/>
        <v>0</v>
      </c>
      <c r="F10" s="63">
        <f>IF($H10&lt;&gt;"",HLOOKUP("*("&amp;$A10&amp;")*",OFFSET(Price!A:A,0,0,2,10),2,FALSE)-1,)</f>
        <v>0</v>
      </c>
      <c r="G10" s="139">
        <v>0.0</v>
      </c>
      <c r="H10" s="145">
        <f>TODAY()-DATE(2022,10,4)</f>
        <v>26</v>
      </c>
      <c r="I10" s="140" t="str">
        <f t="shared" si="2"/>
        <v>Defi</v>
      </c>
      <c r="J10" s="141">
        <f>IFERROR(VLOOKUP($D10,Wallet!$A:$E,5,FALSE)*1,)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6" t="s">
        <v>134</v>
      </c>
    </row>
    <row r="2">
      <c r="A2" s="146" t="s">
        <v>135</v>
      </c>
    </row>
    <row r="3">
      <c r="A3" s="146" t="s">
        <v>136</v>
      </c>
    </row>
    <row r="4">
      <c r="A4" s="146" t="s">
        <v>137</v>
      </c>
    </row>
    <row r="5">
      <c r="A5" s="146" t="s">
        <v>138</v>
      </c>
    </row>
    <row r="6">
      <c r="A6" s="146" t="s">
        <v>139</v>
      </c>
    </row>
    <row r="7">
      <c r="A7" s="146" t="s">
        <v>140</v>
      </c>
    </row>
    <row r="8">
      <c r="A8" s="146" t="s">
        <v>141</v>
      </c>
    </row>
    <row r="9">
      <c r="A9" s="147">
        <v>44997.63</v>
      </c>
    </row>
    <row r="10">
      <c r="A10" s="146" t="s">
        <v>142</v>
      </c>
    </row>
    <row r="11">
      <c r="A11" s="147">
        <v>10986.28</v>
      </c>
    </row>
    <row r="12">
      <c r="A12" s="146" t="s">
        <v>143</v>
      </c>
    </row>
    <row r="13">
      <c r="A13" s="147">
        <v>34011.36</v>
      </c>
    </row>
    <row r="14">
      <c r="A14" s="146" t="s">
        <v>144</v>
      </c>
    </row>
    <row r="15">
      <c r="A15" s="8">
        <v>0.8286</v>
      </c>
    </row>
    <row r="16">
      <c r="A16" s="146" t="s">
        <v>145</v>
      </c>
    </row>
    <row r="17">
      <c r="A17" s="147">
        <v>33748.23</v>
      </c>
    </row>
    <row r="18">
      <c r="A18" s="146">
        <v>75.0</v>
      </c>
    </row>
    <row r="19">
      <c r="A19" s="146" t="s">
        <v>146</v>
      </c>
    </row>
    <row r="20">
      <c r="A20" s="147">
        <v>35998.11</v>
      </c>
    </row>
    <row r="21">
      <c r="A21" s="146">
        <v>80.0</v>
      </c>
    </row>
    <row r="22">
      <c r="A22" s="146" t="s">
        <v>147</v>
      </c>
    </row>
    <row r="23">
      <c r="A23" s="146" t="s">
        <v>148</v>
      </c>
    </row>
    <row r="24">
      <c r="A24" s="146" t="s">
        <v>149</v>
      </c>
    </row>
    <row r="25">
      <c r="A25" s="146" t="s">
        <v>150</v>
      </c>
    </row>
    <row r="26">
      <c r="A26" s="146" t="s">
        <v>151</v>
      </c>
    </row>
    <row r="27">
      <c r="A27" s="146" t="s">
        <v>152</v>
      </c>
      <c r="B27" s="146" t="s">
        <v>141</v>
      </c>
      <c r="C27" s="146" t="s">
        <v>153</v>
      </c>
      <c r="D27" s="146" t="s">
        <v>154</v>
      </c>
      <c r="E27" s="146" t="s">
        <v>155</v>
      </c>
      <c r="F27" s="146" t="s">
        <v>156</v>
      </c>
    </row>
    <row r="28">
      <c r="A28" s="146" t="s">
        <v>157</v>
      </c>
      <c r="B28" s="96" t="s">
        <v>158</v>
      </c>
      <c r="C28" s="146" t="s">
        <v>159</v>
      </c>
      <c r="D28" s="146" t="s">
        <v>160</v>
      </c>
      <c r="F28" s="146" t="s">
        <v>161</v>
      </c>
    </row>
    <row r="29">
      <c r="A29" s="146" t="s">
        <v>162</v>
      </c>
    </row>
    <row r="30">
      <c r="A30" s="146" t="s">
        <v>152</v>
      </c>
      <c r="B30" s="146" t="s">
        <v>143</v>
      </c>
      <c r="C30" s="146" t="s">
        <v>163</v>
      </c>
      <c r="D30" s="146" t="s">
        <v>154</v>
      </c>
      <c r="E30" s="146" t="s">
        <v>164</v>
      </c>
      <c r="F30" s="146" t="s">
        <v>165</v>
      </c>
    </row>
    <row r="31">
      <c r="A31" s="146" t="s">
        <v>166</v>
      </c>
      <c r="B31" s="96" t="s">
        <v>167</v>
      </c>
      <c r="C31" s="146" t="s">
        <v>168</v>
      </c>
      <c r="D31" s="146" t="s">
        <v>169</v>
      </c>
      <c r="E31" s="146" t="s">
        <v>170</v>
      </c>
      <c r="F31" s="146" t="s">
        <v>171</v>
      </c>
    </row>
    <row r="32">
      <c r="A32" s="146" t="s">
        <v>172</v>
      </c>
    </row>
    <row r="33">
      <c r="A33" s="146" t="s">
        <v>152</v>
      </c>
      <c r="B33" s="146" t="s">
        <v>173</v>
      </c>
      <c r="C33" s="146" t="s">
        <v>174</v>
      </c>
      <c r="D33" s="146" t="s">
        <v>175</v>
      </c>
      <c r="E33" s="146" t="s">
        <v>176</v>
      </c>
      <c r="F33" s="146" t="s">
        <v>177</v>
      </c>
    </row>
    <row r="34">
      <c r="A34" s="146" t="s">
        <v>178</v>
      </c>
      <c r="B34" s="146" t="s">
        <v>179</v>
      </c>
      <c r="C34" s="146" t="s">
        <v>180</v>
      </c>
      <c r="D34" s="146" t="s">
        <v>181</v>
      </c>
      <c r="E34" s="146" t="s">
        <v>182</v>
      </c>
      <c r="F34" s="146" t="s">
        <v>183</v>
      </c>
    </row>
    <row r="35">
      <c r="A35" s="146" t="s">
        <v>178</v>
      </c>
      <c r="B35" s="146" t="s">
        <v>184</v>
      </c>
      <c r="C35" s="146" t="s">
        <v>185</v>
      </c>
      <c r="D35" s="146" t="s">
        <v>186</v>
      </c>
      <c r="E35" s="146" t="s">
        <v>187</v>
      </c>
      <c r="F35" s="146" t="s">
        <v>183</v>
      </c>
    </row>
    <row r="36">
      <c r="A36" s="146" t="s">
        <v>178</v>
      </c>
      <c r="B36" s="146" t="s">
        <v>184</v>
      </c>
      <c r="C36" s="146" t="s">
        <v>185</v>
      </c>
      <c r="D36" s="146" t="s">
        <v>188</v>
      </c>
      <c r="E36" s="146" t="s">
        <v>189</v>
      </c>
      <c r="F36" s="146" t="s">
        <v>183</v>
      </c>
    </row>
    <row r="37">
      <c r="A37" s="146" t="s">
        <v>178</v>
      </c>
      <c r="B37" s="146" t="s">
        <v>190</v>
      </c>
      <c r="C37" s="146" t="s">
        <v>191</v>
      </c>
      <c r="D37" s="146" t="s">
        <v>192</v>
      </c>
      <c r="E37" s="146" t="s">
        <v>193</v>
      </c>
      <c r="F37" s="146" t="s">
        <v>183</v>
      </c>
    </row>
    <row r="38">
      <c r="A38" s="146" t="s">
        <v>178</v>
      </c>
      <c r="B38" s="146" t="s">
        <v>194</v>
      </c>
      <c r="C38" s="146" t="s">
        <v>195</v>
      </c>
      <c r="D38" s="146" t="s">
        <v>196</v>
      </c>
      <c r="E38" s="146" t="s">
        <v>197</v>
      </c>
      <c r="F38" s="146" t="s">
        <v>183</v>
      </c>
    </row>
    <row r="39">
      <c r="A39" s="146" t="s">
        <v>178</v>
      </c>
      <c r="B39" s="146" t="s">
        <v>198</v>
      </c>
      <c r="C39" s="146" t="s">
        <v>199</v>
      </c>
      <c r="D39" s="146" t="s">
        <v>200</v>
      </c>
      <c r="E39" s="146" t="s">
        <v>201</v>
      </c>
      <c r="F39" s="146" t="s">
        <v>183</v>
      </c>
    </row>
    <row r="40">
      <c r="A40" s="146" t="s">
        <v>178</v>
      </c>
      <c r="B40" s="146" t="s">
        <v>202</v>
      </c>
      <c r="C40" s="146" t="s">
        <v>203</v>
      </c>
      <c r="D40" s="146" t="s">
        <v>204</v>
      </c>
      <c r="E40" s="146" t="s">
        <v>205</v>
      </c>
      <c r="F40" s="146" t="s">
        <v>183</v>
      </c>
    </row>
    <row r="41">
      <c r="A41" s="148" t="s">
        <v>206</v>
      </c>
    </row>
    <row r="42">
      <c r="A42" s="146" t="s">
        <v>207</v>
      </c>
    </row>
    <row r="43">
      <c r="A43" s="146" t="s">
        <v>208</v>
      </c>
    </row>
    <row r="44">
      <c r="A44" s="146"/>
    </row>
  </sheetData>
  <hyperlinks>
    <hyperlink r:id="rId1" ref="A4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40.75"/>
    <col customWidth="1" min="5" max="5" width="13.25"/>
  </cols>
  <sheetData>
    <row r="1">
      <c r="A1" s="30" t="s">
        <v>110</v>
      </c>
      <c r="B1" s="30" t="s">
        <v>209</v>
      </c>
      <c r="C1" s="30" t="s">
        <v>210</v>
      </c>
      <c r="D1" s="149"/>
      <c r="E1" s="150" t="s">
        <v>119</v>
      </c>
    </row>
    <row r="2">
      <c r="A2" s="6" t="str">
        <f t="array" ref="A2:A12">TRANSPOSE(OFFSET(Price!A:AAF,0,1,1))</f>
        <v>EUR to USD</v>
      </c>
      <c r="B2" s="151">
        <v>0.9964</v>
      </c>
      <c r="C2" s="152">
        <v>44864.05000158565</v>
      </c>
      <c r="D2" s="96" t="s">
        <v>211</v>
      </c>
      <c r="E2" s="153">
        <f>IFERROR(__xludf.DUMMYFUNCTION("IMPORTXML(""https://www.xe.com/en/currencyconverter/convert/?Amount=1000&amp;From=EUR&amp;To=USD""&amp;INDEX($D:$D,2),""//p[@class='result__BigRate-sc-1bsijpp-1 iGrAod']"")/1000"),0.9964)</f>
        <v>0.9964</v>
      </c>
    </row>
    <row r="3">
      <c r="A3" s="17" t="s">
        <v>103</v>
      </c>
      <c r="B3" s="17">
        <v>32.72</v>
      </c>
      <c r="C3" s="152">
        <v>44864.05000158565</v>
      </c>
      <c r="D3" s="96" t="s">
        <v>1</v>
      </c>
      <c r="E3" s="23">
        <f t="array" ref="E3">IF($D3&lt;&gt;"",VLOOKUP($D3,FriktionData!$D:$F,3,0),INDEX(ImportJSON("https://api.coingecko.com/api/v3/simple/price?ids=Solana&amp;vs_currencies=usd"&amp;INDEX($D:$D,2),,"noHeaders,noInherit"),0))*1</f>
        <v>32.72</v>
      </c>
    </row>
    <row r="4">
      <c r="A4" s="17" t="s">
        <v>104</v>
      </c>
      <c r="B4" s="154">
        <v>1.0</v>
      </c>
      <c r="C4" s="152">
        <v>44864.05000158565</v>
      </c>
      <c r="E4" s="23">
        <f>B4</f>
        <v>1</v>
      </c>
    </row>
    <row r="5">
      <c r="A5" s="17" t="s">
        <v>105</v>
      </c>
      <c r="B5" s="130">
        <v>1.23159729464035</v>
      </c>
      <c r="C5" s="152">
        <v>44864.05000158565</v>
      </c>
      <c r="D5" s="96" t="str">
        <f>IFERROR(__xludf.DUMMYFUNCTION("INDEX(SPLIT($A5,""()""),2)"),"fcSOL")</f>
        <v>fcSOL</v>
      </c>
      <c r="E5" s="23">
        <f>IFERROR(__xludf.DUMMYFUNCTION("VLOOKUP($D5,FriktionData!$C:$I,IF(INDEX(SPLIT($A5,"" ""),2)&lt;&gt;""Interest"",3,7),0)*1"),1.23159729464035)</f>
        <v>1.231597295</v>
      </c>
    </row>
    <row r="6">
      <c r="A6" s="17" t="s">
        <v>106</v>
      </c>
      <c r="B6" s="23">
        <v>1.19691452491279</v>
      </c>
      <c r="C6" s="152">
        <v>44864.05000158565</v>
      </c>
      <c r="D6" s="96" t="str">
        <f>IFERROR(__xludf.DUMMYFUNCTION("INDEX(SPLIT($A6,""()""),2)"),"fcSOLHigh")</f>
        <v>fcSOLHigh</v>
      </c>
      <c r="E6" s="23">
        <f>IFERROR(__xludf.DUMMYFUNCTION("VLOOKUP($D6,FriktionData!$C:$I,IF(INDEX(SPLIT($A6,"" ""),2)&lt;&gt;""Interest"",3,7),0)*1"),1.19691452491279)</f>
        <v>1.196914525</v>
      </c>
    </row>
    <row r="7">
      <c r="A7" s="17" t="s">
        <v>107</v>
      </c>
      <c r="B7" s="23">
        <v>1.00498289002634</v>
      </c>
      <c r="C7" s="152">
        <v>44864.05000158565</v>
      </c>
      <c r="D7" s="96" t="str">
        <f>IFERROR(__xludf.DUMMYFUNCTION("INDEX(SPLIT($A7,""()""),2)"),"fprotSOL")</f>
        <v>fprotSOL</v>
      </c>
      <c r="E7" s="23">
        <f>IFERROR(__xludf.DUMMYFUNCTION("VLOOKUP($D7,FriktionData!$C:$I,IF(INDEX(SPLIT($A7,"" ""),2)&lt;&gt;""Interest"",3,7),0)*1"),1.00498289002634)</f>
        <v>1.00498289</v>
      </c>
    </row>
    <row r="8">
      <c r="A8" s="17" t="s">
        <v>108</v>
      </c>
      <c r="B8" s="23">
        <v>1.14027789251054</v>
      </c>
      <c r="C8" s="152">
        <v>44864.05000158565</v>
      </c>
      <c r="D8" s="96" t="str">
        <f>IFERROR(__xludf.DUMMYFUNCTION("INDEX(SPLIT($A8,""()""),2)"),"fcrabBTC")</f>
        <v>fcrabBTC</v>
      </c>
      <c r="E8" s="23">
        <f>IFERROR(__xludf.DUMMYFUNCTION("VLOOKUP($D8,FriktionData!$C:$I,IF(INDEX(SPLIT($A8,"" ""),2)&lt;&gt;""Interest"",3,7),0)*1"),1.14027789251054)</f>
        <v>1.140277893</v>
      </c>
    </row>
    <row r="9">
      <c r="A9" s="17" t="s">
        <v>212</v>
      </c>
      <c r="B9" s="23">
        <v>0.2</v>
      </c>
      <c r="C9" s="152">
        <v>44864.05000158565</v>
      </c>
      <c r="D9" s="96" t="str">
        <f>OFFSET($D:$D,4,0,4)</f>
        <v>fcSOL</v>
      </c>
      <c r="E9" s="23">
        <f>IFERROR(__xludf.DUMMYFUNCTION("VLOOKUP($D9,FriktionData!$C:$I,IF(INDEX(SPLIT($A9,"" ""),2)&lt;&gt;""Interest"",3,7),0)*1"),0.2)</f>
        <v>0.2</v>
      </c>
    </row>
    <row r="10">
      <c r="A10" s="17" t="s">
        <v>213</v>
      </c>
      <c r="B10" s="23">
        <v>0.39</v>
      </c>
      <c r="C10" s="152">
        <v>44864.05000158565</v>
      </c>
      <c r="D10" s="93" t="s">
        <v>130</v>
      </c>
      <c r="E10" s="23">
        <f>IFERROR(__xludf.DUMMYFUNCTION("VLOOKUP($D10,FriktionData!$C:$I,IF(INDEX(SPLIT($A10,"" ""),2)&lt;&gt;""Interest"",3,7),0)*1"),0.39)</f>
        <v>0.39</v>
      </c>
    </row>
    <row r="11">
      <c r="A11" s="17" t="s">
        <v>214</v>
      </c>
      <c r="B11" s="23">
        <v>0.0</v>
      </c>
      <c r="C11" s="152">
        <v>44864.05000158565</v>
      </c>
      <c r="D11" s="143" t="s">
        <v>125</v>
      </c>
      <c r="E11" s="23">
        <f>IFERROR(__xludf.DUMMYFUNCTION("VLOOKUP($D11,FriktionData!$C:$I,IF(INDEX(SPLIT($A11,"" ""),2)&lt;&gt;""Interest"",3,7),0)*1"),0.0)</f>
        <v>0</v>
      </c>
    </row>
    <row r="12">
      <c r="A12" s="17" t="s">
        <v>215</v>
      </c>
      <c r="B12" s="23">
        <v>0.33</v>
      </c>
      <c r="C12" s="152">
        <v>44864.05000158565</v>
      </c>
      <c r="D12" s="143" t="s">
        <v>127</v>
      </c>
      <c r="E12" s="23">
        <f>IFERROR(__xludf.DUMMYFUNCTION("VLOOKUP($D12,FriktionData!$C:$I,IF(INDEX(SPLIT($A12,"" ""),2)&lt;&gt;""Interest"",3,7),0)*1"),0.33)</f>
        <v>0.33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5.88"/>
    <col customWidth="1" min="3" max="3" width="26.88"/>
    <col customWidth="1" min="4" max="4" width="10.0"/>
  </cols>
  <sheetData>
    <row r="1">
      <c r="A1" s="93" t="str">
        <f t="array" ref="A1:I40">ImportJSON("https://friktion-labs.github.io/mainnet-tvl-snapshots/friktionSnapshot.json"&amp;INDEX(PriceCache!$D:$D,2),"/allMainnetVolts/globalId,/allMainnetVolts/shareTokenMint,/allMainnetVolts/shareTokenSymbol,/allMainnetVolts/depositTokenSymbol,/allMainnetVolts/shareTokenPrice,/allMainnetVolts/depositTokenPrice,/allMainnetVolts/tvlDepositToken,/allMainnetVolts/capacityD"&amp;"epositToken,/allMainnetVolts/latestEpochYield","noInherit,rawHeaders")</f>
        <v>/allMainnetVolts/globalId</v>
      </c>
      <c r="B1" s="94" t="s">
        <v>216</v>
      </c>
      <c r="C1" s="93" t="s">
        <v>217</v>
      </c>
      <c r="D1" s="93" t="s">
        <v>218</v>
      </c>
      <c r="E1" s="93" t="s">
        <v>219</v>
      </c>
      <c r="F1" s="93" t="s">
        <v>220</v>
      </c>
      <c r="G1" s="93" t="s">
        <v>221</v>
      </c>
      <c r="H1" s="93" t="s">
        <v>222</v>
      </c>
      <c r="I1" s="93" t="s">
        <v>223</v>
      </c>
    </row>
    <row r="2">
      <c r="A2" s="93" t="s">
        <v>224</v>
      </c>
      <c r="B2" s="94" t="s">
        <v>225</v>
      </c>
      <c r="C2" s="93" t="s">
        <v>226</v>
      </c>
      <c r="D2" s="93" t="s">
        <v>227</v>
      </c>
      <c r="E2" s="93" t="s">
        <v>228</v>
      </c>
      <c r="F2" s="93" t="s">
        <v>229</v>
      </c>
      <c r="G2" s="93" t="s">
        <v>230</v>
      </c>
      <c r="H2" s="93" t="s">
        <v>231</v>
      </c>
      <c r="I2" s="93" t="s">
        <v>232</v>
      </c>
    </row>
    <row r="3">
      <c r="A3" s="93" t="s">
        <v>233</v>
      </c>
      <c r="B3" s="94" t="s">
        <v>75</v>
      </c>
      <c r="C3" s="93" t="s">
        <v>79</v>
      </c>
      <c r="D3" s="93" t="s">
        <v>1</v>
      </c>
      <c r="E3" s="93" t="s">
        <v>234</v>
      </c>
      <c r="F3" s="93" t="s">
        <v>235</v>
      </c>
      <c r="G3" s="93" t="s">
        <v>236</v>
      </c>
      <c r="H3" s="93" t="s">
        <v>237</v>
      </c>
      <c r="I3" s="93" t="s">
        <v>238</v>
      </c>
    </row>
    <row r="4">
      <c r="A4" s="93" t="s">
        <v>239</v>
      </c>
      <c r="B4" s="94" t="s">
        <v>86</v>
      </c>
      <c r="C4" s="93" t="s">
        <v>130</v>
      </c>
      <c r="D4" s="93" t="s">
        <v>1</v>
      </c>
      <c r="E4" s="93" t="s">
        <v>240</v>
      </c>
      <c r="F4" s="93" t="s">
        <v>235</v>
      </c>
      <c r="G4" s="93" t="s">
        <v>241</v>
      </c>
      <c r="H4" s="93" t="s">
        <v>242</v>
      </c>
      <c r="I4" s="93" t="s">
        <v>243</v>
      </c>
    </row>
    <row r="5">
      <c r="A5" s="93" t="s">
        <v>244</v>
      </c>
      <c r="B5" s="94" t="s">
        <v>245</v>
      </c>
      <c r="C5" s="93" t="s">
        <v>246</v>
      </c>
      <c r="D5" s="93" t="s">
        <v>247</v>
      </c>
      <c r="E5" s="93" t="s">
        <v>248</v>
      </c>
      <c r="F5" s="93" t="s">
        <v>249</v>
      </c>
      <c r="G5" s="93" t="s">
        <v>250</v>
      </c>
      <c r="H5" s="93" t="s">
        <v>251</v>
      </c>
      <c r="I5" s="93" t="s">
        <v>252</v>
      </c>
    </row>
    <row r="6">
      <c r="A6" s="93" t="s">
        <v>253</v>
      </c>
      <c r="B6" s="94" t="s">
        <v>254</v>
      </c>
      <c r="C6" s="93" t="s">
        <v>255</v>
      </c>
      <c r="D6" s="93" t="s">
        <v>256</v>
      </c>
      <c r="E6" s="93" t="s">
        <v>257</v>
      </c>
      <c r="F6" s="93" t="s">
        <v>258</v>
      </c>
      <c r="G6" s="93" t="s">
        <v>259</v>
      </c>
      <c r="H6" s="93" t="s">
        <v>260</v>
      </c>
      <c r="I6" s="93" t="s">
        <v>261</v>
      </c>
    </row>
    <row r="7">
      <c r="A7" s="93" t="s">
        <v>262</v>
      </c>
      <c r="B7" s="94" t="s">
        <v>263</v>
      </c>
      <c r="C7" s="93" t="s">
        <v>264</v>
      </c>
      <c r="D7" s="93" t="s">
        <v>265</v>
      </c>
      <c r="E7" s="93" t="s">
        <v>73</v>
      </c>
      <c r="F7" s="93" t="s">
        <v>266</v>
      </c>
      <c r="G7" s="93" t="s">
        <v>267</v>
      </c>
      <c r="H7" s="93" t="s">
        <v>268</v>
      </c>
      <c r="I7" s="93">
        <v>0.0</v>
      </c>
    </row>
    <row r="8">
      <c r="A8" s="93" t="s">
        <v>269</v>
      </c>
      <c r="B8" s="94" t="s">
        <v>270</v>
      </c>
      <c r="C8" s="93" t="s">
        <v>271</v>
      </c>
      <c r="D8" s="93" t="s">
        <v>272</v>
      </c>
      <c r="E8" s="93" t="s">
        <v>273</v>
      </c>
      <c r="F8" s="93" t="s">
        <v>274</v>
      </c>
      <c r="G8" s="93" t="s">
        <v>275</v>
      </c>
      <c r="H8" s="93" t="s">
        <v>276</v>
      </c>
      <c r="I8" s="93" t="s">
        <v>277</v>
      </c>
    </row>
    <row r="9">
      <c r="A9" s="93" t="s">
        <v>278</v>
      </c>
      <c r="B9" s="94" t="s">
        <v>279</v>
      </c>
      <c r="C9" s="93" t="s">
        <v>280</v>
      </c>
      <c r="D9" s="93" t="s">
        <v>281</v>
      </c>
      <c r="E9" s="93" t="s">
        <v>282</v>
      </c>
      <c r="F9" s="93" t="s">
        <v>283</v>
      </c>
      <c r="G9" s="93" t="s">
        <v>284</v>
      </c>
      <c r="H9" s="93" t="s">
        <v>285</v>
      </c>
      <c r="I9" s="93" t="s">
        <v>286</v>
      </c>
    </row>
    <row r="10">
      <c r="A10" s="93" t="s">
        <v>287</v>
      </c>
      <c r="B10" s="94" t="s">
        <v>288</v>
      </c>
      <c r="C10" s="93" t="s">
        <v>289</v>
      </c>
      <c r="D10" s="93" t="s">
        <v>290</v>
      </c>
      <c r="E10" s="93" t="s">
        <v>291</v>
      </c>
      <c r="F10" s="93" t="s">
        <v>292</v>
      </c>
      <c r="G10" s="93" t="s">
        <v>293</v>
      </c>
      <c r="H10" s="93" t="s">
        <v>294</v>
      </c>
      <c r="I10" s="93" t="s">
        <v>243</v>
      </c>
    </row>
    <row r="11">
      <c r="A11" s="93" t="s">
        <v>295</v>
      </c>
      <c r="B11" s="94" t="s">
        <v>296</v>
      </c>
      <c r="C11" s="93" t="s">
        <v>297</v>
      </c>
      <c r="D11" s="93" t="s">
        <v>298</v>
      </c>
      <c r="E11" s="93" t="s">
        <v>299</v>
      </c>
      <c r="F11" s="93" t="s">
        <v>300</v>
      </c>
      <c r="G11" s="93" t="s">
        <v>301</v>
      </c>
      <c r="H11" s="93" t="s">
        <v>302</v>
      </c>
      <c r="I11" s="93" t="s">
        <v>303</v>
      </c>
    </row>
    <row r="12">
      <c r="A12" s="93" t="s">
        <v>304</v>
      </c>
      <c r="B12" s="94" t="s">
        <v>305</v>
      </c>
      <c r="C12" s="93" t="s">
        <v>306</v>
      </c>
      <c r="D12" s="93" t="s">
        <v>307</v>
      </c>
      <c r="E12" s="93" t="s">
        <v>308</v>
      </c>
      <c r="F12" s="93" t="s">
        <v>309</v>
      </c>
      <c r="G12" s="93" t="s">
        <v>310</v>
      </c>
      <c r="H12" s="93" t="s">
        <v>311</v>
      </c>
      <c r="I12" s="93" t="s">
        <v>238</v>
      </c>
    </row>
    <row r="13">
      <c r="A13" s="93" t="s">
        <v>312</v>
      </c>
      <c r="B13" s="94" t="s">
        <v>313</v>
      </c>
      <c r="C13" s="93" t="s">
        <v>314</v>
      </c>
      <c r="D13" s="93" t="s">
        <v>315</v>
      </c>
      <c r="E13" s="93" t="s">
        <v>316</v>
      </c>
      <c r="F13" s="93" t="s">
        <v>317</v>
      </c>
      <c r="G13" s="93" t="s">
        <v>318</v>
      </c>
      <c r="H13" s="93" t="s">
        <v>319</v>
      </c>
      <c r="I13" s="93" t="s">
        <v>320</v>
      </c>
    </row>
    <row r="14">
      <c r="A14" s="93" t="s">
        <v>321</v>
      </c>
      <c r="B14" s="94" t="s">
        <v>322</v>
      </c>
      <c r="C14" s="93" t="s">
        <v>323</v>
      </c>
      <c r="D14" s="93" t="s">
        <v>324</v>
      </c>
      <c r="E14" s="93" t="s">
        <v>325</v>
      </c>
      <c r="F14" s="93" t="s">
        <v>326</v>
      </c>
      <c r="G14" s="93" t="s">
        <v>327</v>
      </c>
      <c r="H14" s="93" t="s">
        <v>328</v>
      </c>
      <c r="I14" s="93" t="s">
        <v>61</v>
      </c>
    </row>
    <row r="15">
      <c r="A15" s="93" t="s">
        <v>329</v>
      </c>
      <c r="B15" s="94" t="s">
        <v>330</v>
      </c>
      <c r="C15" s="93" t="s">
        <v>331</v>
      </c>
      <c r="D15" s="93" t="s">
        <v>332</v>
      </c>
      <c r="E15" s="93" t="s">
        <v>333</v>
      </c>
      <c r="F15" s="93" t="s">
        <v>334</v>
      </c>
      <c r="G15" s="93" t="s">
        <v>335</v>
      </c>
      <c r="H15" s="93" t="s">
        <v>268</v>
      </c>
      <c r="I15" s="93" t="s">
        <v>336</v>
      </c>
    </row>
    <row r="16">
      <c r="A16" s="93" t="s">
        <v>337</v>
      </c>
      <c r="B16" s="94" t="s">
        <v>338</v>
      </c>
      <c r="C16" s="93" t="s">
        <v>339</v>
      </c>
      <c r="D16" s="93" t="s">
        <v>340</v>
      </c>
      <c r="E16" s="93" t="s">
        <v>341</v>
      </c>
      <c r="F16" s="93" t="s">
        <v>342</v>
      </c>
      <c r="G16" s="93" t="s">
        <v>343</v>
      </c>
      <c r="H16" s="93" t="s">
        <v>302</v>
      </c>
      <c r="I16" s="93" t="s">
        <v>344</v>
      </c>
    </row>
    <row r="17">
      <c r="A17" s="93" t="s">
        <v>345</v>
      </c>
      <c r="B17" s="94" t="s">
        <v>346</v>
      </c>
      <c r="C17" s="93" t="s">
        <v>347</v>
      </c>
      <c r="D17" s="93" t="s">
        <v>348</v>
      </c>
      <c r="E17" s="93" t="s">
        <v>349</v>
      </c>
      <c r="F17" s="93" t="s">
        <v>350</v>
      </c>
      <c r="G17" s="93" t="s">
        <v>351</v>
      </c>
      <c r="H17" s="93" t="s">
        <v>352</v>
      </c>
      <c r="I17" s="93" t="s">
        <v>238</v>
      </c>
    </row>
    <row r="18">
      <c r="A18" s="93" t="s">
        <v>353</v>
      </c>
      <c r="B18" s="94" t="s">
        <v>354</v>
      </c>
      <c r="C18" s="93" t="s">
        <v>355</v>
      </c>
      <c r="D18" s="93" t="s">
        <v>356</v>
      </c>
      <c r="E18" s="93" t="s">
        <v>357</v>
      </c>
      <c r="F18" s="93" t="s">
        <v>358</v>
      </c>
      <c r="G18" s="93" t="s">
        <v>359</v>
      </c>
      <c r="H18" s="93" t="s">
        <v>360</v>
      </c>
      <c r="I18" s="93" t="s">
        <v>361</v>
      </c>
    </row>
    <row r="19">
      <c r="A19" s="93" t="s">
        <v>362</v>
      </c>
      <c r="B19" s="94" t="s">
        <v>363</v>
      </c>
      <c r="C19" s="93" t="s">
        <v>364</v>
      </c>
      <c r="D19" s="93" t="s">
        <v>365</v>
      </c>
      <c r="E19" s="93" t="s">
        <v>366</v>
      </c>
      <c r="F19" s="93" t="s">
        <v>367</v>
      </c>
      <c r="G19" s="93" t="s">
        <v>368</v>
      </c>
      <c r="H19" s="93" t="s">
        <v>369</v>
      </c>
      <c r="I19" s="93" t="s">
        <v>370</v>
      </c>
    </row>
    <row r="20">
      <c r="A20" s="93" t="s">
        <v>371</v>
      </c>
      <c r="B20" s="94" t="s">
        <v>372</v>
      </c>
      <c r="C20" s="93" t="s">
        <v>373</v>
      </c>
      <c r="D20" s="93" t="s">
        <v>374</v>
      </c>
      <c r="E20" s="93" t="s">
        <v>375</v>
      </c>
      <c r="F20" s="93" t="s">
        <v>376</v>
      </c>
      <c r="G20" s="93" t="s">
        <v>377</v>
      </c>
      <c r="H20" s="93" t="s">
        <v>378</v>
      </c>
      <c r="I20" s="93" t="s">
        <v>61</v>
      </c>
    </row>
    <row r="21">
      <c r="A21" s="93" t="s">
        <v>379</v>
      </c>
      <c r="B21" s="94" t="s">
        <v>380</v>
      </c>
      <c r="C21" s="93" t="s">
        <v>381</v>
      </c>
      <c r="D21" s="93" t="s">
        <v>57</v>
      </c>
      <c r="E21" s="93" t="s">
        <v>382</v>
      </c>
      <c r="F21" s="93" t="s">
        <v>73</v>
      </c>
      <c r="G21" s="93" t="s">
        <v>383</v>
      </c>
      <c r="H21" s="93" t="s">
        <v>384</v>
      </c>
      <c r="I21" s="93" t="s">
        <v>277</v>
      </c>
    </row>
    <row r="22">
      <c r="A22" s="93" t="s">
        <v>385</v>
      </c>
      <c r="B22" s="94" t="s">
        <v>386</v>
      </c>
      <c r="C22" s="93" t="s">
        <v>387</v>
      </c>
      <c r="D22" s="93" t="s">
        <v>57</v>
      </c>
      <c r="E22" s="93" t="s">
        <v>388</v>
      </c>
      <c r="F22" s="93" t="s">
        <v>73</v>
      </c>
      <c r="G22" s="93" t="s">
        <v>389</v>
      </c>
      <c r="H22" s="93" t="s">
        <v>384</v>
      </c>
      <c r="I22" s="93" t="s">
        <v>261</v>
      </c>
    </row>
    <row r="23">
      <c r="A23" s="93" t="s">
        <v>390</v>
      </c>
      <c r="B23" s="94" t="s">
        <v>391</v>
      </c>
      <c r="C23" s="93" t="s">
        <v>392</v>
      </c>
      <c r="D23" s="93" t="s">
        <v>57</v>
      </c>
      <c r="E23" s="93" t="s">
        <v>393</v>
      </c>
      <c r="F23" s="93" t="s">
        <v>73</v>
      </c>
      <c r="G23" s="93" t="s">
        <v>394</v>
      </c>
      <c r="H23" s="93" t="s">
        <v>395</v>
      </c>
      <c r="I23" s="93" t="s">
        <v>396</v>
      </c>
    </row>
    <row r="24">
      <c r="A24" s="93" t="s">
        <v>397</v>
      </c>
      <c r="B24" s="94" t="s">
        <v>398</v>
      </c>
      <c r="C24" s="93" t="s">
        <v>399</v>
      </c>
      <c r="D24" s="93" t="s">
        <v>57</v>
      </c>
      <c r="E24" s="93" t="s">
        <v>400</v>
      </c>
      <c r="F24" s="93" t="s">
        <v>73</v>
      </c>
      <c r="G24" s="93" t="s">
        <v>401</v>
      </c>
      <c r="H24" s="93" t="s">
        <v>402</v>
      </c>
      <c r="I24" s="93" t="s">
        <v>403</v>
      </c>
    </row>
    <row r="25">
      <c r="A25" s="93" t="s">
        <v>404</v>
      </c>
      <c r="B25" s="94" t="s">
        <v>405</v>
      </c>
      <c r="C25" s="93" t="s">
        <v>406</v>
      </c>
      <c r="D25" s="93" t="s">
        <v>407</v>
      </c>
      <c r="E25" s="93" t="s">
        <v>408</v>
      </c>
      <c r="F25" s="93" t="s">
        <v>409</v>
      </c>
      <c r="G25" s="93" t="s">
        <v>410</v>
      </c>
      <c r="H25" s="93" t="s">
        <v>411</v>
      </c>
      <c r="I25" s="93" t="s">
        <v>252</v>
      </c>
    </row>
    <row r="26">
      <c r="A26" s="93" t="s">
        <v>412</v>
      </c>
      <c r="B26" s="94" t="s">
        <v>413</v>
      </c>
      <c r="C26" s="93" t="s">
        <v>414</v>
      </c>
      <c r="D26" s="93" t="s">
        <v>415</v>
      </c>
      <c r="E26" s="93" t="s">
        <v>416</v>
      </c>
      <c r="F26" s="93" t="s">
        <v>409</v>
      </c>
      <c r="G26" s="93" t="s">
        <v>417</v>
      </c>
      <c r="H26" s="93" t="s">
        <v>411</v>
      </c>
      <c r="I26" s="93" t="s">
        <v>418</v>
      </c>
    </row>
    <row r="27">
      <c r="A27" s="93" t="s">
        <v>419</v>
      </c>
      <c r="B27" s="94" t="s">
        <v>420</v>
      </c>
      <c r="C27" s="93" t="s">
        <v>421</v>
      </c>
      <c r="D27" s="93" t="s">
        <v>422</v>
      </c>
      <c r="E27" s="93" t="s">
        <v>73</v>
      </c>
      <c r="F27" s="93" t="s">
        <v>409</v>
      </c>
      <c r="G27" s="93" t="s">
        <v>423</v>
      </c>
      <c r="H27" s="93" t="s">
        <v>424</v>
      </c>
      <c r="I27" s="93">
        <v>0.0</v>
      </c>
    </row>
    <row r="28">
      <c r="A28" s="93" t="s">
        <v>425</v>
      </c>
      <c r="B28" s="94" t="s">
        <v>426</v>
      </c>
      <c r="C28" s="93" t="s">
        <v>427</v>
      </c>
      <c r="D28" s="93" t="s">
        <v>57</v>
      </c>
      <c r="E28" s="93" t="s">
        <v>428</v>
      </c>
      <c r="F28" s="93" t="s">
        <v>73</v>
      </c>
      <c r="G28" s="93" t="s">
        <v>429</v>
      </c>
      <c r="H28" s="93" t="s">
        <v>430</v>
      </c>
      <c r="I28" s="93" t="s">
        <v>261</v>
      </c>
    </row>
    <row r="29">
      <c r="A29" s="93" t="s">
        <v>431</v>
      </c>
      <c r="B29" s="94" t="s">
        <v>94</v>
      </c>
      <c r="C29" s="93" t="s">
        <v>127</v>
      </c>
      <c r="D29" s="93" t="s">
        <v>57</v>
      </c>
      <c r="E29" s="93" t="s">
        <v>432</v>
      </c>
      <c r="F29" s="93" t="s">
        <v>73</v>
      </c>
      <c r="G29" s="93" t="s">
        <v>433</v>
      </c>
      <c r="H29" s="93" t="s">
        <v>434</v>
      </c>
      <c r="I29" s="93" t="s">
        <v>435</v>
      </c>
    </row>
    <row r="30">
      <c r="A30" s="93" t="s">
        <v>436</v>
      </c>
      <c r="B30" s="94" t="s">
        <v>437</v>
      </c>
      <c r="C30" s="93" t="s">
        <v>438</v>
      </c>
      <c r="D30" s="93" t="s">
        <v>57</v>
      </c>
      <c r="E30" s="93" t="s">
        <v>439</v>
      </c>
      <c r="F30" s="93" t="s">
        <v>73</v>
      </c>
      <c r="G30" s="93" t="s">
        <v>440</v>
      </c>
      <c r="H30" s="93" t="s">
        <v>302</v>
      </c>
      <c r="I30" s="93" t="s">
        <v>344</v>
      </c>
    </row>
    <row r="31">
      <c r="A31" s="93" t="s">
        <v>441</v>
      </c>
      <c r="B31" s="94" t="s">
        <v>442</v>
      </c>
      <c r="C31" s="93" t="s">
        <v>443</v>
      </c>
      <c r="D31" s="93" t="s">
        <v>57</v>
      </c>
      <c r="E31" s="93" t="s">
        <v>444</v>
      </c>
      <c r="F31" s="93" t="s">
        <v>73</v>
      </c>
      <c r="G31" s="93" t="s">
        <v>445</v>
      </c>
      <c r="H31" s="93" t="s">
        <v>430</v>
      </c>
      <c r="I31" s="93" t="s">
        <v>446</v>
      </c>
    </row>
    <row r="32">
      <c r="A32" s="93" t="s">
        <v>447</v>
      </c>
      <c r="B32" s="94" t="s">
        <v>62</v>
      </c>
      <c r="C32" s="93" t="s">
        <v>125</v>
      </c>
      <c r="D32" s="93" t="s">
        <v>57</v>
      </c>
      <c r="E32" s="93" t="s">
        <v>448</v>
      </c>
      <c r="F32" s="93" t="s">
        <v>73</v>
      </c>
      <c r="G32" s="93" t="s">
        <v>449</v>
      </c>
      <c r="H32" s="93" t="s">
        <v>430</v>
      </c>
      <c r="I32" s="93">
        <v>0.0</v>
      </c>
    </row>
    <row r="33">
      <c r="A33" s="93" t="s">
        <v>450</v>
      </c>
      <c r="B33" s="94" t="s">
        <v>451</v>
      </c>
      <c r="C33" s="93" t="s">
        <v>452</v>
      </c>
      <c r="D33" s="93" t="s">
        <v>1</v>
      </c>
      <c r="E33" s="93">
        <v>0.0</v>
      </c>
      <c r="F33" s="93" t="s">
        <v>235</v>
      </c>
      <c r="G33" s="93" t="s">
        <v>453</v>
      </c>
      <c r="H33" s="93" t="s">
        <v>268</v>
      </c>
      <c r="I33" s="93">
        <v>0.0</v>
      </c>
    </row>
    <row r="34">
      <c r="A34" s="93" t="s">
        <v>454</v>
      </c>
      <c r="B34" s="94" t="s">
        <v>455</v>
      </c>
      <c r="C34" s="93" t="s">
        <v>456</v>
      </c>
      <c r="D34" s="93" t="s">
        <v>227</v>
      </c>
      <c r="E34" s="93" t="s">
        <v>457</v>
      </c>
      <c r="F34" s="93" t="s">
        <v>229</v>
      </c>
      <c r="G34" s="93" t="s">
        <v>458</v>
      </c>
      <c r="H34" s="93" t="s">
        <v>459</v>
      </c>
      <c r="I34" s="93" t="s">
        <v>460</v>
      </c>
    </row>
    <row r="35">
      <c r="A35" s="93" t="s">
        <v>461</v>
      </c>
      <c r="B35" s="94" t="s">
        <v>462</v>
      </c>
      <c r="C35" s="93" t="s">
        <v>463</v>
      </c>
      <c r="D35" s="93" t="s">
        <v>57</v>
      </c>
      <c r="E35" s="93">
        <v>0.0</v>
      </c>
      <c r="F35" s="93" t="s">
        <v>73</v>
      </c>
      <c r="G35" s="93">
        <v>0.0</v>
      </c>
      <c r="H35" s="93" t="s">
        <v>464</v>
      </c>
      <c r="I35" s="93" t="s">
        <v>465</v>
      </c>
    </row>
    <row r="36">
      <c r="A36" s="93" t="s">
        <v>466</v>
      </c>
      <c r="B36" s="94" t="s">
        <v>467</v>
      </c>
      <c r="C36" s="93" t="s">
        <v>468</v>
      </c>
      <c r="D36" s="93" t="s">
        <v>1</v>
      </c>
      <c r="E36" s="93" t="s">
        <v>73</v>
      </c>
      <c r="F36" s="93" t="s">
        <v>235</v>
      </c>
      <c r="G36" s="93" t="s">
        <v>469</v>
      </c>
      <c r="H36" s="93" t="s">
        <v>369</v>
      </c>
      <c r="I36" s="93">
        <v>0.0</v>
      </c>
    </row>
    <row r="37">
      <c r="A37" s="93" t="s">
        <v>470</v>
      </c>
      <c r="B37" s="94" t="s">
        <v>471</v>
      </c>
      <c r="C37" s="93" t="s">
        <v>472</v>
      </c>
      <c r="D37" s="93" t="s">
        <v>57</v>
      </c>
      <c r="E37" s="93">
        <v>0.0</v>
      </c>
      <c r="F37" s="93" t="s">
        <v>73</v>
      </c>
      <c r="G37" s="93">
        <v>0.0</v>
      </c>
      <c r="H37" s="93" t="s">
        <v>424</v>
      </c>
      <c r="I37" s="93" t="s">
        <v>435</v>
      </c>
    </row>
    <row r="38">
      <c r="A38" s="93" t="s">
        <v>473</v>
      </c>
      <c r="B38" s="94" t="s">
        <v>474</v>
      </c>
      <c r="C38" s="93" t="s">
        <v>475</v>
      </c>
      <c r="D38" s="93" t="s">
        <v>57</v>
      </c>
      <c r="E38" s="93">
        <v>0.0</v>
      </c>
      <c r="F38" s="93" t="s">
        <v>73</v>
      </c>
      <c r="G38" s="93">
        <v>0.0</v>
      </c>
      <c r="H38" s="93" t="s">
        <v>302</v>
      </c>
      <c r="I38" s="93" t="s">
        <v>435</v>
      </c>
    </row>
    <row r="39">
      <c r="A39" s="93" t="s">
        <v>476</v>
      </c>
      <c r="B39" s="94" t="s">
        <v>477</v>
      </c>
      <c r="C39" s="93" t="s">
        <v>478</v>
      </c>
      <c r="D39" s="93" t="s">
        <v>57</v>
      </c>
      <c r="E39" s="93" t="s">
        <v>479</v>
      </c>
      <c r="F39" s="93" t="s">
        <v>73</v>
      </c>
      <c r="G39" s="93" t="s">
        <v>480</v>
      </c>
      <c r="H39" s="93" t="s">
        <v>430</v>
      </c>
      <c r="I39" s="93" t="s">
        <v>232</v>
      </c>
    </row>
    <row r="40">
      <c r="A40" s="93" t="s">
        <v>481</v>
      </c>
      <c r="B40" s="94" t="s">
        <v>482</v>
      </c>
      <c r="C40" s="93" t="s">
        <v>483</v>
      </c>
      <c r="D40" s="93" t="s">
        <v>57</v>
      </c>
      <c r="E40" s="93" t="s">
        <v>484</v>
      </c>
      <c r="F40" s="93" t="s">
        <v>73</v>
      </c>
      <c r="G40" s="93" t="s">
        <v>485</v>
      </c>
      <c r="H40" s="93" t="s">
        <v>486</v>
      </c>
      <c r="I40" s="93" t="s">
        <v>232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8" t="s">
        <v>487</v>
      </c>
    </row>
    <row r="2">
      <c r="A2" s="146" t="s">
        <v>488</v>
      </c>
    </row>
    <row r="3">
      <c r="A3" s="147">
        <v>3.81</v>
      </c>
    </row>
    <row r="4">
      <c r="A4" s="147" t="s">
        <v>489</v>
      </c>
    </row>
    <row r="5">
      <c r="A5" s="146" t="s">
        <v>490</v>
      </c>
    </row>
    <row r="6">
      <c r="A6" s="146" t="s">
        <v>491</v>
      </c>
    </row>
    <row r="7">
      <c r="A7" s="147">
        <v>10.02</v>
      </c>
    </row>
    <row r="8">
      <c r="A8" s="155" t="s">
        <v>492</v>
      </c>
    </row>
    <row r="9">
      <c r="A9" s="148" t="s">
        <v>493</v>
      </c>
    </row>
    <row r="10">
      <c r="A10" s="148" t="s">
        <v>136</v>
      </c>
    </row>
    <row r="11">
      <c r="A11" s="148" t="s">
        <v>494</v>
      </c>
    </row>
    <row r="12">
      <c r="A12" s="148" t="s">
        <v>495</v>
      </c>
    </row>
    <row r="13">
      <c r="A13" s="148" t="s">
        <v>496</v>
      </c>
    </row>
    <row r="14">
      <c r="A14" s="148" t="s">
        <v>497</v>
      </c>
    </row>
    <row r="15">
      <c r="A15" s="148" t="s">
        <v>498</v>
      </c>
    </row>
    <row r="16">
      <c r="A16" s="146" t="s">
        <v>499</v>
      </c>
    </row>
    <row r="17">
      <c r="A17" s="148" t="s">
        <v>500</v>
      </c>
    </row>
    <row r="18">
      <c r="A18" s="148" t="s">
        <v>501</v>
      </c>
    </row>
    <row r="19">
      <c r="A19" s="148" t="s">
        <v>502</v>
      </c>
    </row>
    <row r="20">
      <c r="A20" s="146" t="s">
        <v>503</v>
      </c>
    </row>
    <row r="21">
      <c r="A21" s="146" t="s">
        <v>496</v>
      </c>
    </row>
    <row r="22">
      <c r="A22" s="148" t="s">
        <v>504</v>
      </c>
    </row>
    <row r="23">
      <c r="A23" s="146" t="s">
        <v>505</v>
      </c>
    </row>
    <row r="24">
      <c r="A24" s="146" t="s">
        <v>506</v>
      </c>
    </row>
    <row r="25">
      <c r="A25" s="146" t="s">
        <v>507</v>
      </c>
    </row>
    <row r="26">
      <c r="A26" s="146" t="s">
        <v>508</v>
      </c>
    </row>
    <row r="27">
      <c r="A27" s="146" t="s">
        <v>487</v>
      </c>
    </row>
    <row r="28">
      <c r="A28" s="146" t="s">
        <v>509</v>
      </c>
    </row>
    <row r="29">
      <c r="A29" s="146" t="s">
        <v>24</v>
      </c>
    </row>
    <row r="30">
      <c r="A30" s="146" t="s">
        <v>510</v>
      </c>
    </row>
    <row r="31">
      <c r="A31" s="146" t="s">
        <v>511</v>
      </c>
    </row>
    <row r="32">
      <c r="A32" s="146" t="s">
        <v>512</v>
      </c>
    </row>
    <row r="33">
      <c r="A33" s="146" t="s">
        <v>513</v>
      </c>
    </row>
    <row r="34">
      <c r="A34" s="146" t="s">
        <v>514</v>
      </c>
    </row>
    <row r="35">
      <c r="A35" s="146" t="s">
        <v>515</v>
      </c>
    </row>
    <row r="36">
      <c r="A36" s="147" t="s">
        <v>516</v>
      </c>
    </row>
    <row r="37">
      <c r="A37" s="156" t="s">
        <v>517</v>
      </c>
    </row>
    <row r="38">
      <c r="A38" s="157" t="s">
        <v>518</v>
      </c>
    </row>
    <row r="39">
      <c r="A39" s="147" t="s">
        <v>519</v>
      </c>
    </row>
    <row r="40">
      <c r="A40" s="146" t="s">
        <v>520</v>
      </c>
    </row>
    <row r="41">
      <c r="A41" s="146" t="s">
        <v>92</v>
      </c>
    </row>
    <row r="42">
      <c r="A42" s="147" t="s">
        <v>521</v>
      </c>
    </row>
    <row r="43">
      <c r="A43" s="147">
        <v>0.0</v>
      </c>
    </row>
    <row r="44">
      <c r="A44" s="147">
        <v>0.0</v>
      </c>
    </row>
    <row r="45">
      <c r="A45" s="147">
        <v>0.0</v>
      </c>
    </row>
    <row r="46">
      <c r="A46" s="158">
        <v>0.0</v>
      </c>
    </row>
    <row r="47">
      <c r="A47" s="158">
        <v>10.036894</v>
      </c>
    </row>
    <row r="48">
      <c r="A48" s="147">
        <v>10.02</v>
      </c>
    </row>
    <row r="49">
      <c r="A49" s="146" t="s">
        <v>522</v>
      </c>
    </row>
    <row r="50">
      <c r="A50" s="146" t="s">
        <v>523</v>
      </c>
    </row>
    <row r="51">
      <c r="A51" s="146" t="s">
        <v>524</v>
      </c>
    </row>
    <row r="52">
      <c r="A52" s="146" t="s">
        <v>525</v>
      </c>
    </row>
    <row r="53">
      <c r="A53" s="146" t="s">
        <v>526</v>
      </c>
    </row>
    <row r="54">
      <c r="A54" s="146" t="s">
        <v>527</v>
      </c>
    </row>
    <row r="55">
      <c r="A55" s="146" t="s">
        <v>528</v>
      </c>
    </row>
    <row r="56">
      <c r="A56" s="159">
        <v>0.0</v>
      </c>
    </row>
    <row r="57">
      <c r="A57" s="146" t="s">
        <v>529</v>
      </c>
    </row>
    <row r="58">
      <c r="A58" s="146" t="s">
        <v>528</v>
      </c>
    </row>
    <row r="59">
      <c r="A59" s="159">
        <v>0.0</v>
      </c>
    </row>
    <row r="60">
      <c r="A60" s="146" t="s">
        <v>530</v>
      </c>
    </row>
    <row r="61">
      <c r="A61" s="146" t="s">
        <v>528</v>
      </c>
    </row>
    <row r="62">
      <c r="A62" s="159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6" t="s">
        <v>134</v>
      </c>
    </row>
    <row r="2">
      <c r="A2" s="146" t="s">
        <v>531</v>
      </c>
    </row>
    <row r="3">
      <c r="A3" s="146" t="s">
        <v>532</v>
      </c>
    </row>
    <row r="4">
      <c r="A4" s="146" t="s">
        <v>497</v>
      </c>
    </row>
    <row r="5">
      <c r="A5" s="147" t="s">
        <v>533</v>
      </c>
    </row>
    <row r="6">
      <c r="A6" s="146" t="s">
        <v>534</v>
      </c>
    </row>
    <row r="7">
      <c r="A7" s="147" t="s">
        <v>535</v>
      </c>
    </row>
    <row r="8">
      <c r="A8" s="146" t="s">
        <v>536</v>
      </c>
    </row>
    <row r="9">
      <c r="A9" s="146" t="s">
        <v>502</v>
      </c>
    </row>
    <row r="10">
      <c r="A10" s="146" t="s">
        <v>537</v>
      </c>
    </row>
    <row r="11">
      <c r="A11" s="147" t="s">
        <v>538</v>
      </c>
    </row>
    <row r="12">
      <c r="A12" s="147">
        <v>1.705090635E7</v>
      </c>
    </row>
    <row r="13">
      <c r="A13" s="146" t="s">
        <v>539</v>
      </c>
      <c r="C13" s="8"/>
    </row>
    <row r="14">
      <c r="A14" s="147">
        <v>5319233.09</v>
      </c>
      <c r="C14" s="8"/>
    </row>
    <row r="15">
      <c r="A15" s="146" t="s">
        <v>540</v>
      </c>
      <c r="C15" s="8"/>
    </row>
    <row r="16">
      <c r="A16" s="146" t="s">
        <v>541</v>
      </c>
    </row>
    <row r="17">
      <c r="A17" s="147" t="s">
        <v>542</v>
      </c>
    </row>
    <row r="18">
      <c r="A18" s="146" t="s">
        <v>543</v>
      </c>
    </row>
    <row r="19">
      <c r="A19" s="146" t="s">
        <v>544</v>
      </c>
      <c r="C19" s="8"/>
    </row>
    <row r="20">
      <c r="A20" s="147">
        <v>0.0</v>
      </c>
    </row>
    <row r="21">
      <c r="A21" s="146" t="s">
        <v>152</v>
      </c>
      <c r="B21" s="146" t="s">
        <v>545</v>
      </c>
      <c r="C21" s="146" t="s">
        <v>12</v>
      </c>
    </row>
    <row r="22">
      <c r="A22" s="146"/>
      <c r="B22" s="146"/>
      <c r="C22" s="146"/>
      <c r="D22" s="146"/>
    </row>
    <row r="23">
      <c r="A23" s="146" t="s">
        <v>162</v>
      </c>
      <c r="C23" s="8"/>
    </row>
    <row r="24">
      <c r="A24" s="160">
        <v>0.0</v>
      </c>
      <c r="B24" s="8"/>
      <c r="C24" s="159"/>
      <c r="D24" s="159"/>
    </row>
    <row r="25">
      <c r="A25" s="160" t="s">
        <v>152</v>
      </c>
      <c r="B25" s="146" t="s">
        <v>545</v>
      </c>
      <c r="C25" s="146" t="s">
        <v>12</v>
      </c>
    </row>
    <row r="26">
      <c r="A26" s="160"/>
      <c r="B26" s="160"/>
      <c r="C26" s="160"/>
      <c r="D26" s="160"/>
    </row>
    <row r="27">
      <c r="A27" s="160" t="s">
        <v>546</v>
      </c>
      <c r="B27" s="160"/>
      <c r="C27" s="8"/>
      <c r="D27" s="160"/>
    </row>
    <row r="28">
      <c r="A28" s="160" t="s">
        <v>152</v>
      </c>
      <c r="B28" s="160" t="s">
        <v>547</v>
      </c>
      <c r="C28" s="160" t="s">
        <v>548</v>
      </c>
      <c r="D28" s="160" t="s">
        <v>549</v>
      </c>
      <c r="E28" s="146" t="s">
        <v>550</v>
      </c>
      <c r="F28" s="146" t="s">
        <v>163</v>
      </c>
    </row>
    <row r="29">
      <c r="A29" s="146" t="s">
        <v>551</v>
      </c>
      <c r="B29" s="146" t="s">
        <v>552</v>
      </c>
      <c r="C29" s="146" t="s">
        <v>553</v>
      </c>
      <c r="D29" s="146" t="s">
        <v>554</v>
      </c>
      <c r="E29" s="146" t="s">
        <v>555</v>
      </c>
    </row>
    <row r="30">
      <c r="A30" s="147" t="s">
        <v>556</v>
      </c>
      <c r="B30" s="147"/>
      <c r="C30" s="147"/>
      <c r="D30" s="147"/>
    </row>
    <row r="31">
      <c r="A31" s="146" t="s">
        <v>557</v>
      </c>
    </row>
    <row r="32">
      <c r="A32" s="146" t="s">
        <v>558</v>
      </c>
    </row>
    <row r="33">
      <c r="A33" s="146" t="s">
        <v>152</v>
      </c>
      <c r="B33" s="146" t="s">
        <v>547</v>
      </c>
      <c r="C33" s="146" t="s">
        <v>548</v>
      </c>
      <c r="D33" s="146" t="s">
        <v>549</v>
      </c>
      <c r="E33" s="146" t="s">
        <v>550</v>
      </c>
      <c r="F33" s="146" t="s">
        <v>163</v>
      </c>
    </row>
    <row r="34">
      <c r="A34" s="146" t="s">
        <v>559</v>
      </c>
      <c r="B34" s="146" t="s">
        <v>560</v>
      </c>
      <c r="C34" s="146" t="s">
        <v>561</v>
      </c>
      <c r="D34" s="146" t="s">
        <v>562</v>
      </c>
      <c r="E34" s="146" t="s">
        <v>563</v>
      </c>
      <c r="F34" s="146" t="s">
        <v>564</v>
      </c>
    </row>
    <row r="35">
      <c r="A35" s="147" t="s">
        <v>565</v>
      </c>
      <c r="B35" s="146" t="s">
        <v>552</v>
      </c>
      <c r="C35" s="146" t="s">
        <v>566</v>
      </c>
      <c r="D35" s="146" t="s">
        <v>567</v>
      </c>
      <c r="E35" s="146" t="s">
        <v>568</v>
      </c>
      <c r="F35" s="146" t="s">
        <v>569</v>
      </c>
    </row>
    <row r="36">
      <c r="A36" s="147" t="s">
        <v>570</v>
      </c>
      <c r="B36" s="146" t="s">
        <v>552</v>
      </c>
      <c r="C36" s="146" t="s">
        <v>571</v>
      </c>
      <c r="D36" s="146" t="s">
        <v>572</v>
      </c>
      <c r="E36" s="146" t="s">
        <v>573</v>
      </c>
      <c r="F36" s="146" t="s">
        <v>574</v>
      </c>
    </row>
    <row r="37">
      <c r="A37" s="148" t="s">
        <v>575</v>
      </c>
      <c r="B37" s="146"/>
      <c r="C37" s="146"/>
      <c r="D37" s="146"/>
      <c r="E37" s="146"/>
      <c r="F37" s="146"/>
    </row>
    <row r="38">
      <c r="A38" s="160" t="s">
        <v>576</v>
      </c>
      <c r="B38" s="146" t="s">
        <v>552</v>
      </c>
      <c r="C38" s="146" t="s">
        <v>577</v>
      </c>
      <c r="D38" s="146" t="s">
        <v>578</v>
      </c>
      <c r="E38" s="146" t="s">
        <v>579</v>
      </c>
      <c r="F38" s="146" t="s">
        <v>580</v>
      </c>
    </row>
    <row r="39">
      <c r="A39" s="146" t="s">
        <v>581</v>
      </c>
      <c r="B39" s="146" t="s">
        <v>552</v>
      </c>
      <c r="C39" s="146" t="s">
        <v>582</v>
      </c>
      <c r="D39" s="146" t="s">
        <v>583</v>
      </c>
      <c r="E39" s="146" t="s">
        <v>584</v>
      </c>
      <c r="F39" s="146" t="s">
        <v>585</v>
      </c>
    </row>
    <row r="40">
      <c r="A40" s="147" t="s">
        <v>586</v>
      </c>
      <c r="B40" s="146" t="s">
        <v>552</v>
      </c>
      <c r="C40" s="146" t="s">
        <v>587</v>
      </c>
      <c r="D40" s="146" t="s">
        <v>588</v>
      </c>
      <c r="E40" s="146" t="s">
        <v>589</v>
      </c>
      <c r="F40" s="146" t="s">
        <v>590</v>
      </c>
    </row>
    <row r="41">
      <c r="A41" s="147" t="s">
        <v>591</v>
      </c>
      <c r="B41" s="146" t="s">
        <v>552</v>
      </c>
      <c r="C41" s="146" t="s">
        <v>592</v>
      </c>
      <c r="D41" s="146" t="s">
        <v>593</v>
      </c>
      <c r="E41" s="146" t="s">
        <v>594</v>
      </c>
      <c r="F41" s="146" t="s">
        <v>595</v>
      </c>
    </row>
    <row r="42">
      <c r="A42" s="146" t="s">
        <v>596</v>
      </c>
      <c r="B42" s="146" t="s">
        <v>552</v>
      </c>
      <c r="C42" s="146" t="s">
        <v>597</v>
      </c>
      <c r="D42" s="146" t="s">
        <v>598</v>
      </c>
      <c r="E42" s="146" t="s">
        <v>599</v>
      </c>
      <c r="F42" s="146" t="s">
        <v>600</v>
      </c>
    </row>
    <row r="43">
      <c r="A43" s="146" t="s">
        <v>601</v>
      </c>
      <c r="B43" s="146" t="s">
        <v>552</v>
      </c>
      <c r="C43" s="146" t="s">
        <v>602</v>
      </c>
      <c r="D43" s="146" t="s">
        <v>603</v>
      </c>
      <c r="E43" s="146" t="s">
        <v>604</v>
      </c>
      <c r="F43" s="146" t="s">
        <v>605</v>
      </c>
    </row>
    <row r="44">
      <c r="A44" s="146" t="s">
        <v>606</v>
      </c>
      <c r="B44" s="146" t="s">
        <v>552</v>
      </c>
      <c r="C44" s="146" t="s">
        <v>607</v>
      </c>
      <c r="D44" s="146" t="s">
        <v>608</v>
      </c>
      <c r="E44" s="146" t="s">
        <v>609</v>
      </c>
      <c r="F44" s="146" t="s">
        <v>610</v>
      </c>
    </row>
    <row r="45">
      <c r="A45" s="147" t="s">
        <v>611</v>
      </c>
      <c r="B45" s="146" t="s">
        <v>552</v>
      </c>
      <c r="C45" s="146" t="s">
        <v>612</v>
      </c>
      <c r="D45" s="146" t="s">
        <v>613</v>
      </c>
      <c r="E45" s="146" t="s">
        <v>614</v>
      </c>
      <c r="F45" s="146" t="s">
        <v>615</v>
      </c>
    </row>
    <row r="46">
      <c r="A46" s="147" t="s">
        <v>616</v>
      </c>
      <c r="B46" s="146" t="s">
        <v>552</v>
      </c>
      <c r="C46" s="146" t="s">
        <v>617</v>
      </c>
      <c r="D46" s="146" t="s">
        <v>618</v>
      </c>
      <c r="E46" s="146" t="s">
        <v>619</v>
      </c>
      <c r="F46" s="146" t="s">
        <v>620</v>
      </c>
    </row>
    <row r="47">
      <c r="A47" s="148" t="s">
        <v>621</v>
      </c>
      <c r="B47" s="146" t="s">
        <v>552</v>
      </c>
      <c r="C47" s="146" t="s">
        <v>622</v>
      </c>
      <c r="D47" s="146" t="s">
        <v>552</v>
      </c>
      <c r="E47" s="146" t="s">
        <v>623</v>
      </c>
    </row>
    <row r="48">
      <c r="A48" s="148" t="s">
        <v>624</v>
      </c>
      <c r="B48" s="146" t="s">
        <v>552</v>
      </c>
      <c r="C48" s="146" t="s">
        <v>625</v>
      </c>
      <c r="D48" s="146" t="s">
        <v>552</v>
      </c>
      <c r="E48" s="146" t="s">
        <v>626</v>
      </c>
    </row>
    <row r="49">
      <c r="A49" s="148" t="s">
        <v>627</v>
      </c>
      <c r="B49" s="146" t="s">
        <v>552</v>
      </c>
      <c r="C49" s="146" t="s">
        <v>628</v>
      </c>
      <c r="D49" s="146" t="s">
        <v>552</v>
      </c>
      <c r="E49" s="146" t="s">
        <v>629</v>
      </c>
      <c r="F49" s="8"/>
    </row>
    <row r="50">
      <c r="A50" s="146" t="s">
        <v>144</v>
      </c>
      <c r="F50" s="8"/>
    </row>
    <row r="51">
      <c r="A51" s="8">
        <v>0.0</v>
      </c>
      <c r="F51" s="8"/>
    </row>
    <row r="52">
      <c r="A52" s="146" t="s">
        <v>630</v>
      </c>
      <c r="B52" s="159"/>
      <c r="D52" s="8"/>
      <c r="F52" s="8"/>
    </row>
    <row r="53">
      <c r="A53" s="147">
        <v>0.0</v>
      </c>
      <c r="B53" s="159"/>
      <c r="D53" s="8"/>
      <c r="F53" s="8"/>
    </row>
    <row r="54">
      <c r="A54" s="146" t="s">
        <v>631</v>
      </c>
      <c r="B54" s="159"/>
      <c r="D54" s="8"/>
      <c r="F54" s="8"/>
    </row>
    <row r="55">
      <c r="A55" s="146" t="s">
        <v>632</v>
      </c>
      <c r="B55" s="159"/>
      <c r="D55" s="8"/>
      <c r="F55" s="8"/>
    </row>
    <row r="56">
      <c r="A56" s="146" t="s">
        <v>633</v>
      </c>
    </row>
    <row r="57">
      <c r="A57" s="159">
        <v>0.0</v>
      </c>
    </row>
    <row r="58">
      <c r="A58" s="146" t="s">
        <v>634</v>
      </c>
    </row>
    <row r="59">
      <c r="A59" s="8">
        <v>0.95</v>
      </c>
    </row>
    <row r="60">
      <c r="A60" s="146" t="s">
        <v>635</v>
      </c>
    </row>
    <row r="61">
      <c r="A61" s="159">
        <v>0.9</v>
      </c>
    </row>
    <row r="62">
      <c r="A62" s="146" t="s">
        <v>636</v>
      </c>
    </row>
    <row r="63">
      <c r="A63" s="146" t="s">
        <v>637</v>
      </c>
    </row>
    <row r="64">
      <c r="A64" s="146" t="s">
        <v>638</v>
      </c>
    </row>
    <row r="65">
      <c r="A65" s="147" t="s">
        <v>639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8" t="s">
        <v>640</v>
      </c>
    </row>
    <row r="2">
      <c r="A2" s="148" t="s">
        <v>134</v>
      </c>
    </row>
    <row r="3">
      <c r="A3" s="148" t="s">
        <v>641</v>
      </c>
    </row>
    <row r="4">
      <c r="A4" s="148" t="s">
        <v>642</v>
      </c>
    </row>
    <row r="5">
      <c r="A5" s="148" t="s">
        <v>643</v>
      </c>
    </row>
    <row r="6">
      <c r="A6" s="148" t="s">
        <v>644</v>
      </c>
    </row>
    <row r="7">
      <c r="A7" s="148" t="s">
        <v>502</v>
      </c>
    </row>
    <row r="8">
      <c r="A8" s="146" t="s">
        <v>645</v>
      </c>
    </row>
    <row r="9">
      <c r="A9" s="146" t="s">
        <v>646</v>
      </c>
    </row>
    <row r="10">
      <c r="A10" s="146" t="s">
        <v>647</v>
      </c>
    </row>
    <row r="11">
      <c r="A11" s="146" t="s">
        <v>648</v>
      </c>
    </row>
    <row r="12">
      <c r="A12" s="147" t="s">
        <v>649</v>
      </c>
    </row>
    <row r="13">
      <c r="A13" s="146" t="s">
        <v>650</v>
      </c>
    </row>
    <row r="14">
      <c r="A14" s="147" t="s">
        <v>651</v>
      </c>
    </row>
    <row r="15">
      <c r="A15" s="146" t="s">
        <v>652</v>
      </c>
    </row>
    <row r="16">
      <c r="A16" s="146" t="s">
        <v>653</v>
      </c>
    </row>
    <row r="17">
      <c r="A17" s="146" t="s">
        <v>654</v>
      </c>
    </row>
    <row r="18">
      <c r="A18" s="146" t="s">
        <v>655</v>
      </c>
    </row>
    <row r="19">
      <c r="A19" s="148" t="s">
        <v>656</v>
      </c>
    </row>
    <row r="20">
      <c r="A20" s="147" t="s">
        <v>657</v>
      </c>
    </row>
    <row r="21">
      <c r="A21" s="146" t="s">
        <v>658</v>
      </c>
    </row>
    <row r="22">
      <c r="A22" s="146" t="s">
        <v>659</v>
      </c>
      <c r="C22" s="8"/>
    </row>
    <row r="23">
      <c r="A23" s="146" t="s">
        <v>660</v>
      </c>
      <c r="C23" s="8"/>
    </row>
    <row r="24">
      <c r="A24" s="146" t="s">
        <v>661</v>
      </c>
    </row>
    <row r="25">
      <c r="A25" s="147" t="s">
        <v>662</v>
      </c>
    </row>
    <row r="26">
      <c r="A26" s="146" t="s">
        <v>663</v>
      </c>
    </row>
    <row r="27">
      <c r="A27" s="148" t="s">
        <v>664</v>
      </c>
      <c r="C27" s="8"/>
    </row>
    <row r="28">
      <c r="A28" s="146" t="s">
        <v>665</v>
      </c>
    </row>
    <row r="29">
      <c r="A29" s="146" t="s">
        <v>666</v>
      </c>
    </row>
    <row r="30">
      <c r="A30" s="146" t="s">
        <v>667</v>
      </c>
    </row>
    <row r="31">
      <c r="A31" s="146" t="s">
        <v>668</v>
      </c>
      <c r="B31" s="146" t="s">
        <v>669</v>
      </c>
      <c r="C31" s="146" t="s">
        <v>670</v>
      </c>
      <c r="D31" s="146" t="s">
        <v>153</v>
      </c>
      <c r="E31" s="146" t="s">
        <v>671</v>
      </c>
      <c r="F31" s="146" t="s">
        <v>163</v>
      </c>
    </row>
    <row r="32">
      <c r="A32" s="146" t="s">
        <v>672</v>
      </c>
      <c r="B32" s="159">
        <v>0.35</v>
      </c>
      <c r="C32" s="146" t="s">
        <v>673</v>
      </c>
      <c r="D32" s="146" t="s">
        <v>674</v>
      </c>
      <c r="E32" s="146" t="s">
        <v>675</v>
      </c>
      <c r="F32" s="8">
        <v>1.0151</v>
      </c>
    </row>
    <row r="33">
      <c r="A33" s="146" t="s">
        <v>676</v>
      </c>
      <c r="B33" s="159">
        <v>0.75</v>
      </c>
      <c r="C33" s="146" t="s">
        <v>677</v>
      </c>
      <c r="D33" s="8">
        <v>0.0178</v>
      </c>
      <c r="E33" s="146" t="s">
        <v>678</v>
      </c>
      <c r="F33" s="146" t="s">
        <v>679</v>
      </c>
    </row>
    <row r="34">
      <c r="A34" s="146" t="s">
        <v>12</v>
      </c>
      <c r="B34" s="159">
        <v>0.75</v>
      </c>
      <c r="C34" s="146" t="s">
        <v>680</v>
      </c>
      <c r="D34" s="8">
        <v>0.0362</v>
      </c>
      <c r="E34" s="146" t="s">
        <v>681</v>
      </c>
      <c r="F34" s="146" t="s">
        <v>682</v>
      </c>
    </row>
    <row r="35">
      <c r="A35" s="146" t="s">
        <v>683</v>
      </c>
      <c r="B35" s="146" t="s">
        <v>669</v>
      </c>
      <c r="C35" s="146" t="s">
        <v>670</v>
      </c>
      <c r="D35" s="146" t="s">
        <v>153</v>
      </c>
      <c r="E35" s="146" t="s">
        <v>671</v>
      </c>
      <c r="F35" s="146" t="s">
        <v>163</v>
      </c>
    </row>
    <row r="36">
      <c r="A36" s="146" t="s">
        <v>684</v>
      </c>
      <c r="B36" s="159">
        <v>0.35</v>
      </c>
      <c r="C36" s="146" t="s">
        <v>685</v>
      </c>
      <c r="D36" s="146" t="s">
        <v>686</v>
      </c>
      <c r="E36" s="146" t="s">
        <v>687</v>
      </c>
      <c r="F36" s="8">
        <v>1.0336</v>
      </c>
    </row>
    <row r="37">
      <c r="A37" s="146" t="s">
        <v>688</v>
      </c>
      <c r="B37" s="159">
        <v>0.75</v>
      </c>
      <c r="C37" s="146" t="s">
        <v>689</v>
      </c>
      <c r="D37" s="8">
        <v>0.0359</v>
      </c>
      <c r="E37" s="146" t="s">
        <v>690</v>
      </c>
      <c r="F37" s="146" t="s">
        <v>691</v>
      </c>
    </row>
    <row r="38">
      <c r="A38" s="146" t="s">
        <v>692</v>
      </c>
      <c r="B38" s="159">
        <v>0.75</v>
      </c>
      <c r="C38" s="146" t="s">
        <v>693</v>
      </c>
      <c r="D38" s="8">
        <v>0.037</v>
      </c>
      <c r="E38" s="146" t="s">
        <v>694</v>
      </c>
      <c r="F38" s="146" t="s">
        <v>695</v>
      </c>
    </row>
    <row r="39">
      <c r="A39" s="146" t="s">
        <v>696</v>
      </c>
      <c r="B39" s="159">
        <v>0.75</v>
      </c>
      <c r="C39" s="146" t="s">
        <v>697</v>
      </c>
      <c r="D39" s="8">
        <v>0.0553</v>
      </c>
      <c r="E39" s="146" t="s">
        <v>698</v>
      </c>
      <c r="F39" s="146" t="s">
        <v>699</v>
      </c>
    </row>
    <row r="40">
      <c r="A40" s="146" t="s">
        <v>700</v>
      </c>
      <c r="B40" s="159">
        <v>0.75</v>
      </c>
      <c r="C40" s="146" t="s">
        <v>701</v>
      </c>
      <c r="D40" s="8">
        <v>0.0047</v>
      </c>
      <c r="E40" s="146" t="s">
        <v>702</v>
      </c>
      <c r="F40" s="8">
        <v>0.0218</v>
      </c>
    </row>
    <row r="41">
      <c r="A41" s="146" t="s">
        <v>703</v>
      </c>
      <c r="B41" s="159">
        <v>0.75</v>
      </c>
      <c r="C41" s="146" t="s">
        <v>704</v>
      </c>
      <c r="D41" s="8">
        <v>4.0E-4</v>
      </c>
      <c r="E41" s="146" t="s">
        <v>705</v>
      </c>
      <c r="F41" s="8">
        <v>0.0059</v>
      </c>
    </row>
    <row r="42">
      <c r="A42" s="146" t="s">
        <v>706</v>
      </c>
      <c r="B42" s="159">
        <v>0.75</v>
      </c>
      <c r="C42" s="146" t="s">
        <v>707</v>
      </c>
      <c r="D42" s="146" t="s">
        <v>708</v>
      </c>
      <c r="E42" s="146" t="s">
        <v>709</v>
      </c>
      <c r="F42" s="8">
        <v>9.0E-4</v>
      </c>
    </row>
    <row r="43">
      <c r="A43" s="146" t="s">
        <v>710</v>
      </c>
      <c r="B43" s="159">
        <v>0.75</v>
      </c>
      <c r="C43" s="146" t="s">
        <v>711</v>
      </c>
      <c r="D43" s="146" t="s">
        <v>712</v>
      </c>
      <c r="E43" s="146" t="s">
        <v>713</v>
      </c>
      <c r="F43" s="8">
        <v>0.0047</v>
      </c>
    </row>
    <row r="44">
      <c r="A44" s="146" t="s">
        <v>714</v>
      </c>
      <c r="B44" s="159">
        <v>0.65</v>
      </c>
      <c r="C44" s="146" t="s">
        <v>715</v>
      </c>
      <c r="D44" s="8">
        <v>0.0</v>
      </c>
      <c r="E44" s="146" t="s">
        <v>716</v>
      </c>
      <c r="F44" s="8">
        <v>0.0</v>
      </c>
    </row>
    <row r="45">
      <c r="A45" s="146" t="s">
        <v>717</v>
      </c>
      <c r="B45" s="159">
        <v>0.65</v>
      </c>
      <c r="C45" s="146" t="s">
        <v>718</v>
      </c>
      <c r="D45" s="8">
        <v>0.0</v>
      </c>
      <c r="E45" s="146" t="s">
        <v>716</v>
      </c>
      <c r="F45" s="8">
        <v>0.0</v>
      </c>
    </row>
    <row r="46">
      <c r="A46" s="146" t="s">
        <v>719</v>
      </c>
      <c r="B46" s="159">
        <v>0.65</v>
      </c>
      <c r="C46" s="146" t="s">
        <v>720</v>
      </c>
      <c r="D46" s="8">
        <v>0.0626</v>
      </c>
      <c r="E46" s="146" t="s">
        <v>721</v>
      </c>
      <c r="F46" s="8">
        <v>0.1532</v>
      </c>
    </row>
    <row r="47">
      <c r="A47" s="146" t="s">
        <v>722</v>
      </c>
      <c r="B47" s="159">
        <v>0.65</v>
      </c>
      <c r="C47" s="146" t="s">
        <v>723</v>
      </c>
      <c r="D47" s="8">
        <v>0.0244</v>
      </c>
      <c r="E47" s="146" t="s">
        <v>724</v>
      </c>
      <c r="F47" s="8">
        <v>0.0605</v>
      </c>
    </row>
    <row r="48">
      <c r="A48" s="146" t="s">
        <v>725</v>
      </c>
      <c r="B48" s="159">
        <v>0.65</v>
      </c>
      <c r="C48" s="146" t="s">
        <v>726</v>
      </c>
      <c r="D48" s="8">
        <v>5.0E-4</v>
      </c>
      <c r="E48" s="146" t="s">
        <v>727</v>
      </c>
      <c r="F48" s="8">
        <v>0.0084</v>
      </c>
    </row>
    <row r="49">
      <c r="A49" s="146" t="s">
        <v>728</v>
      </c>
      <c r="B49" s="159">
        <v>0.35</v>
      </c>
      <c r="C49" s="146" t="s">
        <v>729</v>
      </c>
      <c r="D49" s="8">
        <v>0.0135</v>
      </c>
      <c r="E49" s="146" t="s">
        <v>730</v>
      </c>
      <c r="F49" s="8">
        <v>0.0712</v>
      </c>
    </row>
    <row r="50">
      <c r="A50" s="146" t="s">
        <v>731</v>
      </c>
      <c r="B50" s="159">
        <v>0.75</v>
      </c>
      <c r="C50" s="146" t="s">
        <v>732</v>
      </c>
      <c r="D50" s="8">
        <v>0.0</v>
      </c>
      <c r="E50" s="146" t="s">
        <v>733</v>
      </c>
      <c r="F50" s="8">
        <v>4.0E-4</v>
      </c>
    </row>
    <row r="51">
      <c r="A51" s="146" t="s">
        <v>734</v>
      </c>
      <c r="B51" s="159">
        <v>0.0</v>
      </c>
      <c r="C51" s="146" t="s">
        <v>735</v>
      </c>
      <c r="D51" s="8">
        <v>0.0025</v>
      </c>
      <c r="E51" s="146" t="s">
        <v>736</v>
      </c>
      <c r="F51" s="8">
        <v>0.0159</v>
      </c>
    </row>
    <row r="52">
      <c r="A52" s="146" t="s">
        <v>737</v>
      </c>
      <c r="B52" s="159">
        <v>0.0</v>
      </c>
      <c r="C52" s="146" t="s">
        <v>738</v>
      </c>
      <c r="D52" s="8">
        <v>7.0E-4</v>
      </c>
      <c r="E52" s="146" t="s">
        <v>739</v>
      </c>
      <c r="F52" s="8">
        <v>0.0104</v>
      </c>
    </row>
    <row r="53">
      <c r="A53" s="146" t="s">
        <v>740</v>
      </c>
      <c r="B53" s="159">
        <v>0.0</v>
      </c>
      <c r="C53" s="146" t="s">
        <v>741</v>
      </c>
      <c r="D53" s="8">
        <v>1.0E-4</v>
      </c>
      <c r="E53" s="146" t="s">
        <v>742</v>
      </c>
      <c r="F53" s="8">
        <v>0.004</v>
      </c>
    </row>
    <row r="54">
      <c r="A54" s="146" t="s">
        <v>743</v>
      </c>
      <c r="B54" s="159">
        <v>0.0</v>
      </c>
      <c r="C54" s="146" t="s">
        <v>744</v>
      </c>
      <c r="D54" s="8">
        <v>3.0E-4</v>
      </c>
      <c r="E54" s="146" t="s">
        <v>745</v>
      </c>
      <c r="F54" s="8">
        <v>0.0104</v>
      </c>
    </row>
    <row r="55">
      <c r="A55" s="146" t="s">
        <v>746</v>
      </c>
      <c r="B55" s="159">
        <v>0.0</v>
      </c>
      <c r="C55" s="146" t="s">
        <v>747</v>
      </c>
      <c r="D55" s="8">
        <v>0.0</v>
      </c>
      <c r="E55" s="146" t="s">
        <v>748</v>
      </c>
      <c r="F55" s="8">
        <v>0.0</v>
      </c>
    </row>
    <row r="56">
      <c r="A56" s="146" t="s">
        <v>749</v>
      </c>
    </row>
    <row r="57">
      <c r="A57" s="146" t="s">
        <v>750</v>
      </c>
    </row>
    <row r="58">
      <c r="A58" s="146" t="s">
        <v>751</v>
      </c>
    </row>
    <row r="59">
      <c r="A59" s="146" t="s">
        <v>752</v>
      </c>
    </row>
    <row r="60">
      <c r="A60" s="146" t="s">
        <v>753</v>
      </c>
    </row>
    <row r="61">
      <c r="A61" s="146" t="s">
        <v>754</v>
      </c>
    </row>
    <row r="62">
      <c r="A62" s="147" t="s">
        <v>755</v>
      </c>
    </row>
    <row r="63">
      <c r="A63" s="147">
        <v>1586.01</v>
      </c>
    </row>
    <row r="64">
      <c r="A64" s="147" t="s">
        <v>756</v>
      </c>
    </row>
    <row r="65">
      <c r="A65" s="147">
        <v>1797.48</v>
      </c>
      <c r="B65" s="146" t="s">
        <v>545</v>
      </c>
    </row>
    <row r="66">
      <c r="A66" s="146" t="s">
        <v>757</v>
      </c>
      <c r="B66" s="146" t="s">
        <v>545</v>
      </c>
    </row>
    <row r="67">
      <c r="A67" s="96" t="s">
        <v>758</v>
      </c>
      <c r="B67" s="96" t="s">
        <v>759</v>
      </c>
    </row>
    <row r="68">
      <c r="A68" s="146" t="s">
        <v>760</v>
      </c>
      <c r="B68" s="146" t="s">
        <v>545</v>
      </c>
    </row>
    <row r="69">
      <c r="A69" s="146"/>
      <c r="B69" s="146"/>
    </row>
    <row r="70">
      <c r="A70" s="146" t="s">
        <v>761</v>
      </c>
      <c r="B70" s="146" t="s">
        <v>545</v>
      </c>
    </row>
    <row r="71">
      <c r="A71" s="146" t="s">
        <v>688</v>
      </c>
      <c r="B71" s="146" t="s">
        <v>762</v>
      </c>
    </row>
    <row r="72">
      <c r="A72" s="146" t="s">
        <v>763</v>
      </c>
      <c r="B72" s="146" t="s">
        <v>764</v>
      </c>
    </row>
    <row r="73">
      <c r="A73" s="148" t="s">
        <v>648</v>
      </c>
      <c r="B73" s="146" t="s">
        <v>765</v>
      </c>
    </row>
    <row r="74">
      <c r="A74" s="148" t="s">
        <v>649</v>
      </c>
    </row>
    <row r="75">
      <c r="A75" s="148" t="s">
        <v>650</v>
      </c>
    </row>
    <row r="76">
      <c r="A76" s="148" t="s">
        <v>651</v>
      </c>
    </row>
    <row r="77">
      <c r="A77" s="148" t="s">
        <v>652</v>
      </c>
    </row>
    <row r="78">
      <c r="A78" s="148" t="s">
        <v>653</v>
      </c>
    </row>
    <row r="79">
      <c r="A79" s="148" t="s">
        <v>654</v>
      </c>
    </row>
    <row r="80">
      <c r="A80" s="148" t="s">
        <v>655</v>
      </c>
    </row>
    <row r="81">
      <c r="A81" s="148" t="s">
        <v>766</v>
      </c>
    </row>
    <row r="82">
      <c r="A82" s="148" t="s">
        <v>767</v>
      </c>
    </row>
    <row r="83">
      <c r="A83" s="148" t="s">
        <v>768</v>
      </c>
    </row>
    <row r="84">
      <c r="A84" s="148" t="s">
        <v>769</v>
      </c>
    </row>
    <row r="85">
      <c r="A85" s="148" t="s">
        <v>770</v>
      </c>
    </row>
    <row r="86">
      <c r="A86" s="148" t="s">
        <v>771</v>
      </c>
    </row>
    <row r="87">
      <c r="A87" s="148" t="s">
        <v>772</v>
      </c>
    </row>
    <row r="88">
      <c r="A88" s="148" t="s">
        <v>773</v>
      </c>
    </row>
    <row r="89">
      <c r="A89" s="148" t="s">
        <v>774</v>
      </c>
    </row>
    <row r="90">
      <c r="A90" s="146" t="s">
        <v>775</v>
      </c>
    </row>
    <row r="91">
      <c r="A91" s="148" t="s">
        <v>776</v>
      </c>
    </row>
    <row r="92">
      <c r="A92" s="148" t="s">
        <v>777</v>
      </c>
    </row>
    <row r="93">
      <c r="A93" s="148" t="s">
        <v>778</v>
      </c>
    </row>
    <row r="94">
      <c r="A94" s="148" t="s">
        <v>779</v>
      </c>
    </row>
    <row r="95">
      <c r="A95" s="148" t="s">
        <v>780</v>
      </c>
    </row>
    <row r="96">
      <c r="A96" s="146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61" t="str">
        <f>SUBSTITUTE(SUBSTITUTE('_Apricot'!A42,"K",),".",)*1</f>
        <v>#VALUE!</v>
      </c>
      <c r="B1" s="63" t="str">
        <f>IFERROR(__xludf.DUMMYFUNCTION("INDEX(SPLIT('_Apricot'!$C34,"" 
""),2)"),"$1.41M")</f>
        <v>$1.41M</v>
      </c>
      <c r="C1" s="63" t="str">
        <f>IFERROR(__xludf.DUMMYFUNCTION("SUBSTITUTE(INDEX(SPLIT('_Apricot'!$C38,"" 
""),2),""−"",""-"")*1"),"#VALUE!")</f>
        <v>#VALUE!</v>
      </c>
      <c r="D1" s="93" t="str">
        <f t="shared" ref="D1:D22" si="1">A1*$B$5*$C$5*(1-0.075%)</f>
        <v>#VALUE!</v>
      </c>
      <c r="E1" s="93" t="str">
        <f t="shared" ref="E1:E21" si="2">D2-D1</f>
        <v>#VALUE!</v>
      </c>
      <c r="F1" s="93" t="str">
        <f t="shared" ref="F1:F22" si="3">D1/A2</f>
        <v>#VALUE!</v>
      </c>
      <c r="H1" s="96" t="s">
        <v>781</v>
      </c>
      <c r="I1" s="8"/>
    </row>
    <row r="2">
      <c r="A2" s="6" t="str">
        <f t="shared" ref="A2:A23" si="4">$A$1+D1</f>
        <v>#VALUE!</v>
      </c>
      <c r="B2" s="63" t="str">
        <f>IFERROR(__xludf.DUMMYFUNCTION("INDEX(SPLIT('_Apricot'!$C34,"" 
""),4)"),"#REF!")</f>
        <v>#REF!</v>
      </c>
      <c r="C2" s="63" t="str">
        <f>IFERROR(__xludf.DUMMYFUNCTION("INDEX(SPLIT('_Apricot'!$C38,"" 
""),4)"),"#REF!")</f>
        <v>#REF!</v>
      </c>
      <c r="D2" s="93" t="str">
        <f t="shared" si="1"/>
        <v>#VALUE!</v>
      </c>
      <c r="E2" s="93" t="str">
        <f t="shared" si="2"/>
        <v>#VALUE!</v>
      </c>
      <c r="F2" s="93" t="str">
        <f t="shared" si="3"/>
        <v>#VALUE!</v>
      </c>
      <c r="G2" s="96" t="s">
        <v>782</v>
      </c>
      <c r="H2" s="93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3" t="str">
        <f t="shared" ref="B3:C3" si="5">B1+B2</f>
        <v>#REF!</v>
      </c>
      <c r="C3" s="63" t="str">
        <f t="shared" si="5"/>
        <v>#VALUE!</v>
      </c>
      <c r="D3" s="93" t="str">
        <f t="shared" si="1"/>
        <v>#VALUE!</v>
      </c>
      <c r="E3" s="93" t="str">
        <f t="shared" si="2"/>
        <v>#VALUE!</v>
      </c>
      <c r="F3" s="93" t="str">
        <f t="shared" si="3"/>
        <v>#VALUE!</v>
      </c>
      <c r="G3" s="96" t="s">
        <v>783</v>
      </c>
      <c r="H3" s="93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93" t="str">
        <f t="shared" si="1"/>
        <v>#VALUE!</v>
      </c>
      <c r="E4" s="93" t="str">
        <f t="shared" si="2"/>
        <v>#VALUE!</v>
      </c>
      <c r="F4" s="93" t="str">
        <f t="shared" si="3"/>
        <v>#VALUE!</v>
      </c>
      <c r="I4" s="8"/>
    </row>
    <row r="5">
      <c r="A5" s="6" t="str">
        <f t="shared" si="4"/>
        <v>#VALUE!</v>
      </c>
      <c r="B5" s="162">
        <v>0.812</v>
      </c>
      <c r="C5" s="162">
        <v>1.0</v>
      </c>
      <c r="D5" s="93" t="str">
        <f t="shared" si="1"/>
        <v>#VALUE!</v>
      </c>
      <c r="E5" s="93" t="str">
        <f t="shared" si="2"/>
        <v>#VALUE!</v>
      </c>
      <c r="F5" s="93" t="str">
        <f t="shared" si="3"/>
        <v>#VALUE!</v>
      </c>
      <c r="H5" s="96" t="s">
        <v>784</v>
      </c>
      <c r="I5" s="8"/>
    </row>
    <row r="6">
      <c r="A6" s="6" t="str">
        <f t="shared" si="4"/>
        <v>#VALUE!</v>
      </c>
      <c r="D6" s="93" t="str">
        <f t="shared" si="1"/>
        <v>#VALUE!</v>
      </c>
      <c r="E6" s="93" t="str">
        <f t="shared" si="2"/>
        <v>#VALUE!</v>
      </c>
      <c r="F6" s="93" t="str">
        <f t="shared" si="3"/>
        <v>#VALUE!</v>
      </c>
      <c r="G6" s="96" t="s">
        <v>782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93" t="str">
        <f t="shared" si="1"/>
        <v>#VALUE!</v>
      </c>
      <c r="E7" s="93" t="str">
        <f t="shared" si="2"/>
        <v>#VALUE!</v>
      </c>
      <c r="F7" s="93" t="str">
        <f t="shared" si="3"/>
        <v>#VALUE!</v>
      </c>
      <c r="G7" s="96" t="s">
        <v>783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93" t="str">
        <f t="shared" si="1"/>
        <v>#VALUE!</v>
      </c>
      <c r="E8" s="93" t="str">
        <f t="shared" si="2"/>
        <v>#VALUE!</v>
      </c>
      <c r="F8" s="93" t="str">
        <f t="shared" si="3"/>
        <v>#VALUE!</v>
      </c>
      <c r="I8" s="8"/>
    </row>
    <row r="9">
      <c r="A9" s="6" t="str">
        <f t="shared" si="4"/>
        <v>#VALUE!</v>
      </c>
      <c r="D9" s="93" t="str">
        <f t="shared" si="1"/>
        <v>#VALUE!</v>
      </c>
      <c r="E9" s="93" t="str">
        <f t="shared" si="2"/>
        <v>#VALUE!</v>
      </c>
      <c r="F9" s="93" t="str">
        <f t="shared" si="3"/>
        <v>#VALUE!</v>
      </c>
      <c r="I9" s="8"/>
    </row>
    <row r="10">
      <c r="A10" s="6" t="str">
        <f t="shared" si="4"/>
        <v>#VALUE!</v>
      </c>
      <c r="D10" s="93" t="str">
        <f t="shared" si="1"/>
        <v>#VALUE!</v>
      </c>
      <c r="E10" s="93" t="str">
        <f t="shared" si="2"/>
        <v>#VALUE!</v>
      </c>
      <c r="F10" s="93" t="str">
        <f t="shared" si="3"/>
        <v>#VALUE!</v>
      </c>
      <c r="I10" s="8"/>
    </row>
    <row r="11">
      <c r="A11" s="6" t="str">
        <f t="shared" si="4"/>
        <v>#VALUE!</v>
      </c>
      <c r="D11" s="93" t="str">
        <f t="shared" si="1"/>
        <v>#VALUE!</v>
      </c>
      <c r="E11" s="93" t="str">
        <f t="shared" si="2"/>
        <v>#VALUE!</v>
      </c>
      <c r="F11" s="93" t="str">
        <f t="shared" si="3"/>
        <v>#VALUE!</v>
      </c>
      <c r="I11" s="8"/>
    </row>
    <row r="12">
      <c r="A12" s="6" t="str">
        <f t="shared" si="4"/>
        <v>#VALUE!</v>
      </c>
      <c r="D12" s="93" t="str">
        <f t="shared" si="1"/>
        <v>#VALUE!</v>
      </c>
      <c r="E12" s="93" t="str">
        <f t="shared" si="2"/>
        <v>#VALUE!</v>
      </c>
      <c r="F12" s="93" t="str">
        <f t="shared" si="3"/>
        <v>#VALUE!</v>
      </c>
      <c r="I12" s="8"/>
    </row>
    <row r="13">
      <c r="A13" s="6" t="str">
        <f t="shared" si="4"/>
        <v>#VALUE!</v>
      </c>
      <c r="D13" s="93" t="str">
        <f t="shared" si="1"/>
        <v>#VALUE!</v>
      </c>
      <c r="E13" s="93" t="str">
        <f t="shared" si="2"/>
        <v>#VALUE!</v>
      </c>
      <c r="F13" s="93" t="str">
        <f t="shared" si="3"/>
        <v>#VALUE!</v>
      </c>
      <c r="I13" s="8"/>
    </row>
    <row r="14">
      <c r="A14" s="6" t="str">
        <f t="shared" si="4"/>
        <v>#VALUE!</v>
      </c>
      <c r="D14" s="93" t="str">
        <f t="shared" si="1"/>
        <v>#VALUE!</v>
      </c>
      <c r="E14" s="93" t="str">
        <f t="shared" si="2"/>
        <v>#VALUE!</v>
      </c>
      <c r="F14" s="93" t="str">
        <f t="shared" si="3"/>
        <v>#VALUE!</v>
      </c>
      <c r="I14" s="8"/>
    </row>
    <row r="15">
      <c r="A15" s="6" t="str">
        <f t="shared" si="4"/>
        <v>#VALUE!</v>
      </c>
      <c r="D15" s="93" t="str">
        <f t="shared" si="1"/>
        <v>#VALUE!</v>
      </c>
      <c r="E15" s="93" t="str">
        <f t="shared" si="2"/>
        <v>#VALUE!</v>
      </c>
      <c r="F15" s="93" t="str">
        <f t="shared" si="3"/>
        <v>#VALUE!</v>
      </c>
      <c r="I15" s="8"/>
    </row>
    <row r="16">
      <c r="A16" s="6" t="str">
        <f t="shared" si="4"/>
        <v>#VALUE!</v>
      </c>
      <c r="D16" s="93" t="str">
        <f t="shared" si="1"/>
        <v>#VALUE!</v>
      </c>
      <c r="E16" s="93" t="str">
        <f t="shared" si="2"/>
        <v>#VALUE!</v>
      </c>
      <c r="F16" s="93" t="str">
        <f t="shared" si="3"/>
        <v>#VALUE!</v>
      </c>
      <c r="I16" s="8"/>
    </row>
    <row r="17">
      <c r="A17" s="6" t="str">
        <f t="shared" si="4"/>
        <v>#VALUE!</v>
      </c>
      <c r="D17" s="93" t="str">
        <f t="shared" si="1"/>
        <v>#VALUE!</v>
      </c>
      <c r="E17" s="93" t="str">
        <f t="shared" si="2"/>
        <v>#VALUE!</v>
      </c>
      <c r="F17" s="93" t="str">
        <f t="shared" si="3"/>
        <v>#VALUE!</v>
      </c>
      <c r="I17" s="8"/>
    </row>
    <row r="18">
      <c r="A18" s="6" t="str">
        <f t="shared" si="4"/>
        <v>#VALUE!</v>
      </c>
      <c r="D18" s="93" t="str">
        <f t="shared" si="1"/>
        <v>#VALUE!</v>
      </c>
      <c r="E18" s="93" t="str">
        <f t="shared" si="2"/>
        <v>#VALUE!</v>
      </c>
      <c r="F18" s="93" t="str">
        <f t="shared" si="3"/>
        <v>#VALUE!</v>
      </c>
      <c r="I18" s="8"/>
    </row>
    <row r="19">
      <c r="A19" s="6" t="str">
        <f t="shared" si="4"/>
        <v>#VALUE!</v>
      </c>
      <c r="D19" s="93" t="str">
        <f t="shared" si="1"/>
        <v>#VALUE!</v>
      </c>
      <c r="E19" s="93" t="str">
        <f t="shared" si="2"/>
        <v>#VALUE!</v>
      </c>
      <c r="F19" s="93" t="str">
        <f t="shared" si="3"/>
        <v>#VALUE!</v>
      </c>
      <c r="I19" s="8"/>
    </row>
    <row r="20">
      <c r="A20" s="6" t="str">
        <f t="shared" si="4"/>
        <v>#VALUE!</v>
      </c>
      <c r="D20" s="93" t="str">
        <f t="shared" si="1"/>
        <v>#VALUE!</v>
      </c>
      <c r="E20" s="93" t="str">
        <f t="shared" si="2"/>
        <v>#VALUE!</v>
      </c>
      <c r="F20" s="93" t="str">
        <f t="shared" si="3"/>
        <v>#VALUE!</v>
      </c>
      <c r="I20" s="8"/>
    </row>
    <row r="21">
      <c r="A21" s="6" t="str">
        <f t="shared" si="4"/>
        <v>#VALUE!</v>
      </c>
      <c r="D21" s="93" t="str">
        <f t="shared" si="1"/>
        <v>#VALUE!</v>
      </c>
      <c r="E21" s="93" t="str">
        <f t="shared" si="2"/>
        <v>#VALUE!</v>
      </c>
      <c r="F21" s="93" t="str">
        <f t="shared" si="3"/>
        <v>#VALUE!</v>
      </c>
      <c r="I21" s="8"/>
    </row>
    <row r="22">
      <c r="A22" s="6" t="str">
        <f t="shared" si="4"/>
        <v>#VALUE!</v>
      </c>
      <c r="D22" s="93" t="str">
        <f t="shared" si="1"/>
        <v>#VALUE!</v>
      </c>
      <c r="F22" s="93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96"/>
      <c r="B1" s="163" t="s">
        <v>1</v>
      </c>
      <c r="C1" s="163" t="s">
        <v>785</v>
      </c>
      <c r="D1" s="163" t="s">
        <v>786</v>
      </c>
      <c r="E1" s="163" t="s">
        <v>787</v>
      </c>
      <c r="F1" s="163" t="s">
        <v>324</v>
      </c>
      <c r="G1" s="164" t="s">
        <v>415</v>
      </c>
      <c r="H1" s="165" t="s">
        <v>407</v>
      </c>
      <c r="I1" s="165" t="s">
        <v>57</v>
      </c>
      <c r="J1" s="165" t="s">
        <v>374</v>
      </c>
      <c r="K1" s="165" t="s">
        <v>422</v>
      </c>
    </row>
    <row r="2">
      <c r="A2" s="96" t="s">
        <v>788</v>
      </c>
      <c r="B2" s="129">
        <f>HLOOKUP("*("&amp;B$1&amp;")*",Price!$A:$CD,2,0)</f>
        <v>32.72</v>
      </c>
      <c r="C2" s="129">
        <f>$B$2*94.85/91.15</f>
        <v>34.04818431</v>
      </c>
      <c r="D2" s="129">
        <f>$B$2*95.69/91.15</f>
        <v>34.34971805</v>
      </c>
      <c r="E2" s="129">
        <f>$B$2*94.58/91.15</f>
        <v>33.95126275</v>
      </c>
      <c r="F2" s="96" t="str">
        <f>HLOOKUP("*("&amp;F$1&amp;")*",Price!$A:$CD,2,0)</f>
        <v>#N/A</v>
      </c>
      <c r="G2" s="166">
        <f t="shared" ref="G2:I2" si="1">$B$2</f>
        <v>32.72</v>
      </c>
      <c r="H2" s="129">
        <f t="shared" si="1"/>
        <v>32.72</v>
      </c>
      <c r="I2" s="129">
        <f t="shared" si="1"/>
        <v>32.72</v>
      </c>
      <c r="J2" s="96" t="str">
        <f>$F$2</f>
        <v>#N/A</v>
      </c>
      <c r="K2" s="129">
        <f>$B$2</f>
        <v>32.72</v>
      </c>
    </row>
    <row r="3">
      <c r="A3" s="96" t="s">
        <v>789</v>
      </c>
      <c r="B3" s="96">
        <v>117.36</v>
      </c>
      <c r="C3" s="96">
        <v>121.31</v>
      </c>
      <c r="D3" s="96">
        <v>120.31</v>
      </c>
      <c r="E3" s="96">
        <v>120.31</v>
      </c>
      <c r="F3" s="96">
        <v>1.0E-4</v>
      </c>
      <c r="G3" s="167">
        <v>84.6</v>
      </c>
      <c r="H3" s="96">
        <v>27.0</v>
      </c>
      <c r="I3" s="96">
        <v>81.54</v>
      </c>
      <c r="J3" s="96">
        <v>73.15</v>
      </c>
      <c r="K3" s="96">
        <v>80.0</v>
      </c>
    </row>
    <row r="4">
      <c r="A4" s="168" t="s">
        <v>790</v>
      </c>
      <c r="B4" s="169">
        <f t="shared" ref="B4:K4" si="2">IF(B2&lt;B3,(B3-B2)/B2,(B2-B3)/B3)</f>
        <v>2.586797066</v>
      </c>
      <c r="C4" s="169">
        <f t="shared" si="2"/>
        <v>2.562891897</v>
      </c>
      <c r="D4" s="169">
        <f t="shared" si="2"/>
        <v>2.502503276</v>
      </c>
      <c r="E4" s="169">
        <f t="shared" si="2"/>
        <v>2.543608992</v>
      </c>
      <c r="F4" s="169" t="str">
        <f t="shared" si="2"/>
        <v>#N/A</v>
      </c>
      <c r="G4" s="170">
        <f t="shared" si="2"/>
        <v>1.585574572</v>
      </c>
      <c r="H4" s="169">
        <f t="shared" si="2"/>
        <v>0.2118518519</v>
      </c>
      <c r="I4" s="169">
        <f t="shared" si="2"/>
        <v>1.49205379</v>
      </c>
      <c r="J4" s="169" t="str">
        <f t="shared" si="2"/>
        <v>#N/A</v>
      </c>
      <c r="K4" s="169">
        <f t="shared" si="2"/>
        <v>1.444987775</v>
      </c>
    </row>
    <row r="5">
      <c r="A5" s="96" t="s">
        <v>791</v>
      </c>
      <c r="B5" s="63">
        <v>0.2731</v>
      </c>
      <c r="C5" s="63">
        <v>0.2156</v>
      </c>
      <c r="D5" s="63">
        <v>0.1678</v>
      </c>
      <c r="E5" s="63">
        <v>0.2108</v>
      </c>
      <c r="F5" s="63">
        <v>0.1692</v>
      </c>
      <c r="G5" s="65">
        <v>0.246</v>
      </c>
      <c r="H5" s="63">
        <v>0.1964</v>
      </c>
      <c r="I5" s="63">
        <v>-0.0077</v>
      </c>
      <c r="J5" s="63">
        <v>0.1892</v>
      </c>
      <c r="K5" s="63">
        <v>0.0</v>
      </c>
    </row>
    <row r="6">
      <c r="A6" s="96" t="s">
        <v>498</v>
      </c>
      <c r="B6" s="63">
        <v>0.0</v>
      </c>
      <c r="C6" s="63">
        <v>0.0606</v>
      </c>
      <c r="D6" s="63">
        <v>0.0484</v>
      </c>
      <c r="E6" s="63">
        <v>0.065</v>
      </c>
      <c r="F6" s="63">
        <v>0.0</v>
      </c>
      <c r="G6" s="65">
        <v>0.0</v>
      </c>
      <c r="H6" s="63">
        <v>0.0509</v>
      </c>
      <c r="I6" s="63">
        <v>0.0</v>
      </c>
      <c r="J6" s="63">
        <v>0.0</v>
      </c>
      <c r="K6" s="162">
        <v>0.0</v>
      </c>
    </row>
    <row r="7">
      <c r="A7" s="168" t="s">
        <v>792</v>
      </c>
      <c r="B7" s="169">
        <f t="shared" ref="B7:K7" si="3">(B5+B6)*B4</f>
        <v>0.7064542787</v>
      </c>
      <c r="C7" s="169">
        <f t="shared" si="3"/>
        <v>0.707870742</v>
      </c>
      <c r="D7" s="169">
        <f t="shared" si="3"/>
        <v>0.5410412083</v>
      </c>
      <c r="E7" s="169">
        <f t="shared" si="3"/>
        <v>0.7015273601</v>
      </c>
      <c r="F7" s="169" t="str">
        <f t="shared" si="3"/>
        <v>#N/A</v>
      </c>
      <c r="G7" s="170">
        <f t="shared" si="3"/>
        <v>0.3900513447</v>
      </c>
      <c r="H7" s="169">
        <f t="shared" si="3"/>
        <v>0.05239096296</v>
      </c>
      <c r="I7" s="169">
        <f t="shared" si="3"/>
        <v>-0.01148881418</v>
      </c>
      <c r="J7" s="169" t="str">
        <f t="shared" si="3"/>
        <v>#N/A</v>
      </c>
      <c r="K7" s="169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6" t="s">
        <v>793</v>
      </c>
    </row>
    <row r="2">
      <c r="A2" s="146" t="s">
        <v>794</v>
      </c>
    </row>
    <row r="3">
      <c r="A3" s="146" t="s">
        <v>110</v>
      </c>
    </row>
    <row r="4">
      <c r="A4" s="146" t="s">
        <v>175</v>
      </c>
    </row>
    <row r="5">
      <c r="A5" s="171">
        <v>44674.0</v>
      </c>
    </row>
    <row r="6">
      <c r="A6" s="172">
        <v>0.7085532407407408</v>
      </c>
    </row>
    <row r="7">
      <c r="A7" s="146" t="s">
        <v>795</v>
      </c>
    </row>
    <row r="8">
      <c r="A8" s="146" t="s">
        <v>57</v>
      </c>
    </row>
    <row r="9">
      <c r="A9" s="60">
        <v>24772.4</v>
      </c>
    </row>
    <row r="10">
      <c r="A10" s="147">
        <v>24772.39</v>
      </c>
    </row>
    <row r="11">
      <c r="A11" s="171">
        <v>44674.0</v>
      </c>
    </row>
    <row r="12">
      <c r="A12" s="172">
        <v>0.6731828703703704</v>
      </c>
    </row>
    <row r="13">
      <c r="A13" s="146" t="s">
        <v>529</v>
      </c>
    </row>
    <row r="14">
      <c r="A14" s="146" t="s">
        <v>796</v>
      </c>
    </row>
    <row r="15">
      <c r="A15" s="146">
        <v>68.213</v>
      </c>
    </row>
    <row r="16">
      <c r="A16" s="147">
        <v>68.34</v>
      </c>
    </row>
    <row r="17">
      <c r="A17" s="171">
        <v>44674.0</v>
      </c>
    </row>
    <row r="18">
      <c r="A18" s="172">
        <v>0.5745717592592593</v>
      </c>
    </row>
    <row r="19">
      <c r="A19" s="146" t="s">
        <v>529</v>
      </c>
    </row>
    <row r="20">
      <c r="A20" s="146" t="s">
        <v>796</v>
      </c>
    </row>
    <row r="21">
      <c r="A21" s="60">
        <v>1571.902</v>
      </c>
    </row>
    <row r="22">
      <c r="A22" s="147">
        <v>1574.74</v>
      </c>
    </row>
    <row r="23">
      <c r="A23" s="171">
        <v>44674.0</v>
      </c>
    </row>
    <row r="24">
      <c r="A24" s="172">
        <v>0.12619212962962964</v>
      </c>
    </row>
    <row r="25">
      <c r="A25" s="146" t="s">
        <v>795</v>
      </c>
    </row>
    <row r="26">
      <c r="A26" s="146" t="s">
        <v>57</v>
      </c>
    </row>
    <row r="27">
      <c r="A27" s="60">
        <v>1077.23</v>
      </c>
    </row>
    <row r="28">
      <c r="A28" s="147">
        <v>1077.23</v>
      </c>
    </row>
    <row r="29">
      <c r="A29" s="171">
        <v>44673.0</v>
      </c>
    </row>
    <row r="30">
      <c r="A30" s="172">
        <v>0.9246875</v>
      </c>
    </row>
    <row r="31">
      <c r="A31" s="146" t="s">
        <v>795</v>
      </c>
    </row>
    <row r="32">
      <c r="A32" s="146" t="s">
        <v>57</v>
      </c>
    </row>
    <row r="33">
      <c r="A33" s="60">
        <v>1055.25</v>
      </c>
    </row>
    <row r="34">
      <c r="A34" s="147">
        <v>1055.25</v>
      </c>
    </row>
    <row r="35">
      <c r="A35" s="171">
        <v>44673.0</v>
      </c>
    </row>
    <row r="36">
      <c r="A36" s="172">
        <v>0.7713425925925926</v>
      </c>
    </row>
    <row r="37">
      <c r="A37" s="146" t="s">
        <v>529</v>
      </c>
    </row>
    <row r="38">
      <c r="A38" s="146" t="s">
        <v>365</v>
      </c>
    </row>
    <row r="39">
      <c r="A39" s="146">
        <v>183.2</v>
      </c>
    </row>
    <row r="40">
      <c r="A40" s="147">
        <v>5.04</v>
      </c>
    </row>
    <row r="41">
      <c r="A41" s="171">
        <v>44673.0</v>
      </c>
    </row>
    <row r="42">
      <c r="A42" s="172">
        <v>0.770625</v>
      </c>
    </row>
    <row r="43">
      <c r="A43" s="146" t="s">
        <v>795</v>
      </c>
    </row>
    <row r="44">
      <c r="A44" s="146" t="s">
        <v>57</v>
      </c>
    </row>
    <row r="45">
      <c r="A45" s="146">
        <v>5.0</v>
      </c>
    </row>
    <row r="46">
      <c r="A46" s="160">
        <v>5.0</v>
      </c>
    </row>
    <row r="47">
      <c r="A47" s="171">
        <v>44673.0</v>
      </c>
    </row>
    <row r="48">
      <c r="A48" s="172">
        <v>0.7685300925925926</v>
      </c>
    </row>
    <row r="49">
      <c r="A49" s="146" t="s">
        <v>529</v>
      </c>
    </row>
    <row r="50">
      <c r="A50" s="146" t="s">
        <v>796</v>
      </c>
    </row>
    <row r="51">
      <c r="A51" s="60">
        <v>1966.019</v>
      </c>
    </row>
    <row r="52">
      <c r="A52" s="147">
        <v>1969.56</v>
      </c>
    </row>
    <row r="53">
      <c r="A53" s="171">
        <v>44673.0</v>
      </c>
    </row>
    <row r="54">
      <c r="A54" s="172">
        <v>0.7066898148148149</v>
      </c>
    </row>
    <row r="55">
      <c r="A55" s="146" t="s">
        <v>529</v>
      </c>
    </row>
    <row r="56">
      <c r="A56" s="146" t="s">
        <v>365</v>
      </c>
    </row>
    <row r="57">
      <c r="A57" s="173">
        <v>1279.0</v>
      </c>
    </row>
    <row r="58">
      <c r="A58" s="147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797</v>
      </c>
      <c r="B1" s="3" t="s">
        <v>26</v>
      </c>
      <c r="C1" s="3" t="s">
        <v>798</v>
      </c>
      <c r="D1" s="98"/>
      <c r="E1" s="3"/>
      <c r="F1" s="3"/>
      <c r="G1" s="3"/>
      <c r="H1" s="2"/>
      <c r="I1" s="3"/>
      <c r="J1" s="3"/>
    </row>
    <row r="2">
      <c r="A2" s="96" t="str">
        <f t="shared" ref="A2:A1122" si="1">IF(D2&lt;&gt;"",IF(AND(C2="",F2="SOL"),"RECV",IF(B2&lt;&gt;"",F2&amp;"-"&amp;H2,"TRANS")),)</f>
        <v>TRANS</v>
      </c>
      <c r="B2" s="96" t="str">
        <f t="shared" ref="B2:B1122" si="2">IF(AND(OR(C2="",I2&lt;&gt;""),G2&lt;&gt;""),E2/G2,)</f>
        <v/>
      </c>
      <c r="C2" s="174" t="str">
        <f t="shared" ref="C2:C1122" si="3">IF(I2&lt;&gt;"",I2,IF(AND(G2&lt;&gt;"",H2="SOL"),IF(AND(ABS(G2)&gt;0,ABS(G2)&lt;0.05),G2,-0.000005),IF(AND(ABS(E2)&gt;0,ABS(E2)&lt;0.05,F2="SOL"),E2,)))</f>
        <v/>
      </c>
      <c r="D2" s="167" t="s">
        <v>799</v>
      </c>
      <c r="E2" s="93">
        <f>IFERROR(__xludf.DUMMYFUNCTION("IF(D2&lt;&gt;"""",SPLIT(D2,"" 
""),)"),1.88607002)</f>
        <v>1.88607002</v>
      </c>
      <c r="F2" s="93" t="str">
        <f>IFERROR(__xludf.DUMMYFUNCTION("""COMPUTED_VALUE"""),"LDO")</f>
        <v>LDO</v>
      </c>
    </row>
    <row r="3">
      <c r="A3" s="96" t="str">
        <f t="shared" si="1"/>
        <v>TRANS</v>
      </c>
      <c r="B3" s="96" t="str">
        <f t="shared" si="2"/>
        <v/>
      </c>
      <c r="C3" s="174">
        <f t="shared" si="3"/>
        <v>-0.000005</v>
      </c>
      <c r="D3" s="167" t="s">
        <v>800</v>
      </c>
      <c r="E3" s="93">
        <f>IFERROR(__xludf.DUMMYFUNCTION("IF(D3&lt;&gt;"""",SPLIT(D3,"" 
""),)"),-0.638321)</f>
        <v>-0.638321</v>
      </c>
      <c r="F3" s="93" t="str">
        <f>IFERROR(__xludf.DUMMYFUNCTION("""COMPUTED_VALUE"""),"UST")</f>
        <v>UST</v>
      </c>
      <c r="G3" s="93">
        <f>IFERROR(__xludf.DUMMYFUNCTION("""COMPUTED_VALUE"""),-5.0E-6)</f>
        <v>-0.000005</v>
      </c>
      <c r="H3" s="93" t="str">
        <f>IFERROR(__xludf.DUMMYFUNCTION("""COMPUTED_VALUE"""),"SOL")</f>
        <v>SOL</v>
      </c>
    </row>
    <row r="4">
      <c r="A4" s="96" t="str">
        <f t="shared" si="1"/>
        <v>UST-USDC</v>
      </c>
      <c r="B4" s="96">
        <f t="shared" si="2"/>
        <v>-0.9959790715</v>
      </c>
      <c r="C4" s="174">
        <f t="shared" si="3"/>
        <v>-0.000005</v>
      </c>
      <c r="D4" s="167" t="s">
        <v>801</v>
      </c>
      <c r="E4" s="93">
        <f>IFERROR(__xludf.DUMMYFUNCTION("IF(D4&lt;&gt;"""",SPLIT(D4,"" 
""),)"),0.182554)</f>
        <v>0.182554</v>
      </c>
      <c r="F4" s="93" t="str">
        <f>IFERROR(__xludf.DUMMYFUNCTION("""COMPUTED_VALUE"""),"UST")</f>
        <v>UST</v>
      </c>
      <c r="G4" s="93">
        <f>IFERROR(__xludf.DUMMYFUNCTION("""COMPUTED_VALUE"""),-0.183291)</f>
        <v>-0.183291</v>
      </c>
      <c r="H4" s="93" t="str">
        <f>IFERROR(__xludf.DUMMYFUNCTION("""COMPUTED_VALUE"""),"USDC")</f>
        <v>USDC</v>
      </c>
      <c r="I4" s="93">
        <f>IFERROR(__xludf.DUMMYFUNCTION("""COMPUTED_VALUE"""),-5.0E-6)</f>
        <v>-0.000005</v>
      </c>
      <c r="J4" s="93" t="str">
        <f>IFERROR(__xludf.DUMMYFUNCTION("""COMPUTED_VALUE"""),"SOL")</f>
        <v>SOL</v>
      </c>
    </row>
    <row r="5">
      <c r="A5" s="96" t="str">
        <f t="shared" si="1"/>
        <v>UST-LARIX</v>
      </c>
      <c r="B5" s="96">
        <f t="shared" si="2"/>
        <v>-0.003740374343</v>
      </c>
      <c r="C5" s="174">
        <f t="shared" si="3"/>
        <v>-0.000005</v>
      </c>
      <c r="D5" s="167" t="s">
        <v>802</v>
      </c>
      <c r="E5" s="93">
        <f>IFERROR(__xludf.DUMMYFUNCTION("IF(D5&lt;&gt;"""",SPLIT(D5,"" 
""),)"),0.455767)</f>
        <v>0.455767</v>
      </c>
      <c r="F5" s="93" t="str">
        <f>IFERROR(__xludf.DUMMYFUNCTION("""COMPUTED_VALUE"""),"UST")</f>
        <v>UST</v>
      </c>
      <c r="G5" s="93">
        <f>IFERROR(__xludf.DUMMYFUNCTION("""COMPUTED_VALUE"""),-121.850638)</f>
        <v>-121.850638</v>
      </c>
      <c r="H5" s="93" t="str">
        <f>IFERROR(__xludf.DUMMYFUNCTION("""COMPUTED_VALUE"""),"LARIX")</f>
        <v>LARIX</v>
      </c>
      <c r="I5" s="93">
        <f>IFERROR(__xludf.DUMMYFUNCTION("""COMPUTED_VALUE"""),-5.0E-6)</f>
        <v>-0.000005</v>
      </c>
      <c r="J5" s="93" t="str">
        <f>IFERROR(__xludf.DUMMYFUNCTION("""COMPUTED_VALUE"""),"SOL")</f>
        <v>SOL</v>
      </c>
    </row>
    <row r="6">
      <c r="A6" s="96" t="str">
        <f t="shared" si="1"/>
        <v>TRANS</v>
      </c>
      <c r="B6" s="96" t="str">
        <f t="shared" si="2"/>
        <v/>
      </c>
      <c r="C6" s="174">
        <f t="shared" si="3"/>
        <v>-0.000005</v>
      </c>
      <c r="D6" s="167" t="s">
        <v>803</v>
      </c>
      <c r="E6" s="93">
        <f>IFERROR(__xludf.DUMMYFUNCTION("IF(D6&lt;&gt;"""",SPLIT(D6,"" 
""),)"),121.850638)</f>
        <v>121.850638</v>
      </c>
      <c r="F6" s="93" t="str">
        <f>IFERROR(__xludf.DUMMYFUNCTION("""COMPUTED_VALUE"""),"LARIX")</f>
        <v>LARIX</v>
      </c>
      <c r="G6" s="93">
        <f>IFERROR(__xludf.DUMMYFUNCTION("""COMPUTED_VALUE"""),-5.0E-6)</f>
        <v>-0.000005</v>
      </c>
      <c r="H6" s="93" t="str">
        <f>IFERROR(__xludf.DUMMYFUNCTION("""COMPUTED_VALUE"""),"SOL")</f>
        <v>SOL</v>
      </c>
    </row>
    <row r="7">
      <c r="A7" s="96" t="str">
        <f t="shared" si="1"/>
        <v>TRANS</v>
      </c>
      <c r="B7" s="96" t="str">
        <f t="shared" si="2"/>
        <v/>
      </c>
      <c r="C7" s="174">
        <f t="shared" si="3"/>
        <v>-0.000005</v>
      </c>
      <c r="D7" s="167" t="s">
        <v>804</v>
      </c>
      <c r="E7" s="93">
        <f>IFERROR(__xludf.DUMMYFUNCTION("IF(D7&lt;&gt;"""",SPLIT(D7,"" 
""),)"),0.183291)</f>
        <v>0.183291</v>
      </c>
      <c r="F7" s="93" t="str">
        <f>IFERROR(__xludf.DUMMYFUNCTION("""COMPUTED_VALUE"""),"USDC")</f>
        <v>USDC</v>
      </c>
      <c r="G7" s="93">
        <f>IFERROR(__xludf.DUMMYFUNCTION("""COMPUTED_VALUE"""),-5.0E-6)</f>
        <v>-0.000005</v>
      </c>
      <c r="H7" s="93" t="str">
        <f>IFERROR(__xludf.DUMMYFUNCTION("""COMPUTED_VALUE"""),"SOL")</f>
        <v>SOL</v>
      </c>
    </row>
    <row r="8">
      <c r="A8" s="96" t="str">
        <f t="shared" si="1"/>
        <v>TRANS</v>
      </c>
      <c r="B8" s="96" t="str">
        <f t="shared" si="2"/>
        <v/>
      </c>
      <c r="C8" s="174" t="str">
        <f t="shared" si="3"/>
        <v/>
      </c>
      <c r="D8" s="167" t="s">
        <v>805</v>
      </c>
      <c r="E8" s="93">
        <f>IFERROR(__xludf.DUMMYFUNCTION("IF(D8&lt;&gt;"""",SPLIT(D8,"" 
""),)"),1.62902423)</f>
        <v>1.62902423</v>
      </c>
      <c r="F8" s="93" t="str">
        <f>IFERROR(__xludf.DUMMYFUNCTION("""COMPUTED_VALUE"""),"LDO")</f>
        <v>LDO</v>
      </c>
    </row>
    <row r="9">
      <c r="A9" s="96" t="str">
        <f t="shared" si="1"/>
        <v>TRANS</v>
      </c>
      <c r="B9" s="96" t="str">
        <f t="shared" si="2"/>
        <v/>
      </c>
      <c r="C9" s="174">
        <f t="shared" si="3"/>
        <v>-0.000005</v>
      </c>
      <c r="D9" s="167" t="s">
        <v>806</v>
      </c>
      <c r="E9" s="93">
        <f>IFERROR(__xludf.DUMMYFUNCTION("IF(D9&lt;&gt;"""",SPLIT(D9,"" 
""),)"),-26.879967116)</f>
        <v>-26.87996712</v>
      </c>
      <c r="F9" s="93" t="str">
        <f>IFERROR(__xludf.DUMMYFUNCTION("""COMPUTED_VALUE"""),"stSOL")</f>
        <v>stSOL</v>
      </c>
      <c r="G9" s="93">
        <f>IFERROR(__xludf.DUMMYFUNCTION("""COMPUTED_VALUE"""),-5.0E-6)</f>
        <v>-0.000005</v>
      </c>
      <c r="H9" s="93" t="str">
        <f>IFERROR(__xludf.DUMMYFUNCTION("""COMPUTED_VALUE"""),"SOL")</f>
        <v>SOL</v>
      </c>
    </row>
    <row r="10">
      <c r="A10" s="96" t="str">
        <f t="shared" si="1"/>
        <v>TRANS</v>
      </c>
      <c r="B10" s="96" t="str">
        <f t="shared" si="2"/>
        <v/>
      </c>
      <c r="C10" s="174">
        <f t="shared" si="3"/>
        <v>-0.000005</v>
      </c>
      <c r="D10" s="167" t="s">
        <v>807</v>
      </c>
      <c r="E10" s="93">
        <f>IFERROR(__xludf.DUMMYFUNCTION("IF(D10&lt;&gt;"""",SPLIT(D10,"" 
""),)"),26.879967116)</f>
        <v>26.87996712</v>
      </c>
      <c r="F10" s="93" t="str">
        <f>IFERROR(__xludf.DUMMYFUNCTION("""COMPUTED_VALUE"""),"stSOL")</f>
        <v>stSOL</v>
      </c>
      <c r="G10" s="93">
        <f>IFERROR(__xludf.DUMMYFUNCTION("""COMPUTED_VALUE"""),-27.680005)</f>
        <v>-27.680005</v>
      </c>
      <c r="H10" s="93" t="str">
        <f>IFERROR(__xludf.DUMMYFUNCTION("""COMPUTED_VALUE"""),"SOL")</f>
        <v>SOL</v>
      </c>
    </row>
    <row r="11">
      <c r="A11" s="96" t="str">
        <f t="shared" si="1"/>
        <v>RECV</v>
      </c>
      <c r="B11" s="96" t="str">
        <f t="shared" si="2"/>
        <v/>
      </c>
      <c r="C11" s="174" t="str">
        <f t="shared" si="3"/>
        <v/>
      </c>
      <c r="D11" s="167" t="s">
        <v>808</v>
      </c>
      <c r="E11" s="93">
        <f>IFERROR(__xludf.DUMMYFUNCTION("IF(D11&lt;&gt;"""",SPLIT(D11,"" 
""),)"),15.079995)</f>
        <v>15.079995</v>
      </c>
      <c r="F11" s="93" t="str">
        <f>IFERROR(__xludf.DUMMYFUNCTION("""COMPUTED_VALUE"""),"SOL")</f>
        <v>SOL</v>
      </c>
      <c r="G11" s="93"/>
      <c r="H11" s="93"/>
    </row>
    <row r="12">
      <c r="A12" s="96" t="str">
        <f t="shared" si="1"/>
        <v>RECV</v>
      </c>
      <c r="B12" s="96" t="str">
        <f t="shared" si="2"/>
        <v/>
      </c>
      <c r="C12" s="174" t="str">
        <f t="shared" si="3"/>
        <v/>
      </c>
      <c r="D12" s="167" t="s">
        <v>809</v>
      </c>
      <c r="E12" s="93">
        <f>IFERROR(__xludf.DUMMYFUNCTION("IF(D12&lt;&gt;"""",SPLIT(D12,"" 
""),)"),12.57803537)</f>
        <v>12.57803537</v>
      </c>
      <c r="F12" s="93" t="str">
        <f>IFERROR(__xludf.DUMMYFUNCTION("""COMPUTED_VALUE"""),"SOL")</f>
        <v>SOL</v>
      </c>
      <c r="G12" s="93"/>
      <c r="H12" s="93"/>
    </row>
    <row r="13">
      <c r="A13" s="96" t="str">
        <f t="shared" si="1"/>
        <v>TRANS</v>
      </c>
      <c r="B13" s="96" t="str">
        <f t="shared" si="2"/>
        <v/>
      </c>
      <c r="C13" s="174" t="str">
        <f t="shared" si="3"/>
        <v/>
      </c>
      <c r="D13" s="167" t="s">
        <v>810</v>
      </c>
      <c r="E13" s="93">
        <f>IFERROR(__xludf.DUMMYFUNCTION("IF(D13&lt;&gt;"""",SPLIT(D13,"" 
""),)"),1.49157721)</f>
        <v>1.49157721</v>
      </c>
      <c r="F13" s="93" t="str">
        <f>IFERROR(__xludf.DUMMYFUNCTION("""COMPUTED_VALUE"""),"LDO")</f>
        <v>LDO</v>
      </c>
    </row>
    <row r="14">
      <c r="A14" s="96" t="str">
        <f t="shared" si="1"/>
        <v>TRANS</v>
      </c>
      <c r="B14" s="96" t="str">
        <f t="shared" si="2"/>
        <v/>
      </c>
      <c r="C14" s="174">
        <f t="shared" si="3"/>
        <v>-0.000005</v>
      </c>
      <c r="D14" s="167" t="s">
        <v>811</v>
      </c>
      <c r="E14" s="93">
        <f>IFERROR(__xludf.DUMMYFUNCTION("IF(D14&lt;&gt;"""",SPLIT(D14,"" 
""),)"),-0.186166008)</f>
        <v>-0.186166008</v>
      </c>
      <c r="F14" s="93" t="str">
        <f>IFERROR(__xludf.DUMMYFUNCTION("""COMPUTED_VALUE"""),"stSOL")</f>
        <v>stSOL</v>
      </c>
      <c r="G14" s="93">
        <f>IFERROR(__xludf.DUMMYFUNCTION("""COMPUTED_VALUE"""),-5.0E-6)</f>
        <v>-0.000005</v>
      </c>
      <c r="H14" s="93" t="str">
        <f>IFERROR(__xludf.DUMMYFUNCTION("""COMPUTED_VALUE"""),"SOL")</f>
        <v>SOL</v>
      </c>
    </row>
    <row r="15">
      <c r="A15" s="96" t="str">
        <f t="shared" si="1"/>
        <v>stSOL-LDO</v>
      </c>
      <c r="B15" s="96">
        <f t="shared" si="2"/>
        <v>-0.03012638463</v>
      </c>
      <c r="C15" s="174">
        <f t="shared" si="3"/>
        <v>-0.000005</v>
      </c>
      <c r="D15" s="167" t="s">
        <v>812</v>
      </c>
      <c r="E15" s="93">
        <f>IFERROR(__xludf.DUMMYFUNCTION("IF(D15&lt;&gt;"""",SPLIT(D15,"" 
""),)"),0.186166008)</f>
        <v>0.186166008</v>
      </c>
      <c r="F15" s="93" t="str">
        <f>IFERROR(__xludf.DUMMYFUNCTION("""COMPUTED_VALUE"""),"stSOL")</f>
        <v>stSOL</v>
      </c>
      <c r="G15" s="93">
        <f>IFERROR(__xludf.DUMMYFUNCTION("""COMPUTED_VALUE"""),-6.17950047)</f>
        <v>-6.17950047</v>
      </c>
      <c r="H15" s="93" t="str">
        <f>IFERROR(__xludf.DUMMYFUNCTION("""COMPUTED_VALUE"""),"LDO")</f>
        <v>LDO</v>
      </c>
      <c r="I15" s="93">
        <f>IFERROR(__xludf.DUMMYFUNCTION("""COMPUTED_VALUE"""),-5.0E-6)</f>
        <v>-0.000005</v>
      </c>
      <c r="J15" s="93" t="str">
        <f>IFERROR(__xludf.DUMMYFUNCTION("""COMPUTED_VALUE"""),"SOL")</f>
        <v>SOL</v>
      </c>
    </row>
    <row r="16">
      <c r="A16" s="96" t="str">
        <f t="shared" si="1"/>
        <v>TRANS</v>
      </c>
      <c r="B16" s="96" t="str">
        <f t="shared" si="2"/>
        <v/>
      </c>
      <c r="C16" s="174">
        <f t="shared" si="3"/>
        <v>-0.000005</v>
      </c>
      <c r="D16" s="167" t="s">
        <v>813</v>
      </c>
      <c r="E16" s="93">
        <f>IFERROR(__xludf.DUMMYFUNCTION("IF(D16&lt;&gt;"""",SPLIT(D16,"" 
""),)"),-0.531531)</f>
        <v>-0.531531</v>
      </c>
      <c r="F16" s="93" t="str">
        <f>IFERROR(__xludf.DUMMYFUNCTION("""COMPUTED_VALUE"""),"UST")</f>
        <v>UST</v>
      </c>
      <c r="G16" s="93">
        <f>IFERROR(__xludf.DUMMYFUNCTION("""COMPUTED_VALUE"""),-5.0E-6)</f>
        <v>-0.000005</v>
      </c>
      <c r="H16" s="93" t="str">
        <f>IFERROR(__xludf.DUMMYFUNCTION("""COMPUTED_VALUE"""),"SOL")</f>
        <v>SOL</v>
      </c>
    </row>
    <row r="17">
      <c r="A17" s="96" t="str">
        <f t="shared" si="1"/>
        <v>UST-LARIX</v>
      </c>
      <c r="B17" s="96">
        <f t="shared" si="2"/>
        <v>-0.003734629173</v>
      </c>
      <c r="C17" s="174">
        <f t="shared" si="3"/>
        <v>-0.000005</v>
      </c>
      <c r="D17" s="167" t="s">
        <v>814</v>
      </c>
      <c r="E17" s="93">
        <f>IFERROR(__xludf.DUMMYFUNCTION("IF(D17&lt;&gt;"""",SPLIT(D17,"" 
""),)"),0.531531)</f>
        <v>0.531531</v>
      </c>
      <c r="F17" s="93" t="str">
        <f>IFERROR(__xludf.DUMMYFUNCTION("""COMPUTED_VALUE"""),"UST")</f>
        <v>UST</v>
      </c>
      <c r="G17" s="93">
        <f>IFERROR(__xludf.DUMMYFUNCTION("""COMPUTED_VALUE"""),-142.324974)</f>
        <v>-142.324974</v>
      </c>
      <c r="H17" s="93" t="str">
        <f>IFERROR(__xludf.DUMMYFUNCTION("""COMPUTED_VALUE"""),"LARIX")</f>
        <v>LARIX</v>
      </c>
      <c r="I17" s="93">
        <f>IFERROR(__xludf.DUMMYFUNCTION("""COMPUTED_VALUE"""),-5.0E-6)</f>
        <v>-0.000005</v>
      </c>
      <c r="J17" s="93" t="str">
        <f>IFERROR(__xludf.DUMMYFUNCTION("""COMPUTED_VALUE"""),"SOL")</f>
        <v>SOL</v>
      </c>
    </row>
    <row r="18">
      <c r="A18" s="96" t="str">
        <f t="shared" si="1"/>
        <v>TRANS</v>
      </c>
      <c r="B18" s="96" t="str">
        <f t="shared" si="2"/>
        <v/>
      </c>
      <c r="C18" s="174">
        <f t="shared" si="3"/>
        <v>-0.000005</v>
      </c>
      <c r="D18" s="167" t="s">
        <v>815</v>
      </c>
      <c r="E18" s="93">
        <f>IFERROR(__xludf.DUMMYFUNCTION("IF(D18&lt;&gt;"""",SPLIT(D18,"" 
""),)"),-24.957194901)</f>
        <v>-24.9571949</v>
      </c>
      <c r="F18" s="93" t="str">
        <f>IFERROR(__xludf.DUMMYFUNCTION("""COMPUTED_VALUE"""),"stSOL")</f>
        <v>stSOL</v>
      </c>
      <c r="G18" s="93">
        <f>IFERROR(__xludf.DUMMYFUNCTION("""COMPUTED_VALUE"""),-5.0E-6)</f>
        <v>-0.000005</v>
      </c>
      <c r="H18" s="93" t="str">
        <f>IFERROR(__xludf.DUMMYFUNCTION("""COMPUTED_VALUE"""),"SOL")</f>
        <v>SOL</v>
      </c>
    </row>
    <row r="19">
      <c r="A19" s="96" t="str">
        <f t="shared" si="1"/>
        <v>TRANS</v>
      </c>
      <c r="B19" s="96" t="str">
        <f t="shared" si="2"/>
        <v/>
      </c>
      <c r="C19" s="174">
        <f t="shared" si="3"/>
        <v>-0.000005</v>
      </c>
      <c r="D19" s="167" t="s">
        <v>816</v>
      </c>
      <c r="E19" s="93">
        <f>IFERROR(__xludf.DUMMYFUNCTION("IF(D19&lt;&gt;"""",SPLIT(D19,"" 
""),)"),15.634662954)</f>
        <v>15.63466295</v>
      </c>
      <c r="F19" s="93" t="str">
        <f>IFERROR(__xludf.DUMMYFUNCTION("""COMPUTED_VALUE"""),"stSOL")</f>
        <v>stSOL</v>
      </c>
      <c r="G19" s="93">
        <f>IFERROR(__xludf.DUMMYFUNCTION("""COMPUTED_VALUE"""),-16.100005)</f>
        <v>-16.100005</v>
      </c>
      <c r="H19" s="93" t="str">
        <f>IFERROR(__xludf.DUMMYFUNCTION("""COMPUTED_VALUE"""),"SOL")</f>
        <v>SOL</v>
      </c>
    </row>
    <row r="20">
      <c r="A20" s="96" t="str">
        <f t="shared" si="1"/>
        <v>RECV</v>
      </c>
      <c r="B20" s="96" t="str">
        <f t="shared" si="2"/>
        <v/>
      </c>
      <c r="C20" s="174" t="str">
        <f t="shared" si="3"/>
        <v/>
      </c>
      <c r="D20" s="167" t="s">
        <v>817</v>
      </c>
      <c r="E20" s="93">
        <f>IFERROR(__xludf.DUMMYFUNCTION("IF(D20&lt;&gt;"""",SPLIT(D20,"" 
""),)"),16.119995)</f>
        <v>16.119995</v>
      </c>
      <c r="F20" s="93" t="str">
        <f>IFERROR(__xludf.DUMMYFUNCTION("""COMPUTED_VALUE"""),"SOL")</f>
        <v>SOL</v>
      </c>
      <c r="G20" s="93"/>
      <c r="H20" s="93"/>
    </row>
    <row r="21">
      <c r="A21" s="96" t="str">
        <f t="shared" si="1"/>
        <v>TRANS</v>
      </c>
      <c r="B21" s="96" t="str">
        <f t="shared" si="2"/>
        <v/>
      </c>
      <c r="C21" s="174">
        <f t="shared" si="3"/>
        <v>-0.000005</v>
      </c>
      <c r="D21" s="167" t="s">
        <v>818</v>
      </c>
      <c r="E21" s="93">
        <f>IFERROR(__xludf.DUMMYFUNCTION("IF(D21&lt;&gt;"""",SPLIT(D21,"" 
""),)"),9.322531947)</f>
        <v>9.322531947</v>
      </c>
      <c r="F21" s="93" t="str">
        <f>IFERROR(__xludf.DUMMYFUNCTION("""COMPUTED_VALUE"""),"stSOL")</f>
        <v>stSOL</v>
      </c>
      <c r="G21" s="93">
        <f>IFERROR(__xludf.DUMMYFUNCTION("""COMPUTED_VALUE"""),-9.600005)</f>
        <v>-9.600005</v>
      </c>
      <c r="H21" s="93" t="str">
        <f>IFERROR(__xludf.DUMMYFUNCTION("""COMPUTED_VALUE"""),"SOL")</f>
        <v>SOL</v>
      </c>
    </row>
    <row r="22">
      <c r="A22" s="96" t="str">
        <f t="shared" si="1"/>
        <v>RECV</v>
      </c>
      <c r="B22" s="96" t="str">
        <f t="shared" si="2"/>
        <v/>
      </c>
      <c r="C22" s="174" t="str">
        <f t="shared" si="3"/>
        <v/>
      </c>
      <c r="D22" s="167" t="s">
        <v>819</v>
      </c>
      <c r="E22" s="93">
        <f>IFERROR(__xludf.DUMMYFUNCTION("IF(D22&lt;&gt;"""",SPLIT(D22,"" 
""),)"),9.53880494)</f>
        <v>9.53880494</v>
      </c>
      <c r="F22" s="93" t="str">
        <f>IFERROR(__xludf.DUMMYFUNCTION("""COMPUTED_VALUE"""),"SOL")</f>
        <v>SOL</v>
      </c>
      <c r="G22" s="93"/>
      <c r="H22" s="93"/>
    </row>
    <row r="23">
      <c r="A23" s="96" t="str">
        <f t="shared" si="1"/>
        <v>TRANS</v>
      </c>
      <c r="B23" s="96" t="str">
        <f t="shared" si="2"/>
        <v/>
      </c>
      <c r="C23" s="174">
        <f t="shared" si="3"/>
        <v>-0.000005</v>
      </c>
      <c r="D23" s="167" t="s">
        <v>820</v>
      </c>
      <c r="E23" s="93">
        <f>IFERROR(__xludf.DUMMYFUNCTION("IF(D23&lt;&gt;"""",SPLIT(D23,"" 
""),)"),142.324974)</f>
        <v>142.324974</v>
      </c>
      <c r="F23" s="93" t="str">
        <f>IFERROR(__xludf.DUMMYFUNCTION("""COMPUTED_VALUE"""),"LARIX")</f>
        <v>LARIX</v>
      </c>
      <c r="G23" s="93">
        <f>IFERROR(__xludf.DUMMYFUNCTION("""COMPUTED_VALUE"""),-5.0E-6)</f>
        <v>-0.000005</v>
      </c>
      <c r="H23" s="93" t="str">
        <f>IFERROR(__xludf.DUMMYFUNCTION("""COMPUTED_VALUE"""),"SOL")</f>
        <v>SOL</v>
      </c>
    </row>
    <row r="24">
      <c r="A24" s="96" t="str">
        <f t="shared" si="1"/>
        <v>TRANS</v>
      </c>
      <c r="B24" s="96" t="str">
        <f t="shared" si="2"/>
        <v/>
      </c>
      <c r="C24" s="174" t="str">
        <f t="shared" si="3"/>
        <v/>
      </c>
      <c r="D24" s="167" t="s">
        <v>821</v>
      </c>
      <c r="E24" s="93">
        <f>IFERROR(__xludf.DUMMYFUNCTION("IF(D24&lt;&gt;"""",SPLIT(D24,"" 
""),)"),1.62148998)</f>
        <v>1.62148998</v>
      </c>
      <c r="F24" s="93" t="str">
        <f>IFERROR(__xludf.DUMMYFUNCTION("""COMPUTED_VALUE"""),"LDO")</f>
        <v>LDO</v>
      </c>
    </row>
    <row r="25">
      <c r="A25" s="96" t="str">
        <f t="shared" si="1"/>
        <v>TRANS</v>
      </c>
      <c r="B25" s="96" t="str">
        <f t="shared" si="2"/>
        <v/>
      </c>
      <c r="C25" s="174">
        <f t="shared" si="3"/>
        <v>-0.000005</v>
      </c>
      <c r="D25" s="167" t="s">
        <v>822</v>
      </c>
      <c r="E25" s="93">
        <f>IFERROR(__xludf.DUMMYFUNCTION("IF(D25&lt;&gt;"""",SPLIT(D25,"" 
""),)"),-26.911023349)</f>
        <v>-26.91102335</v>
      </c>
      <c r="F25" s="93" t="str">
        <f>IFERROR(__xludf.DUMMYFUNCTION("""COMPUTED_VALUE"""),"stSOL")</f>
        <v>stSOL</v>
      </c>
      <c r="G25" s="93">
        <f>IFERROR(__xludf.DUMMYFUNCTION("""COMPUTED_VALUE"""),-5.0E-6)</f>
        <v>-0.000005</v>
      </c>
      <c r="H25" s="93" t="str">
        <f>IFERROR(__xludf.DUMMYFUNCTION("""COMPUTED_VALUE"""),"SOL")</f>
        <v>SOL</v>
      </c>
    </row>
    <row r="26">
      <c r="A26" s="96" t="str">
        <f t="shared" si="1"/>
        <v>TRANS</v>
      </c>
      <c r="B26" s="96" t="str">
        <f t="shared" si="2"/>
        <v/>
      </c>
      <c r="C26" s="174">
        <f t="shared" si="3"/>
        <v>-0.000005</v>
      </c>
      <c r="D26" s="167" t="s">
        <v>823</v>
      </c>
      <c r="E26" s="93">
        <f>IFERROR(__xludf.DUMMYFUNCTION("IF(D26&lt;&gt;"""",SPLIT(D26,"" 
""),)"),26.911023349)</f>
        <v>26.91102335</v>
      </c>
      <c r="F26" s="93" t="str">
        <f>IFERROR(__xludf.DUMMYFUNCTION("""COMPUTED_VALUE"""),"stSOL")</f>
        <v>stSOL</v>
      </c>
      <c r="G26" s="93">
        <f>IFERROR(__xludf.DUMMYFUNCTION("""COMPUTED_VALUE"""),-27.700005)</f>
        <v>-27.700005</v>
      </c>
      <c r="H26" s="93" t="str">
        <f>IFERROR(__xludf.DUMMYFUNCTION("""COMPUTED_VALUE"""),"SOL")</f>
        <v>SOL</v>
      </c>
    </row>
    <row r="27">
      <c r="A27" s="96" t="str">
        <f t="shared" si="1"/>
        <v>RECV</v>
      </c>
      <c r="B27" s="96" t="str">
        <f t="shared" si="2"/>
        <v/>
      </c>
      <c r="C27" s="174" t="str">
        <f t="shared" si="3"/>
        <v/>
      </c>
      <c r="D27" s="167" t="s">
        <v>824</v>
      </c>
      <c r="E27" s="93">
        <f>IFERROR(__xludf.DUMMYFUNCTION("IF(D27&lt;&gt;"""",SPLIT(D27,"" 
""),)"),27.709995)</f>
        <v>27.709995</v>
      </c>
      <c r="F27" s="93" t="str">
        <f>IFERROR(__xludf.DUMMYFUNCTION("""COMPUTED_VALUE"""),"SOL")</f>
        <v>SOL</v>
      </c>
      <c r="G27" s="93"/>
      <c r="H27" s="93"/>
    </row>
    <row r="28">
      <c r="A28" s="96" t="str">
        <f t="shared" si="1"/>
        <v>TRANS</v>
      </c>
      <c r="B28" s="96" t="str">
        <f t="shared" si="2"/>
        <v/>
      </c>
      <c r="C28" s="174">
        <f t="shared" si="3"/>
        <v>-0.000005</v>
      </c>
      <c r="D28" s="167" t="s">
        <v>825</v>
      </c>
      <c r="E28" s="93">
        <f>IFERROR(__xludf.DUMMYFUNCTION("IF(D28&lt;&gt;"""",SPLIT(D28,"" 
""),)"),-12.53257044)</f>
        <v>-12.53257044</v>
      </c>
      <c r="F28" s="93" t="str">
        <f>IFERROR(__xludf.DUMMYFUNCTION("""COMPUTED_VALUE"""),"stSOL")</f>
        <v>stSOL</v>
      </c>
      <c r="G28" s="93">
        <f>IFERROR(__xludf.DUMMYFUNCTION("""COMPUTED_VALUE"""),-5.0E-6)</f>
        <v>-0.000005</v>
      </c>
      <c r="H28" s="93" t="str">
        <f>IFERROR(__xludf.DUMMYFUNCTION("""COMPUTED_VALUE"""),"SOL")</f>
        <v>SOL</v>
      </c>
    </row>
    <row r="29">
      <c r="A29" s="96" t="str">
        <f t="shared" si="1"/>
        <v>TRANS</v>
      </c>
      <c r="B29" s="96" t="str">
        <f t="shared" si="2"/>
        <v/>
      </c>
      <c r="C29" s="174">
        <f t="shared" si="3"/>
        <v>-0.000005</v>
      </c>
      <c r="D29" s="167" t="s">
        <v>826</v>
      </c>
      <c r="E29" s="93">
        <f>IFERROR(__xludf.DUMMYFUNCTION("IF(D29&lt;&gt;"""",SPLIT(D29,"" 
""),)"),12.53257044)</f>
        <v>12.53257044</v>
      </c>
      <c r="F29" s="93" t="str">
        <f>IFERROR(__xludf.DUMMYFUNCTION("""COMPUTED_VALUE"""),"stSOL")</f>
        <v>stSOL</v>
      </c>
      <c r="G29" s="93">
        <f>IFERROR(__xludf.DUMMYFUNCTION("""COMPUTED_VALUE"""),-12.900005)</f>
        <v>-12.900005</v>
      </c>
      <c r="H29" s="93" t="str">
        <f>IFERROR(__xludf.DUMMYFUNCTION("""COMPUTED_VALUE"""),"SOL")</f>
        <v>SOL</v>
      </c>
    </row>
    <row r="30">
      <c r="A30" s="96" t="str">
        <f t="shared" si="1"/>
        <v>RECV</v>
      </c>
      <c r="B30" s="96" t="str">
        <f t="shared" si="2"/>
        <v/>
      </c>
      <c r="C30" s="174" t="str">
        <f t="shared" si="3"/>
        <v/>
      </c>
      <c r="D30" s="167" t="s">
        <v>827</v>
      </c>
      <c r="E30" s="93">
        <f>IFERROR(__xludf.DUMMYFUNCTION("IF(D30&lt;&gt;"""",SPLIT(D30,"" 
""),)"),12.89317638)</f>
        <v>12.89317638</v>
      </c>
      <c r="F30" s="93" t="str">
        <f>IFERROR(__xludf.DUMMYFUNCTION("""COMPUTED_VALUE"""),"SOL")</f>
        <v>SOL</v>
      </c>
      <c r="G30" s="93"/>
      <c r="H30" s="93"/>
    </row>
    <row r="31">
      <c r="A31" s="96" t="str">
        <f t="shared" si="1"/>
        <v>TRANS</v>
      </c>
      <c r="B31" s="96" t="str">
        <f t="shared" si="2"/>
        <v/>
      </c>
      <c r="C31" s="174" t="str">
        <f t="shared" si="3"/>
        <v/>
      </c>
      <c r="D31" s="167" t="s">
        <v>828</v>
      </c>
      <c r="E31" s="93">
        <f>IFERROR(__xludf.DUMMYFUNCTION("IF(D31&lt;&gt;"""",SPLIT(D31,"" 
""),)"),1.61519201)</f>
        <v>1.61519201</v>
      </c>
      <c r="F31" s="93" t="str">
        <f>IFERROR(__xludf.DUMMYFUNCTION("""COMPUTED_VALUE"""),"LDO")</f>
        <v>LDO</v>
      </c>
    </row>
    <row r="32">
      <c r="A32" s="96" t="str">
        <f t="shared" si="1"/>
        <v>TRANS</v>
      </c>
      <c r="B32" s="96" t="str">
        <f t="shared" si="2"/>
        <v/>
      </c>
      <c r="C32" s="174">
        <f t="shared" si="3"/>
        <v>-0.000005</v>
      </c>
      <c r="D32" s="167" t="s">
        <v>829</v>
      </c>
      <c r="E32" s="93">
        <f>IFERROR(__xludf.DUMMYFUNCTION("IF(D32&lt;&gt;"""",SPLIT(D32,"" 
""),)"),-0.629993)</f>
        <v>-0.629993</v>
      </c>
      <c r="F32" s="93" t="str">
        <f>IFERROR(__xludf.DUMMYFUNCTION("""COMPUTED_VALUE"""),"UST")</f>
        <v>UST</v>
      </c>
      <c r="G32" s="93">
        <f>IFERROR(__xludf.DUMMYFUNCTION("""COMPUTED_VALUE"""),-5.0E-6)</f>
        <v>-0.000005</v>
      </c>
      <c r="H32" s="93" t="str">
        <f>IFERROR(__xludf.DUMMYFUNCTION("""COMPUTED_VALUE"""),"SOL")</f>
        <v>SOL</v>
      </c>
    </row>
    <row r="33">
      <c r="A33" s="96" t="str">
        <f t="shared" si="1"/>
        <v>UST-LARIX</v>
      </c>
      <c r="B33" s="96">
        <f t="shared" si="2"/>
        <v>-0.003879627755</v>
      </c>
      <c r="C33" s="174">
        <f t="shared" si="3"/>
        <v>-0.000005</v>
      </c>
      <c r="D33" s="167" t="s">
        <v>830</v>
      </c>
      <c r="E33" s="93">
        <f>IFERROR(__xludf.DUMMYFUNCTION("IF(D33&lt;&gt;"""",SPLIT(D33,"" 
""),)"),0.629993)</f>
        <v>0.629993</v>
      </c>
      <c r="F33" s="93" t="str">
        <f>IFERROR(__xludf.DUMMYFUNCTION("""COMPUTED_VALUE"""),"UST")</f>
        <v>UST</v>
      </c>
      <c r="G33" s="93">
        <f>IFERROR(__xludf.DUMMYFUNCTION("""COMPUTED_VALUE"""),-162.384909)</f>
        <v>-162.384909</v>
      </c>
      <c r="H33" s="93" t="str">
        <f>IFERROR(__xludf.DUMMYFUNCTION("""COMPUTED_VALUE"""),"LARIX")</f>
        <v>LARIX</v>
      </c>
      <c r="I33" s="93">
        <f>IFERROR(__xludf.DUMMYFUNCTION("""COMPUTED_VALUE"""),-5.0E-6)</f>
        <v>-0.000005</v>
      </c>
      <c r="J33" s="93" t="str">
        <f>IFERROR(__xludf.DUMMYFUNCTION("""COMPUTED_VALUE"""),"SOL")</f>
        <v>SOL</v>
      </c>
    </row>
    <row r="34">
      <c r="A34" s="96" t="str">
        <f t="shared" si="1"/>
        <v>TRANS</v>
      </c>
      <c r="B34" s="96" t="str">
        <f t="shared" si="2"/>
        <v/>
      </c>
      <c r="C34" s="174">
        <f t="shared" si="3"/>
        <v>-0.000005</v>
      </c>
      <c r="D34" s="167" t="s">
        <v>831</v>
      </c>
      <c r="E34" s="93">
        <f>IFERROR(__xludf.DUMMYFUNCTION("IF(D34&lt;&gt;"""",SPLIT(D34,"" 
""),)"),14.563193)</f>
        <v>14.563193</v>
      </c>
      <c r="F34" s="93" t="str">
        <f>IFERROR(__xludf.DUMMYFUNCTION("""COMPUTED_VALUE"""),"LARIX")</f>
        <v>LARIX</v>
      </c>
      <c r="G34" s="93">
        <f>IFERROR(__xludf.DUMMYFUNCTION("""COMPUTED_VALUE"""),-5.0E-6)</f>
        <v>-0.000005</v>
      </c>
      <c r="H34" s="93" t="str">
        <f>IFERROR(__xludf.DUMMYFUNCTION("""COMPUTED_VALUE"""),"SOL")</f>
        <v>SOL</v>
      </c>
    </row>
    <row r="35">
      <c r="A35" s="96" t="str">
        <f t="shared" si="1"/>
        <v>TRANS</v>
      </c>
      <c r="B35" s="96" t="str">
        <f t="shared" si="2"/>
        <v/>
      </c>
      <c r="C35" s="174">
        <f t="shared" si="3"/>
        <v>-0.000005</v>
      </c>
      <c r="D35" s="167" t="s">
        <v>832</v>
      </c>
      <c r="E35" s="93">
        <f>IFERROR(__xludf.DUMMYFUNCTION("IF(D35&lt;&gt;"""",SPLIT(D35,"" 
""),)"),147.821714)</f>
        <v>147.821714</v>
      </c>
      <c r="F35" s="93" t="str">
        <f>IFERROR(__xludf.DUMMYFUNCTION("""COMPUTED_VALUE"""),"LARIX")</f>
        <v>LARIX</v>
      </c>
      <c r="G35" s="93">
        <f>IFERROR(__xludf.DUMMYFUNCTION("""COMPUTED_VALUE"""),-5.0E-6)</f>
        <v>-0.000005</v>
      </c>
      <c r="H35" s="93" t="str">
        <f>IFERROR(__xludf.DUMMYFUNCTION("""COMPUTED_VALUE"""),"SOL")</f>
        <v>SOL</v>
      </c>
    </row>
    <row r="36">
      <c r="A36" s="96" t="str">
        <f t="shared" si="1"/>
        <v>TRANS</v>
      </c>
      <c r="B36" s="96" t="str">
        <f t="shared" si="2"/>
        <v/>
      </c>
      <c r="C36" s="174">
        <f t="shared" si="3"/>
        <v>-0.000005</v>
      </c>
      <c r="D36" s="167" t="s">
        <v>833</v>
      </c>
      <c r="E36" s="93">
        <f>IFERROR(__xludf.DUMMYFUNCTION("IF(D36&lt;&gt;"""",SPLIT(D36,"" 
""),)"),-12.824025567)</f>
        <v>-12.82402557</v>
      </c>
      <c r="F36" s="93" t="str">
        <f>IFERROR(__xludf.DUMMYFUNCTION("""COMPUTED_VALUE"""),"stSOL")</f>
        <v>stSOL</v>
      </c>
      <c r="G36" s="93">
        <f>IFERROR(__xludf.DUMMYFUNCTION("""COMPUTED_VALUE"""),-5.0E-6)</f>
        <v>-0.000005</v>
      </c>
      <c r="H36" s="93" t="str">
        <f>IFERROR(__xludf.DUMMYFUNCTION("""COMPUTED_VALUE"""),"SOL")</f>
        <v>SOL</v>
      </c>
    </row>
    <row r="37">
      <c r="A37" s="96" t="str">
        <f t="shared" si="1"/>
        <v>TRANS</v>
      </c>
      <c r="B37" s="96" t="str">
        <f t="shared" si="2"/>
        <v/>
      </c>
      <c r="C37" s="174">
        <f t="shared" si="3"/>
        <v>-0.000005</v>
      </c>
      <c r="D37" s="167" t="s">
        <v>834</v>
      </c>
      <c r="E37" s="93">
        <f>IFERROR(__xludf.DUMMYFUNCTION("IF(D37&lt;&gt;"""",SPLIT(D37,"" 
""),)"),12.824025567)</f>
        <v>12.82402557</v>
      </c>
      <c r="F37" s="93" t="str">
        <f>IFERROR(__xludf.DUMMYFUNCTION("""COMPUTED_VALUE"""),"stSOL")</f>
        <v>stSOL</v>
      </c>
      <c r="G37" s="93">
        <f>IFERROR(__xludf.DUMMYFUNCTION("""COMPUTED_VALUE"""),-13.200005)</f>
        <v>-13.200005</v>
      </c>
      <c r="H37" s="93" t="str">
        <f>IFERROR(__xludf.DUMMYFUNCTION("""COMPUTED_VALUE"""),"SOL")</f>
        <v>SOL</v>
      </c>
    </row>
    <row r="38">
      <c r="A38" s="96" t="str">
        <f t="shared" si="1"/>
        <v>RECV</v>
      </c>
      <c r="B38" s="96" t="str">
        <f t="shared" si="2"/>
        <v/>
      </c>
      <c r="C38" s="174" t="str">
        <f t="shared" si="3"/>
        <v/>
      </c>
      <c r="D38" s="167" t="s">
        <v>835</v>
      </c>
      <c r="E38" s="93">
        <f>IFERROR(__xludf.DUMMYFUNCTION("IF(D38&lt;&gt;"""",SPLIT(D38,"" 
""),)"),13.26644657)</f>
        <v>13.26644657</v>
      </c>
      <c r="F38" s="93" t="str">
        <f>IFERROR(__xludf.DUMMYFUNCTION("""COMPUTED_VALUE"""),"SOL")</f>
        <v>SOL</v>
      </c>
      <c r="G38" s="93"/>
      <c r="H38" s="93"/>
    </row>
    <row r="39">
      <c r="A39" s="96" t="str">
        <f t="shared" si="1"/>
        <v>TRANS</v>
      </c>
      <c r="B39" s="96" t="str">
        <f t="shared" si="2"/>
        <v/>
      </c>
      <c r="C39" s="174" t="str">
        <f t="shared" si="3"/>
        <v/>
      </c>
      <c r="D39" s="167" t="s">
        <v>836</v>
      </c>
      <c r="E39" s="93">
        <f>IFERROR(__xludf.DUMMYFUNCTION("IF(D39&lt;&gt;"""",SPLIT(D39,"" 
""),)"),1.31573399)</f>
        <v>1.31573399</v>
      </c>
      <c r="F39" s="93" t="str">
        <f>IFERROR(__xludf.DUMMYFUNCTION("""COMPUTED_VALUE"""),"LDO")</f>
        <v>LDO</v>
      </c>
    </row>
    <row r="40">
      <c r="A40" s="96" t="str">
        <f t="shared" si="1"/>
        <v>TRANS</v>
      </c>
      <c r="B40" s="96" t="str">
        <f t="shared" si="2"/>
        <v/>
      </c>
      <c r="C40" s="174" t="str">
        <f t="shared" si="3"/>
        <v/>
      </c>
      <c r="D40" s="167" t="s">
        <v>837</v>
      </c>
      <c r="E40" s="93">
        <f>IFERROR(__xludf.DUMMYFUNCTION("IF(D40&lt;&gt;"""",SPLIT(D40,"" 
""),)"),1.6270845)</f>
        <v>1.6270845</v>
      </c>
      <c r="F40" s="93" t="str">
        <f>IFERROR(__xludf.DUMMYFUNCTION("""COMPUTED_VALUE"""),"LDO")</f>
        <v>LDO</v>
      </c>
    </row>
    <row r="41">
      <c r="A41" s="96" t="str">
        <f t="shared" si="1"/>
        <v>TRANS</v>
      </c>
      <c r="B41" s="96" t="str">
        <f t="shared" si="2"/>
        <v/>
      </c>
      <c r="C41" s="174">
        <f t="shared" si="3"/>
        <v>-0.000005</v>
      </c>
      <c r="D41" s="167" t="s">
        <v>838</v>
      </c>
      <c r="E41" s="93">
        <f>IFERROR(__xludf.DUMMYFUNCTION("IF(D41&lt;&gt;"""",SPLIT(D41,"" 
""),)"),-0.183224)</f>
        <v>-0.183224</v>
      </c>
      <c r="F41" s="93" t="str">
        <f>IFERROR(__xludf.DUMMYFUNCTION("""COMPUTED_VALUE"""),"USDC")</f>
        <v>USDC</v>
      </c>
      <c r="G41" s="93">
        <f>IFERROR(__xludf.DUMMYFUNCTION("""COMPUTED_VALUE"""),-5.0E-6)</f>
        <v>-0.000005</v>
      </c>
      <c r="H41" s="93" t="str">
        <f>IFERROR(__xludf.DUMMYFUNCTION("""COMPUTED_VALUE"""),"SOL")</f>
        <v>SOL</v>
      </c>
    </row>
    <row r="42">
      <c r="A42" s="96" t="str">
        <f t="shared" si="1"/>
        <v>TRANS</v>
      </c>
      <c r="B42" s="96" t="str">
        <f t="shared" si="2"/>
        <v/>
      </c>
      <c r="C42" s="174">
        <f t="shared" si="3"/>
        <v>-0.00179176</v>
      </c>
      <c r="D42" s="167" t="s">
        <v>839</v>
      </c>
      <c r="E42" s="93">
        <f>IFERROR(__xludf.DUMMYFUNCTION("IF(D42&lt;&gt;"""",SPLIT(D42,"" 
""),)"),-0.227292)</f>
        <v>-0.227292</v>
      </c>
      <c r="F42" s="93" t="str">
        <f>IFERROR(__xludf.DUMMYFUNCTION("""COMPUTED_VALUE"""),"USDC")</f>
        <v>USDC</v>
      </c>
      <c r="G42" s="93">
        <f>IFERROR(__xludf.DUMMYFUNCTION("""COMPUTED_VALUE"""),-0.00179176)</f>
        <v>-0.00179176</v>
      </c>
      <c r="H42" s="93" t="str">
        <f>IFERROR(__xludf.DUMMYFUNCTION("""COMPUTED_VALUE"""),"SOL")</f>
        <v>SOL</v>
      </c>
    </row>
    <row r="43">
      <c r="A43" s="96" t="str">
        <f t="shared" si="1"/>
        <v>TRANS</v>
      </c>
      <c r="B43" s="96" t="str">
        <f t="shared" si="2"/>
        <v/>
      </c>
      <c r="C43" s="174">
        <f t="shared" si="3"/>
        <v>-0.000005</v>
      </c>
      <c r="D43" s="167" t="s">
        <v>840</v>
      </c>
      <c r="E43" s="93">
        <f>IFERROR(__xludf.DUMMYFUNCTION("IF(D43&lt;&gt;"""",SPLIT(D43,"" 
""),)"),-5.0E-6)</f>
        <v>-0.000005</v>
      </c>
      <c r="F43" s="93" t="str">
        <f>IFERROR(__xludf.DUMMYFUNCTION("""COMPUTED_VALUE"""),"SOL")</f>
        <v>SOL</v>
      </c>
    </row>
    <row r="44">
      <c r="A44" s="96" t="str">
        <f t="shared" si="1"/>
        <v>USDC-LARIX</v>
      </c>
      <c r="B44" s="96">
        <f t="shared" si="2"/>
        <v>-0.004184353238</v>
      </c>
      <c r="C44" s="174">
        <f t="shared" si="3"/>
        <v>-0.00204428</v>
      </c>
      <c r="D44" s="167" t="s">
        <v>841</v>
      </c>
      <c r="E44" s="93">
        <f>IFERROR(__xludf.DUMMYFUNCTION("IF(D44&lt;&gt;"""",SPLIT(D44,"" 
""),)"),0.36557)</f>
        <v>0.36557</v>
      </c>
      <c r="F44" s="93" t="str">
        <f>IFERROR(__xludf.DUMMYFUNCTION("""COMPUTED_VALUE"""),"USDC")</f>
        <v>USDC</v>
      </c>
      <c r="G44" s="93">
        <f>IFERROR(__xludf.DUMMYFUNCTION("""COMPUTED_VALUE"""),-87.365951)</f>
        <v>-87.365951</v>
      </c>
      <c r="H44" s="93" t="str">
        <f>IFERROR(__xludf.DUMMYFUNCTION("""COMPUTED_VALUE"""),"LARIX")</f>
        <v>LARIX</v>
      </c>
      <c r="I44" s="93">
        <f>IFERROR(__xludf.DUMMYFUNCTION("""COMPUTED_VALUE"""),-0.00204428)</f>
        <v>-0.00204428</v>
      </c>
      <c r="J44" s="93" t="str">
        <f>IFERROR(__xludf.DUMMYFUNCTION("""COMPUTED_VALUE"""),"SOL")</f>
        <v>SOL</v>
      </c>
    </row>
    <row r="45">
      <c r="A45" s="96" t="str">
        <f t="shared" si="1"/>
        <v>TRANS</v>
      </c>
      <c r="B45" s="96" t="str">
        <f t="shared" si="2"/>
        <v/>
      </c>
      <c r="C45" s="174">
        <f t="shared" si="3"/>
        <v>-0.000005</v>
      </c>
      <c r="D45" s="167" t="s">
        <v>842</v>
      </c>
      <c r="E45" s="93">
        <f>IFERROR(__xludf.DUMMYFUNCTION("IF(D45&lt;&gt;"""",SPLIT(D45,"" 
""),)"),87.276933)</f>
        <v>87.276933</v>
      </c>
      <c r="F45" s="93" t="str">
        <f>IFERROR(__xludf.DUMMYFUNCTION("""COMPUTED_VALUE"""),"LARIX")</f>
        <v>LARIX</v>
      </c>
      <c r="G45" s="93">
        <f>IFERROR(__xludf.DUMMYFUNCTION("""COMPUTED_VALUE"""),-5.0E-6)</f>
        <v>-0.000005</v>
      </c>
      <c r="H45" s="93" t="str">
        <f>IFERROR(__xludf.DUMMYFUNCTION("""COMPUTED_VALUE"""),"SOL")</f>
        <v>SOL</v>
      </c>
    </row>
    <row r="46">
      <c r="A46" s="96" t="str">
        <f t="shared" si="1"/>
        <v>TRANS</v>
      </c>
      <c r="B46" s="96" t="str">
        <f t="shared" si="2"/>
        <v/>
      </c>
      <c r="C46" s="174">
        <f t="shared" si="3"/>
        <v>-0.00179176</v>
      </c>
      <c r="D46" s="167" t="s">
        <v>843</v>
      </c>
      <c r="E46" s="93">
        <f>IFERROR(__xludf.DUMMYFUNCTION("IF(D46&lt;&gt;"""",SPLIT(D46,"" 
""),)"),-0.359905)</f>
        <v>-0.359905</v>
      </c>
      <c r="F46" s="93" t="str">
        <f>IFERROR(__xludf.DUMMYFUNCTION("""COMPUTED_VALUE"""),"USDC")</f>
        <v>USDC</v>
      </c>
      <c r="G46" s="93">
        <f>IFERROR(__xludf.DUMMYFUNCTION("""COMPUTED_VALUE"""),-0.00179176)</f>
        <v>-0.00179176</v>
      </c>
      <c r="H46" s="93" t="str">
        <f>IFERROR(__xludf.DUMMYFUNCTION("""COMPUTED_VALUE"""),"SOL")</f>
        <v>SOL</v>
      </c>
    </row>
    <row r="47">
      <c r="A47" s="96" t="str">
        <f t="shared" si="1"/>
        <v>TRANS</v>
      </c>
      <c r="B47" s="96" t="str">
        <f t="shared" si="2"/>
        <v/>
      </c>
      <c r="C47" s="174">
        <f t="shared" si="3"/>
        <v>-0.00151336</v>
      </c>
      <c r="D47" s="167" t="s">
        <v>844</v>
      </c>
      <c r="E47" s="93">
        <f>IFERROR(__xludf.DUMMYFUNCTION("IF(D47&lt;&gt;"""",SPLIT(D47,"" 
""),)"),-0.00151336)</f>
        <v>-0.00151336</v>
      </c>
      <c r="F47" s="93" t="str">
        <f>IFERROR(__xludf.DUMMYFUNCTION("""COMPUTED_VALUE"""),"SOL")</f>
        <v>SOL</v>
      </c>
    </row>
    <row r="48">
      <c r="A48" s="96" t="str">
        <f t="shared" si="1"/>
        <v>USDC-LARIX</v>
      </c>
      <c r="B48" s="96">
        <f t="shared" si="2"/>
        <v>-0.004187689277</v>
      </c>
      <c r="C48" s="174">
        <f t="shared" si="3"/>
        <v>-0.02336276</v>
      </c>
      <c r="D48" s="167" t="s">
        <v>845</v>
      </c>
      <c r="E48" s="93">
        <f>IFERROR(__xludf.DUMMYFUNCTION("IF(D48&lt;&gt;"""",SPLIT(D48,"" 
""),)"),0.404851)</f>
        <v>0.404851</v>
      </c>
      <c r="F48" s="93" t="str">
        <f>IFERROR(__xludf.DUMMYFUNCTION("""COMPUTED_VALUE"""),"USDC")</f>
        <v>USDC</v>
      </c>
      <c r="G48" s="93">
        <f>IFERROR(__xludf.DUMMYFUNCTION("""COMPUTED_VALUE"""),-96.676466)</f>
        <v>-96.676466</v>
      </c>
      <c r="H48" s="93" t="str">
        <f>IFERROR(__xludf.DUMMYFUNCTION("""COMPUTED_VALUE"""),"LARIX")</f>
        <v>LARIX</v>
      </c>
      <c r="I48" s="93">
        <f>IFERROR(__xludf.DUMMYFUNCTION("""COMPUTED_VALUE"""),-0.02336276)</f>
        <v>-0.02336276</v>
      </c>
      <c r="J48" s="93" t="str">
        <f>IFERROR(__xludf.DUMMYFUNCTION("""COMPUTED_VALUE"""),"SOL")</f>
        <v>SOL</v>
      </c>
    </row>
    <row r="49">
      <c r="A49" s="96" t="str">
        <f t="shared" si="1"/>
        <v>TRANS</v>
      </c>
      <c r="B49" s="96" t="str">
        <f t="shared" si="2"/>
        <v/>
      </c>
      <c r="C49" s="174">
        <f t="shared" si="3"/>
        <v>0.032150499</v>
      </c>
      <c r="D49" s="167" t="s">
        <v>846</v>
      </c>
      <c r="E49" s="93">
        <f>IFERROR(__xludf.DUMMYFUNCTION("IF(D49&lt;&gt;"""",SPLIT(D49,"" 
""),)"),0.032150499)</f>
        <v>0.032150499</v>
      </c>
      <c r="F49" s="93" t="str">
        <f>IFERROR(__xludf.DUMMYFUNCTION("""COMPUTED_VALUE"""),"SOL")</f>
        <v>SOL</v>
      </c>
      <c r="G49" s="93">
        <f>IFERROR(__xludf.DUMMYFUNCTION("""COMPUTED_VALUE"""),-1.0475955)</f>
        <v>-1.0475955</v>
      </c>
      <c r="H49" s="93" t="str">
        <f>IFERROR(__xludf.DUMMYFUNCTION("""COMPUTED_VALUE"""),"LDO")</f>
        <v>LDO</v>
      </c>
    </row>
    <row r="50">
      <c r="A50" s="96" t="str">
        <f t="shared" si="1"/>
        <v>TRANS</v>
      </c>
      <c r="B50" s="96" t="str">
        <f t="shared" si="2"/>
        <v/>
      </c>
      <c r="C50" s="174">
        <f t="shared" si="3"/>
        <v>-0.000005</v>
      </c>
      <c r="D50" s="167" t="s">
        <v>847</v>
      </c>
      <c r="E50" s="93">
        <f>IFERROR(__xludf.DUMMYFUNCTION("IF(D50&lt;&gt;"""",SPLIT(D50,"" 
""),)"),-20.887047207)</f>
        <v>-20.88704721</v>
      </c>
      <c r="F50" s="93" t="str">
        <f>IFERROR(__xludf.DUMMYFUNCTION("""COMPUTED_VALUE"""),"stSOL")</f>
        <v>stSOL</v>
      </c>
      <c r="G50" s="93">
        <f>IFERROR(__xludf.DUMMYFUNCTION("""COMPUTED_VALUE"""),-5.0E-6)</f>
        <v>-0.000005</v>
      </c>
      <c r="H50" s="93" t="str">
        <f>IFERROR(__xludf.DUMMYFUNCTION("""COMPUTED_VALUE"""),"SOL")</f>
        <v>SOL</v>
      </c>
    </row>
    <row r="51">
      <c r="A51" s="96" t="str">
        <f t="shared" si="1"/>
        <v>TRANS</v>
      </c>
      <c r="B51" s="96" t="str">
        <f t="shared" si="2"/>
        <v/>
      </c>
      <c r="C51" s="174">
        <f t="shared" si="3"/>
        <v>-0.000005</v>
      </c>
      <c r="D51" s="167" t="s">
        <v>848</v>
      </c>
      <c r="E51" s="93">
        <f>IFERROR(__xludf.DUMMYFUNCTION("IF(D51&lt;&gt;"""",SPLIT(D51,"" 
""),)"),20.887047207)</f>
        <v>20.88704721</v>
      </c>
      <c r="F51" s="93" t="str">
        <f>IFERROR(__xludf.DUMMYFUNCTION("""COMPUTED_VALUE"""),"stSOL")</f>
        <v>stSOL</v>
      </c>
      <c r="G51" s="93">
        <f>IFERROR(__xludf.DUMMYFUNCTION("""COMPUTED_VALUE"""),-21.490005)</f>
        <v>-21.490005</v>
      </c>
      <c r="H51" s="93" t="str">
        <f>IFERROR(__xludf.DUMMYFUNCTION("""COMPUTED_VALUE"""),"SOL")</f>
        <v>SOL</v>
      </c>
    </row>
    <row r="52">
      <c r="A52" s="96" t="str">
        <f t="shared" si="1"/>
        <v>RECV</v>
      </c>
      <c r="B52" s="96" t="str">
        <f t="shared" si="2"/>
        <v/>
      </c>
      <c r="C52" s="174" t="str">
        <f t="shared" si="3"/>
        <v/>
      </c>
      <c r="D52" s="167" t="s">
        <v>849</v>
      </c>
      <c r="E52" s="93">
        <f>IFERROR(__xludf.DUMMYFUNCTION("IF(D52&lt;&gt;"""",SPLIT(D52,"" 
""),)"),21.489995)</f>
        <v>21.489995</v>
      </c>
      <c r="F52" s="93" t="str">
        <f>IFERROR(__xludf.DUMMYFUNCTION("""COMPUTED_VALUE"""),"SOL")</f>
        <v>SOL</v>
      </c>
      <c r="G52" s="93"/>
      <c r="H52" s="93"/>
    </row>
    <row r="53">
      <c r="A53" s="96" t="str">
        <f t="shared" si="1"/>
        <v>TRANS</v>
      </c>
      <c r="B53" s="96" t="str">
        <f t="shared" si="2"/>
        <v/>
      </c>
      <c r="C53" s="174">
        <f t="shared" si="3"/>
        <v>-0.000005</v>
      </c>
      <c r="D53" s="167" t="s">
        <v>850</v>
      </c>
      <c r="E53" s="93">
        <f>IFERROR(__xludf.DUMMYFUNCTION("IF(D53&lt;&gt;"""",SPLIT(D53,"" 
""),)"),-12.82964277)</f>
        <v>-12.82964277</v>
      </c>
      <c r="F53" s="93" t="str">
        <f>IFERROR(__xludf.DUMMYFUNCTION("""COMPUTED_VALUE"""),"stSOL")</f>
        <v>stSOL</v>
      </c>
      <c r="G53" s="93">
        <f>IFERROR(__xludf.DUMMYFUNCTION("""COMPUTED_VALUE"""),-5.0E-6)</f>
        <v>-0.000005</v>
      </c>
      <c r="H53" s="93" t="str">
        <f>IFERROR(__xludf.DUMMYFUNCTION("""COMPUTED_VALUE"""),"SOL")</f>
        <v>SOL</v>
      </c>
    </row>
    <row r="54">
      <c r="A54" s="96" t="str">
        <f t="shared" si="1"/>
        <v>TRANS</v>
      </c>
      <c r="B54" s="96" t="str">
        <f t="shared" si="2"/>
        <v/>
      </c>
      <c r="C54" s="174">
        <f t="shared" si="3"/>
        <v>-0.000005</v>
      </c>
      <c r="D54" s="167" t="s">
        <v>851</v>
      </c>
      <c r="E54" s="93">
        <f>IFERROR(__xludf.DUMMYFUNCTION("IF(D54&lt;&gt;"""",SPLIT(D54,"" 
""),)"),12.82964277)</f>
        <v>12.82964277</v>
      </c>
      <c r="F54" s="93" t="str">
        <f>IFERROR(__xludf.DUMMYFUNCTION("""COMPUTED_VALUE"""),"stSOL")</f>
        <v>stSOL</v>
      </c>
      <c r="G54" s="93">
        <f>IFERROR(__xludf.DUMMYFUNCTION("""COMPUTED_VALUE"""),-13.200005)</f>
        <v>-13.200005</v>
      </c>
      <c r="H54" s="93" t="str">
        <f>IFERROR(__xludf.DUMMYFUNCTION("""COMPUTED_VALUE"""),"SOL")</f>
        <v>SOL</v>
      </c>
    </row>
    <row r="55">
      <c r="A55" s="96" t="str">
        <f t="shared" si="1"/>
        <v>RECV</v>
      </c>
      <c r="B55" s="96" t="str">
        <f t="shared" si="2"/>
        <v/>
      </c>
      <c r="C55" s="174" t="str">
        <f t="shared" si="3"/>
        <v/>
      </c>
      <c r="D55" s="167" t="s">
        <v>852</v>
      </c>
      <c r="E55" s="93">
        <f>IFERROR(__xludf.DUMMYFUNCTION("IF(D55&lt;&gt;"""",SPLIT(D55,"" 
""),)"),13.20066271)</f>
        <v>13.20066271</v>
      </c>
      <c r="F55" s="93" t="str">
        <f>IFERROR(__xludf.DUMMYFUNCTION("""COMPUTED_VALUE"""),"SOL")</f>
        <v>SOL</v>
      </c>
      <c r="G55" s="93"/>
      <c r="H55" s="93"/>
    </row>
    <row r="56">
      <c r="A56" s="96" t="str">
        <f t="shared" si="1"/>
        <v>TRANS</v>
      </c>
      <c r="B56" s="96" t="str">
        <f t="shared" si="2"/>
        <v/>
      </c>
      <c r="C56" s="174">
        <f t="shared" si="3"/>
        <v>-0.000005</v>
      </c>
      <c r="D56" s="167" t="s">
        <v>853</v>
      </c>
      <c r="E56" s="93">
        <f>IFERROR(__xludf.DUMMYFUNCTION("IF(D56&lt;&gt;"""",SPLIT(D56,"" 
""),)"),-23.015601575)</f>
        <v>-23.01560158</v>
      </c>
      <c r="F56" s="93" t="str">
        <f>IFERROR(__xludf.DUMMYFUNCTION("""COMPUTED_VALUE"""),"stSOL")</f>
        <v>stSOL</v>
      </c>
      <c r="G56" s="93">
        <f>IFERROR(__xludf.DUMMYFUNCTION("""COMPUTED_VALUE"""),-5.0E-6)</f>
        <v>-0.000005</v>
      </c>
      <c r="H56" s="93" t="str">
        <f>IFERROR(__xludf.DUMMYFUNCTION("""COMPUTED_VALUE"""),"SOL")</f>
        <v>SOL</v>
      </c>
    </row>
    <row r="57">
      <c r="A57" s="96" t="str">
        <f t="shared" si="1"/>
        <v>TRANS</v>
      </c>
      <c r="B57" s="96" t="str">
        <f t="shared" si="2"/>
        <v/>
      </c>
      <c r="C57" s="174">
        <f t="shared" si="3"/>
        <v>-0.000005</v>
      </c>
      <c r="D57" s="167" t="s">
        <v>854</v>
      </c>
      <c r="E57" s="93">
        <f>IFERROR(__xludf.DUMMYFUNCTION("IF(D57&lt;&gt;"""",SPLIT(D57,"" 
""),)"),23.015601575)</f>
        <v>23.01560158</v>
      </c>
      <c r="F57" s="93" t="str">
        <f>IFERROR(__xludf.DUMMYFUNCTION("""COMPUTED_VALUE"""),"stSOL")</f>
        <v>stSOL</v>
      </c>
      <c r="G57" s="93">
        <f>IFERROR(__xludf.DUMMYFUNCTION("""COMPUTED_VALUE"""),-23.680005)</f>
        <v>-23.680005</v>
      </c>
      <c r="H57" s="93" t="str">
        <f>IFERROR(__xludf.DUMMYFUNCTION("""COMPUTED_VALUE"""),"SOL")</f>
        <v>SOL</v>
      </c>
    </row>
    <row r="58">
      <c r="A58" s="96" t="str">
        <f t="shared" si="1"/>
        <v>RECV</v>
      </c>
      <c r="B58" s="96" t="str">
        <f t="shared" si="2"/>
        <v/>
      </c>
      <c r="C58" s="174" t="str">
        <f t="shared" si="3"/>
        <v/>
      </c>
      <c r="D58" s="167" t="s">
        <v>855</v>
      </c>
      <c r="E58" s="93">
        <f>IFERROR(__xludf.DUMMYFUNCTION("IF(D58&lt;&gt;"""",SPLIT(D58,"" 
""),)"),23.679995)</f>
        <v>23.679995</v>
      </c>
      <c r="F58" s="93" t="str">
        <f>IFERROR(__xludf.DUMMYFUNCTION("""COMPUTED_VALUE"""),"SOL")</f>
        <v>SOL</v>
      </c>
      <c r="G58" s="93"/>
      <c r="H58" s="93"/>
    </row>
    <row r="59">
      <c r="A59" s="96" t="str">
        <f t="shared" si="1"/>
        <v>TRANS</v>
      </c>
      <c r="B59" s="96" t="str">
        <f t="shared" si="2"/>
        <v/>
      </c>
      <c r="C59" s="174">
        <f t="shared" si="3"/>
        <v>-0.000005</v>
      </c>
      <c r="D59" s="167" t="s">
        <v>856</v>
      </c>
      <c r="E59" s="93">
        <f>IFERROR(__xludf.DUMMYFUNCTION("IF(D59&lt;&gt;"""",SPLIT(D59,"" 
""),)"),-12.819863707)</f>
        <v>-12.81986371</v>
      </c>
      <c r="F59" s="93" t="str">
        <f>IFERROR(__xludf.DUMMYFUNCTION("""COMPUTED_VALUE"""),"stSOL")</f>
        <v>stSOL</v>
      </c>
      <c r="G59" s="93">
        <f>IFERROR(__xludf.DUMMYFUNCTION("""COMPUTED_VALUE"""),-5.0E-6)</f>
        <v>-0.000005</v>
      </c>
      <c r="H59" s="93" t="str">
        <f>IFERROR(__xludf.DUMMYFUNCTION("""COMPUTED_VALUE"""),"SOL")</f>
        <v>SOL</v>
      </c>
    </row>
    <row r="60">
      <c r="A60" s="96" t="str">
        <f t="shared" si="1"/>
        <v>TRANS</v>
      </c>
      <c r="B60" s="96" t="str">
        <f t="shared" si="2"/>
        <v/>
      </c>
      <c r="C60" s="174">
        <f t="shared" si="3"/>
        <v>-0.000005</v>
      </c>
      <c r="D60" s="167" t="s">
        <v>857</v>
      </c>
      <c r="E60" s="93">
        <f>IFERROR(__xludf.DUMMYFUNCTION("IF(D60&lt;&gt;"""",SPLIT(D60,"" 
""),)"),12.72272908)</f>
        <v>12.72272908</v>
      </c>
      <c r="F60" s="93" t="str">
        <f>IFERROR(__xludf.DUMMYFUNCTION("""COMPUTED_VALUE"""),"stSOL")</f>
        <v>stSOL</v>
      </c>
      <c r="G60" s="93">
        <f>IFERROR(__xludf.DUMMYFUNCTION("""COMPUTED_VALUE"""),-13.090005)</f>
        <v>-13.090005</v>
      </c>
      <c r="H60" s="93" t="str">
        <f>IFERROR(__xludf.DUMMYFUNCTION("""COMPUTED_VALUE"""),"SOL")</f>
        <v>SOL</v>
      </c>
    </row>
    <row r="61">
      <c r="A61" s="96" t="str">
        <f t="shared" si="1"/>
        <v>RECV</v>
      </c>
      <c r="B61" s="96" t="str">
        <f t="shared" si="2"/>
        <v/>
      </c>
      <c r="C61" s="174" t="str">
        <f t="shared" si="3"/>
        <v/>
      </c>
      <c r="D61" s="167" t="s">
        <v>858</v>
      </c>
      <c r="E61" s="93">
        <f>IFERROR(__xludf.DUMMYFUNCTION("IF(D61&lt;&gt;"""",SPLIT(D61,"" 
""),)"),13.08638106)</f>
        <v>13.08638106</v>
      </c>
      <c r="F61" s="93" t="str">
        <f>IFERROR(__xludf.DUMMYFUNCTION("""COMPUTED_VALUE"""),"SOL")</f>
        <v>SOL</v>
      </c>
      <c r="G61" s="93"/>
      <c r="H61" s="93"/>
    </row>
    <row r="62">
      <c r="A62" s="96" t="str">
        <f t="shared" si="1"/>
        <v>TRANS</v>
      </c>
      <c r="B62" s="96" t="str">
        <f t="shared" si="2"/>
        <v/>
      </c>
      <c r="C62" s="174" t="str">
        <f t="shared" si="3"/>
        <v/>
      </c>
      <c r="D62" s="167" t="s">
        <v>859</v>
      </c>
      <c r="E62" s="93">
        <f>IFERROR(__xludf.DUMMYFUNCTION("IF(D62&lt;&gt;"""",SPLIT(D62,"" 
""),)"),1.0475955)</f>
        <v>1.0475955</v>
      </c>
      <c r="F62" s="93" t="str">
        <f>IFERROR(__xludf.DUMMYFUNCTION("""COMPUTED_VALUE"""),"LDO")</f>
        <v>LDO</v>
      </c>
    </row>
    <row r="63">
      <c r="A63" s="96" t="str">
        <f t="shared" si="1"/>
        <v>stSOL-LDO</v>
      </c>
      <c r="B63" s="96">
        <f t="shared" si="2"/>
        <v>-0.02621986837</v>
      </c>
      <c r="C63" s="174">
        <f t="shared" si="3"/>
        <v>-0.000005</v>
      </c>
      <c r="D63" s="167" t="s">
        <v>860</v>
      </c>
      <c r="E63" s="93">
        <f>IFERROR(__xludf.DUMMYFUNCTION("IF(D63&lt;&gt;"""",SPLIT(D63,"" 
""),)"),0.097134627)</f>
        <v>0.097134627</v>
      </c>
      <c r="F63" s="93" t="str">
        <f>IFERROR(__xludf.DUMMYFUNCTION("""COMPUTED_VALUE"""),"stSOL")</f>
        <v>stSOL</v>
      </c>
      <c r="G63" s="93">
        <f>IFERROR(__xludf.DUMMYFUNCTION("""COMPUTED_VALUE"""),-3.70461917)</f>
        <v>-3.70461917</v>
      </c>
      <c r="H63" s="93" t="str">
        <f>IFERROR(__xludf.DUMMYFUNCTION("""COMPUTED_VALUE"""),"LDO")</f>
        <v>LDO</v>
      </c>
      <c r="I63" s="93">
        <f>IFERROR(__xludf.DUMMYFUNCTION("""COMPUTED_VALUE"""),-5.0E-6)</f>
        <v>-0.000005</v>
      </c>
      <c r="J63" s="93" t="str">
        <f>IFERROR(__xludf.DUMMYFUNCTION("""COMPUTED_VALUE"""),"SOL")</f>
        <v>SOL</v>
      </c>
    </row>
    <row r="64">
      <c r="A64" s="96" t="str">
        <f t="shared" si="1"/>
        <v>TRANS</v>
      </c>
      <c r="B64" s="96" t="str">
        <f t="shared" si="2"/>
        <v/>
      </c>
      <c r="C64" s="174">
        <f t="shared" si="3"/>
        <v>-0.000005</v>
      </c>
      <c r="D64" s="167" t="s">
        <v>861</v>
      </c>
      <c r="E64" s="93">
        <f>IFERROR(__xludf.DUMMYFUNCTION("IF(D64&lt;&gt;"""",SPLIT(D64,"" 
""),)"),96.765486)</f>
        <v>96.765486</v>
      </c>
      <c r="F64" s="93" t="str">
        <f>IFERROR(__xludf.DUMMYFUNCTION("""COMPUTED_VALUE"""),"LARIX")</f>
        <v>LARIX</v>
      </c>
      <c r="G64" s="93">
        <f>IFERROR(__xludf.DUMMYFUNCTION("""COMPUTED_VALUE"""),-5.0E-6)</f>
        <v>-0.000005</v>
      </c>
      <c r="H64" s="93" t="str">
        <f>IFERROR(__xludf.DUMMYFUNCTION("""COMPUTED_VALUE"""),"SOL")</f>
        <v>SOL</v>
      </c>
    </row>
    <row r="65">
      <c r="A65" s="96" t="str">
        <f t="shared" si="1"/>
        <v>TRANS</v>
      </c>
      <c r="B65" s="96" t="str">
        <f t="shared" si="2"/>
        <v/>
      </c>
      <c r="C65" s="174">
        <f t="shared" si="3"/>
        <v>-0.000005</v>
      </c>
      <c r="D65" s="167" t="s">
        <v>862</v>
      </c>
      <c r="E65" s="93">
        <f>IFERROR(__xludf.DUMMYFUNCTION("IF(D65&lt;&gt;"""",SPLIT(D65,"" 
""),)"),-9.563915519)</f>
        <v>-9.563915519</v>
      </c>
      <c r="F65" s="93" t="str">
        <f>IFERROR(__xludf.DUMMYFUNCTION("""COMPUTED_VALUE"""),"stSOL")</f>
        <v>stSOL</v>
      </c>
      <c r="G65" s="93">
        <f>IFERROR(__xludf.DUMMYFUNCTION("""COMPUTED_VALUE"""),-5.0E-6)</f>
        <v>-0.000005</v>
      </c>
      <c r="H65" s="93" t="str">
        <f>IFERROR(__xludf.DUMMYFUNCTION("""COMPUTED_VALUE"""),"SOL")</f>
        <v>SOL</v>
      </c>
    </row>
    <row r="66">
      <c r="A66" s="96" t="str">
        <f t="shared" si="1"/>
        <v>TRANS</v>
      </c>
      <c r="B66" s="96" t="str">
        <f t="shared" si="2"/>
        <v/>
      </c>
      <c r="C66" s="174">
        <f t="shared" si="3"/>
        <v>-0.000005</v>
      </c>
      <c r="D66" s="167" t="s">
        <v>863</v>
      </c>
      <c r="E66" s="93">
        <f>IFERROR(__xludf.DUMMYFUNCTION("IF(D66&lt;&gt;"""",SPLIT(D66,"" 
""),)"),9.563915519)</f>
        <v>9.563915519</v>
      </c>
      <c r="F66" s="93" t="str">
        <f>IFERROR(__xludf.DUMMYFUNCTION("""COMPUTED_VALUE"""),"stSOL")</f>
        <v>stSOL</v>
      </c>
      <c r="G66" s="93">
        <f>IFERROR(__xludf.DUMMYFUNCTION("""COMPUTED_VALUE"""),-9.840005)</f>
        <v>-9.840005</v>
      </c>
      <c r="H66" s="93" t="str">
        <f>IFERROR(__xludf.DUMMYFUNCTION("""COMPUTED_VALUE"""),"SOL")</f>
        <v>SOL</v>
      </c>
    </row>
    <row r="67">
      <c r="A67" s="96" t="str">
        <f t="shared" si="1"/>
        <v>RECV</v>
      </c>
      <c r="B67" s="96" t="str">
        <f t="shared" si="2"/>
        <v/>
      </c>
      <c r="C67" s="174" t="str">
        <f t="shared" si="3"/>
        <v/>
      </c>
      <c r="D67" s="167" t="s">
        <v>864</v>
      </c>
      <c r="E67" s="93">
        <f>IFERROR(__xludf.DUMMYFUNCTION("IF(D67&lt;&gt;"""",SPLIT(D67,"" 
""),)"),9.839995)</f>
        <v>9.839995</v>
      </c>
      <c r="F67" s="93" t="str">
        <f>IFERROR(__xludf.DUMMYFUNCTION("""COMPUTED_VALUE"""),"SOL")</f>
        <v>SOL</v>
      </c>
      <c r="G67" s="93"/>
      <c r="H67" s="93"/>
    </row>
    <row r="68">
      <c r="A68" s="96" t="str">
        <f t="shared" si="1"/>
        <v>TRANS</v>
      </c>
      <c r="B68" s="96" t="str">
        <f t="shared" si="2"/>
        <v/>
      </c>
      <c r="C68" s="174">
        <f t="shared" si="3"/>
        <v>-0.000005</v>
      </c>
      <c r="D68" s="167" t="s">
        <v>865</v>
      </c>
      <c r="E68" s="93">
        <f>IFERROR(__xludf.DUMMYFUNCTION("IF(D68&lt;&gt;"""",SPLIT(D68,"" 
""),)"),-12.761606785)</f>
        <v>-12.76160679</v>
      </c>
      <c r="F68" s="93" t="str">
        <f>IFERROR(__xludf.DUMMYFUNCTION("""COMPUTED_VALUE"""),"stSOL")</f>
        <v>stSOL</v>
      </c>
      <c r="G68" s="93">
        <f>IFERROR(__xludf.DUMMYFUNCTION("""COMPUTED_VALUE"""),-5.0E-6)</f>
        <v>-0.000005</v>
      </c>
      <c r="H68" s="93" t="str">
        <f>IFERROR(__xludf.DUMMYFUNCTION("""COMPUTED_VALUE"""),"SOL")</f>
        <v>SOL</v>
      </c>
    </row>
    <row r="69">
      <c r="A69" s="96" t="str">
        <f t="shared" si="1"/>
        <v>TRANS</v>
      </c>
      <c r="B69" s="96" t="str">
        <f t="shared" si="2"/>
        <v/>
      </c>
      <c r="C69" s="174">
        <f t="shared" si="3"/>
        <v>-0.000005</v>
      </c>
      <c r="D69" s="167" t="s">
        <v>866</v>
      </c>
      <c r="E69" s="93">
        <f>IFERROR(__xludf.DUMMYFUNCTION("IF(D69&lt;&gt;"""",SPLIT(D69,"" 
""),)"),12.761606785)</f>
        <v>12.76160679</v>
      </c>
      <c r="F69" s="93" t="str">
        <f>IFERROR(__xludf.DUMMYFUNCTION("""COMPUTED_VALUE"""),"stSOL")</f>
        <v>stSOL</v>
      </c>
      <c r="G69" s="93">
        <f>IFERROR(__xludf.DUMMYFUNCTION("""COMPUTED_VALUE"""),-13.130005)</f>
        <v>-13.130005</v>
      </c>
      <c r="H69" s="93" t="str">
        <f>IFERROR(__xludf.DUMMYFUNCTION("""COMPUTED_VALUE"""),"SOL")</f>
        <v>SOL</v>
      </c>
    </row>
    <row r="70">
      <c r="A70" s="96" t="str">
        <f t="shared" si="1"/>
        <v>RECV</v>
      </c>
      <c r="B70" s="96" t="str">
        <f t="shared" si="2"/>
        <v/>
      </c>
      <c r="C70" s="174" t="str">
        <f t="shared" si="3"/>
        <v/>
      </c>
      <c r="D70" s="167" t="s">
        <v>867</v>
      </c>
      <c r="E70" s="93">
        <f>IFERROR(__xludf.DUMMYFUNCTION("IF(D70&lt;&gt;"""",SPLIT(D70,"" 
""),)"),13.06319325)</f>
        <v>13.06319325</v>
      </c>
      <c r="F70" s="93" t="str">
        <f>IFERROR(__xludf.DUMMYFUNCTION("""COMPUTED_VALUE"""),"SOL")</f>
        <v>SOL</v>
      </c>
      <c r="G70" s="93"/>
      <c r="H70" s="93"/>
    </row>
    <row r="71">
      <c r="A71" s="96" t="str">
        <f t="shared" si="1"/>
        <v>TRANS</v>
      </c>
      <c r="B71" s="96" t="str">
        <f t="shared" si="2"/>
        <v/>
      </c>
      <c r="C71" s="174" t="str">
        <f t="shared" si="3"/>
        <v/>
      </c>
      <c r="D71" s="167" t="s">
        <v>868</v>
      </c>
      <c r="E71" s="93">
        <f>IFERROR(__xludf.DUMMYFUNCTION("IF(D71&lt;&gt;"""",SPLIT(D71,"" 
""),)"),0.90604598)</f>
        <v>0.90604598</v>
      </c>
      <c r="F71" s="93" t="str">
        <f>IFERROR(__xludf.DUMMYFUNCTION("""COMPUTED_VALUE"""),"LDO")</f>
        <v>LDO</v>
      </c>
    </row>
    <row r="72">
      <c r="A72" s="96" t="str">
        <f t="shared" si="1"/>
        <v>TRANS</v>
      </c>
      <c r="B72" s="96" t="str">
        <f t="shared" si="2"/>
        <v/>
      </c>
      <c r="C72" s="174" t="str">
        <f t="shared" si="3"/>
        <v/>
      </c>
      <c r="D72" s="167" t="s">
        <v>869</v>
      </c>
      <c r="E72" s="93">
        <f>IFERROR(__xludf.DUMMYFUNCTION("IF(D72&lt;&gt;"""",SPLIT(D72,"" 
""),)"),0.907307)</f>
        <v>0.907307</v>
      </c>
      <c r="F72" s="93" t="str">
        <f>IFERROR(__xludf.DUMMYFUNCTION("""COMPUTED_VALUE"""),"LDO")</f>
        <v>LDO</v>
      </c>
    </row>
    <row r="73">
      <c r="A73" s="96" t="str">
        <f t="shared" si="1"/>
        <v>TRANS</v>
      </c>
      <c r="B73" s="96" t="str">
        <f t="shared" si="2"/>
        <v/>
      </c>
      <c r="C73" s="174" t="str">
        <f t="shared" si="3"/>
        <v/>
      </c>
      <c r="D73" s="167" t="s">
        <v>870</v>
      </c>
      <c r="E73" s="93">
        <f>IFERROR(__xludf.DUMMYFUNCTION("IF(D73&lt;&gt;"""",SPLIT(D73,"" 
""),)"),0.69061369)</f>
        <v>0.69061369</v>
      </c>
      <c r="F73" s="93" t="str">
        <f>IFERROR(__xludf.DUMMYFUNCTION("""COMPUTED_VALUE"""),"LDO")</f>
        <v>LDO</v>
      </c>
    </row>
    <row r="74">
      <c r="A74" s="96" t="str">
        <f t="shared" si="1"/>
        <v>RECV</v>
      </c>
      <c r="B74" s="96" t="str">
        <f t="shared" si="2"/>
        <v/>
      </c>
      <c r="C74" s="174" t="str">
        <f t="shared" si="3"/>
        <v/>
      </c>
      <c r="D74" s="167" t="s">
        <v>871</v>
      </c>
      <c r="E74" s="93">
        <f>IFERROR(__xludf.DUMMYFUNCTION("IF(D74&lt;&gt;"""",SPLIT(D74,"" 
""),)"),0.06784533)</f>
        <v>0.06784533</v>
      </c>
      <c r="F74" s="93" t="str">
        <f>IFERROR(__xludf.DUMMYFUNCTION("""COMPUTED_VALUE"""),"SOL")</f>
        <v>SOL</v>
      </c>
      <c r="G74" s="93"/>
      <c r="H74" s="93"/>
    </row>
    <row r="75">
      <c r="A75" s="96" t="str">
        <f t="shared" si="1"/>
        <v>TRANS</v>
      </c>
      <c r="B75" s="96" t="str">
        <f t="shared" si="2"/>
        <v/>
      </c>
      <c r="C75" s="174">
        <f t="shared" si="3"/>
        <v>-0.00204428</v>
      </c>
      <c r="D75" s="167" t="s">
        <v>872</v>
      </c>
      <c r="E75" s="93">
        <f>IFERROR(__xludf.DUMMYFUNCTION("IF(D75&lt;&gt;"""",SPLIT(D75,"" 
""),)"),-41.857517)</f>
        <v>-41.857517</v>
      </c>
      <c r="F75" s="93" t="str">
        <f>IFERROR(__xludf.DUMMYFUNCTION("""COMPUTED_VALUE"""),"UST")</f>
        <v>UST</v>
      </c>
      <c r="G75" s="93">
        <f>IFERROR(__xludf.DUMMYFUNCTION("""COMPUTED_VALUE"""),-0.00204428)</f>
        <v>-0.00204428</v>
      </c>
      <c r="H75" s="93" t="str">
        <f>IFERROR(__xludf.DUMMYFUNCTION("""COMPUTED_VALUE"""),"SOL")</f>
        <v>SOL</v>
      </c>
    </row>
    <row r="76">
      <c r="A76" s="96" t="str">
        <f t="shared" si="1"/>
        <v>UST-USDC</v>
      </c>
      <c r="B76" s="96">
        <f t="shared" si="2"/>
        <v>-0.9956188981</v>
      </c>
      <c r="C76" s="174">
        <f t="shared" si="3"/>
        <v>-0.00204428</v>
      </c>
      <c r="D76" s="167" t="s">
        <v>873</v>
      </c>
      <c r="E76" s="93">
        <f>IFERROR(__xludf.DUMMYFUNCTION("IF(D76&lt;&gt;"""",SPLIT(D76,"" 
""),)"),41.857517)</f>
        <v>41.857517</v>
      </c>
      <c r="F76" s="93" t="str">
        <f>IFERROR(__xludf.DUMMYFUNCTION("""COMPUTED_VALUE"""),"UST")</f>
        <v>UST</v>
      </c>
      <c r="G76" s="93">
        <f>IFERROR(__xludf.DUMMYFUNCTION("""COMPUTED_VALUE"""),-42.041706)</f>
        <v>-42.041706</v>
      </c>
      <c r="H76" s="93" t="str">
        <f>IFERROR(__xludf.DUMMYFUNCTION("""COMPUTED_VALUE"""),"USDC")</f>
        <v>USDC</v>
      </c>
      <c r="I76" s="93">
        <f>IFERROR(__xludf.DUMMYFUNCTION("""COMPUTED_VALUE"""),-0.00204428)</f>
        <v>-0.00204428</v>
      </c>
      <c r="J76" s="93" t="str">
        <f>IFERROR(__xludf.DUMMYFUNCTION("""COMPUTED_VALUE"""),"SOL")</f>
        <v>SOL</v>
      </c>
    </row>
    <row r="77">
      <c r="A77" s="96" t="str">
        <f t="shared" si="1"/>
        <v>TRANS</v>
      </c>
      <c r="B77" s="96" t="str">
        <f t="shared" si="2"/>
        <v/>
      </c>
      <c r="C77" s="174">
        <f t="shared" si="3"/>
        <v>-0.000005</v>
      </c>
      <c r="D77" s="167" t="s">
        <v>874</v>
      </c>
      <c r="E77" s="93">
        <f>IFERROR(__xludf.DUMMYFUNCTION("IF(D77&lt;&gt;"""",SPLIT(D77,"" 
""),)"),42.041706)</f>
        <v>42.041706</v>
      </c>
      <c r="F77" s="93" t="str">
        <f>IFERROR(__xludf.DUMMYFUNCTION("""COMPUTED_VALUE"""),"USDC")</f>
        <v>USDC</v>
      </c>
      <c r="G77" s="93">
        <f>IFERROR(__xludf.DUMMYFUNCTION("""COMPUTED_VALUE"""),-5.0E-6)</f>
        <v>-0.000005</v>
      </c>
      <c r="H77" s="93" t="str">
        <f>IFERROR(__xludf.DUMMYFUNCTION("""COMPUTED_VALUE"""),"SOL")</f>
        <v>SOL</v>
      </c>
    </row>
    <row r="78">
      <c r="A78" s="96" t="str">
        <f t="shared" si="1"/>
        <v>TRANS</v>
      </c>
      <c r="B78" s="96" t="str">
        <f t="shared" si="2"/>
        <v/>
      </c>
      <c r="C78" s="174">
        <f t="shared" si="3"/>
        <v>-0.000005</v>
      </c>
      <c r="D78" s="167" t="s">
        <v>875</v>
      </c>
      <c r="E78" s="93">
        <f>IFERROR(__xludf.DUMMYFUNCTION("IF(D78&lt;&gt;"""",SPLIT(D78,"" 
""),)"),-6.952456147)</f>
        <v>-6.952456147</v>
      </c>
      <c r="F78" s="93" t="str">
        <f>IFERROR(__xludf.DUMMYFUNCTION("""COMPUTED_VALUE"""),"stSOL")</f>
        <v>stSOL</v>
      </c>
      <c r="G78" s="93">
        <f>IFERROR(__xludf.DUMMYFUNCTION("""COMPUTED_VALUE"""),-5.0E-6)</f>
        <v>-0.000005</v>
      </c>
      <c r="H78" s="93" t="str">
        <f>IFERROR(__xludf.DUMMYFUNCTION("""COMPUTED_VALUE"""),"SOL")</f>
        <v>SOL</v>
      </c>
    </row>
    <row r="79">
      <c r="A79" s="96" t="str">
        <f t="shared" si="1"/>
        <v>TRANS</v>
      </c>
      <c r="B79" s="96" t="str">
        <f t="shared" si="2"/>
        <v/>
      </c>
      <c r="C79" s="174">
        <f t="shared" si="3"/>
        <v>-0.000005</v>
      </c>
      <c r="D79" s="167" t="s">
        <v>876</v>
      </c>
      <c r="E79" s="93">
        <f>IFERROR(__xludf.DUMMYFUNCTION("IF(D79&lt;&gt;"""",SPLIT(D79,"" 
""),)"),6.952456147)</f>
        <v>6.952456147</v>
      </c>
      <c r="F79" s="93" t="str">
        <f>IFERROR(__xludf.DUMMYFUNCTION("""COMPUTED_VALUE"""),"stSOL")</f>
        <v>stSOL</v>
      </c>
      <c r="G79" s="93">
        <f>IFERROR(__xludf.DUMMYFUNCTION("""COMPUTED_VALUE"""),-7.150005)</f>
        <v>-7.150005</v>
      </c>
      <c r="H79" s="93" t="str">
        <f>IFERROR(__xludf.DUMMYFUNCTION("""COMPUTED_VALUE"""),"SOL")</f>
        <v>SOL</v>
      </c>
    </row>
    <row r="80">
      <c r="A80" s="96" t="str">
        <f t="shared" si="1"/>
        <v>RECV</v>
      </c>
      <c r="B80" s="96" t="str">
        <f t="shared" si="2"/>
        <v/>
      </c>
      <c r="C80" s="174" t="str">
        <f t="shared" si="3"/>
        <v/>
      </c>
      <c r="D80" s="167" t="s">
        <v>877</v>
      </c>
      <c r="E80" s="93">
        <f>IFERROR(__xludf.DUMMYFUNCTION("IF(D80&lt;&gt;"""",SPLIT(D80,"" 
""),)"),7.149995)</f>
        <v>7.149995</v>
      </c>
      <c r="F80" s="93" t="str">
        <f>IFERROR(__xludf.DUMMYFUNCTION("""COMPUTED_VALUE"""),"SOL")</f>
        <v>SOL</v>
      </c>
      <c r="G80" s="93"/>
      <c r="H80" s="93"/>
    </row>
    <row r="81">
      <c r="A81" s="96" t="str">
        <f t="shared" si="1"/>
        <v>TRANS</v>
      </c>
      <c r="B81" s="96" t="str">
        <f t="shared" si="2"/>
        <v/>
      </c>
      <c r="C81" s="174">
        <f t="shared" si="3"/>
        <v>-0.000005</v>
      </c>
      <c r="D81" s="167" t="s">
        <v>878</v>
      </c>
      <c r="E81" s="93">
        <f>IFERROR(__xludf.DUMMYFUNCTION("IF(D81&lt;&gt;"""",SPLIT(D81,"" 
""),)"),-11.755971304)</f>
        <v>-11.7559713</v>
      </c>
      <c r="F81" s="93" t="str">
        <f>IFERROR(__xludf.DUMMYFUNCTION("""COMPUTED_VALUE"""),"stSOL")</f>
        <v>stSOL</v>
      </c>
      <c r="G81" s="93">
        <f>IFERROR(__xludf.DUMMYFUNCTION("""COMPUTED_VALUE"""),-5.0E-6)</f>
        <v>-0.000005</v>
      </c>
      <c r="H81" s="93" t="str">
        <f>IFERROR(__xludf.DUMMYFUNCTION("""COMPUTED_VALUE"""),"SOL")</f>
        <v>SOL</v>
      </c>
    </row>
    <row r="82">
      <c r="A82" s="96" t="str">
        <f t="shared" si="1"/>
        <v>TRANS</v>
      </c>
      <c r="B82" s="96" t="str">
        <f t="shared" si="2"/>
        <v/>
      </c>
      <c r="C82" s="174">
        <f t="shared" si="3"/>
        <v>-0.000005</v>
      </c>
      <c r="D82" s="167" t="s">
        <v>879</v>
      </c>
      <c r="E82" s="93">
        <f>IFERROR(__xludf.DUMMYFUNCTION("IF(D82&lt;&gt;"""",SPLIT(D82,"" 
""),)"),11.755971304)</f>
        <v>11.7559713</v>
      </c>
      <c r="F82" s="93" t="str">
        <f>IFERROR(__xludf.DUMMYFUNCTION("""COMPUTED_VALUE"""),"stSOL")</f>
        <v>stSOL</v>
      </c>
      <c r="G82" s="93">
        <f>IFERROR(__xludf.DUMMYFUNCTION("""COMPUTED_VALUE"""),-12.090005)</f>
        <v>-12.090005</v>
      </c>
      <c r="H82" s="93" t="str">
        <f>IFERROR(__xludf.DUMMYFUNCTION("""COMPUTED_VALUE"""),"SOL")</f>
        <v>SOL</v>
      </c>
    </row>
    <row r="83">
      <c r="A83" s="96" t="str">
        <f t="shared" si="1"/>
        <v>RECV</v>
      </c>
      <c r="B83" s="96" t="str">
        <f t="shared" si="2"/>
        <v/>
      </c>
      <c r="C83" s="174" t="str">
        <f t="shared" si="3"/>
        <v/>
      </c>
      <c r="D83" s="167" t="s">
        <v>880</v>
      </c>
      <c r="E83" s="93">
        <f>IFERROR(__xludf.DUMMYFUNCTION("IF(D83&lt;&gt;"""",SPLIT(D83,"" 
""),)"),12.09006818)</f>
        <v>12.09006818</v>
      </c>
      <c r="F83" s="93" t="str">
        <f>IFERROR(__xludf.DUMMYFUNCTION("""COMPUTED_VALUE"""),"SOL")</f>
        <v>SOL</v>
      </c>
      <c r="G83" s="93"/>
      <c r="H83" s="93"/>
    </row>
    <row r="84">
      <c r="A84" s="96" t="str">
        <f t="shared" si="1"/>
        <v>TRANS</v>
      </c>
      <c r="B84" s="96" t="str">
        <f t="shared" si="2"/>
        <v/>
      </c>
      <c r="C84" s="174">
        <f t="shared" si="3"/>
        <v>-0.000005</v>
      </c>
      <c r="D84" s="167" t="s">
        <v>840</v>
      </c>
      <c r="E84" s="93">
        <f>IFERROR(__xludf.DUMMYFUNCTION("IF(D84&lt;&gt;"""",SPLIT(D84,"" 
""),)"),-5.0E-6)</f>
        <v>-0.000005</v>
      </c>
      <c r="F84" s="93" t="str">
        <f>IFERROR(__xludf.DUMMYFUNCTION("""COMPUTED_VALUE"""),"SOL")</f>
        <v>SOL</v>
      </c>
    </row>
    <row r="85">
      <c r="A85" s="96" t="str">
        <f t="shared" si="1"/>
        <v>TRANS</v>
      </c>
      <c r="B85" s="96" t="str">
        <f t="shared" si="2"/>
        <v/>
      </c>
      <c r="C85" s="174">
        <f t="shared" si="3"/>
        <v>-0.00204428</v>
      </c>
      <c r="D85" s="167" t="s">
        <v>881</v>
      </c>
      <c r="E85" s="93">
        <f>IFERROR(__xludf.DUMMYFUNCTION("IF(D85&lt;&gt;"""",SPLIT(D85,"" 
""),)"),-0.159965)</f>
        <v>-0.159965</v>
      </c>
      <c r="F85" s="93" t="str">
        <f>IFERROR(__xludf.DUMMYFUNCTION("""COMPUTED_VALUE"""),"USDC")</f>
        <v>USDC</v>
      </c>
      <c r="G85" s="93">
        <f>IFERROR(__xludf.DUMMYFUNCTION("""COMPUTED_VALUE"""),-0.00204428)</f>
        <v>-0.00204428</v>
      </c>
      <c r="H85" s="93" t="str">
        <f>IFERROR(__xludf.DUMMYFUNCTION("""COMPUTED_VALUE"""),"SOL")</f>
        <v>SOL</v>
      </c>
    </row>
    <row r="86">
      <c r="A86" s="96" t="str">
        <f t="shared" si="1"/>
        <v>USDC-LARIX</v>
      </c>
      <c r="B86" s="96">
        <f t="shared" si="2"/>
        <v>-0.004442309201</v>
      </c>
      <c r="C86" s="174">
        <f t="shared" si="3"/>
        <v>-0.000005</v>
      </c>
      <c r="D86" s="167" t="s">
        <v>882</v>
      </c>
      <c r="E86" s="93">
        <f>IFERROR(__xludf.DUMMYFUNCTION("IF(D86&lt;&gt;"""",SPLIT(D86,"" 
""),)"),0.159965)</f>
        <v>0.159965</v>
      </c>
      <c r="F86" s="93" t="str">
        <f>IFERROR(__xludf.DUMMYFUNCTION("""COMPUTED_VALUE"""),"USDC")</f>
        <v>USDC</v>
      </c>
      <c r="G86" s="93">
        <f>IFERROR(__xludf.DUMMYFUNCTION("""COMPUTED_VALUE"""),-36.009425)</f>
        <v>-36.009425</v>
      </c>
      <c r="H86" s="93" t="str">
        <f>IFERROR(__xludf.DUMMYFUNCTION("""COMPUTED_VALUE"""),"LARIX")</f>
        <v>LARIX</v>
      </c>
      <c r="I86" s="93">
        <f>IFERROR(__xludf.DUMMYFUNCTION("""COMPUTED_VALUE"""),-5.0E-6)</f>
        <v>-0.000005</v>
      </c>
      <c r="J86" s="93" t="str">
        <f>IFERROR(__xludf.DUMMYFUNCTION("""COMPUTED_VALUE"""),"SOL")</f>
        <v>SOL</v>
      </c>
    </row>
    <row r="87">
      <c r="A87" s="96" t="str">
        <f t="shared" si="1"/>
        <v>TRANS</v>
      </c>
      <c r="B87" s="96" t="str">
        <f t="shared" si="2"/>
        <v/>
      </c>
      <c r="C87" s="174">
        <f t="shared" si="3"/>
        <v>-0.000005</v>
      </c>
      <c r="D87" s="167" t="s">
        <v>883</v>
      </c>
      <c r="E87" s="93">
        <f>IFERROR(__xludf.DUMMYFUNCTION("IF(D87&lt;&gt;"""",SPLIT(D87,"" 
""),)"),35.301504)</f>
        <v>35.301504</v>
      </c>
      <c r="F87" s="93" t="str">
        <f>IFERROR(__xludf.DUMMYFUNCTION("""COMPUTED_VALUE"""),"LARIX")</f>
        <v>LARIX</v>
      </c>
      <c r="G87" s="93">
        <f>IFERROR(__xludf.DUMMYFUNCTION("""COMPUTED_VALUE"""),-5.0E-6)</f>
        <v>-0.000005</v>
      </c>
      <c r="H87" s="93" t="str">
        <f>IFERROR(__xludf.DUMMYFUNCTION("""COMPUTED_VALUE"""),"SOL")</f>
        <v>SOL</v>
      </c>
    </row>
    <row r="88">
      <c r="A88" s="96" t="str">
        <f t="shared" si="1"/>
        <v>TRANS</v>
      </c>
      <c r="B88" s="96" t="str">
        <f t="shared" si="2"/>
        <v/>
      </c>
      <c r="C88" s="174">
        <f t="shared" si="3"/>
        <v>-0.000005</v>
      </c>
      <c r="D88" s="167" t="s">
        <v>884</v>
      </c>
      <c r="E88" s="93">
        <f>IFERROR(__xludf.DUMMYFUNCTION("IF(D88&lt;&gt;"""",SPLIT(D88,"" 
""),)"),-13.956350747)</f>
        <v>-13.95635075</v>
      </c>
      <c r="F88" s="93" t="str">
        <f>IFERROR(__xludf.DUMMYFUNCTION("""COMPUTED_VALUE"""),"stSOL")</f>
        <v>stSOL</v>
      </c>
      <c r="G88" s="93">
        <f>IFERROR(__xludf.DUMMYFUNCTION("""COMPUTED_VALUE"""),-5.0E-6)</f>
        <v>-0.000005</v>
      </c>
      <c r="H88" s="93" t="str">
        <f>IFERROR(__xludf.DUMMYFUNCTION("""COMPUTED_VALUE"""),"SOL")</f>
        <v>SOL</v>
      </c>
    </row>
    <row r="89">
      <c r="A89" s="96" t="str">
        <f t="shared" si="1"/>
        <v>TRANS</v>
      </c>
      <c r="B89" s="96" t="str">
        <f t="shared" si="2"/>
        <v/>
      </c>
      <c r="C89" s="174">
        <f t="shared" si="3"/>
        <v>-0.000005</v>
      </c>
      <c r="D89" s="167" t="s">
        <v>885</v>
      </c>
      <c r="E89" s="93">
        <f>IFERROR(__xludf.DUMMYFUNCTION("IF(D89&lt;&gt;"""",SPLIT(D89,"" 
""),)"),13.956350747)</f>
        <v>13.95635075</v>
      </c>
      <c r="F89" s="93" t="str">
        <f>IFERROR(__xludf.DUMMYFUNCTION("""COMPUTED_VALUE"""),"stSOL")</f>
        <v>stSOL</v>
      </c>
      <c r="G89" s="93">
        <f>IFERROR(__xludf.DUMMYFUNCTION("""COMPUTED_VALUE"""),-14.352905)</f>
        <v>-14.352905</v>
      </c>
      <c r="H89" s="93" t="str">
        <f>IFERROR(__xludf.DUMMYFUNCTION("""COMPUTED_VALUE"""),"SOL")</f>
        <v>SOL</v>
      </c>
    </row>
    <row r="90">
      <c r="A90" s="96" t="str">
        <f t="shared" si="1"/>
        <v>RECV</v>
      </c>
      <c r="B90" s="96" t="str">
        <f t="shared" si="2"/>
        <v/>
      </c>
      <c r="C90" s="174" t="str">
        <f t="shared" si="3"/>
        <v/>
      </c>
      <c r="D90" s="167" t="s">
        <v>886</v>
      </c>
      <c r="E90" s="93">
        <f>IFERROR(__xludf.DUMMYFUNCTION("IF(D90&lt;&gt;"""",SPLIT(D90,"" 
""),)"),14.354995)</f>
        <v>14.354995</v>
      </c>
      <c r="F90" s="93" t="str">
        <f>IFERROR(__xludf.DUMMYFUNCTION("""COMPUTED_VALUE"""),"SOL")</f>
        <v>SOL</v>
      </c>
      <c r="G90" s="93"/>
      <c r="H90" s="93"/>
    </row>
    <row r="91">
      <c r="A91" s="96" t="str">
        <f t="shared" si="1"/>
        <v>TRANS</v>
      </c>
      <c r="B91" s="96" t="str">
        <f t="shared" si="2"/>
        <v/>
      </c>
      <c r="C91" s="174">
        <f t="shared" si="3"/>
        <v>-0.000005</v>
      </c>
      <c r="D91" s="167" t="s">
        <v>887</v>
      </c>
      <c r="E91" s="93">
        <f>IFERROR(__xludf.DUMMYFUNCTION("IF(D91&lt;&gt;"""",SPLIT(D91,"" 
""),)"),-12.410377316)</f>
        <v>-12.41037732</v>
      </c>
      <c r="F91" s="93" t="str">
        <f>IFERROR(__xludf.DUMMYFUNCTION("""COMPUTED_VALUE"""),"stSOL")</f>
        <v>stSOL</v>
      </c>
      <c r="G91" s="93">
        <f>IFERROR(__xludf.DUMMYFUNCTION("""COMPUTED_VALUE"""),-5.0E-6)</f>
        <v>-0.000005</v>
      </c>
      <c r="H91" s="93" t="str">
        <f>IFERROR(__xludf.DUMMYFUNCTION("""COMPUTED_VALUE"""),"SOL")</f>
        <v>SOL</v>
      </c>
    </row>
    <row r="92">
      <c r="A92" s="96" t="str">
        <f t="shared" si="1"/>
        <v>TRANS</v>
      </c>
      <c r="B92" s="96" t="str">
        <f t="shared" si="2"/>
        <v/>
      </c>
      <c r="C92" s="174">
        <f t="shared" si="3"/>
        <v>-0.000005</v>
      </c>
      <c r="D92" s="167" t="s">
        <v>888</v>
      </c>
      <c r="E92" s="93">
        <f>IFERROR(__xludf.DUMMYFUNCTION("IF(D92&lt;&gt;"""",SPLIT(D92,"" 
""),)"),12.410377316)</f>
        <v>12.41037732</v>
      </c>
      <c r="F92" s="93" t="str">
        <f>IFERROR(__xludf.DUMMYFUNCTION("""COMPUTED_VALUE"""),"stSOL")</f>
        <v>stSOL</v>
      </c>
      <c r="G92" s="93">
        <f>IFERROR(__xludf.DUMMYFUNCTION("""COMPUTED_VALUE"""),-12.763005)</f>
        <v>-12.763005</v>
      </c>
      <c r="H92" s="93" t="str">
        <f>IFERROR(__xludf.DUMMYFUNCTION("""COMPUTED_VALUE"""),"SOL")</f>
        <v>SOL</v>
      </c>
    </row>
    <row r="93">
      <c r="A93" s="96" t="str">
        <f t="shared" si="1"/>
        <v>RECV</v>
      </c>
      <c r="B93" s="96" t="str">
        <f t="shared" si="2"/>
        <v/>
      </c>
      <c r="C93" s="174" t="str">
        <f t="shared" si="3"/>
        <v/>
      </c>
      <c r="D93" s="167" t="s">
        <v>889</v>
      </c>
      <c r="E93" s="93">
        <f>IFERROR(__xludf.DUMMYFUNCTION("IF(D93&lt;&gt;"""",SPLIT(D93,"" 
""),)"),12.76300412)</f>
        <v>12.76300412</v>
      </c>
      <c r="F93" s="93" t="str">
        <f>IFERROR(__xludf.DUMMYFUNCTION("""COMPUTED_VALUE"""),"SOL")</f>
        <v>SOL</v>
      </c>
      <c r="G93" s="93"/>
      <c r="H93" s="93"/>
    </row>
    <row r="94">
      <c r="A94" s="96" t="str">
        <f t="shared" si="1"/>
        <v>TRANS</v>
      </c>
      <c r="B94" s="96" t="str">
        <f t="shared" si="2"/>
        <v/>
      </c>
      <c r="C94" s="174" t="str">
        <f t="shared" si="3"/>
        <v/>
      </c>
      <c r="D94" s="167" t="s">
        <v>890</v>
      </c>
      <c r="E94" s="93">
        <f>IFERROR(__xludf.DUMMYFUNCTION("IF(D94&lt;&gt;"""",SPLIT(D94,"" 
""),)"),0.48461008)</f>
        <v>0.48461008</v>
      </c>
      <c r="F94" s="93" t="str">
        <f>IFERROR(__xludf.DUMMYFUNCTION("""COMPUTED_VALUE"""),"LDO")</f>
        <v>LDO</v>
      </c>
    </row>
    <row r="95">
      <c r="A95" s="96" t="str">
        <f t="shared" si="1"/>
        <v>TRANS</v>
      </c>
      <c r="B95" s="96" t="str">
        <f t="shared" si="2"/>
        <v/>
      </c>
      <c r="C95" s="174" t="str">
        <f t="shared" si="3"/>
        <v/>
      </c>
      <c r="D95" s="167" t="s">
        <v>891</v>
      </c>
      <c r="E95" s="93">
        <f>IFERROR(__xludf.DUMMYFUNCTION("IF(D95&lt;&gt;"""",SPLIT(D95,"" 
""),)"),0.45469004)</f>
        <v>0.45469004</v>
      </c>
      <c r="F95" s="93" t="str">
        <f>IFERROR(__xludf.DUMMYFUNCTION("""COMPUTED_VALUE"""),"LDO")</f>
        <v>LDO</v>
      </c>
    </row>
    <row r="96">
      <c r="A96" s="96" t="str">
        <f t="shared" si="1"/>
        <v>TRANS</v>
      </c>
      <c r="B96" s="96" t="str">
        <f t="shared" si="2"/>
        <v/>
      </c>
      <c r="C96" s="174">
        <f t="shared" si="3"/>
        <v>-0.000005</v>
      </c>
      <c r="D96" s="167" t="s">
        <v>892</v>
      </c>
      <c r="E96" s="93">
        <f>IFERROR(__xludf.DUMMYFUNCTION("IF(D96&lt;&gt;"""",SPLIT(D96,"" 
""),)"),-11.518070077)</f>
        <v>-11.51807008</v>
      </c>
      <c r="F96" s="93" t="str">
        <f>IFERROR(__xludf.DUMMYFUNCTION("""COMPUTED_VALUE"""),"stSOL")</f>
        <v>stSOL</v>
      </c>
      <c r="G96" s="93">
        <f>IFERROR(__xludf.DUMMYFUNCTION("""COMPUTED_VALUE"""),-5.0E-6)</f>
        <v>-0.000005</v>
      </c>
      <c r="H96" s="93" t="str">
        <f>IFERROR(__xludf.DUMMYFUNCTION("""COMPUTED_VALUE"""),"SOL")</f>
        <v>SOL</v>
      </c>
    </row>
    <row r="97">
      <c r="A97" s="96" t="str">
        <f t="shared" si="1"/>
        <v>TRANS</v>
      </c>
      <c r="B97" s="96" t="str">
        <f t="shared" si="2"/>
        <v/>
      </c>
      <c r="C97" s="174">
        <f t="shared" si="3"/>
        <v>-0.000005</v>
      </c>
      <c r="D97" s="167" t="s">
        <v>893</v>
      </c>
      <c r="E97" s="93">
        <f>IFERROR(__xludf.DUMMYFUNCTION("IF(D97&lt;&gt;"""",SPLIT(D97,"" 
""),)"),11.518070077)</f>
        <v>11.51807008</v>
      </c>
      <c r="F97" s="93" t="str">
        <f>IFERROR(__xludf.DUMMYFUNCTION("""COMPUTED_VALUE"""),"stSOL")</f>
        <v>stSOL</v>
      </c>
      <c r="G97" s="93">
        <f>IFERROR(__xludf.DUMMYFUNCTION("""COMPUTED_VALUE"""),-11.840005)</f>
        <v>-11.840005</v>
      </c>
      <c r="H97" s="93" t="str">
        <f>IFERROR(__xludf.DUMMYFUNCTION("""COMPUTED_VALUE"""),"SOL")</f>
        <v>SOL</v>
      </c>
    </row>
    <row r="98">
      <c r="A98" s="96" t="str">
        <f t="shared" si="1"/>
        <v>RECV</v>
      </c>
      <c r="B98" s="96" t="str">
        <f t="shared" si="2"/>
        <v/>
      </c>
      <c r="C98" s="174" t="str">
        <f t="shared" si="3"/>
        <v/>
      </c>
      <c r="D98" s="167" t="s">
        <v>894</v>
      </c>
      <c r="E98" s="93">
        <f>IFERROR(__xludf.DUMMYFUNCTION("IF(D98&lt;&gt;"""",SPLIT(D98,"" 
""),)"),11.847995)</f>
        <v>11.847995</v>
      </c>
      <c r="F98" s="93" t="str">
        <f>IFERROR(__xludf.DUMMYFUNCTION("""COMPUTED_VALUE"""),"SOL")</f>
        <v>SOL</v>
      </c>
      <c r="G98" s="93"/>
      <c r="H98" s="93"/>
    </row>
    <row r="99">
      <c r="A99" s="96" t="str">
        <f t="shared" si="1"/>
        <v>TRANS</v>
      </c>
      <c r="B99" s="96" t="str">
        <f t="shared" si="2"/>
        <v/>
      </c>
      <c r="C99" s="174">
        <f t="shared" si="3"/>
        <v>0.00203428</v>
      </c>
      <c r="D99" s="167" t="s">
        <v>895</v>
      </c>
      <c r="E99" s="93">
        <f>IFERROR(__xludf.DUMMYFUNCTION("IF(D99&lt;&gt;"""",SPLIT(D99,"" 
""),)"),0.00203428)</f>
        <v>0.00203428</v>
      </c>
      <c r="F99" s="93" t="str">
        <f>IFERROR(__xludf.DUMMYFUNCTION("""COMPUTED_VALUE"""),"SOL")</f>
        <v>SOL</v>
      </c>
    </row>
    <row r="100">
      <c r="A100" s="96" t="str">
        <f t="shared" si="1"/>
        <v>TRANS</v>
      </c>
      <c r="B100" s="96" t="str">
        <f t="shared" si="2"/>
        <v/>
      </c>
      <c r="C100" s="174">
        <f t="shared" si="3"/>
        <v>-0.000005</v>
      </c>
      <c r="D100" s="167" t="s">
        <v>896</v>
      </c>
      <c r="E100" s="93">
        <f>IFERROR(__xludf.DUMMYFUNCTION("IF(D100&lt;&gt;"""",SPLIT(D100,"" 
""),)"),-11.936475646)</f>
        <v>-11.93647565</v>
      </c>
      <c r="F100" s="93" t="str">
        <f>IFERROR(__xludf.DUMMYFUNCTION("""COMPUTED_VALUE"""),"stSOL")</f>
        <v>stSOL</v>
      </c>
      <c r="G100" s="93">
        <f>IFERROR(__xludf.DUMMYFUNCTION("""COMPUTED_VALUE"""),-5.0E-6)</f>
        <v>-0.000005</v>
      </c>
      <c r="H100" s="93" t="str">
        <f>IFERROR(__xludf.DUMMYFUNCTION("""COMPUTED_VALUE"""),"SOL")</f>
        <v>SOL</v>
      </c>
    </row>
    <row r="101">
      <c r="A101" s="96" t="str">
        <f t="shared" si="1"/>
        <v>TRANS</v>
      </c>
      <c r="B101" s="96" t="str">
        <f t="shared" si="2"/>
        <v/>
      </c>
      <c r="C101" s="174">
        <f t="shared" si="3"/>
        <v>-0.000005</v>
      </c>
      <c r="D101" s="167" t="s">
        <v>897</v>
      </c>
      <c r="E101" s="93">
        <f>IFERROR(__xludf.DUMMYFUNCTION("IF(D101&lt;&gt;"""",SPLIT(D101,"" 
""),)"),11.936475646)</f>
        <v>11.93647565</v>
      </c>
      <c r="F101" s="93" t="str">
        <f>IFERROR(__xludf.DUMMYFUNCTION("""COMPUTED_VALUE"""),"stSOL")</f>
        <v>stSOL</v>
      </c>
      <c r="G101" s="93">
        <f>IFERROR(__xludf.DUMMYFUNCTION("""COMPUTED_VALUE"""),-12.270105)</f>
        <v>-12.270105</v>
      </c>
      <c r="H101" s="93" t="str">
        <f>IFERROR(__xludf.DUMMYFUNCTION("""COMPUTED_VALUE"""),"SOL")</f>
        <v>SOL</v>
      </c>
    </row>
    <row r="102">
      <c r="A102" s="96" t="str">
        <f t="shared" si="1"/>
        <v>RECV</v>
      </c>
      <c r="B102" s="96" t="str">
        <f t="shared" si="2"/>
        <v/>
      </c>
      <c r="C102" s="174" t="str">
        <f t="shared" si="3"/>
        <v/>
      </c>
      <c r="D102" s="167" t="s">
        <v>898</v>
      </c>
      <c r="E102" s="93">
        <f>IFERROR(__xludf.DUMMYFUNCTION("IF(D102&lt;&gt;"""",SPLIT(D102,"" 
""),)"),12.27015514)</f>
        <v>12.27015514</v>
      </c>
      <c r="F102" s="93" t="str">
        <f>IFERROR(__xludf.DUMMYFUNCTION("""COMPUTED_VALUE"""),"SOL")</f>
        <v>SOL</v>
      </c>
      <c r="G102" s="93"/>
      <c r="H102" s="93"/>
    </row>
    <row r="103">
      <c r="A103" s="96" t="str">
        <f t="shared" si="1"/>
        <v>TRANS</v>
      </c>
      <c r="B103" s="96" t="str">
        <f t="shared" si="2"/>
        <v/>
      </c>
      <c r="C103" s="174" t="str">
        <f t="shared" si="3"/>
        <v/>
      </c>
      <c r="D103" s="167" t="s">
        <v>899</v>
      </c>
      <c r="E103" s="93">
        <f>IFERROR(__xludf.DUMMYFUNCTION("IF(D103&lt;&gt;"""",SPLIT(D103,"" 
""),)"),0.23913851)</f>
        <v>0.23913851</v>
      </c>
      <c r="F103" s="93" t="str">
        <f>IFERROR(__xludf.DUMMYFUNCTION("""COMPUTED_VALUE"""),"LDO")</f>
        <v>LDO</v>
      </c>
    </row>
    <row r="104">
      <c r="A104" s="96" t="str">
        <f t="shared" si="1"/>
        <v>TRANS</v>
      </c>
      <c r="B104" s="96" t="str">
        <f t="shared" si="2"/>
        <v/>
      </c>
      <c r="C104" s="174" t="str">
        <f t="shared" si="3"/>
        <v/>
      </c>
      <c r="D104" s="167" t="s">
        <v>900</v>
      </c>
      <c r="E104" s="93">
        <f>IFERROR(__xludf.DUMMYFUNCTION("IF(D104&lt;&gt;"""",SPLIT(D104,"" 
""),)"),0.02221388)</f>
        <v>0.02221388</v>
      </c>
      <c r="F104" s="93" t="str">
        <f>IFERROR(__xludf.DUMMYFUNCTION("""COMPUTED_VALUE"""),"LDO")</f>
        <v>LDO</v>
      </c>
    </row>
    <row r="105">
      <c r="A105" s="96" t="str">
        <f t="shared" si="1"/>
        <v>TRANS</v>
      </c>
      <c r="B105" s="96" t="str">
        <f t="shared" si="2"/>
        <v/>
      </c>
      <c r="C105" s="174">
        <f t="shared" si="3"/>
        <v>-0.00204428</v>
      </c>
      <c r="D105" s="167" t="s">
        <v>901</v>
      </c>
      <c r="E105" s="93">
        <f>IFERROR(__xludf.DUMMYFUNCTION("IF(D105&lt;&gt;"""",SPLIT(D105,"" 
""),)"),-7.812309573)</f>
        <v>-7.812309573</v>
      </c>
      <c r="F105" s="93" t="str">
        <f>IFERROR(__xludf.DUMMYFUNCTION("""COMPUTED_VALUE"""),"stSOL")</f>
        <v>stSOL</v>
      </c>
      <c r="G105" s="93">
        <f>IFERROR(__xludf.DUMMYFUNCTION("""COMPUTED_VALUE"""),-0.00204428)</f>
        <v>-0.00204428</v>
      </c>
      <c r="H105" s="93" t="str">
        <f>IFERROR(__xludf.DUMMYFUNCTION("""COMPUTED_VALUE"""),"SOL")</f>
        <v>SOL</v>
      </c>
    </row>
    <row r="106">
      <c r="A106" s="96" t="str">
        <f t="shared" si="1"/>
        <v>TRANS</v>
      </c>
      <c r="B106" s="96" t="str">
        <f t="shared" si="2"/>
        <v/>
      </c>
      <c r="C106" s="174">
        <f t="shared" si="3"/>
        <v>0.00203428</v>
      </c>
      <c r="D106" s="167" t="s">
        <v>895</v>
      </c>
      <c r="E106" s="93">
        <f>IFERROR(__xludf.DUMMYFUNCTION("IF(D106&lt;&gt;"""",SPLIT(D106,"" 
""),)"),0.00203428)</f>
        <v>0.00203428</v>
      </c>
      <c r="F106" s="93" t="str">
        <f>IFERROR(__xludf.DUMMYFUNCTION("""COMPUTED_VALUE"""),"SOL")</f>
        <v>SOL</v>
      </c>
    </row>
    <row r="107">
      <c r="A107" s="96" t="str">
        <f t="shared" si="1"/>
        <v>TRANS</v>
      </c>
      <c r="B107" s="96" t="str">
        <f t="shared" si="2"/>
        <v/>
      </c>
      <c r="C107" s="174">
        <f t="shared" si="3"/>
        <v>-0.000005</v>
      </c>
      <c r="D107" s="167" t="s">
        <v>902</v>
      </c>
      <c r="E107" s="93">
        <f>IFERROR(__xludf.DUMMYFUNCTION("IF(D107&lt;&gt;"""",SPLIT(D107,"" 
""),)"),0.707921)</f>
        <v>0.707921</v>
      </c>
      <c r="F107" s="93" t="str">
        <f>IFERROR(__xludf.DUMMYFUNCTION("""COMPUTED_VALUE"""),"LARIX")</f>
        <v>LARIX</v>
      </c>
      <c r="G107" s="93">
        <f>IFERROR(__xludf.DUMMYFUNCTION("""COMPUTED_VALUE"""),-5.0E-6)</f>
        <v>-0.000005</v>
      </c>
      <c r="H107" s="93" t="str">
        <f>IFERROR(__xludf.DUMMYFUNCTION("""COMPUTED_VALUE"""),"SOL")</f>
        <v>SOL</v>
      </c>
    </row>
    <row r="108">
      <c r="A108" s="96" t="str">
        <f t="shared" si="1"/>
        <v>TRANS</v>
      </c>
      <c r="B108" s="96" t="str">
        <f t="shared" si="2"/>
        <v/>
      </c>
      <c r="C108" s="174">
        <f t="shared" si="3"/>
        <v>-0.000005</v>
      </c>
      <c r="D108" s="167" t="s">
        <v>903</v>
      </c>
      <c r="E108" s="93">
        <f>IFERROR(__xludf.DUMMYFUNCTION("IF(D108&lt;&gt;"""",SPLIT(D108,"" 
""),)"),7.810691271)</f>
        <v>7.810691271</v>
      </c>
      <c r="F108" s="93" t="str">
        <f>IFERROR(__xludf.DUMMYFUNCTION("""COMPUTED_VALUE"""),"stSOL")</f>
        <v>stSOL</v>
      </c>
      <c r="G108" s="93">
        <f>IFERROR(__xludf.DUMMYFUNCTION("""COMPUTED_VALUE"""),-8.029005)</f>
        <v>-8.029005</v>
      </c>
      <c r="H108" s="93" t="str">
        <f>IFERROR(__xludf.DUMMYFUNCTION("""COMPUTED_VALUE"""),"SOL")</f>
        <v>SOL</v>
      </c>
    </row>
    <row r="109">
      <c r="A109" s="96" t="str">
        <f t="shared" si="1"/>
        <v>stSOL-LDO</v>
      </c>
      <c r="B109" s="96">
        <f t="shared" si="2"/>
        <v>-0.02356724369</v>
      </c>
      <c r="C109" s="174">
        <f t="shared" si="3"/>
        <v>-0.000005</v>
      </c>
      <c r="D109" s="167" t="s">
        <v>904</v>
      </c>
      <c r="E109" s="93">
        <f>IFERROR(__xludf.DUMMYFUNCTION("IF(D109&lt;&gt;"""",SPLIT(D109,"" 
""),)"),0.001609729)</f>
        <v>0.001609729</v>
      </c>
      <c r="F109" s="93" t="str">
        <f>IFERROR(__xludf.DUMMYFUNCTION("""COMPUTED_VALUE"""),"stSOL")</f>
        <v>stSOL</v>
      </c>
      <c r="G109" s="93">
        <f>IFERROR(__xludf.DUMMYFUNCTION("""COMPUTED_VALUE"""),-0.06830366)</f>
        <v>-0.06830366</v>
      </c>
      <c r="H109" s="93" t="str">
        <f>IFERROR(__xludf.DUMMYFUNCTION("""COMPUTED_VALUE"""),"LDO")</f>
        <v>LDO</v>
      </c>
      <c r="I109" s="93">
        <f>IFERROR(__xludf.DUMMYFUNCTION("""COMPUTED_VALUE"""),-5.0E-6)</f>
        <v>-0.000005</v>
      </c>
      <c r="J109" s="93" t="str">
        <f>IFERROR(__xludf.DUMMYFUNCTION("""COMPUTED_VALUE"""),"SOL")</f>
        <v>SOL</v>
      </c>
    </row>
    <row r="110">
      <c r="A110" s="96" t="str">
        <f t="shared" si="1"/>
        <v>stSOL-MNDE</v>
      </c>
      <c r="B110" s="96">
        <f t="shared" si="2"/>
        <v>-0.0009307913779</v>
      </c>
      <c r="C110" s="174">
        <f t="shared" si="3"/>
        <v>-0.000005</v>
      </c>
      <c r="D110" s="167" t="s">
        <v>905</v>
      </c>
      <c r="E110" s="93">
        <f>IFERROR(__xludf.DUMMYFUNCTION("IF(D110&lt;&gt;"""",SPLIT(D110,"" 
""),)"),8.573E-6)</f>
        <v>0.000008573</v>
      </c>
      <c r="F110" s="93" t="str">
        <f>IFERROR(__xludf.DUMMYFUNCTION("""COMPUTED_VALUE"""),"stSOL")</f>
        <v>stSOL</v>
      </c>
      <c r="G110" s="93">
        <f>IFERROR(__xludf.DUMMYFUNCTION("""COMPUTED_VALUE"""),-0.009210442)</f>
        <v>-0.009210442</v>
      </c>
      <c r="H110" s="93" t="str">
        <f>IFERROR(__xludf.DUMMYFUNCTION("""COMPUTED_VALUE"""),"MNDE")</f>
        <v>MNDE</v>
      </c>
      <c r="I110" s="93">
        <f>IFERROR(__xludf.DUMMYFUNCTION("""COMPUTED_VALUE"""),-5.0E-6)</f>
        <v>-0.000005</v>
      </c>
      <c r="J110" s="93" t="str">
        <f>IFERROR(__xludf.DUMMYFUNCTION("""COMPUTED_VALUE"""),"SOL")</f>
        <v>SOL</v>
      </c>
    </row>
    <row r="111">
      <c r="A111" s="96" t="str">
        <f t="shared" si="1"/>
        <v>RECV</v>
      </c>
      <c r="B111" s="96" t="str">
        <f t="shared" si="2"/>
        <v/>
      </c>
      <c r="C111" s="174" t="str">
        <f t="shared" si="3"/>
        <v/>
      </c>
      <c r="D111" s="167" t="s">
        <v>906</v>
      </c>
      <c r="E111" s="93">
        <f>IFERROR(__xludf.DUMMYFUNCTION("IF(D111&lt;&gt;"""",SPLIT(D111,"" 
""),)"),8.026995)</f>
        <v>8.026995</v>
      </c>
      <c r="F111" s="93" t="str">
        <f>IFERROR(__xludf.DUMMYFUNCTION("""COMPUTED_VALUE"""),"SOL")</f>
        <v>SOL</v>
      </c>
      <c r="G111" s="93"/>
      <c r="H111" s="93"/>
    </row>
    <row r="112">
      <c r="A112" s="96" t="str">
        <f t="shared" si="1"/>
        <v>TRANS</v>
      </c>
      <c r="B112" s="96" t="str">
        <f t="shared" si="2"/>
        <v/>
      </c>
      <c r="C112" s="174">
        <f t="shared" si="3"/>
        <v>0.00203428</v>
      </c>
      <c r="D112" s="167" t="s">
        <v>895</v>
      </c>
      <c r="E112" s="93">
        <f>IFERROR(__xludf.DUMMYFUNCTION("IF(D112&lt;&gt;"""",SPLIT(D112,"" 
""),)"),0.00203428)</f>
        <v>0.00203428</v>
      </c>
      <c r="F112" s="93" t="str">
        <f>IFERROR(__xludf.DUMMYFUNCTION("""COMPUTED_VALUE"""),"SOL")</f>
        <v>SOL</v>
      </c>
    </row>
    <row r="113">
      <c r="A113" s="96" t="str">
        <f t="shared" si="1"/>
        <v>TRANS</v>
      </c>
      <c r="B113" s="96" t="str">
        <f t="shared" si="2"/>
        <v/>
      </c>
      <c r="C113" s="174">
        <f t="shared" si="3"/>
        <v>-0.000005</v>
      </c>
      <c r="D113" s="167" t="s">
        <v>840</v>
      </c>
      <c r="E113" s="93">
        <f>IFERROR(__xludf.DUMMYFUNCTION("IF(D113&lt;&gt;"""",SPLIT(D113,"" 
""),)"),-5.0E-6)</f>
        <v>-0.000005</v>
      </c>
      <c r="F113" s="93" t="str">
        <f>IFERROR(__xludf.DUMMYFUNCTION("""COMPUTED_VALUE"""),"SOL")</f>
        <v>SOL</v>
      </c>
    </row>
    <row r="114">
      <c r="A114" s="96" t="str">
        <f t="shared" si="1"/>
        <v>TRANS</v>
      </c>
      <c r="B114" s="96" t="str">
        <f t="shared" si="2"/>
        <v/>
      </c>
      <c r="C114" s="174">
        <f t="shared" si="3"/>
        <v>-0.000007439</v>
      </c>
      <c r="D114" s="167" t="s">
        <v>907</v>
      </c>
      <c r="E114" s="93">
        <f>IFERROR(__xludf.DUMMYFUNCTION("IF(D114&lt;&gt;"""",SPLIT(D114,"" 
""),)"),-11.6920085)</f>
        <v>-11.6920085</v>
      </c>
      <c r="F114" s="93" t="str">
        <f>IFERROR(__xludf.DUMMYFUNCTION("""COMPUTED_VALUE"""),"stSOL")</f>
        <v>stSOL</v>
      </c>
      <c r="G114" s="93">
        <f>IFERROR(__xludf.DUMMYFUNCTION("""COMPUTED_VALUE"""),-7.439E-6)</f>
        <v>-0.000007439</v>
      </c>
      <c r="H114" s="93" t="str">
        <f>IFERROR(__xludf.DUMMYFUNCTION("""COMPUTED_VALUE"""),"SOL")</f>
        <v>SOL</v>
      </c>
    </row>
    <row r="115">
      <c r="A115" s="96" t="str">
        <f t="shared" si="1"/>
        <v>TRANS</v>
      </c>
      <c r="B115" s="96" t="str">
        <f t="shared" si="2"/>
        <v/>
      </c>
      <c r="C115" s="174">
        <f t="shared" si="3"/>
        <v>-0.000005</v>
      </c>
      <c r="D115" s="167" t="s">
        <v>908</v>
      </c>
      <c r="E115" s="93">
        <f>IFERROR(__xludf.DUMMYFUNCTION("IF(D115&lt;&gt;"""",SPLIT(D115,"" 
""),)"),11.6920085)</f>
        <v>11.6920085</v>
      </c>
      <c r="F115" s="93" t="str">
        <f>IFERROR(__xludf.DUMMYFUNCTION("""COMPUTED_VALUE"""),"stSOL")</f>
        <v>stSOL</v>
      </c>
      <c r="G115" s="93">
        <f>IFERROR(__xludf.DUMMYFUNCTION("""COMPUTED_VALUE"""),-12.018805)</f>
        <v>-12.018805</v>
      </c>
      <c r="H115" s="93" t="str">
        <f>IFERROR(__xludf.DUMMYFUNCTION("""COMPUTED_VALUE"""),"SOL")</f>
        <v>SOL</v>
      </c>
    </row>
    <row r="116">
      <c r="A116" s="96" t="str">
        <f t="shared" si="1"/>
        <v>RECV</v>
      </c>
      <c r="B116" s="96" t="str">
        <f t="shared" si="2"/>
        <v/>
      </c>
      <c r="C116" s="174" t="str">
        <f t="shared" si="3"/>
        <v/>
      </c>
      <c r="D116" s="167" t="s">
        <v>909</v>
      </c>
      <c r="E116" s="93">
        <f>IFERROR(__xludf.DUMMYFUNCTION("IF(D116&lt;&gt;"""",SPLIT(D116,"" 
""),)"),12.01272048)</f>
        <v>12.01272048</v>
      </c>
      <c r="F116" s="93" t="str">
        <f>IFERROR(__xludf.DUMMYFUNCTION("""COMPUTED_VALUE"""),"SOL")</f>
        <v>SOL</v>
      </c>
      <c r="G116" s="93"/>
      <c r="H116" s="93"/>
    </row>
    <row r="117">
      <c r="A117" s="96" t="str">
        <f t="shared" si="1"/>
        <v>TRANS</v>
      </c>
      <c r="B117" s="96" t="str">
        <f t="shared" si="2"/>
        <v/>
      </c>
      <c r="C117" s="174" t="str">
        <f t="shared" si="3"/>
        <v/>
      </c>
      <c r="D117" s="167" t="s">
        <v>910</v>
      </c>
      <c r="E117" s="93">
        <f>IFERROR(__xludf.DUMMYFUNCTION("IF(D117&lt;&gt;"""",SPLIT(D117,"" 
""),)"),0.01802194)</f>
        <v>0.01802194</v>
      </c>
      <c r="F117" s="93" t="str">
        <f>IFERROR(__xludf.DUMMYFUNCTION("""COMPUTED_VALUE"""),"LDO")</f>
        <v>LDO</v>
      </c>
    </row>
    <row r="118">
      <c r="A118" s="96" t="str">
        <f t="shared" si="1"/>
        <v>TRANS</v>
      </c>
      <c r="B118" s="96" t="str">
        <f t="shared" si="2"/>
        <v/>
      </c>
      <c r="C118" s="174" t="str">
        <f t="shared" si="3"/>
        <v/>
      </c>
      <c r="D118" s="167" t="s">
        <v>911</v>
      </c>
      <c r="E118" s="93">
        <f>IFERROR(__xludf.DUMMYFUNCTION("IF(D118&lt;&gt;"""",SPLIT(D118,"" 
""),)"),0.01753851)</f>
        <v>0.01753851</v>
      </c>
      <c r="F118" s="93" t="str">
        <f>IFERROR(__xludf.DUMMYFUNCTION("""COMPUTED_VALUE"""),"LDO")</f>
        <v>LDO</v>
      </c>
    </row>
    <row r="119">
      <c r="A119" s="96" t="str">
        <f t="shared" si="1"/>
        <v>TRANS</v>
      </c>
      <c r="B119" s="96" t="str">
        <f t="shared" si="2"/>
        <v/>
      </c>
      <c r="C119" s="174" t="str">
        <f t="shared" si="3"/>
        <v/>
      </c>
      <c r="D119" s="167" t="s">
        <v>912</v>
      </c>
      <c r="E119" s="93">
        <f>IFERROR(__xludf.DUMMYFUNCTION("IF(D119&lt;&gt;"""",SPLIT(D119,"" 
""),)"),0.01783061)</f>
        <v>0.01783061</v>
      </c>
      <c r="F119" s="93" t="str">
        <f>IFERROR(__xludf.DUMMYFUNCTION("""COMPUTED_VALUE"""),"LDO")</f>
        <v>LDO</v>
      </c>
    </row>
    <row r="120">
      <c r="A120" s="96" t="str">
        <f t="shared" si="1"/>
        <v>TRANS</v>
      </c>
      <c r="B120" s="96" t="str">
        <f t="shared" si="2"/>
        <v/>
      </c>
      <c r="C120" s="174" t="str">
        <f t="shared" si="3"/>
        <v/>
      </c>
      <c r="D120" s="167" t="s">
        <v>913</v>
      </c>
      <c r="E120" s="93">
        <f>IFERROR(__xludf.DUMMYFUNCTION("IF(D120&lt;&gt;"""",SPLIT(D120,"" 
""),)"),0.004036274)</f>
        <v>0.004036274</v>
      </c>
      <c r="F120" s="93" t="str">
        <f>IFERROR(__xludf.DUMMYFUNCTION("""COMPUTED_VALUE"""),"MNDE")</f>
        <v>MNDE</v>
      </c>
    </row>
    <row r="121">
      <c r="A121" s="96" t="str">
        <f t="shared" si="1"/>
        <v>TRANS</v>
      </c>
      <c r="B121" s="96" t="str">
        <f t="shared" si="2"/>
        <v/>
      </c>
      <c r="C121" s="174" t="str">
        <f t="shared" si="3"/>
        <v/>
      </c>
      <c r="D121" s="167" t="s">
        <v>914</v>
      </c>
      <c r="E121" s="93">
        <f>IFERROR(__xludf.DUMMYFUNCTION("IF(D121&lt;&gt;"""",SPLIT(D121,"" 
""),)"),0.005174491)</f>
        <v>0.005174491</v>
      </c>
      <c r="F121" s="93" t="str">
        <f>IFERROR(__xludf.DUMMYFUNCTION("""COMPUTED_VALUE"""),"MNDE")</f>
        <v>MNDE</v>
      </c>
    </row>
    <row r="122">
      <c r="A122" s="96" t="str">
        <f t="shared" si="1"/>
        <v>TRANS</v>
      </c>
      <c r="B122" s="96" t="str">
        <f t="shared" si="2"/>
        <v/>
      </c>
      <c r="C122" s="174" t="str">
        <f t="shared" si="3"/>
        <v/>
      </c>
      <c r="D122" s="167" t="s">
        <v>915</v>
      </c>
      <c r="E122" s="93">
        <f>IFERROR(__xludf.DUMMYFUNCTION("IF(D122&lt;&gt;"""",SPLIT(D122,"" 
""),)"),0.0149126)</f>
        <v>0.0149126</v>
      </c>
      <c r="F122" s="93" t="str">
        <f>IFERROR(__xludf.DUMMYFUNCTION("""COMPUTED_VALUE"""),"LDO")</f>
        <v>LDO</v>
      </c>
    </row>
    <row r="123">
      <c r="A123" s="96" t="str">
        <f t="shared" si="1"/>
        <v>TRANS</v>
      </c>
      <c r="B123" s="96" t="str">
        <f t="shared" si="2"/>
        <v/>
      </c>
      <c r="C123" s="174">
        <f t="shared" si="3"/>
        <v>-0.000005</v>
      </c>
      <c r="D123" s="167" t="s">
        <v>916</v>
      </c>
      <c r="E123" s="93">
        <f>IFERROR(__xludf.DUMMYFUNCTION("IF(D123&lt;&gt;"""",SPLIT(D123,"" 
""),)"),-1.685969833)</f>
        <v>-1.685969833</v>
      </c>
      <c r="F123" s="93" t="str">
        <f>IFERROR(__xludf.DUMMYFUNCTION("""COMPUTED_VALUE"""),"stSOL")</f>
        <v>stSOL</v>
      </c>
      <c r="G123" s="93">
        <f>IFERROR(__xludf.DUMMYFUNCTION("""COMPUTED_VALUE"""),-5.0E-6)</f>
        <v>-0.000005</v>
      </c>
      <c r="H123" s="93" t="str">
        <f>IFERROR(__xludf.DUMMYFUNCTION("""COMPUTED_VALUE"""),"SOL")</f>
        <v>SOL</v>
      </c>
    </row>
    <row r="124">
      <c r="A124" s="96" t="str">
        <f t="shared" si="1"/>
        <v>TRANS</v>
      </c>
      <c r="B124" s="96" t="str">
        <f t="shared" si="2"/>
        <v/>
      </c>
      <c r="C124" s="174">
        <f t="shared" si="3"/>
        <v>-0.00204428</v>
      </c>
      <c r="D124" s="167" t="s">
        <v>917</v>
      </c>
      <c r="E124" s="93">
        <f>IFERROR(__xludf.DUMMYFUNCTION("IF(D124&lt;&gt;"""",SPLIT(D124,"" 
""),)"),1.685969833)</f>
        <v>1.685969833</v>
      </c>
      <c r="F124" s="93" t="str">
        <f>IFERROR(__xludf.DUMMYFUNCTION("""COMPUTED_VALUE"""),"stSOL")</f>
        <v>stSOL</v>
      </c>
      <c r="G124" s="93">
        <f>IFERROR(__xludf.DUMMYFUNCTION("""COMPUTED_VALUE"""),-0.00204428)</f>
        <v>-0.00204428</v>
      </c>
      <c r="H124" s="93" t="str">
        <f>IFERROR(__xludf.DUMMYFUNCTION("""COMPUTED_VALUE"""),"SOL")</f>
        <v>SOL</v>
      </c>
    </row>
    <row r="125">
      <c r="A125" s="96" t="str">
        <f t="shared" si="1"/>
        <v>TRANS</v>
      </c>
      <c r="B125" s="96" t="str">
        <f t="shared" si="2"/>
        <v/>
      </c>
      <c r="C125" s="174">
        <f t="shared" si="3"/>
        <v>0.00203428</v>
      </c>
      <c r="D125" s="167" t="s">
        <v>895</v>
      </c>
      <c r="E125" s="93">
        <f>IFERROR(__xludf.DUMMYFUNCTION("IF(D125&lt;&gt;"""",SPLIT(D125,"" 
""),)"),0.00203428)</f>
        <v>0.00203428</v>
      </c>
      <c r="F125" s="93" t="str">
        <f>IFERROR(__xludf.DUMMYFUNCTION("""COMPUTED_VALUE"""),"SOL")</f>
        <v>SOL</v>
      </c>
    </row>
    <row r="126">
      <c r="A126" s="96" t="str">
        <f t="shared" si="1"/>
        <v>TRANS</v>
      </c>
      <c r="B126" s="96" t="str">
        <f t="shared" si="2"/>
        <v/>
      </c>
      <c r="C126" s="174">
        <f t="shared" si="3"/>
        <v>0.00203428</v>
      </c>
      <c r="D126" s="167" t="s">
        <v>895</v>
      </c>
      <c r="E126" s="93">
        <f>IFERROR(__xludf.DUMMYFUNCTION("IF(D126&lt;&gt;"""",SPLIT(D126,"" 
""),)"),0.00203428)</f>
        <v>0.00203428</v>
      </c>
      <c r="F126" s="93" t="str">
        <f>IFERROR(__xludf.DUMMYFUNCTION("""COMPUTED_VALUE"""),"SOL")</f>
        <v>SOL</v>
      </c>
    </row>
    <row r="127">
      <c r="A127" s="96" t="str">
        <f t="shared" si="1"/>
        <v>TRANS</v>
      </c>
      <c r="B127" s="96" t="str">
        <f t="shared" si="2"/>
        <v/>
      </c>
      <c r="C127" s="174">
        <f t="shared" si="3"/>
        <v>0.00203428</v>
      </c>
      <c r="D127" s="167" t="s">
        <v>895</v>
      </c>
      <c r="E127" s="93">
        <f>IFERROR(__xludf.DUMMYFUNCTION("IF(D127&lt;&gt;"""",SPLIT(D127,"" 
""),)"),0.00203428)</f>
        <v>0.00203428</v>
      </c>
      <c r="F127" s="93" t="str">
        <f>IFERROR(__xludf.DUMMYFUNCTION("""COMPUTED_VALUE"""),"SOL")</f>
        <v>SOL</v>
      </c>
    </row>
    <row r="128">
      <c r="A128" s="96" t="str">
        <f t="shared" si="1"/>
        <v>TRANS</v>
      </c>
      <c r="B128" s="96" t="str">
        <f t="shared" si="2"/>
        <v/>
      </c>
      <c r="C128" s="174">
        <f t="shared" si="3"/>
        <v>0.00203428</v>
      </c>
      <c r="D128" s="167" t="s">
        <v>895</v>
      </c>
      <c r="E128" s="93">
        <f>IFERROR(__xludf.DUMMYFUNCTION("IF(D128&lt;&gt;"""",SPLIT(D128,"" 
""),)"),0.00203428)</f>
        <v>0.00203428</v>
      </c>
      <c r="F128" s="93" t="str">
        <f>IFERROR(__xludf.DUMMYFUNCTION("""COMPUTED_VALUE"""),"SOL")</f>
        <v>SOL</v>
      </c>
    </row>
    <row r="129">
      <c r="A129" s="96" t="str">
        <f t="shared" si="1"/>
        <v>TRANS</v>
      </c>
      <c r="B129" s="96" t="str">
        <f t="shared" si="2"/>
        <v/>
      </c>
      <c r="C129" s="174">
        <f t="shared" si="3"/>
        <v>-0.00204428</v>
      </c>
      <c r="D129" s="167" t="s">
        <v>918</v>
      </c>
      <c r="E129" s="93">
        <f>IFERROR(__xludf.DUMMYFUNCTION("IF(D129&lt;&gt;"""",SPLIT(D129,"" 
""),)"),-1.685967904)</f>
        <v>-1.685967904</v>
      </c>
      <c r="F129" s="93" t="str">
        <f>IFERROR(__xludf.DUMMYFUNCTION("""COMPUTED_VALUE"""),"stSOL")</f>
        <v>stSOL</v>
      </c>
      <c r="G129" s="93">
        <f>IFERROR(__xludf.DUMMYFUNCTION("""COMPUTED_VALUE"""),-0.00204428)</f>
        <v>-0.00204428</v>
      </c>
      <c r="H129" s="93" t="str">
        <f>IFERROR(__xludf.DUMMYFUNCTION("""COMPUTED_VALUE"""),"SOL")</f>
        <v>SOL</v>
      </c>
    </row>
    <row r="130">
      <c r="A130" s="96" t="str">
        <f t="shared" si="1"/>
        <v>TRANS</v>
      </c>
      <c r="B130" s="96" t="str">
        <f t="shared" si="2"/>
        <v/>
      </c>
      <c r="C130" s="174">
        <f t="shared" si="3"/>
        <v>0.002031841</v>
      </c>
      <c r="D130" s="167" t="s">
        <v>919</v>
      </c>
      <c r="E130" s="93">
        <f>IFERROR(__xludf.DUMMYFUNCTION("IF(D130&lt;&gt;"""",SPLIT(D130,"" 
""),)"),0.002031841)</f>
        <v>0.002031841</v>
      </c>
      <c r="F130" s="93" t="str">
        <f>IFERROR(__xludf.DUMMYFUNCTION("""COMPUTED_VALUE"""),"SOL")</f>
        <v>SOL</v>
      </c>
    </row>
    <row r="131">
      <c r="A131" s="96" t="str">
        <f t="shared" si="1"/>
        <v>TRANS</v>
      </c>
      <c r="B131" s="96" t="str">
        <f t="shared" si="2"/>
        <v/>
      </c>
      <c r="C131" s="174">
        <f t="shared" si="3"/>
        <v>-0.000005</v>
      </c>
      <c r="D131" s="167" t="s">
        <v>920</v>
      </c>
      <c r="E131" s="93">
        <f>IFERROR(__xludf.DUMMYFUNCTION("IF(D131&lt;&gt;"""",SPLIT(D131,"" 
""),)"),1.685967904)</f>
        <v>1.685967904</v>
      </c>
      <c r="F131" s="93" t="str">
        <f>IFERROR(__xludf.DUMMYFUNCTION("""COMPUTED_VALUE"""),"stSOL")</f>
        <v>stSOL</v>
      </c>
      <c r="G131" s="93">
        <f>IFERROR(__xludf.DUMMYFUNCTION("""COMPUTED_VALUE"""),-1.73354428)</f>
        <v>-1.73354428</v>
      </c>
      <c r="H131" s="93" t="str">
        <f>IFERROR(__xludf.DUMMYFUNCTION("""COMPUTED_VALUE"""),"SOL")</f>
        <v>SOL</v>
      </c>
    </row>
    <row r="132">
      <c r="A132" s="96" t="str">
        <f t="shared" si="1"/>
        <v>RECV</v>
      </c>
      <c r="B132" s="96" t="str">
        <f t="shared" si="2"/>
        <v/>
      </c>
      <c r="C132" s="174" t="str">
        <f t="shared" si="3"/>
        <v/>
      </c>
      <c r="D132" s="167" t="s">
        <v>921</v>
      </c>
      <c r="E132" s="93">
        <f>IFERROR(__xludf.DUMMYFUNCTION("IF(D132&lt;&gt;"""",SPLIT(D132,"" 
""),)"),1.727432293)</f>
        <v>1.727432293</v>
      </c>
      <c r="F132" s="93" t="str">
        <f>IFERROR(__xludf.DUMMYFUNCTION("""COMPUTED_VALUE"""),"SOL")</f>
        <v>SOL</v>
      </c>
      <c r="G132" s="93"/>
      <c r="H132" s="93"/>
    </row>
    <row r="133">
      <c r="A133" s="96" t="str">
        <f t="shared" si="1"/>
        <v>TRANS</v>
      </c>
      <c r="B133" s="96" t="str">
        <f t="shared" si="2"/>
        <v/>
      </c>
      <c r="C133" s="174">
        <f t="shared" si="3"/>
        <v>-0.00204428</v>
      </c>
      <c r="D133" s="167" t="s">
        <v>922</v>
      </c>
      <c r="E133" s="93">
        <f>IFERROR(__xludf.DUMMYFUNCTION("IF(D133&lt;&gt;"""",SPLIT(D133,"" 
""),)"),-41.849691)</f>
        <v>-41.849691</v>
      </c>
      <c r="F133" s="93" t="str">
        <f>IFERROR(__xludf.DUMMYFUNCTION("""COMPUTED_VALUE"""),"USDC")</f>
        <v>USDC</v>
      </c>
      <c r="G133" s="93">
        <f>IFERROR(__xludf.DUMMYFUNCTION("""COMPUTED_VALUE"""),-0.00204428)</f>
        <v>-0.00204428</v>
      </c>
      <c r="H133" s="93" t="str">
        <f>IFERROR(__xludf.DUMMYFUNCTION("""COMPUTED_VALUE"""),"SOL")</f>
        <v>SOL</v>
      </c>
    </row>
    <row r="134">
      <c r="A134" s="96" t="str">
        <f t="shared" si="1"/>
        <v>TRANS</v>
      </c>
      <c r="B134" s="96" t="str">
        <f t="shared" si="2"/>
        <v/>
      </c>
      <c r="C134" s="174">
        <f t="shared" si="3"/>
        <v>-0.00151336</v>
      </c>
      <c r="D134" s="167" t="s">
        <v>923</v>
      </c>
      <c r="E134" s="93">
        <f>IFERROR(__xludf.DUMMYFUNCTION("IF(D134&lt;&gt;"""",SPLIT(D134,"" 
""),)"),-1.668789761)</f>
        <v>-1.668789761</v>
      </c>
      <c r="F134" s="93" t="str">
        <f>IFERROR(__xludf.DUMMYFUNCTION("""COMPUTED_VALUE"""),"mSOL")</f>
        <v>mSOL</v>
      </c>
      <c r="G134" s="93">
        <f>IFERROR(__xludf.DUMMYFUNCTION("""COMPUTED_VALUE"""),-0.00151336)</f>
        <v>-0.00151336</v>
      </c>
      <c r="H134" s="93" t="str">
        <f>IFERROR(__xludf.DUMMYFUNCTION("""COMPUTED_VALUE"""),"SOL")</f>
        <v>SOL</v>
      </c>
    </row>
    <row r="135">
      <c r="A135" s="96" t="str">
        <f t="shared" si="1"/>
        <v>TRANS</v>
      </c>
      <c r="B135" s="96" t="str">
        <f t="shared" si="2"/>
        <v/>
      </c>
      <c r="C135" s="174">
        <f t="shared" si="3"/>
        <v>0.00203428</v>
      </c>
      <c r="D135" s="167" t="s">
        <v>895</v>
      </c>
      <c r="E135" s="93">
        <f>IFERROR(__xludf.DUMMYFUNCTION("IF(D135&lt;&gt;"""",SPLIT(D135,"" 
""),)"),0.00203428)</f>
        <v>0.00203428</v>
      </c>
      <c r="F135" s="93" t="str">
        <f>IFERROR(__xludf.DUMMYFUNCTION("""COMPUTED_VALUE"""),"SOL")</f>
        <v>SOL</v>
      </c>
    </row>
    <row r="136">
      <c r="A136" s="96" t="str">
        <f t="shared" si="1"/>
        <v>USDC-xUSD</v>
      </c>
      <c r="B136" s="96">
        <f t="shared" si="2"/>
        <v>-0.9900651138</v>
      </c>
      <c r="C136" s="174">
        <f t="shared" si="3"/>
        <v>-0.000005</v>
      </c>
      <c r="D136" s="167" t="s">
        <v>924</v>
      </c>
      <c r="E136" s="93">
        <f>IFERROR(__xludf.DUMMYFUNCTION("IF(D136&lt;&gt;"""",SPLIT(D136,"" 
""),)"),0.014749)</f>
        <v>0.014749</v>
      </c>
      <c r="F136" s="93" t="str">
        <f>IFERROR(__xludf.DUMMYFUNCTION("""COMPUTED_VALUE"""),"USDC")</f>
        <v>USDC</v>
      </c>
      <c r="G136" s="93">
        <f>IFERROR(__xludf.DUMMYFUNCTION("""COMPUTED_VALUE"""),-0.014897)</f>
        <v>-0.014897</v>
      </c>
      <c r="H136" s="93" t="str">
        <f>IFERROR(__xludf.DUMMYFUNCTION("""COMPUTED_VALUE"""),"xUSD")</f>
        <v>xUSD</v>
      </c>
      <c r="I136" s="93">
        <f>IFERROR(__xludf.DUMMYFUNCTION("""COMPUTED_VALUE"""),-5.0E-6)</f>
        <v>-0.000005</v>
      </c>
      <c r="J136" s="93" t="str">
        <f>IFERROR(__xludf.DUMMYFUNCTION("""COMPUTED_VALUE"""),"SOL")</f>
        <v>SOL</v>
      </c>
    </row>
    <row r="137">
      <c r="A137" s="96" t="str">
        <f t="shared" si="1"/>
        <v>TRANS</v>
      </c>
      <c r="B137" s="96" t="str">
        <f t="shared" si="2"/>
        <v/>
      </c>
      <c r="C137" s="174">
        <f t="shared" si="3"/>
        <v>-0.00204428</v>
      </c>
      <c r="D137" s="167" t="s">
        <v>925</v>
      </c>
      <c r="E137" s="93">
        <f>IFERROR(__xludf.DUMMYFUNCTION("IF(D137&lt;&gt;"""",SPLIT(D137,"" 
""),)"),-0.00204428)</f>
        <v>-0.00204428</v>
      </c>
      <c r="F137" s="93" t="str">
        <f>IFERROR(__xludf.DUMMYFUNCTION("""COMPUTED_VALUE"""),"SOL")</f>
        <v>SOL</v>
      </c>
    </row>
    <row r="138">
      <c r="A138" s="96" t="str">
        <f t="shared" si="1"/>
        <v>TRANS</v>
      </c>
      <c r="B138" s="96" t="str">
        <f t="shared" si="2"/>
        <v/>
      </c>
      <c r="C138" s="174">
        <f t="shared" si="3"/>
        <v>-0.000005</v>
      </c>
      <c r="D138" s="167" t="s">
        <v>926</v>
      </c>
      <c r="E138" s="93">
        <f>IFERROR(__xludf.DUMMYFUNCTION("IF(D138&lt;&gt;"""",SPLIT(D138,"" 
""),)"),1.668789761)</f>
        <v>1.668789761</v>
      </c>
      <c r="F138" s="93" t="str">
        <f>IFERROR(__xludf.DUMMYFUNCTION("""COMPUTED_VALUE"""),"mSOL")</f>
        <v>mSOL</v>
      </c>
      <c r="G138" s="93">
        <f>IFERROR(__xludf.DUMMYFUNCTION("""COMPUTED_VALUE"""),-5.0E-6)</f>
        <v>-0.000005</v>
      </c>
      <c r="H138" s="93" t="str">
        <f>IFERROR(__xludf.DUMMYFUNCTION("""COMPUTED_VALUE"""),"SOL")</f>
        <v>SOL</v>
      </c>
    </row>
    <row r="139">
      <c r="A139" s="96" t="str">
        <f t="shared" si="1"/>
        <v>TRANS</v>
      </c>
      <c r="B139" s="96" t="str">
        <f t="shared" si="2"/>
        <v/>
      </c>
      <c r="C139" s="174">
        <f t="shared" si="3"/>
        <v>-0.000005</v>
      </c>
      <c r="D139" s="167" t="s">
        <v>927</v>
      </c>
      <c r="E139" s="93">
        <f>IFERROR(__xludf.DUMMYFUNCTION("IF(D139&lt;&gt;"""",SPLIT(D139,"" 
""),)"),-9.184183)</f>
        <v>-9.184183</v>
      </c>
      <c r="F139" s="93" t="str">
        <f>IFERROR(__xludf.DUMMYFUNCTION("""COMPUTED_VALUE"""),"xUSD")</f>
        <v>xUSD</v>
      </c>
      <c r="G139" s="93">
        <f>IFERROR(__xludf.DUMMYFUNCTION("""COMPUTED_VALUE"""),-5.0E-6)</f>
        <v>-0.000005</v>
      </c>
      <c r="H139" s="93" t="str">
        <f>IFERROR(__xludf.DUMMYFUNCTION("""COMPUTED_VALUE"""),"SOL")</f>
        <v>SOL</v>
      </c>
    </row>
    <row r="140">
      <c r="A140" s="96" t="str">
        <f t="shared" si="1"/>
        <v>xUSD-USDC</v>
      </c>
      <c r="B140" s="96">
        <f t="shared" si="2"/>
        <v>-0.99</v>
      </c>
      <c r="C140" s="174">
        <f t="shared" si="3"/>
        <v>-0.000005</v>
      </c>
      <c r="D140" s="167" t="s">
        <v>928</v>
      </c>
      <c r="E140" s="93">
        <f>IFERROR(__xludf.DUMMYFUNCTION("IF(D140&lt;&gt;"""",SPLIT(D140,"" 
""),)"),9.19908)</f>
        <v>9.19908</v>
      </c>
      <c r="F140" s="93" t="str">
        <f>IFERROR(__xludf.DUMMYFUNCTION("""COMPUTED_VALUE"""),"xUSD")</f>
        <v>xUSD</v>
      </c>
      <c r="G140" s="93">
        <f>IFERROR(__xludf.DUMMYFUNCTION("""COMPUTED_VALUE"""),-9.292)</f>
        <v>-9.292</v>
      </c>
      <c r="H140" s="93" t="str">
        <f>IFERROR(__xludf.DUMMYFUNCTION("""COMPUTED_VALUE"""),"USDC")</f>
        <v>USDC</v>
      </c>
      <c r="I140" s="93">
        <f>IFERROR(__xludf.DUMMYFUNCTION("""COMPUTED_VALUE"""),-5.0E-6)</f>
        <v>-0.000005</v>
      </c>
      <c r="J140" s="93" t="str">
        <f>IFERROR(__xludf.DUMMYFUNCTION("""COMPUTED_VALUE"""),"SOL")</f>
        <v>SOL</v>
      </c>
    </row>
    <row r="141">
      <c r="A141" s="96" t="str">
        <f t="shared" si="1"/>
        <v>TRANS</v>
      </c>
      <c r="B141" s="96" t="str">
        <f t="shared" si="2"/>
        <v/>
      </c>
      <c r="C141" s="174">
        <f t="shared" si="3"/>
        <v>-0.000005</v>
      </c>
      <c r="D141" s="167" t="s">
        <v>929</v>
      </c>
      <c r="E141" s="93">
        <f>IFERROR(__xludf.DUMMYFUNCTION("IF(D141&lt;&gt;"""",SPLIT(D141,"" 
""),)"),51.126942)</f>
        <v>51.126942</v>
      </c>
      <c r="F141" s="93" t="str">
        <f>IFERROR(__xludf.DUMMYFUNCTION("""COMPUTED_VALUE"""),"USDC")</f>
        <v>USDC</v>
      </c>
      <c r="G141" s="93">
        <f>IFERROR(__xludf.DUMMYFUNCTION("""COMPUTED_VALUE"""),-5.0E-6)</f>
        <v>-0.000005</v>
      </c>
      <c r="H141" s="93" t="str">
        <f>IFERROR(__xludf.DUMMYFUNCTION("""COMPUTED_VALUE"""),"SOL")</f>
        <v>SOL</v>
      </c>
    </row>
    <row r="142">
      <c r="A142" s="96" t="str">
        <f t="shared" si="1"/>
        <v>TRANS</v>
      </c>
      <c r="B142" s="96" t="str">
        <f t="shared" si="2"/>
        <v/>
      </c>
      <c r="C142" s="174">
        <f t="shared" si="3"/>
        <v>-0.000005</v>
      </c>
      <c r="D142" s="167" t="s">
        <v>930</v>
      </c>
      <c r="E142" s="93">
        <f>IFERROR(__xludf.DUMMYFUNCTION("IF(D142&lt;&gt;"""",SPLIT(D142,"" 
""),)"),-132.822933)</f>
        <v>-132.822933</v>
      </c>
      <c r="F142" s="93" t="str">
        <f>IFERROR(__xludf.DUMMYFUNCTION("""COMPUTED_VALUE"""),"xUSD")</f>
        <v>xUSD</v>
      </c>
      <c r="G142" s="93">
        <f>IFERROR(__xludf.DUMMYFUNCTION("""COMPUTED_VALUE"""),-5.0E-6)</f>
        <v>-0.000005</v>
      </c>
      <c r="H142" s="93" t="str">
        <f>IFERROR(__xludf.DUMMYFUNCTION("""COMPUTED_VALUE"""),"SOL")</f>
        <v>SOL</v>
      </c>
    </row>
    <row r="143">
      <c r="A143" s="96" t="str">
        <f t="shared" si="1"/>
        <v>xUSD-xSOL</v>
      </c>
      <c r="B143" s="96">
        <f t="shared" si="2"/>
        <v>-89.96343088</v>
      </c>
      <c r="C143" s="174">
        <f t="shared" si="3"/>
        <v>-0.000005</v>
      </c>
      <c r="D143" s="167" t="s">
        <v>931</v>
      </c>
      <c r="E143" s="93">
        <f>IFERROR(__xludf.DUMMYFUNCTION("IF(D143&lt;&gt;"""",SPLIT(D143,"" 
""),)"),132.822933)</f>
        <v>132.822933</v>
      </c>
      <c r="F143" s="93" t="str">
        <f>IFERROR(__xludf.DUMMYFUNCTION("""COMPUTED_VALUE"""),"xUSD")</f>
        <v>xUSD</v>
      </c>
      <c r="G143" s="93">
        <f>IFERROR(__xludf.DUMMYFUNCTION("""COMPUTED_VALUE"""),-1.476410267)</f>
        <v>-1.476410267</v>
      </c>
      <c r="H143" s="93" t="str">
        <f>IFERROR(__xludf.DUMMYFUNCTION("""COMPUTED_VALUE"""),"xSOL")</f>
        <v>xSOL</v>
      </c>
      <c r="I143" s="93">
        <f>IFERROR(__xludf.DUMMYFUNCTION("""COMPUTED_VALUE"""),-5.0E-6)</f>
        <v>-0.000005</v>
      </c>
      <c r="J143" s="93" t="str">
        <f>IFERROR(__xludf.DUMMYFUNCTION("""COMPUTED_VALUE"""),"SOL")</f>
        <v>SOL</v>
      </c>
    </row>
    <row r="144">
      <c r="A144" s="96" t="str">
        <f t="shared" si="1"/>
        <v>xSOL-xBTC</v>
      </c>
      <c r="B144" s="96">
        <f t="shared" si="2"/>
        <v>-434.2377902</v>
      </c>
      <c r="C144" s="174">
        <f t="shared" si="3"/>
        <v>-0.000005</v>
      </c>
      <c r="D144" s="167" t="s">
        <v>932</v>
      </c>
      <c r="E144" s="93">
        <f>IFERROR(__xludf.DUMMYFUNCTION("IF(D144&lt;&gt;"""",SPLIT(D144,"" 
""),)"),1.476410267)</f>
        <v>1.476410267</v>
      </c>
      <c r="F144" s="93" t="str">
        <f>IFERROR(__xludf.DUMMYFUNCTION("""COMPUTED_VALUE"""),"xSOL")</f>
        <v>xSOL</v>
      </c>
      <c r="G144" s="93">
        <f>IFERROR(__xludf.DUMMYFUNCTION("""COMPUTED_VALUE"""),-0.0034000041)</f>
        <v>-0.0034000041</v>
      </c>
      <c r="H144" s="93" t="str">
        <f>IFERROR(__xludf.DUMMYFUNCTION("""COMPUTED_VALUE"""),"xBTC")</f>
        <v>xBTC</v>
      </c>
      <c r="I144" s="93">
        <f>IFERROR(__xludf.DUMMYFUNCTION("""COMPUTED_VALUE"""),-5.0E-6)</f>
        <v>-0.000005</v>
      </c>
      <c r="J144" s="93" t="str">
        <f>IFERROR(__xludf.DUMMYFUNCTION("""COMPUTED_VALUE"""),"SOL")</f>
        <v>SOL</v>
      </c>
    </row>
    <row r="145">
      <c r="A145" s="96" t="str">
        <f t="shared" si="1"/>
        <v>TRANS</v>
      </c>
      <c r="B145" s="96" t="str">
        <f t="shared" si="2"/>
        <v/>
      </c>
      <c r="C145" s="174">
        <f t="shared" si="3"/>
        <v>-0.00204428</v>
      </c>
      <c r="D145" s="167" t="s">
        <v>925</v>
      </c>
      <c r="E145" s="93">
        <f>IFERROR(__xludf.DUMMYFUNCTION("IF(D145&lt;&gt;"""",SPLIT(D145,"" 
""),)"),-0.00204428)</f>
        <v>-0.00204428</v>
      </c>
      <c r="F145" s="93" t="str">
        <f>IFERROR(__xludf.DUMMYFUNCTION("""COMPUTED_VALUE"""),"SOL")</f>
        <v>SOL</v>
      </c>
    </row>
    <row r="146">
      <c r="A146" s="96" t="str">
        <f t="shared" si="1"/>
        <v>xBTC-xUSD</v>
      </c>
      <c r="B146" s="96">
        <f t="shared" si="2"/>
        <v>-0.00002583062079</v>
      </c>
      <c r="C146" s="174">
        <f t="shared" si="3"/>
        <v>-0.000005</v>
      </c>
      <c r="D146" s="167" t="s">
        <v>933</v>
      </c>
      <c r="E146" s="93">
        <f>IFERROR(__xludf.DUMMYFUNCTION("IF(D146&lt;&gt;"""",SPLIT(D146,"" 
""),)"),0.0034000041)</f>
        <v>0.0034000041</v>
      </c>
      <c r="F146" s="93" t="str">
        <f>IFERROR(__xludf.DUMMYFUNCTION("""COMPUTED_VALUE"""),"xBTC")</f>
        <v>xBTC</v>
      </c>
      <c r="G146" s="93">
        <f>IFERROR(__xludf.DUMMYFUNCTION("""COMPUTED_VALUE"""),-131.626883)</f>
        <v>-131.626883</v>
      </c>
      <c r="H146" s="93" t="str">
        <f>IFERROR(__xludf.DUMMYFUNCTION("""COMPUTED_VALUE"""),"xUSD")</f>
        <v>xUSD</v>
      </c>
      <c r="I146" s="93">
        <f>IFERROR(__xludf.DUMMYFUNCTION("""COMPUTED_VALUE"""),-5.0E-6)</f>
        <v>-0.000005</v>
      </c>
      <c r="J146" s="93" t="str">
        <f>IFERROR(__xludf.DUMMYFUNCTION("""COMPUTED_VALUE"""),"SOL")</f>
        <v>SOL</v>
      </c>
    </row>
    <row r="147">
      <c r="A147" s="96" t="str">
        <f t="shared" si="1"/>
        <v>TRANS</v>
      </c>
      <c r="B147" s="96" t="str">
        <f t="shared" si="2"/>
        <v/>
      </c>
      <c r="C147" s="174">
        <f t="shared" si="3"/>
        <v>0.00203428</v>
      </c>
      <c r="D147" s="167" t="s">
        <v>895</v>
      </c>
      <c r="E147" s="93">
        <f>IFERROR(__xludf.DUMMYFUNCTION("IF(D147&lt;&gt;"""",SPLIT(D147,"" 
""),)"),0.00203428)</f>
        <v>0.00203428</v>
      </c>
      <c r="F147" s="93" t="str">
        <f>IFERROR(__xludf.DUMMYFUNCTION("""COMPUTED_VALUE"""),"SOL")</f>
        <v>SOL</v>
      </c>
    </row>
    <row r="148">
      <c r="A148" s="96" t="str">
        <f t="shared" si="1"/>
        <v>TRANS</v>
      </c>
      <c r="B148" s="96" t="str">
        <f t="shared" si="2"/>
        <v/>
      </c>
      <c r="C148" s="174">
        <f t="shared" si="3"/>
        <v>0.00203428</v>
      </c>
      <c r="D148" s="167" t="s">
        <v>895</v>
      </c>
      <c r="E148" s="93">
        <f>IFERROR(__xludf.DUMMYFUNCTION("IF(D148&lt;&gt;"""",SPLIT(D148,"" 
""),)"),0.00203428)</f>
        <v>0.00203428</v>
      </c>
      <c r="F148" s="93" t="str">
        <f>IFERROR(__xludf.DUMMYFUNCTION("""COMPUTED_VALUE"""),"SOL")</f>
        <v>SOL</v>
      </c>
    </row>
    <row r="149">
      <c r="A149" s="96" t="str">
        <f t="shared" si="1"/>
        <v>TRANS</v>
      </c>
      <c r="B149" s="96" t="str">
        <f t="shared" si="2"/>
        <v/>
      </c>
      <c r="C149" s="174">
        <f t="shared" si="3"/>
        <v>-0.00204428</v>
      </c>
      <c r="D149" s="167" t="s">
        <v>925</v>
      </c>
      <c r="E149" s="93">
        <f>IFERROR(__xludf.DUMMYFUNCTION("IF(D149&lt;&gt;"""",SPLIT(D149,"" 
""),)"),-0.00204428)</f>
        <v>-0.00204428</v>
      </c>
      <c r="F149" s="93" t="str">
        <f>IFERROR(__xludf.DUMMYFUNCTION("""COMPUTED_VALUE"""),"SOL")</f>
        <v>SOL</v>
      </c>
    </row>
    <row r="150">
      <c r="A150" s="96" t="str">
        <f t="shared" si="1"/>
        <v>TRANS</v>
      </c>
      <c r="B150" s="96" t="str">
        <f t="shared" si="2"/>
        <v/>
      </c>
      <c r="C150" s="174">
        <f t="shared" si="3"/>
        <v>-0.000005</v>
      </c>
      <c r="D150" s="167" t="s">
        <v>934</v>
      </c>
      <c r="E150" s="93">
        <f>IFERROR(__xludf.DUMMYFUNCTION("IF(D150&lt;&gt;"""",SPLIT(D150,"" 
""),)"),45.786503)</f>
        <v>45.786503</v>
      </c>
      <c r="F150" s="93" t="str">
        <f>IFERROR(__xludf.DUMMYFUNCTION("""COMPUTED_VALUE"""),"xUSD")</f>
        <v>xUSD</v>
      </c>
      <c r="G150" s="93">
        <f>IFERROR(__xludf.DUMMYFUNCTION("""COMPUTED_VALUE"""),-5.0E-6)</f>
        <v>-0.000005</v>
      </c>
      <c r="H150" s="93" t="str">
        <f>IFERROR(__xludf.DUMMYFUNCTION("""COMPUTED_VALUE"""),"SOL")</f>
        <v>SOL</v>
      </c>
    </row>
    <row r="151">
      <c r="A151" s="96" t="str">
        <f t="shared" si="1"/>
        <v>TRANS</v>
      </c>
      <c r="B151" s="96" t="str">
        <f t="shared" si="2"/>
        <v/>
      </c>
      <c r="C151" s="174">
        <f t="shared" si="3"/>
        <v>-0.000005</v>
      </c>
      <c r="D151" s="167" t="s">
        <v>935</v>
      </c>
      <c r="E151" s="93">
        <f>IFERROR(__xludf.DUMMYFUNCTION("IF(D151&lt;&gt;"""",SPLIT(D151,"" 
""),)"),-0.140529346)</f>
        <v>-0.140529346</v>
      </c>
      <c r="F151" s="93" t="str">
        <f>IFERROR(__xludf.DUMMYFUNCTION("""COMPUTED_VALUE"""),"mSOL")</f>
        <v>mSOL</v>
      </c>
      <c r="G151" s="93">
        <f>IFERROR(__xludf.DUMMYFUNCTION("""COMPUTED_VALUE"""),-5.0E-6)</f>
        <v>-0.000005</v>
      </c>
      <c r="H151" s="93" t="str">
        <f>IFERROR(__xludf.DUMMYFUNCTION("""COMPUTED_VALUE"""),"SOL")</f>
        <v>SOL</v>
      </c>
    </row>
    <row r="152">
      <c r="A152" s="96" t="str">
        <f t="shared" si="1"/>
        <v>TRANS</v>
      </c>
      <c r="B152" s="96" t="str">
        <f t="shared" si="2"/>
        <v/>
      </c>
      <c r="C152" s="174">
        <f t="shared" si="3"/>
        <v>0.002045133</v>
      </c>
      <c r="D152" s="167" t="s">
        <v>936</v>
      </c>
      <c r="E152" s="93">
        <f>IFERROR(__xludf.DUMMYFUNCTION("IF(D152&lt;&gt;"""",SPLIT(D152,"" 
""),)"),0.002045133)</f>
        <v>0.002045133</v>
      </c>
      <c r="F152" s="93" t="str">
        <f>IFERROR(__xludf.DUMMYFUNCTION("""COMPUTED_VALUE"""),"SOL")</f>
        <v>SOL</v>
      </c>
      <c r="G152" s="93">
        <f>IFERROR(__xludf.DUMMYFUNCTION("""COMPUTED_VALUE"""),-0.175068)</f>
        <v>-0.175068</v>
      </c>
      <c r="H152" s="93" t="str">
        <f>IFERROR(__xludf.DUMMYFUNCTION("""COMPUTED_VALUE"""),"LARIX")</f>
        <v>LARIX</v>
      </c>
    </row>
    <row r="153">
      <c r="A153" s="96" t="str">
        <f t="shared" si="1"/>
        <v>TRANS</v>
      </c>
      <c r="B153" s="96" t="str">
        <f t="shared" si="2"/>
        <v/>
      </c>
      <c r="C153" s="174">
        <f t="shared" si="3"/>
        <v>-0.00408356</v>
      </c>
      <c r="D153" s="167" t="s">
        <v>937</v>
      </c>
      <c r="E153" s="93">
        <f>IFERROR(__xludf.DUMMYFUNCTION("IF(D153&lt;&gt;"""",SPLIT(D153,"" 
""),)"),-0.00408356)</f>
        <v>-0.00408356</v>
      </c>
      <c r="F153" s="93" t="str">
        <f>IFERROR(__xludf.DUMMYFUNCTION("""COMPUTED_VALUE"""),"SOL")</f>
        <v>SOL</v>
      </c>
    </row>
    <row r="154">
      <c r="A154" s="96" t="str">
        <f t="shared" si="1"/>
        <v>TRANS</v>
      </c>
      <c r="B154" s="96" t="str">
        <f t="shared" si="2"/>
        <v/>
      </c>
      <c r="C154" s="174">
        <f t="shared" si="3"/>
        <v>-0.000005</v>
      </c>
      <c r="D154" s="167" t="s">
        <v>938</v>
      </c>
      <c r="E154" s="93">
        <f>IFERROR(__xludf.DUMMYFUNCTION("IF(D154&lt;&gt;"""",SPLIT(D154,"" 
""),)"),0.126649153)</f>
        <v>0.126649153</v>
      </c>
      <c r="F154" s="93" t="str">
        <f>IFERROR(__xludf.DUMMYFUNCTION("""COMPUTED_VALUE"""),"mSOL")</f>
        <v>mSOL</v>
      </c>
      <c r="G154" s="93">
        <f>IFERROR(__xludf.DUMMYFUNCTION("""COMPUTED_VALUE"""),-0.130937495)</f>
        <v>-0.130937495</v>
      </c>
      <c r="H154" s="93" t="str">
        <f>IFERROR(__xludf.DUMMYFUNCTION("""COMPUTED_VALUE"""),"SOL")</f>
        <v>SOL</v>
      </c>
    </row>
    <row r="155">
      <c r="A155" s="96" t="str">
        <f t="shared" si="1"/>
        <v>TRANS</v>
      </c>
      <c r="B155" s="96" t="str">
        <f t="shared" si="2"/>
        <v/>
      </c>
      <c r="C155" s="174">
        <f t="shared" si="3"/>
        <v>-0.000005</v>
      </c>
      <c r="D155" s="167" t="s">
        <v>939</v>
      </c>
      <c r="E155" s="93">
        <f>IFERROR(__xludf.DUMMYFUNCTION("IF(D155&lt;&gt;"""",SPLIT(D155,"" 
""),)"),-51.126942)</f>
        <v>-51.126942</v>
      </c>
      <c r="F155" s="93" t="str">
        <f>IFERROR(__xludf.DUMMYFUNCTION("""COMPUTED_VALUE"""),"USDC")</f>
        <v>USDC</v>
      </c>
      <c r="G155" s="93">
        <f>IFERROR(__xludf.DUMMYFUNCTION("""COMPUTED_VALUE"""),-5.0E-6)</f>
        <v>-0.000005</v>
      </c>
      <c r="H155" s="93" t="str">
        <f>IFERROR(__xludf.DUMMYFUNCTION("""COMPUTED_VALUE"""),"SOL")</f>
        <v>SOL</v>
      </c>
    </row>
    <row r="156">
      <c r="A156" s="96" t="str">
        <f t="shared" si="1"/>
        <v>RECV</v>
      </c>
      <c r="B156" s="96" t="str">
        <f t="shared" si="2"/>
        <v/>
      </c>
      <c r="C156" s="174" t="str">
        <f t="shared" si="3"/>
        <v/>
      </c>
      <c r="D156" s="167" t="s">
        <v>940</v>
      </c>
      <c r="E156" s="93">
        <f>IFERROR(__xludf.DUMMYFUNCTION("IF(D156&lt;&gt;"""",SPLIT(D156,"" 
""),)"),0.07248368)</f>
        <v>0.07248368</v>
      </c>
      <c r="F156" s="93" t="str">
        <f>IFERROR(__xludf.DUMMYFUNCTION("""COMPUTED_VALUE"""),"SOL")</f>
        <v>SOL</v>
      </c>
      <c r="G156" s="93"/>
      <c r="H156" s="93"/>
    </row>
    <row r="157">
      <c r="A157" s="96" t="str">
        <f t="shared" si="1"/>
        <v>TRANS</v>
      </c>
      <c r="B157" s="96" t="str">
        <f t="shared" si="2"/>
        <v/>
      </c>
      <c r="C157" s="174">
        <f t="shared" si="3"/>
        <v>-0.00204428</v>
      </c>
      <c r="D157" s="167" t="s">
        <v>941</v>
      </c>
      <c r="E157" s="93">
        <f>IFERROR(__xludf.DUMMYFUNCTION("IF(D157&lt;&gt;"""",SPLIT(D157,"" 
""),)"),0.175068)</f>
        <v>0.175068</v>
      </c>
      <c r="F157" s="93" t="str">
        <f>IFERROR(__xludf.DUMMYFUNCTION("""COMPUTED_VALUE"""),"LARIX")</f>
        <v>LARIX</v>
      </c>
      <c r="G157" s="93">
        <f>IFERROR(__xludf.DUMMYFUNCTION("""COMPUTED_VALUE"""),-0.00204428)</f>
        <v>-0.00204428</v>
      </c>
      <c r="H157" s="93" t="str">
        <f>IFERROR(__xludf.DUMMYFUNCTION("""COMPUTED_VALUE"""),"SOL")</f>
        <v>SOL</v>
      </c>
    </row>
    <row r="158">
      <c r="A158" s="96" t="str">
        <f t="shared" si="1"/>
        <v>TRANS</v>
      </c>
      <c r="B158" s="96" t="str">
        <f t="shared" si="2"/>
        <v/>
      </c>
      <c r="C158" s="174">
        <f t="shared" si="3"/>
        <v>0.022496956</v>
      </c>
      <c r="D158" s="167" t="s">
        <v>942</v>
      </c>
      <c r="E158" s="93">
        <f>IFERROR(__xludf.DUMMYFUNCTION("IF(D158&lt;&gt;"""",SPLIT(D158,"" 
""),)"),0.022496956)</f>
        <v>0.022496956</v>
      </c>
      <c r="F158" s="93" t="str">
        <f>IFERROR(__xludf.DUMMYFUNCTION("""COMPUTED_VALUE"""),"SOL")</f>
        <v>SOL</v>
      </c>
    </row>
    <row r="159">
      <c r="A159" s="96" t="str">
        <f t="shared" si="1"/>
        <v>TRANS</v>
      </c>
      <c r="B159" s="96" t="str">
        <f t="shared" si="2"/>
        <v/>
      </c>
      <c r="C159" s="174">
        <f t="shared" si="3"/>
        <v>-0.000005</v>
      </c>
      <c r="D159" s="167" t="s">
        <v>929</v>
      </c>
      <c r="E159" s="93">
        <f>IFERROR(__xludf.DUMMYFUNCTION("IF(D159&lt;&gt;"""",SPLIT(D159,"" 
""),)"),51.126942)</f>
        <v>51.126942</v>
      </c>
      <c r="F159" s="93" t="str">
        <f>IFERROR(__xludf.DUMMYFUNCTION("""COMPUTED_VALUE"""),"USDC")</f>
        <v>USDC</v>
      </c>
      <c r="G159" s="93">
        <f>IFERROR(__xludf.DUMMYFUNCTION("""COMPUTED_VALUE"""),-5.0E-6)</f>
        <v>-0.000005</v>
      </c>
      <c r="H159" s="93" t="str">
        <f>IFERROR(__xludf.DUMMYFUNCTION("""COMPUTED_VALUE"""),"SOL")</f>
        <v>SOL</v>
      </c>
    </row>
    <row r="160">
      <c r="A160" s="96" t="str">
        <f t="shared" si="1"/>
        <v>TRANS</v>
      </c>
      <c r="B160" s="96" t="str">
        <f t="shared" si="2"/>
        <v/>
      </c>
      <c r="C160" s="174">
        <f t="shared" si="3"/>
        <v>-0.000005</v>
      </c>
      <c r="D160" s="167" t="s">
        <v>943</v>
      </c>
      <c r="E160" s="93">
        <f>IFERROR(__xludf.DUMMYFUNCTION("IF(D160&lt;&gt;"""",SPLIT(D160,"" 
""),)"),0.013880193)</f>
        <v>0.013880193</v>
      </c>
      <c r="F160" s="93" t="str">
        <f>IFERROR(__xludf.DUMMYFUNCTION("""COMPUTED_VALUE"""),"mSOL")</f>
        <v>mSOL</v>
      </c>
      <c r="G160" s="93">
        <f>IFERROR(__xludf.DUMMYFUNCTION("""COMPUTED_VALUE"""),-5.0E-6)</f>
        <v>-0.000005</v>
      </c>
      <c r="H160" s="93" t="str">
        <f>IFERROR(__xludf.DUMMYFUNCTION("""COMPUTED_VALUE"""),"SOL")</f>
        <v>SOL</v>
      </c>
    </row>
    <row r="161">
      <c r="A161" s="96" t="str">
        <f t="shared" si="1"/>
        <v>TRANS</v>
      </c>
      <c r="B161" s="96" t="str">
        <f t="shared" si="2"/>
        <v/>
      </c>
      <c r="C161" s="174">
        <f t="shared" si="3"/>
        <v>-0.000005</v>
      </c>
      <c r="D161" s="167" t="s">
        <v>944</v>
      </c>
      <c r="E161" s="93">
        <f>IFERROR(__xludf.DUMMYFUNCTION("IF(D161&lt;&gt;"""",SPLIT(D161,"" 
""),)"),-51.121147)</f>
        <v>-51.121147</v>
      </c>
      <c r="F161" s="93" t="str">
        <f>IFERROR(__xludf.DUMMYFUNCTION("""COMPUTED_VALUE"""),"USDC")</f>
        <v>USDC</v>
      </c>
      <c r="G161" s="93">
        <f>IFERROR(__xludf.DUMMYFUNCTION("""COMPUTED_VALUE"""),-5.0E-6)</f>
        <v>-0.000005</v>
      </c>
      <c r="H161" s="93" t="str">
        <f>IFERROR(__xludf.DUMMYFUNCTION("""COMPUTED_VALUE"""),"SOL")</f>
        <v>SOL</v>
      </c>
    </row>
    <row r="162">
      <c r="A162" s="96" t="str">
        <f t="shared" si="1"/>
        <v>TRANS</v>
      </c>
      <c r="B162" s="96" t="str">
        <f t="shared" si="2"/>
        <v/>
      </c>
      <c r="C162" s="174">
        <f t="shared" si="3"/>
        <v>-0.000005</v>
      </c>
      <c r="D162" s="167" t="s">
        <v>945</v>
      </c>
      <c r="E162" s="93">
        <f>IFERROR(__xludf.DUMMYFUNCTION("IF(D162&lt;&gt;"""",SPLIT(D162,"" 
""),)"),51.121147)</f>
        <v>51.121147</v>
      </c>
      <c r="F162" s="93" t="str">
        <f>IFERROR(__xludf.DUMMYFUNCTION("""COMPUTED_VALUE"""),"USDC")</f>
        <v>USDC</v>
      </c>
      <c r="G162" s="93">
        <f>IFERROR(__xludf.DUMMYFUNCTION("""COMPUTED_VALUE"""),-5.0E-6)</f>
        <v>-0.000005</v>
      </c>
      <c r="H162" s="93" t="str">
        <f>IFERROR(__xludf.DUMMYFUNCTION("""COMPUTED_VALUE"""),"SOL")</f>
        <v>SOL</v>
      </c>
    </row>
    <row r="163">
      <c r="A163" s="96" t="str">
        <f t="shared" si="1"/>
        <v>TRANS</v>
      </c>
      <c r="B163" s="96" t="str">
        <f t="shared" si="2"/>
        <v/>
      </c>
      <c r="C163" s="174">
        <f t="shared" si="3"/>
        <v>-0.000005</v>
      </c>
      <c r="D163" s="167" t="s">
        <v>946</v>
      </c>
      <c r="E163" s="93">
        <f>IFERROR(__xludf.DUMMYFUNCTION("IF(D163&lt;&gt;"""",SPLIT(D163,"" 
""),)"),-51.121143)</f>
        <v>-51.121143</v>
      </c>
      <c r="F163" s="93" t="str">
        <f>IFERROR(__xludf.DUMMYFUNCTION("""COMPUTED_VALUE"""),"USDC")</f>
        <v>USDC</v>
      </c>
      <c r="G163" s="93">
        <f>IFERROR(__xludf.DUMMYFUNCTION("""COMPUTED_VALUE"""),-5.0E-6)</f>
        <v>-0.000005</v>
      </c>
      <c r="H163" s="93" t="str">
        <f>IFERROR(__xludf.DUMMYFUNCTION("""COMPUTED_VALUE"""),"SOL")</f>
        <v>SOL</v>
      </c>
    </row>
    <row r="164">
      <c r="A164" s="96" t="str">
        <f t="shared" si="1"/>
        <v>TRANS</v>
      </c>
      <c r="B164" s="96" t="str">
        <f t="shared" si="2"/>
        <v/>
      </c>
      <c r="C164" s="174">
        <f t="shared" si="3"/>
        <v>-0.00204428</v>
      </c>
      <c r="D164" s="167" t="s">
        <v>925</v>
      </c>
      <c r="E164" s="93">
        <f>IFERROR(__xludf.DUMMYFUNCTION("IF(D164&lt;&gt;"""",SPLIT(D164,"" 
""),)"),-0.00204428)</f>
        <v>-0.00204428</v>
      </c>
      <c r="F164" s="93" t="str">
        <f>IFERROR(__xludf.DUMMYFUNCTION("""COMPUTED_VALUE"""),"SOL")</f>
        <v>SOL</v>
      </c>
    </row>
    <row r="165">
      <c r="A165" s="96" t="str">
        <f t="shared" si="1"/>
        <v>TRANS</v>
      </c>
      <c r="B165" s="96" t="str">
        <f t="shared" si="2"/>
        <v/>
      </c>
      <c r="C165" s="174" t="str">
        <f t="shared" si="3"/>
        <v/>
      </c>
      <c r="D165" s="167" t="s">
        <v>947</v>
      </c>
      <c r="E165" s="93">
        <f>IFERROR(__xludf.DUMMYFUNCTION("IF(D165&lt;&gt;"""",SPLIT(D165,"" 
""),)"),51.121143)</f>
        <v>51.121143</v>
      </c>
      <c r="F165" s="93" t="str">
        <f>IFERROR(__xludf.DUMMYFUNCTION("""COMPUTED_VALUE"""),"USDC")</f>
        <v>USDC</v>
      </c>
    </row>
    <row r="166">
      <c r="A166" s="96" t="str">
        <f t="shared" si="1"/>
        <v>TRANS</v>
      </c>
      <c r="B166" s="96" t="str">
        <f t="shared" si="2"/>
        <v/>
      </c>
      <c r="C166" s="174">
        <f t="shared" si="3"/>
        <v>-0.00204428</v>
      </c>
      <c r="D166" s="167" t="s">
        <v>925</v>
      </c>
      <c r="E166" s="93">
        <f>IFERROR(__xludf.DUMMYFUNCTION("IF(D166&lt;&gt;"""",SPLIT(D166,"" 
""),)"),-0.00204428)</f>
        <v>-0.00204428</v>
      </c>
      <c r="F166" s="93" t="str">
        <f>IFERROR(__xludf.DUMMYFUNCTION("""COMPUTED_VALUE"""),"SOL")</f>
        <v>SOL</v>
      </c>
    </row>
    <row r="167">
      <c r="A167" s="96" t="str">
        <f t="shared" si="1"/>
        <v>RECV</v>
      </c>
      <c r="B167" s="96" t="str">
        <f t="shared" si="2"/>
        <v/>
      </c>
      <c r="C167" s="174" t="str">
        <f t="shared" si="3"/>
        <v/>
      </c>
      <c r="D167" s="167" t="s">
        <v>948</v>
      </c>
      <c r="E167" s="93">
        <f>IFERROR(__xludf.DUMMYFUNCTION("IF(D167&lt;&gt;"""",SPLIT(D167,"" 
""),)"),-0.700005)</f>
        <v>-0.700005</v>
      </c>
      <c r="F167" s="93" t="str">
        <f>IFERROR(__xludf.DUMMYFUNCTION("""COMPUTED_VALUE"""),"SOL")</f>
        <v>SOL</v>
      </c>
      <c r="G167" s="93"/>
      <c r="H167" s="93"/>
    </row>
    <row r="168">
      <c r="A168" s="96" t="str">
        <f t="shared" si="1"/>
        <v>RECV</v>
      </c>
      <c r="B168" s="96" t="str">
        <f t="shared" si="2"/>
        <v/>
      </c>
      <c r="C168" s="174" t="str">
        <f t="shared" si="3"/>
        <v/>
      </c>
      <c r="D168" s="167" t="s">
        <v>949</v>
      </c>
      <c r="E168" s="93">
        <f>IFERROR(__xludf.DUMMYFUNCTION("IF(D168&lt;&gt;"""",SPLIT(D168,"" 
""),)"),0.72014636)</f>
        <v>0.72014636</v>
      </c>
      <c r="F168" s="93" t="str">
        <f>IFERROR(__xludf.DUMMYFUNCTION("""COMPUTED_VALUE"""),"SOL")</f>
        <v>SOL</v>
      </c>
      <c r="G168" s="93"/>
      <c r="H168" s="93"/>
    </row>
    <row r="169">
      <c r="A169" s="96" t="str">
        <f t="shared" si="1"/>
        <v>TRANS</v>
      </c>
      <c r="B169" s="96" t="str">
        <f t="shared" si="2"/>
        <v/>
      </c>
      <c r="C169" s="174">
        <f t="shared" si="3"/>
        <v>-0.0085012</v>
      </c>
      <c r="D169" s="167" t="s">
        <v>950</v>
      </c>
      <c r="E169" s="93">
        <f>IFERROR(__xludf.DUMMYFUNCTION("IF(D169&lt;&gt;"""",SPLIT(D169,"" 
""),)"),-0.0085012)</f>
        <v>-0.0085012</v>
      </c>
      <c r="F169" s="93" t="str">
        <f>IFERROR(__xludf.DUMMYFUNCTION("""COMPUTED_VALUE"""),"SOL")</f>
        <v>SOL</v>
      </c>
    </row>
    <row r="170">
      <c r="A170" s="96" t="str">
        <f t="shared" si="1"/>
        <v>TRANS</v>
      </c>
      <c r="B170" s="96" t="str">
        <f t="shared" si="2"/>
        <v/>
      </c>
      <c r="C170" s="174">
        <f t="shared" si="3"/>
        <v>-0.02991348</v>
      </c>
      <c r="D170" s="167" t="s">
        <v>951</v>
      </c>
      <c r="E170" s="93">
        <f>IFERROR(__xludf.DUMMYFUNCTION("IF(D170&lt;&gt;"""",SPLIT(D170,"" 
""),)"),-0.02991348)</f>
        <v>-0.02991348</v>
      </c>
      <c r="F170" s="93" t="str">
        <f>IFERROR(__xludf.DUMMYFUNCTION("""COMPUTED_VALUE"""),"SOL")</f>
        <v>SOL</v>
      </c>
    </row>
    <row r="171">
      <c r="A171" s="96" t="str">
        <f t="shared" si="1"/>
        <v>TRANS</v>
      </c>
      <c r="B171" s="96" t="str">
        <f t="shared" si="2"/>
        <v/>
      </c>
      <c r="C171" s="174">
        <f t="shared" si="3"/>
        <v>-0.000005</v>
      </c>
      <c r="D171" s="167" t="s">
        <v>952</v>
      </c>
      <c r="E171" s="93">
        <f>IFERROR(__xludf.DUMMYFUNCTION("IF(D171&lt;&gt;"""",SPLIT(D171,"" 
""),)"),85.84038)</f>
        <v>85.84038</v>
      </c>
      <c r="F171" s="93" t="str">
        <f>IFERROR(__xludf.DUMMYFUNCTION("""COMPUTED_VALUE"""),"xUSD")</f>
        <v>xUSD</v>
      </c>
      <c r="G171" s="93">
        <f>IFERROR(__xludf.DUMMYFUNCTION("""COMPUTED_VALUE"""),-5.0E-6)</f>
        <v>-0.000005</v>
      </c>
      <c r="H171" s="93" t="str">
        <f>IFERROR(__xludf.DUMMYFUNCTION("""COMPUTED_VALUE"""),"SOL")</f>
        <v>SOL</v>
      </c>
    </row>
    <row r="172">
      <c r="A172" s="96" t="str">
        <f t="shared" si="1"/>
        <v>TRANS</v>
      </c>
      <c r="B172" s="96" t="str">
        <f t="shared" si="2"/>
        <v/>
      </c>
      <c r="C172" s="174">
        <f t="shared" si="3"/>
        <v>-0.00204428</v>
      </c>
      <c r="D172" s="167" t="s">
        <v>925</v>
      </c>
      <c r="E172" s="93">
        <f>IFERROR(__xludf.DUMMYFUNCTION("IF(D172&lt;&gt;"""",SPLIT(D172,"" 
""),)"),-0.00204428)</f>
        <v>-0.00204428</v>
      </c>
      <c r="F172" s="93" t="str">
        <f>IFERROR(__xludf.DUMMYFUNCTION("""COMPUTED_VALUE"""),"SOL")</f>
        <v>SOL</v>
      </c>
    </row>
    <row r="173">
      <c r="A173" s="96" t="str">
        <f t="shared" si="1"/>
        <v>RECV</v>
      </c>
      <c r="B173" s="96" t="str">
        <f t="shared" si="2"/>
        <v/>
      </c>
      <c r="C173" s="174" t="str">
        <f t="shared" si="3"/>
        <v/>
      </c>
      <c r="D173" s="167" t="s">
        <v>953</v>
      </c>
      <c r="E173" s="93">
        <f>IFERROR(__xludf.DUMMYFUNCTION("IF(D173&lt;&gt;"""",SPLIT(D173,"" 
""),)"),0.07328138)</f>
        <v>0.07328138</v>
      </c>
      <c r="F173" s="93" t="str">
        <f>IFERROR(__xludf.DUMMYFUNCTION("""COMPUTED_VALUE"""),"SOL")</f>
        <v>SOL</v>
      </c>
      <c r="G173" s="93"/>
      <c r="H173" s="93"/>
    </row>
    <row r="174">
      <c r="A174" s="96" t="str">
        <f t="shared" si="1"/>
        <v>TRANS</v>
      </c>
      <c r="B174" s="96" t="str">
        <f t="shared" si="2"/>
        <v/>
      </c>
      <c r="C174" s="174">
        <f t="shared" si="3"/>
        <v>-0.01077908</v>
      </c>
      <c r="D174" s="167" t="s">
        <v>954</v>
      </c>
      <c r="E174" s="93">
        <f>IFERROR(__xludf.DUMMYFUNCTION("IF(D174&lt;&gt;"""",SPLIT(D174,"" 
""),)"),-1.542140625)</f>
        <v>-1.542140625</v>
      </c>
      <c r="F174" s="93" t="str">
        <f>IFERROR(__xludf.DUMMYFUNCTION("""COMPUTED_VALUE"""),"mSOL")</f>
        <v>mSOL</v>
      </c>
      <c r="G174" s="93">
        <f>IFERROR(__xludf.DUMMYFUNCTION("""COMPUTED_VALUE"""),-0.01077908)</f>
        <v>-0.01077908</v>
      </c>
      <c r="H174" s="93" t="str">
        <f>IFERROR(__xludf.DUMMYFUNCTION("""COMPUTED_VALUE"""),"SOL")</f>
        <v>SOL</v>
      </c>
    </row>
    <row r="175">
      <c r="A175" s="96" t="str">
        <f t="shared" si="1"/>
        <v>TRANS</v>
      </c>
      <c r="B175" s="96" t="str">
        <f t="shared" si="2"/>
        <v/>
      </c>
      <c r="C175" s="174">
        <f t="shared" si="3"/>
        <v>-0.000005</v>
      </c>
      <c r="D175" s="167" t="s">
        <v>955</v>
      </c>
      <c r="E175" s="93">
        <f>IFERROR(__xludf.DUMMYFUNCTION("IF(D175&lt;&gt;"""",SPLIT(D175,"" 
""),)"),0.462726964)</f>
        <v>0.462726964</v>
      </c>
      <c r="F175" s="93" t="str">
        <f>IFERROR(__xludf.DUMMYFUNCTION("""COMPUTED_VALUE"""),"mSOL")</f>
        <v>mSOL</v>
      </c>
      <c r="G175" s="93">
        <f>IFERROR(__xludf.DUMMYFUNCTION("""COMPUTED_VALUE"""),-0.47827485)</f>
        <v>-0.47827485</v>
      </c>
      <c r="H175" s="93" t="str">
        <f>IFERROR(__xludf.DUMMYFUNCTION("""COMPUTED_VALUE"""),"SOL")</f>
        <v>SOL</v>
      </c>
    </row>
    <row r="176">
      <c r="A176" s="96" t="str">
        <f t="shared" si="1"/>
        <v>RECV</v>
      </c>
      <c r="B176" s="96" t="str">
        <f t="shared" si="2"/>
        <v/>
      </c>
      <c r="C176" s="174" t="str">
        <f t="shared" si="3"/>
        <v/>
      </c>
      <c r="D176" s="167" t="s">
        <v>956</v>
      </c>
      <c r="E176" s="93">
        <f>IFERROR(__xludf.DUMMYFUNCTION("IF(D176&lt;&gt;"""",SPLIT(D176,"" 
""),)"),0.48237293)</f>
        <v>0.48237293</v>
      </c>
      <c r="F176" s="93" t="str">
        <f>IFERROR(__xludf.DUMMYFUNCTION("""COMPUTED_VALUE"""),"SOL")</f>
        <v>SOL</v>
      </c>
      <c r="G176" s="93"/>
      <c r="H176" s="93"/>
    </row>
    <row r="177">
      <c r="A177" s="96" t="str">
        <f t="shared" si="1"/>
        <v>TRANS</v>
      </c>
      <c r="B177" s="96" t="str">
        <f t="shared" si="2"/>
        <v/>
      </c>
      <c r="C177" s="174">
        <f t="shared" si="3"/>
        <v>-0.000005</v>
      </c>
      <c r="D177" s="167" t="s">
        <v>957</v>
      </c>
      <c r="E177" s="93">
        <f>IFERROR(__xludf.DUMMYFUNCTION("IF(D177&lt;&gt;"""",SPLIT(D177,"" 
""),)"),1.079413661)</f>
        <v>1.079413661</v>
      </c>
      <c r="F177" s="93" t="str">
        <f>IFERROR(__xludf.DUMMYFUNCTION("""COMPUTED_VALUE"""),"mSOL")</f>
        <v>mSOL</v>
      </c>
      <c r="G177" s="93">
        <f>IFERROR(__xludf.DUMMYFUNCTION("""COMPUTED_VALUE"""),-1.11688928)</f>
        <v>-1.11688928</v>
      </c>
      <c r="H177" s="93" t="str">
        <f>IFERROR(__xludf.DUMMYFUNCTION("""COMPUTED_VALUE"""),"SOL")</f>
        <v>SOL</v>
      </c>
    </row>
    <row r="178">
      <c r="A178" s="96" t="str">
        <f t="shared" si="1"/>
        <v>RECV</v>
      </c>
      <c r="B178" s="96" t="str">
        <f t="shared" si="2"/>
        <v/>
      </c>
      <c r="C178" s="174" t="str">
        <f t="shared" si="3"/>
        <v/>
      </c>
      <c r="D178" s="167" t="s">
        <v>958</v>
      </c>
      <c r="E178" s="93">
        <f>IFERROR(__xludf.DUMMYFUNCTION("IF(D178&lt;&gt;"""",SPLIT(D178,"" 
""),)"),1.12484548)</f>
        <v>1.12484548</v>
      </c>
      <c r="F178" s="93" t="str">
        <f>IFERROR(__xludf.DUMMYFUNCTION("""COMPUTED_VALUE"""),"SOL")</f>
        <v>SOL</v>
      </c>
      <c r="G178" s="93"/>
      <c r="H178" s="93"/>
    </row>
    <row r="179">
      <c r="A179" s="96" t="str">
        <f t="shared" si="1"/>
        <v/>
      </c>
      <c r="B179" s="96" t="str">
        <f t="shared" si="2"/>
        <v/>
      </c>
      <c r="C179" s="174" t="str">
        <f t="shared" si="3"/>
        <v/>
      </c>
      <c r="D179" s="175"/>
      <c r="E179" s="93" t="str">
        <f>IFERROR(__xludf.DUMMYFUNCTION("IF(D179&lt;&gt;"""",SPLIT(D179,"" 
""),)"),"")</f>
        <v/>
      </c>
    </row>
    <row r="180">
      <c r="A180" s="96" t="str">
        <f t="shared" si="1"/>
        <v/>
      </c>
      <c r="B180" s="96" t="str">
        <f t="shared" si="2"/>
        <v/>
      </c>
      <c r="C180" s="174" t="str">
        <f t="shared" si="3"/>
        <v/>
      </c>
      <c r="D180" s="175"/>
      <c r="E180" s="93" t="str">
        <f>IFERROR(__xludf.DUMMYFUNCTION("IF(D180&lt;&gt;"""",SPLIT(D180,"" 
""),)"),"")</f>
        <v/>
      </c>
    </row>
    <row r="181">
      <c r="A181" s="96" t="str">
        <f t="shared" si="1"/>
        <v/>
      </c>
      <c r="B181" s="96" t="str">
        <f t="shared" si="2"/>
        <v/>
      </c>
      <c r="C181" s="174" t="str">
        <f t="shared" si="3"/>
        <v/>
      </c>
      <c r="D181" s="175"/>
      <c r="E181" s="93" t="str">
        <f>IFERROR(__xludf.DUMMYFUNCTION("IF(D181&lt;&gt;"""",SPLIT(D181,"" 
""),)"),"")</f>
        <v/>
      </c>
    </row>
    <row r="182">
      <c r="A182" s="96" t="str">
        <f t="shared" si="1"/>
        <v/>
      </c>
      <c r="B182" s="96" t="str">
        <f t="shared" si="2"/>
        <v/>
      </c>
      <c r="C182" s="174" t="str">
        <f t="shared" si="3"/>
        <v/>
      </c>
      <c r="D182" s="175"/>
      <c r="E182" s="93" t="str">
        <f>IFERROR(__xludf.DUMMYFUNCTION("IF(D182&lt;&gt;"""",SPLIT(D182,"" 
""),)"),"")</f>
        <v/>
      </c>
    </row>
    <row r="183">
      <c r="A183" s="96" t="str">
        <f t="shared" si="1"/>
        <v/>
      </c>
      <c r="B183" s="96" t="str">
        <f t="shared" si="2"/>
        <v/>
      </c>
      <c r="C183" s="174" t="str">
        <f t="shared" si="3"/>
        <v/>
      </c>
      <c r="D183" s="175"/>
      <c r="E183" s="93" t="str">
        <f>IFERROR(__xludf.DUMMYFUNCTION("IF(D183&lt;&gt;"""",SPLIT(D183,"" 
""),)"),"")</f>
        <v/>
      </c>
    </row>
    <row r="184">
      <c r="A184" s="96" t="str">
        <f t="shared" si="1"/>
        <v/>
      </c>
      <c r="B184" s="96" t="str">
        <f t="shared" si="2"/>
        <v/>
      </c>
      <c r="C184" s="174" t="str">
        <f t="shared" si="3"/>
        <v/>
      </c>
      <c r="D184" s="175"/>
      <c r="E184" s="93" t="str">
        <f>IFERROR(__xludf.DUMMYFUNCTION("IF(D184&lt;&gt;"""",SPLIT(D184,"" 
""),)"),"")</f>
        <v/>
      </c>
    </row>
    <row r="185">
      <c r="A185" s="96" t="str">
        <f t="shared" si="1"/>
        <v/>
      </c>
      <c r="B185" s="96" t="str">
        <f t="shared" si="2"/>
        <v/>
      </c>
      <c r="C185" s="174" t="str">
        <f t="shared" si="3"/>
        <v/>
      </c>
      <c r="D185" s="175"/>
      <c r="E185" s="93" t="str">
        <f>IFERROR(__xludf.DUMMYFUNCTION("IF(D185&lt;&gt;"""",SPLIT(D185,"" 
""),)"),"")</f>
        <v/>
      </c>
    </row>
    <row r="186">
      <c r="A186" s="96" t="str">
        <f t="shared" si="1"/>
        <v/>
      </c>
      <c r="B186" s="96" t="str">
        <f t="shared" si="2"/>
        <v/>
      </c>
      <c r="C186" s="174" t="str">
        <f t="shared" si="3"/>
        <v/>
      </c>
      <c r="D186" s="175"/>
      <c r="E186" s="93" t="str">
        <f>IFERROR(__xludf.DUMMYFUNCTION("IF(D186&lt;&gt;"""",SPLIT(D186,"" 
""),)"),"")</f>
        <v/>
      </c>
    </row>
    <row r="187">
      <c r="A187" s="96" t="str">
        <f t="shared" si="1"/>
        <v/>
      </c>
      <c r="B187" s="96" t="str">
        <f t="shared" si="2"/>
        <v/>
      </c>
      <c r="C187" s="174" t="str">
        <f t="shared" si="3"/>
        <v/>
      </c>
      <c r="D187" s="175"/>
      <c r="E187" s="93" t="str">
        <f>IFERROR(__xludf.DUMMYFUNCTION("IF(D187&lt;&gt;"""",SPLIT(D187,"" 
""),)"),"")</f>
        <v/>
      </c>
    </row>
    <row r="188">
      <c r="A188" s="96" t="str">
        <f t="shared" si="1"/>
        <v/>
      </c>
      <c r="B188" s="96" t="str">
        <f t="shared" si="2"/>
        <v/>
      </c>
      <c r="C188" s="174" t="str">
        <f t="shared" si="3"/>
        <v/>
      </c>
      <c r="D188" s="175"/>
      <c r="E188" s="93" t="str">
        <f>IFERROR(__xludf.DUMMYFUNCTION("IF(D188&lt;&gt;"""",SPLIT(D188,"" 
""),)"),"")</f>
        <v/>
      </c>
    </row>
    <row r="189">
      <c r="A189" s="96" t="str">
        <f t="shared" si="1"/>
        <v/>
      </c>
      <c r="B189" s="96" t="str">
        <f t="shared" si="2"/>
        <v/>
      </c>
      <c r="C189" s="174" t="str">
        <f t="shared" si="3"/>
        <v/>
      </c>
      <c r="D189" s="175"/>
      <c r="E189" s="93" t="str">
        <f>IFERROR(__xludf.DUMMYFUNCTION("IF(D189&lt;&gt;"""",SPLIT(D189,"" 
""),)"),"")</f>
        <v/>
      </c>
    </row>
    <row r="190">
      <c r="A190" s="96" t="str">
        <f t="shared" si="1"/>
        <v/>
      </c>
      <c r="B190" s="96" t="str">
        <f t="shared" si="2"/>
        <v/>
      </c>
      <c r="C190" s="174" t="str">
        <f t="shared" si="3"/>
        <v/>
      </c>
      <c r="D190" s="175"/>
      <c r="E190" s="93" t="str">
        <f>IFERROR(__xludf.DUMMYFUNCTION("IF(D190&lt;&gt;"""",SPLIT(D190,"" 
""),)"),"")</f>
        <v/>
      </c>
    </row>
    <row r="191">
      <c r="A191" s="96" t="str">
        <f t="shared" si="1"/>
        <v/>
      </c>
      <c r="B191" s="96" t="str">
        <f t="shared" si="2"/>
        <v/>
      </c>
      <c r="C191" s="174" t="str">
        <f t="shared" si="3"/>
        <v/>
      </c>
      <c r="D191" s="175"/>
      <c r="E191" s="93" t="str">
        <f>IFERROR(__xludf.DUMMYFUNCTION("IF(D191&lt;&gt;"""",SPLIT(D191,"" 
""),)"),"")</f>
        <v/>
      </c>
    </row>
    <row r="192">
      <c r="A192" s="96" t="str">
        <f t="shared" si="1"/>
        <v/>
      </c>
      <c r="B192" s="96" t="str">
        <f t="shared" si="2"/>
        <v/>
      </c>
      <c r="C192" s="174" t="str">
        <f t="shared" si="3"/>
        <v/>
      </c>
      <c r="D192" s="175"/>
      <c r="E192" s="93" t="str">
        <f>IFERROR(__xludf.DUMMYFUNCTION("IF(D192&lt;&gt;"""",SPLIT(D192,"" 
""),)"),"")</f>
        <v/>
      </c>
    </row>
    <row r="193">
      <c r="A193" s="96" t="str">
        <f t="shared" si="1"/>
        <v/>
      </c>
      <c r="B193" s="96" t="str">
        <f t="shared" si="2"/>
        <v/>
      </c>
      <c r="C193" s="174" t="str">
        <f t="shared" si="3"/>
        <v/>
      </c>
      <c r="D193" s="175"/>
      <c r="E193" s="93" t="str">
        <f>IFERROR(__xludf.DUMMYFUNCTION("IF(D193&lt;&gt;"""",SPLIT(D193,"" 
""),)"),"")</f>
        <v/>
      </c>
    </row>
    <row r="194">
      <c r="A194" s="96" t="str">
        <f t="shared" si="1"/>
        <v/>
      </c>
      <c r="B194" s="96" t="str">
        <f t="shared" si="2"/>
        <v/>
      </c>
      <c r="C194" s="174" t="str">
        <f t="shared" si="3"/>
        <v/>
      </c>
      <c r="D194" s="175"/>
      <c r="E194" s="93" t="str">
        <f>IFERROR(__xludf.DUMMYFUNCTION("IF(D194&lt;&gt;"""",SPLIT(D194,"" 
""),)"),"")</f>
        <v/>
      </c>
    </row>
    <row r="195">
      <c r="A195" s="96" t="str">
        <f t="shared" si="1"/>
        <v/>
      </c>
      <c r="B195" s="96" t="str">
        <f t="shared" si="2"/>
        <v/>
      </c>
      <c r="C195" s="174" t="str">
        <f t="shared" si="3"/>
        <v/>
      </c>
      <c r="D195" s="175"/>
      <c r="E195" s="93" t="str">
        <f>IFERROR(__xludf.DUMMYFUNCTION("IF(D195&lt;&gt;"""",SPLIT(D195,"" 
""),)"),"")</f>
        <v/>
      </c>
    </row>
    <row r="196">
      <c r="A196" s="96" t="str">
        <f t="shared" si="1"/>
        <v/>
      </c>
      <c r="B196" s="96" t="str">
        <f t="shared" si="2"/>
        <v/>
      </c>
      <c r="C196" s="174" t="str">
        <f t="shared" si="3"/>
        <v/>
      </c>
      <c r="D196" s="175"/>
      <c r="E196" s="93" t="str">
        <f>IFERROR(__xludf.DUMMYFUNCTION("IF(D196&lt;&gt;"""",SPLIT(D196,"" 
""),)"),"")</f>
        <v/>
      </c>
    </row>
    <row r="197">
      <c r="A197" s="96" t="str">
        <f t="shared" si="1"/>
        <v/>
      </c>
      <c r="B197" s="96" t="str">
        <f t="shared" si="2"/>
        <v/>
      </c>
      <c r="C197" s="174" t="str">
        <f t="shared" si="3"/>
        <v/>
      </c>
      <c r="D197" s="175"/>
      <c r="E197" s="93" t="str">
        <f>IFERROR(__xludf.DUMMYFUNCTION("IF(D197&lt;&gt;"""",SPLIT(D197,"" 
""),)"),"")</f>
        <v/>
      </c>
    </row>
    <row r="198">
      <c r="A198" s="96" t="str">
        <f t="shared" si="1"/>
        <v/>
      </c>
      <c r="B198" s="96" t="str">
        <f t="shared" si="2"/>
        <v/>
      </c>
      <c r="C198" s="174" t="str">
        <f t="shared" si="3"/>
        <v/>
      </c>
      <c r="D198" s="175"/>
      <c r="E198" s="93" t="str">
        <f>IFERROR(__xludf.DUMMYFUNCTION("IF(D198&lt;&gt;"""",SPLIT(D198,"" 
""),)"),"")</f>
        <v/>
      </c>
    </row>
    <row r="199">
      <c r="A199" s="96" t="str">
        <f t="shared" si="1"/>
        <v/>
      </c>
      <c r="B199" s="96" t="str">
        <f t="shared" si="2"/>
        <v/>
      </c>
      <c r="C199" s="174" t="str">
        <f t="shared" si="3"/>
        <v/>
      </c>
      <c r="D199" s="175"/>
      <c r="E199" s="93" t="str">
        <f>IFERROR(__xludf.DUMMYFUNCTION("IF(D199&lt;&gt;"""",SPLIT(D199,"" 
""),)"),"")</f>
        <v/>
      </c>
    </row>
    <row r="200">
      <c r="A200" s="96" t="str">
        <f t="shared" si="1"/>
        <v/>
      </c>
      <c r="B200" s="96" t="str">
        <f t="shared" si="2"/>
        <v/>
      </c>
      <c r="C200" s="174" t="str">
        <f t="shared" si="3"/>
        <v/>
      </c>
      <c r="D200" s="175"/>
      <c r="E200" s="93" t="str">
        <f>IFERROR(__xludf.DUMMYFUNCTION("IF(D200&lt;&gt;"""",SPLIT(D200,"" 
""),)"),"")</f>
        <v/>
      </c>
    </row>
    <row r="201">
      <c r="A201" s="96" t="str">
        <f t="shared" si="1"/>
        <v/>
      </c>
      <c r="B201" s="96" t="str">
        <f t="shared" si="2"/>
        <v/>
      </c>
      <c r="C201" s="174" t="str">
        <f t="shared" si="3"/>
        <v/>
      </c>
      <c r="D201" s="175"/>
      <c r="E201" s="93" t="str">
        <f>IFERROR(__xludf.DUMMYFUNCTION("IF(D201&lt;&gt;"""",SPLIT(D201,"" 
""),)"),"")</f>
        <v/>
      </c>
    </row>
    <row r="202">
      <c r="A202" s="96" t="str">
        <f t="shared" si="1"/>
        <v/>
      </c>
      <c r="B202" s="96" t="str">
        <f t="shared" si="2"/>
        <v/>
      </c>
      <c r="C202" s="174" t="str">
        <f t="shared" si="3"/>
        <v/>
      </c>
      <c r="D202" s="175"/>
      <c r="E202" s="93" t="str">
        <f>IFERROR(__xludf.DUMMYFUNCTION("IF(D202&lt;&gt;"""",SPLIT(D202,"" 
""),)"),"")</f>
        <v/>
      </c>
    </row>
    <row r="203">
      <c r="A203" s="96" t="str">
        <f t="shared" si="1"/>
        <v/>
      </c>
      <c r="B203" s="96" t="str">
        <f t="shared" si="2"/>
        <v/>
      </c>
      <c r="C203" s="174" t="str">
        <f t="shared" si="3"/>
        <v/>
      </c>
      <c r="D203" s="175"/>
      <c r="E203" s="93" t="str">
        <f>IFERROR(__xludf.DUMMYFUNCTION("IF(D203&lt;&gt;"""",SPLIT(D203,"" 
""),)"),"")</f>
        <v/>
      </c>
    </row>
    <row r="204">
      <c r="A204" s="96" t="str">
        <f t="shared" si="1"/>
        <v/>
      </c>
      <c r="B204" s="96" t="str">
        <f t="shared" si="2"/>
        <v/>
      </c>
      <c r="C204" s="174" t="str">
        <f t="shared" si="3"/>
        <v/>
      </c>
      <c r="D204" s="175"/>
      <c r="E204" s="93" t="str">
        <f>IFERROR(__xludf.DUMMYFUNCTION("IF(D204&lt;&gt;"""",SPLIT(D204,"" 
""),)"),"")</f>
        <v/>
      </c>
    </row>
    <row r="205">
      <c r="A205" s="96" t="str">
        <f t="shared" si="1"/>
        <v/>
      </c>
      <c r="B205" s="96" t="str">
        <f t="shared" si="2"/>
        <v/>
      </c>
      <c r="C205" s="174" t="str">
        <f t="shared" si="3"/>
        <v/>
      </c>
      <c r="D205" s="175"/>
      <c r="E205" s="93" t="str">
        <f>IFERROR(__xludf.DUMMYFUNCTION("IF(D205&lt;&gt;"""",SPLIT(D205,"" 
""),)"),"")</f>
        <v/>
      </c>
    </row>
    <row r="206">
      <c r="A206" s="96" t="str">
        <f t="shared" si="1"/>
        <v/>
      </c>
      <c r="B206" s="96" t="str">
        <f t="shared" si="2"/>
        <v/>
      </c>
      <c r="C206" s="174" t="str">
        <f t="shared" si="3"/>
        <v/>
      </c>
      <c r="D206" s="175"/>
      <c r="E206" s="93" t="str">
        <f>IFERROR(__xludf.DUMMYFUNCTION("IF(D206&lt;&gt;"""",SPLIT(D206,"" 
""),)"),"")</f>
        <v/>
      </c>
    </row>
    <row r="207">
      <c r="A207" s="96" t="str">
        <f t="shared" si="1"/>
        <v/>
      </c>
      <c r="B207" s="96" t="str">
        <f t="shared" si="2"/>
        <v/>
      </c>
      <c r="C207" s="174" t="str">
        <f t="shared" si="3"/>
        <v/>
      </c>
      <c r="D207" s="175"/>
      <c r="E207" s="93" t="str">
        <f>IFERROR(__xludf.DUMMYFUNCTION("IF(D207&lt;&gt;"""",SPLIT(D207,"" 
""),)"),"")</f>
        <v/>
      </c>
    </row>
    <row r="208">
      <c r="A208" s="96" t="str">
        <f t="shared" si="1"/>
        <v/>
      </c>
      <c r="B208" s="96" t="str">
        <f t="shared" si="2"/>
        <v/>
      </c>
      <c r="C208" s="174" t="str">
        <f t="shared" si="3"/>
        <v/>
      </c>
      <c r="D208" s="175"/>
      <c r="E208" s="93" t="str">
        <f>IFERROR(__xludf.DUMMYFUNCTION("IF(D208&lt;&gt;"""",SPLIT(D208,"" 
""),)"),"")</f>
        <v/>
      </c>
    </row>
    <row r="209">
      <c r="A209" s="96" t="str">
        <f t="shared" si="1"/>
        <v/>
      </c>
      <c r="B209" s="96" t="str">
        <f t="shared" si="2"/>
        <v/>
      </c>
      <c r="C209" s="174" t="str">
        <f t="shared" si="3"/>
        <v/>
      </c>
      <c r="D209" s="175"/>
      <c r="E209" s="93" t="str">
        <f>IFERROR(__xludf.DUMMYFUNCTION("IF(D209&lt;&gt;"""",SPLIT(D209,"" 
""),)"),"")</f>
        <v/>
      </c>
    </row>
    <row r="210">
      <c r="A210" s="96" t="str">
        <f t="shared" si="1"/>
        <v/>
      </c>
      <c r="B210" s="96" t="str">
        <f t="shared" si="2"/>
        <v/>
      </c>
      <c r="C210" s="174" t="str">
        <f t="shared" si="3"/>
        <v/>
      </c>
      <c r="D210" s="175"/>
      <c r="E210" s="93" t="str">
        <f>IFERROR(__xludf.DUMMYFUNCTION("IF(D210&lt;&gt;"""",SPLIT(D210,"" 
""),)"),"")</f>
        <v/>
      </c>
    </row>
    <row r="211">
      <c r="A211" s="96" t="str">
        <f t="shared" si="1"/>
        <v/>
      </c>
      <c r="B211" s="96" t="str">
        <f t="shared" si="2"/>
        <v/>
      </c>
      <c r="C211" s="174" t="str">
        <f t="shared" si="3"/>
        <v/>
      </c>
      <c r="D211" s="175"/>
      <c r="E211" s="93" t="str">
        <f>IFERROR(__xludf.DUMMYFUNCTION("IF(D211&lt;&gt;"""",SPLIT(D211,"" 
""),)"),"")</f>
        <v/>
      </c>
    </row>
    <row r="212">
      <c r="A212" s="96" t="str">
        <f t="shared" si="1"/>
        <v/>
      </c>
      <c r="B212" s="96" t="str">
        <f t="shared" si="2"/>
        <v/>
      </c>
      <c r="C212" s="174" t="str">
        <f t="shared" si="3"/>
        <v/>
      </c>
      <c r="D212" s="175"/>
      <c r="E212" s="93" t="str">
        <f>IFERROR(__xludf.DUMMYFUNCTION("IF(D212&lt;&gt;"""",SPLIT(D212,"" 
""),)"),"")</f>
        <v/>
      </c>
    </row>
    <row r="213">
      <c r="A213" s="96" t="str">
        <f t="shared" si="1"/>
        <v/>
      </c>
      <c r="B213" s="96" t="str">
        <f t="shared" si="2"/>
        <v/>
      </c>
      <c r="C213" s="174" t="str">
        <f t="shared" si="3"/>
        <v/>
      </c>
      <c r="D213" s="175"/>
      <c r="E213" s="93" t="str">
        <f>IFERROR(__xludf.DUMMYFUNCTION("IF(D213&lt;&gt;"""",SPLIT(D213,"" 
""),)"),"")</f>
        <v/>
      </c>
    </row>
    <row r="214">
      <c r="A214" s="96" t="str">
        <f t="shared" si="1"/>
        <v/>
      </c>
      <c r="B214" s="96" t="str">
        <f t="shared" si="2"/>
        <v/>
      </c>
      <c r="C214" s="174" t="str">
        <f t="shared" si="3"/>
        <v/>
      </c>
      <c r="D214" s="175"/>
      <c r="E214" s="93" t="str">
        <f>IFERROR(__xludf.DUMMYFUNCTION("IF(D214&lt;&gt;"""",SPLIT(D214,"" 
""),)"),"")</f>
        <v/>
      </c>
    </row>
    <row r="215">
      <c r="A215" s="96" t="str">
        <f t="shared" si="1"/>
        <v/>
      </c>
      <c r="B215" s="96" t="str">
        <f t="shared" si="2"/>
        <v/>
      </c>
      <c r="C215" s="174" t="str">
        <f t="shared" si="3"/>
        <v/>
      </c>
      <c r="D215" s="175"/>
      <c r="E215" s="93" t="str">
        <f>IFERROR(__xludf.DUMMYFUNCTION("IF(D215&lt;&gt;"""",SPLIT(D215,"" 
""),)"),"")</f>
        <v/>
      </c>
    </row>
    <row r="216">
      <c r="A216" s="96" t="str">
        <f t="shared" si="1"/>
        <v/>
      </c>
      <c r="B216" s="96" t="str">
        <f t="shared" si="2"/>
        <v/>
      </c>
      <c r="C216" s="174" t="str">
        <f t="shared" si="3"/>
        <v/>
      </c>
      <c r="D216" s="175"/>
      <c r="E216" s="93" t="str">
        <f>IFERROR(__xludf.DUMMYFUNCTION("IF(D216&lt;&gt;"""",SPLIT(D216,"" 
""),)"),"")</f>
        <v/>
      </c>
    </row>
    <row r="217">
      <c r="A217" s="96" t="str">
        <f t="shared" si="1"/>
        <v/>
      </c>
      <c r="B217" s="96" t="str">
        <f t="shared" si="2"/>
        <v/>
      </c>
      <c r="C217" s="174" t="str">
        <f t="shared" si="3"/>
        <v/>
      </c>
      <c r="D217" s="175"/>
      <c r="E217" s="93" t="str">
        <f>IFERROR(__xludf.DUMMYFUNCTION("IF(D217&lt;&gt;"""",SPLIT(D217,"" 
""),)"),"")</f>
        <v/>
      </c>
    </row>
    <row r="218">
      <c r="A218" s="96" t="str">
        <f t="shared" si="1"/>
        <v/>
      </c>
      <c r="B218" s="96" t="str">
        <f t="shared" si="2"/>
        <v/>
      </c>
      <c r="C218" s="174" t="str">
        <f t="shared" si="3"/>
        <v/>
      </c>
      <c r="D218" s="175"/>
      <c r="E218" s="93" t="str">
        <f>IFERROR(__xludf.DUMMYFUNCTION("IF(D218&lt;&gt;"""",SPLIT(D218,"" 
""),)"),"")</f>
        <v/>
      </c>
    </row>
    <row r="219">
      <c r="A219" s="96" t="str">
        <f t="shared" si="1"/>
        <v/>
      </c>
      <c r="B219" s="96" t="str">
        <f t="shared" si="2"/>
        <v/>
      </c>
      <c r="C219" s="174" t="str">
        <f t="shared" si="3"/>
        <v/>
      </c>
      <c r="D219" s="175"/>
      <c r="E219" s="93" t="str">
        <f>IFERROR(__xludf.DUMMYFUNCTION("IF(D219&lt;&gt;"""",SPLIT(D219,"" 
""),)"),"")</f>
        <v/>
      </c>
    </row>
    <row r="220">
      <c r="A220" s="96" t="str">
        <f t="shared" si="1"/>
        <v/>
      </c>
      <c r="B220" s="96" t="str">
        <f t="shared" si="2"/>
        <v/>
      </c>
      <c r="C220" s="174" t="str">
        <f t="shared" si="3"/>
        <v/>
      </c>
      <c r="D220" s="175"/>
      <c r="E220" s="93" t="str">
        <f>IFERROR(__xludf.DUMMYFUNCTION("IF(D220&lt;&gt;"""",SPLIT(D220,"" 
""),)"),"")</f>
        <v/>
      </c>
    </row>
    <row r="221">
      <c r="A221" s="96" t="str">
        <f t="shared" si="1"/>
        <v/>
      </c>
      <c r="B221" s="96" t="str">
        <f t="shared" si="2"/>
        <v/>
      </c>
      <c r="C221" s="174" t="str">
        <f t="shared" si="3"/>
        <v/>
      </c>
      <c r="D221" s="175"/>
      <c r="E221" s="93" t="str">
        <f>IFERROR(__xludf.DUMMYFUNCTION("IF(D221&lt;&gt;"""",SPLIT(D221,"" 
""),)"),"")</f>
        <v/>
      </c>
    </row>
    <row r="222">
      <c r="A222" s="96" t="str">
        <f t="shared" si="1"/>
        <v/>
      </c>
      <c r="B222" s="96" t="str">
        <f t="shared" si="2"/>
        <v/>
      </c>
      <c r="C222" s="174" t="str">
        <f t="shared" si="3"/>
        <v/>
      </c>
      <c r="D222" s="175"/>
      <c r="E222" s="93" t="str">
        <f>IFERROR(__xludf.DUMMYFUNCTION("IF(D222&lt;&gt;"""",SPLIT(D222,"" 
""),)"),"")</f>
        <v/>
      </c>
    </row>
    <row r="223">
      <c r="A223" s="96" t="str">
        <f t="shared" si="1"/>
        <v/>
      </c>
      <c r="B223" s="96" t="str">
        <f t="shared" si="2"/>
        <v/>
      </c>
      <c r="C223" s="174" t="str">
        <f t="shared" si="3"/>
        <v/>
      </c>
      <c r="D223" s="175"/>
      <c r="E223" s="93" t="str">
        <f>IFERROR(__xludf.DUMMYFUNCTION("IF(D223&lt;&gt;"""",SPLIT(D223,"" 
""),)"),"")</f>
        <v/>
      </c>
    </row>
    <row r="224">
      <c r="A224" s="96" t="str">
        <f t="shared" si="1"/>
        <v/>
      </c>
      <c r="B224" s="96" t="str">
        <f t="shared" si="2"/>
        <v/>
      </c>
      <c r="C224" s="174" t="str">
        <f t="shared" si="3"/>
        <v/>
      </c>
      <c r="D224" s="175"/>
      <c r="E224" s="93" t="str">
        <f>IFERROR(__xludf.DUMMYFUNCTION("IF(D224&lt;&gt;"""",SPLIT(D224,"" 
""),)"),"")</f>
        <v/>
      </c>
    </row>
    <row r="225">
      <c r="A225" s="96" t="str">
        <f t="shared" si="1"/>
        <v/>
      </c>
      <c r="B225" s="96" t="str">
        <f t="shared" si="2"/>
        <v/>
      </c>
      <c r="C225" s="174" t="str">
        <f t="shared" si="3"/>
        <v/>
      </c>
      <c r="D225" s="175"/>
      <c r="E225" s="93" t="str">
        <f>IFERROR(__xludf.DUMMYFUNCTION("IF(D225&lt;&gt;"""",SPLIT(D225,"" 
""),)"),"")</f>
        <v/>
      </c>
    </row>
    <row r="226">
      <c r="A226" s="96" t="str">
        <f t="shared" si="1"/>
        <v/>
      </c>
      <c r="B226" s="96" t="str">
        <f t="shared" si="2"/>
        <v/>
      </c>
      <c r="C226" s="174" t="str">
        <f t="shared" si="3"/>
        <v/>
      </c>
      <c r="D226" s="175"/>
      <c r="E226" s="93" t="str">
        <f>IFERROR(__xludf.DUMMYFUNCTION("IF(D226&lt;&gt;"""",SPLIT(D226,"" 
""),)"),"")</f>
        <v/>
      </c>
    </row>
    <row r="227">
      <c r="A227" s="96" t="str">
        <f t="shared" si="1"/>
        <v/>
      </c>
      <c r="B227" s="96" t="str">
        <f t="shared" si="2"/>
        <v/>
      </c>
      <c r="C227" s="174" t="str">
        <f t="shared" si="3"/>
        <v/>
      </c>
      <c r="D227" s="175"/>
      <c r="E227" s="93" t="str">
        <f>IFERROR(__xludf.DUMMYFUNCTION("IF(D227&lt;&gt;"""",SPLIT(D227,"" 
""),)"),"")</f>
        <v/>
      </c>
    </row>
    <row r="228">
      <c r="A228" s="96" t="str">
        <f t="shared" si="1"/>
        <v/>
      </c>
      <c r="B228" s="96" t="str">
        <f t="shared" si="2"/>
        <v/>
      </c>
      <c r="C228" s="174" t="str">
        <f t="shared" si="3"/>
        <v/>
      </c>
      <c r="D228" s="175"/>
      <c r="E228" s="93" t="str">
        <f>IFERROR(__xludf.DUMMYFUNCTION("IF(D228&lt;&gt;"""",SPLIT(D228,"" 
""),)"),"")</f>
        <v/>
      </c>
    </row>
    <row r="229">
      <c r="A229" s="96" t="str">
        <f t="shared" si="1"/>
        <v/>
      </c>
      <c r="B229" s="96" t="str">
        <f t="shared" si="2"/>
        <v/>
      </c>
      <c r="C229" s="174" t="str">
        <f t="shared" si="3"/>
        <v/>
      </c>
      <c r="D229" s="175"/>
      <c r="E229" s="93" t="str">
        <f>IFERROR(__xludf.DUMMYFUNCTION("IF(D229&lt;&gt;"""",SPLIT(D229,"" 
""),)"),"")</f>
        <v/>
      </c>
    </row>
    <row r="230">
      <c r="A230" s="96" t="str">
        <f t="shared" si="1"/>
        <v/>
      </c>
      <c r="B230" s="96" t="str">
        <f t="shared" si="2"/>
        <v/>
      </c>
      <c r="C230" s="174" t="str">
        <f t="shared" si="3"/>
        <v/>
      </c>
      <c r="D230" s="175"/>
      <c r="E230" s="93" t="str">
        <f>IFERROR(__xludf.DUMMYFUNCTION("IF(D230&lt;&gt;"""",SPLIT(D230,"" 
""),)"),"")</f>
        <v/>
      </c>
    </row>
    <row r="231">
      <c r="A231" s="96" t="str">
        <f t="shared" si="1"/>
        <v/>
      </c>
      <c r="B231" s="96" t="str">
        <f t="shared" si="2"/>
        <v/>
      </c>
      <c r="C231" s="174" t="str">
        <f t="shared" si="3"/>
        <v/>
      </c>
      <c r="D231" s="175"/>
      <c r="E231" s="93" t="str">
        <f>IFERROR(__xludf.DUMMYFUNCTION("IF(D231&lt;&gt;"""",SPLIT(D231,"" 
""),)"),"")</f>
        <v/>
      </c>
    </row>
    <row r="232">
      <c r="A232" s="96" t="str">
        <f t="shared" si="1"/>
        <v/>
      </c>
      <c r="B232" s="96" t="str">
        <f t="shared" si="2"/>
        <v/>
      </c>
      <c r="C232" s="174" t="str">
        <f t="shared" si="3"/>
        <v/>
      </c>
      <c r="D232" s="175"/>
      <c r="E232" s="93" t="str">
        <f>IFERROR(__xludf.DUMMYFUNCTION("IF(D232&lt;&gt;"""",SPLIT(D232,"" 
""),)"),"")</f>
        <v/>
      </c>
    </row>
    <row r="233">
      <c r="A233" s="96" t="str">
        <f t="shared" si="1"/>
        <v/>
      </c>
      <c r="B233" s="96" t="str">
        <f t="shared" si="2"/>
        <v/>
      </c>
      <c r="C233" s="174" t="str">
        <f t="shared" si="3"/>
        <v/>
      </c>
      <c r="D233" s="175"/>
      <c r="E233" s="93" t="str">
        <f>IFERROR(__xludf.DUMMYFUNCTION("IF(D233&lt;&gt;"""",SPLIT(D233,"" 
""),)"),"")</f>
        <v/>
      </c>
    </row>
    <row r="234">
      <c r="A234" s="96" t="str">
        <f t="shared" si="1"/>
        <v/>
      </c>
      <c r="B234" s="96" t="str">
        <f t="shared" si="2"/>
        <v/>
      </c>
      <c r="C234" s="174" t="str">
        <f t="shared" si="3"/>
        <v/>
      </c>
      <c r="D234" s="175"/>
      <c r="E234" s="93" t="str">
        <f>IFERROR(__xludf.DUMMYFUNCTION("IF(D234&lt;&gt;"""",SPLIT(D234,"" 
""),)"),"")</f>
        <v/>
      </c>
    </row>
    <row r="235">
      <c r="A235" s="96" t="str">
        <f t="shared" si="1"/>
        <v/>
      </c>
      <c r="B235" s="96" t="str">
        <f t="shared" si="2"/>
        <v/>
      </c>
      <c r="C235" s="174" t="str">
        <f t="shared" si="3"/>
        <v/>
      </c>
      <c r="D235" s="175"/>
      <c r="E235" s="93" t="str">
        <f>IFERROR(__xludf.DUMMYFUNCTION("IF(D235&lt;&gt;"""",SPLIT(D235,"" 
""),)"),"")</f>
        <v/>
      </c>
    </row>
    <row r="236">
      <c r="A236" s="96" t="str">
        <f t="shared" si="1"/>
        <v/>
      </c>
      <c r="B236" s="96" t="str">
        <f t="shared" si="2"/>
        <v/>
      </c>
      <c r="C236" s="174" t="str">
        <f t="shared" si="3"/>
        <v/>
      </c>
      <c r="D236" s="175"/>
      <c r="E236" s="93" t="str">
        <f>IFERROR(__xludf.DUMMYFUNCTION("IF(D236&lt;&gt;"""",SPLIT(D236,"" 
""),)"),"")</f>
        <v/>
      </c>
    </row>
    <row r="237">
      <c r="A237" s="96" t="str">
        <f t="shared" si="1"/>
        <v/>
      </c>
      <c r="B237" s="96" t="str">
        <f t="shared" si="2"/>
        <v/>
      </c>
      <c r="C237" s="174" t="str">
        <f t="shared" si="3"/>
        <v/>
      </c>
      <c r="D237" s="175"/>
      <c r="E237" s="93" t="str">
        <f>IFERROR(__xludf.DUMMYFUNCTION("IF(D237&lt;&gt;"""",SPLIT(D237,"" 
""),)"),"")</f>
        <v/>
      </c>
    </row>
    <row r="238">
      <c r="A238" s="96" t="str">
        <f t="shared" si="1"/>
        <v/>
      </c>
      <c r="B238" s="96" t="str">
        <f t="shared" si="2"/>
        <v/>
      </c>
      <c r="C238" s="174" t="str">
        <f t="shared" si="3"/>
        <v/>
      </c>
      <c r="D238" s="175"/>
      <c r="E238" s="93" t="str">
        <f>IFERROR(__xludf.DUMMYFUNCTION("IF(D238&lt;&gt;"""",SPLIT(D238,"" 
""),)"),"")</f>
        <v/>
      </c>
    </row>
    <row r="239">
      <c r="A239" s="96" t="str">
        <f t="shared" si="1"/>
        <v/>
      </c>
      <c r="B239" s="96" t="str">
        <f t="shared" si="2"/>
        <v/>
      </c>
      <c r="C239" s="174" t="str">
        <f t="shared" si="3"/>
        <v/>
      </c>
      <c r="D239" s="175"/>
      <c r="E239" s="93" t="str">
        <f>IFERROR(__xludf.DUMMYFUNCTION("IF(D239&lt;&gt;"""",SPLIT(D239,"" 
""),)"),"")</f>
        <v/>
      </c>
    </row>
    <row r="240">
      <c r="A240" s="96" t="str">
        <f t="shared" si="1"/>
        <v/>
      </c>
      <c r="B240" s="96" t="str">
        <f t="shared" si="2"/>
        <v/>
      </c>
      <c r="C240" s="174" t="str">
        <f t="shared" si="3"/>
        <v/>
      </c>
      <c r="D240" s="175"/>
      <c r="E240" s="93" t="str">
        <f>IFERROR(__xludf.DUMMYFUNCTION("IF(D240&lt;&gt;"""",SPLIT(D240,"" 
""),)"),"")</f>
        <v/>
      </c>
    </row>
    <row r="241">
      <c r="A241" s="96" t="str">
        <f t="shared" si="1"/>
        <v/>
      </c>
      <c r="B241" s="96" t="str">
        <f t="shared" si="2"/>
        <v/>
      </c>
      <c r="C241" s="174" t="str">
        <f t="shared" si="3"/>
        <v/>
      </c>
      <c r="D241" s="175"/>
      <c r="E241" s="93" t="str">
        <f>IFERROR(__xludf.DUMMYFUNCTION("IF(D241&lt;&gt;"""",SPLIT(D241,"" 
""),)"),"")</f>
        <v/>
      </c>
    </row>
    <row r="242">
      <c r="A242" s="96" t="str">
        <f t="shared" si="1"/>
        <v/>
      </c>
      <c r="B242" s="96" t="str">
        <f t="shared" si="2"/>
        <v/>
      </c>
      <c r="C242" s="174" t="str">
        <f t="shared" si="3"/>
        <v/>
      </c>
      <c r="D242" s="175"/>
      <c r="E242" s="93" t="str">
        <f>IFERROR(__xludf.DUMMYFUNCTION("IF(D242&lt;&gt;"""",SPLIT(D242,"" 
""),)"),"")</f>
        <v/>
      </c>
    </row>
    <row r="243">
      <c r="A243" s="96" t="str">
        <f t="shared" si="1"/>
        <v/>
      </c>
      <c r="B243" s="96" t="str">
        <f t="shared" si="2"/>
        <v/>
      </c>
      <c r="C243" s="174" t="str">
        <f t="shared" si="3"/>
        <v/>
      </c>
      <c r="D243" s="175"/>
      <c r="E243" s="93" t="str">
        <f>IFERROR(__xludf.DUMMYFUNCTION("IF(D243&lt;&gt;"""",SPLIT(D243,"" 
""),)"),"")</f>
        <v/>
      </c>
    </row>
    <row r="244">
      <c r="A244" s="96" t="str">
        <f t="shared" si="1"/>
        <v/>
      </c>
      <c r="B244" s="96" t="str">
        <f t="shared" si="2"/>
        <v/>
      </c>
      <c r="C244" s="174" t="str">
        <f t="shared" si="3"/>
        <v/>
      </c>
      <c r="D244" s="175"/>
      <c r="E244" s="93" t="str">
        <f>IFERROR(__xludf.DUMMYFUNCTION("IF(D244&lt;&gt;"""",SPLIT(D244,"" 
""),)"),"")</f>
        <v/>
      </c>
    </row>
    <row r="245">
      <c r="A245" s="96" t="str">
        <f t="shared" si="1"/>
        <v/>
      </c>
      <c r="B245" s="96" t="str">
        <f t="shared" si="2"/>
        <v/>
      </c>
      <c r="C245" s="174" t="str">
        <f t="shared" si="3"/>
        <v/>
      </c>
      <c r="D245" s="175"/>
      <c r="E245" s="93" t="str">
        <f>IFERROR(__xludf.DUMMYFUNCTION("IF(D245&lt;&gt;"""",SPLIT(D245,"" 
""),)"),"")</f>
        <v/>
      </c>
    </row>
    <row r="246">
      <c r="A246" s="96" t="str">
        <f t="shared" si="1"/>
        <v/>
      </c>
      <c r="B246" s="96" t="str">
        <f t="shared" si="2"/>
        <v/>
      </c>
      <c r="C246" s="174" t="str">
        <f t="shared" si="3"/>
        <v/>
      </c>
      <c r="D246" s="175"/>
      <c r="E246" s="93" t="str">
        <f>IFERROR(__xludf.DUMMYFUNCTION("IF(D246&lt;&gt;"""",SPLIT(D246,"" 
""),)"),"")</f>
        <v/>
      </c>
    </row>
    <row r="247">
      <c r="A247" s="96" t="str">
        <f t="shared" si="1"/>
        <v/>
      </c>
      <c r="B247" s="96" t="str">
        <f t="shared" si="2"/>
        <v/>
      </c>
      <c r="C247" s="174" t="str">
        <f t="shared" si="3"/>
        <v/>
      </c>
      <c r="D247" s="175"/>
      <c r="E247" s="93" t="str">
        <f>IFERROR(__xludf.DUMMYFUNCTION("IF(D247&lt;&gt;"""",SPLIT(D247,"" 
""),)"),"")</f>
        <v/>
      </c>
    </row>
    <row r="248">
      <c r="A248" s="96" t="str">
        <f t="shared" si="1"/>
        <v/>
      </c>
      <c r="B248" s="96" t="str">
        <f t="shared" si="2"/>
        <v/>
      </c>
      <c r="C248" s="174" t="str">
        <f t="shared" si="3"/>
        <v/>
      </c>
      <c r="D248" s="175"/>
      <c r="E248" s="93" t="str">
        <f>IFERROR(__xludf.DUMMYFUNCTION("IF(D248&lt;&gt;"""",SPLIT(D248,"" 
""),)"),"")</f>
        <v/>
      </c>
    </row>
    <row r="249">
      <c r="A249" s="96" t="str">
        <f t="shared" si="1"/>
        <v/>
      </c>
      <c r="B249" s="96" t="str">
        <f t="shared" si="2"/>
        <v/>
      </c>
      <c r="C249" s="174" t="str">
        <f t="shared" si="3"/>
        <v/>
      </c>
      <c r="D249" s="175"/>
      <c r="E249" s="93" t="str">
        <f>IFERROR(__xludf.DUMMYFUNCTION("IF(D249&lt;&gt;"""",SPLIT(D249,"" 
""),)"),"")</f>
        <v/>
      </c>
    </row>
    <row r="250">
      <c r="A250" s="96" t="str">
        <f t="shared" si="1"/>
        <v/>
      </c>
      <c r="B250" s="96" t="str">
        <f t="shared" si="2"/>
        <v/>
      </c>
      <c r="C250" s="174" t="str">
        <f t="shared" si="3"/>
        <v/>
      </c>
      <c r="D250" s="175"/>
      <c r="E250" s="93" t="str">
        <f>IFERROR(__xludf.DUMMYFUNCTION("IF(D250&lt;&gt;"""",SPLIT(D250,"" 
""),)"),"")</f>
        <v/>
      </c>
    </row>
    <row r="251">
      <c r="A251" s="96" t="str">
        <f t="shared" si="1"/>
        <v/>
      </c>
      <c r="B251" s="96" t="str">
        <f t="shared" si="2"/>
        <v/>
      </c>
      <c r="C251" s="174" t="str">
        <f t="shared" si="3"/>
        <v/>
      </c>
      <c r="D251" s="175"/>
      <c r="E251" s="93" t="str">
        <f>IFERROR(__xludf.DUMMYFUNCTION("IF(D251&lt;&gt;"""",SPLIT(D251,"" 
""),)"),"")</f>
        <v/>
      </c>
    </row>
    <row r="252">
      <c r="A252" s="96" t="str">
        <f t="shared" si="1"/>
        <v/>
      </c>
      <c r="B252" s="96" t="str">
        <f t="shared" si="2"/>
        <v/>
      </c>
      <c r="C252" s="174" t="str">
        <f t="shared" si="3"/>
        <v/>
      </c>
      <c r="D252" s="175"/>
      <c r="E252" s="93" t="str">
        <f>IFERROR(__xludf.DUMMYFUNCTION("IF(D252&lt;&gt;"""",SPLIT(D252,"" 
""),)"),"")</f>
        <v/>
      </c>
    </row>
    <row r="253">
      <c r="A253" s="96" t="str">
        <f t="shared" si="1"/>
        <v/>
      </c>
      <c r="B253" s="96" t="str">
        <f t="shared" si="2"/>
        <v/>
      </c>
      <c r="C253" s="174" t="str">
        <f t="shared" si="3"/>
        <v/>
      </c>
      <c r="D253" s="175"/>
      <c r="E253" s="93" t="str">
        <f>IFERROR(__xludf.DUMMYFUNCTION("IF(D253&lt;&gt;"""",SPLIT(D253,"" 
""),)"),"")</f>
        <v/>
      </c>
    </row>
    <row r="254">
      <c r="A254" s="96" t="str">
        <f t="shared" si="1"/>
        <v/>
      </c>
      <c r="B254" s="96" t="str">
        <f t="shared" si="2"/>
        <v/>
      </c>
      <c r="C254" s="174" t="str">
        <f t="shared" si="3"/>
        <v/>
      </c>
      <c r="D254" s="175"/>
      <c r="E254" s="93" t="str">
        <f>IFERROR(__xludf.DUMMYFUNCTION("IF(D254&lt;&gt;"""",SPLIT(D254,"" 
""),)"),"")</f>
        <v/>
      </c>
    </row>
    <row r="255">
      <c r="A255" s="96" t="str">
        <f t="shared" si="1"/>
        <v/>
      </c>
      <c r="B255" s="96" t="str">
        <f t="shared" si="2"/>
        <v/>
      </c>
      <c r="C255" s="174" t="str">
        <f t="shared" si="3"/>
        <v/>
      </c>
      <c r="D255" s="175"/>
      <c r="E255" s="93" t="str">
        <f>IFERROR(__xludf.DUMMYFUNCTION("IF(D255&lt;&gt;"""",SPLIT(D255,"" 
""),)"),"")</f>
        <v/>
      </c>
    </row>
    <row r="256">
      <c r="A256" s="96" t="str">
        <f t="shared" si="1"/>
        <v/>
      </c>
      <c r="B256" s="96" t="str">
        <f t="shared" si="2"/>
        <v/>
      </c>
      <c r="C256" s="174" t="str">
        <f t="shared" si="3"/>
        <v/>
      </c>
      <c r="D256" s="175"/>
      <c r="E256" s="93" t="str">
        <f>IFERROR(__xludf.DUMMYFUNCTION("IF(D256&lt;&gt;"""",SPLIT(D256,"" 
""),)"),"")</f>
        <v/>
      </c>
    </row>
    <row r="257">
      <c r="A257" s="96" t="str">
        <f t="shared" si="1"/>
        <v/>
      </c>
      <c r="B257" s="96" t="str">
        <f t="shared" si="2"/>
        <v/>
      </c>
      <c r="C257" s="174" t="str">
        <f t="shared" si="3"/>
        <v/>
      </c>
      <c r="D257" s="175"/>
      <c r="E257" s="93" t="str">
        <f>IFERROR(__xludf.DUMMYFUNCTION("IF(D257&lt;&gt;"""",SPLIT(D257,"" 
""),)"),"")</f>
        <v/>
      </c>
    </row>
    <row r="258">
      <c r="A258" s="96" t="str">
        <f t="shared" si="1"/>
        <v/>
      </c>
      <c r="B258" s="96" t="str">
        <f t="shared" si="2"/>
        <v/>
      </c>
      <c r="C258" s="174" t="str">
        <f t="shared" si="3"/>
        <v/>
      </c>
      <c r="D258" s="175"/>
      <c r="E258" s="93" t="str">
        <f>IFERROR(__xludf.DUMMYFUNCTION("IF(D258&lt;&gt;"""",SPLIT(D258,"" 
""),)"),"")</f>
        <v/>
      </c>
    </row>
    <row r="259">
      <c r="A259" s="96" t="str">
        <f t="shared" si="1"/>
        <v/>
      </c>
      <c r="B259" s="96" t="str">
        <f t="shared" si="2"/>
        <v/>
      </c>
      <c r="C259" s="174" t="str">
        <f t="shared" si="3"/>
        <v/>
      </c>
      <c r="D259" s="175"/>
      <c r="E259" s="93" t="str">
        <f>IFERROR(__xludf.DUMMYFUNCTION("IF(D259&lt;&gt;"""",SPLIT(D259,"" 
""),)"),"")</f>
        <v/>
      </c>
    </row>
    <row r="260">
      <c r="A260" s="96" t="str">
        <f t="shared" si="1"/>
        <v/>
      </c>
      <c r="B260" s="96" t="str">
        <f t="shared" si="2"/>
        <v/>
      </c>
      <c r="C260" s="174" t="str">
        <f t="shared" si="3"/>
        <v/>
      </c>
      <c r="D260" s="175"/>
      <c r="E260" s="93" t="str">
        <f>IFERROR(__xludf.DUMMYFUNCTION("IF(D260&lt;&gt;"""",SPLIT(D260,"" 
""),)"),"")</f>
        <v/>
      </c>
    </row>
    <row r="261">
      <c r="A261" s="96" t="str">
        <f t="shared" si="1"/>
        <v/>
      </c>
      <c r="B261" s="96" t="str">
        <f t="shared" si="2"/>
        <v/>
      </c>
      <c r="C261" s="174" t="str">
        <f t="shared" si="3"/>
        <v/>
      </c>
      <c r="D261" s="175"/>
      <c r="E261" s="93" t="str">
        <f>IFERROR(__xludf.DUMMYFUNCTION("IF(D261&lt;&gt;"""",SPLIT(D261,"" 
""),)"),"")</f>
        <v/>
      </c>
    </row>
    <row r="262">
      <c r="A262" s="96" t="str">
        <f t="shared" si="1"/>
        <v/>
      </c>
      <c r="B262" s="96" t="str">
        <f t="shared" si="2"/>
        <v/>
      </c>
      <c r="C262" s="174" t="str">
        <f t="shared" si="3"/>
        <v/>
      </c>
      <c r="D262" s="175"/>
      <c r="E262" s="93" t="str">
        <f>IFERROR(__xludf.DUMMYFUNCTION("IF(D262&lt;&gt;"""",SPLIT(D262,"" 
""),)"),"")</f>
        <v/>
      </c>
    </row>
    <row r="263">
      <c r="A263" s="96" t="str">
        <f t="shared" si="1"/>
        <v/>
      </c>
      <c r="B263" s="96" t="str">
        <f t="shared" si="2"/>
        <v/>
      </c>
      <c r="C263" s="174" t="str">
        <f t="shared" si="3"/>
        <v/>
      </c>
      <c r="D263" s="175"/>
      <c r="E263" s="93" t="str">
        <f>IFERROR(__xludf.DUMMYFUNCTION("IF(D263&lt;&gt;"""",SPLIT(D263,"" 
""),)"),"")</f>
        <v/>
      </c>
    </row>
    <row r="264">
      <c r="A264" s="96" t="str">
        <f t="shared" si="1"/>
        <v/>
      </c>
      <c r="B264" s="96" t="str">
        <f t="shared" si="2"/>
        <v/>
      </c>
      <c r="C264" s="174" t="str">
        <f t="shared" si="3"/>
        <v/>
      </c>
      <c r="D264" s="175"/>
      <c r="E264" s="93" t="str">
        <f>IFERROR(__xludf.DUMMYFUNCTION("IF(D264&lt;&gt;"""",SPLIT(D264,"" 
""),)"),"")</f>
        <v/>
      </c>
    </row>
    <row r="265">
      <c r="A265" s="96" t="str">
        <f t="shared" si="1"/>
        <v/>
      </c>
      <c r="B265" s="96" t="str">
        <f t="shared" si="2"/>
        <v/>
      </c>
      <c r="C265" s="174" t="str">
        <f t="shared" si="3"/>
        <v/>
      </c>
      <c r="D265" s="175"/>
      <c r="E265" s="93" t="str">
        <f>IFERROR(__xludf.DUMMYFUNCTION("IF(D265&lt;&gt;"""",SPLIT(D265,"" 
""),)"),"")</f>
        <v/>
      </c>
    </row>
    <row r="266">
      <c r="A266" s="96" t="str">
        <f t="shared" si="1"/>
        <v/>
      </c>
      <c r="B266" s="96" t="str">
        <f t="shared" si="2"/>
        <v/>
      </c>
      <c r="C266" s="174" t="str">
        <f t="shared" si="3"/>
        <v/>
      </c>
      <c r="D266" s="175"/>
      <c r="E266" s="93" t="str">
        <f>IFERROR(__xludf.DUMMYFUNCTION("IF(D266&lt;&gt;"""",SPLIT(D266,"" 
""),)"),"")</f>
        <v/>
      </c>
    </row>
    <row r="267">
      <c r="A267" s="96" t="str">
        <f t="shared" si="1"/>
        <v/>
      </c>
      <c r="B267" s="96" t="str">
        <f t="shared" si="2"/>
        <v/>
      </c>
      <c r="C267" s="174" t="str">
        <f t="shared" si="3"/>
        <v/>
      </c>
      <c r="D267" s="175"/>
      <c r="E267" s="93" t="str">
        <f>IFERROR(__xludf.DUMMYFUNCTION("IF(D267&lt;&gt;"""",SPLIT(D267,"" 
""),)"),"")</f>
        <v/>
      </c>
    </row>
    <row r="268">
      <c r="A268" s="96" t="str">
        <f t="shared" si="1"/>
        <v/>
      </c>
      <c r="B268" s="96" t="str">
        <f t="shared" si="2"/>
        <v/>
      </c>
      <c r="C268" s="174" t="str">
        <f t="shared" si="3"/>
        <v/>
      </c>
      <c r="D268" s="175"/>
      <c r="E268" s="93" t="str">
        <f>IFERROR(__xludf.DUMMYFUNCTION("IF(D268&lt;&gt;"""",SPLIT(D268,"" 
""),)"),"")</f>
        <v/>
      </c>
    </row>
    <row r="269">
      <c r="A269" s="96" t="str">
        <f t="shared" si="1"/>
        <v/>
      </c>
      <c r="B269" s="96" t="str">
        <f t="shared" si="2"/>
        <v/>
      </c>
      <c r="C269" s="174" t="str">
        <f t="shared" si="3"/>
        <v/>
      </c>
      <c r="D269" s="175"/>
      <c r="E269" s="93" t="str">
        <f>IFERROR(__xludf.DUMMYFUNCTION("IF(D269&lt;&gt;"""",SPLIT(D269,"" 
""),)"),"")</f>
        <v/>
      </c>
    </row>
    <row r="270">
      <c r="A270" s="96" t="str">
        <f t="shared" si="1"/>
        <v/>
      </c>
      <c r="B270" s="96" t="str">
        <f t="shared" si="2"/>
        <v/>
      </c>
      <c r="C270" s="174" t="str">
        <f t="shared" si="3"/>
        <v/>
      </c>
      <c r="D270" s="175"/>
      <c r="E270" s="93" t="str">
        <f>IFERROR(__xludf.DUMMYFUNCTION("IF(D270&lt;&gt;"""",SPLIT(D270,"" 
""),)"),"")</f>
        <v/>
      </c>
    </row>
    <row r="271">
      <c r="A271" s="96" t="str">
        <f t="shared" si="1"/>
        <v/>
      </c>
      <c r="B271" s="96" t="str">
        <f t="shared" si="2"/>
        <v/>
      </c>
      <c r="C271" s="174" t="str">
        <f t="shared" si="3"/>
        <v/>
      </c>
      <c r="D271" s="175"/>
      <c r="E271" s="93" t="str">
        <f>IFERROR(__xludf.DUMMYFUNCTION("IF(D271&lt;&gt;"""",SPLIT(D271,"" 
""),)"),"")</f>
        <v/>
      </c>
    </row>
    <row r="272">
      <c r="A272" s="96" t="str">
        <f t="shared" si="1"/>
        <v/>
      </c>
      <c r="B272" s="96" t="str">
        <f t="shared" si="2"/>
        <v/>
      </c>
      <c r="C272" s="174" t="str">
        <f t="shared" si="3"/>
        <v/>
      </c>
      <c r="D272" s="175"/>
      <c r="E272" s="93" t="str">
        <f>IFERROR(__xludf.DUMMYFUNCTION("IF(D272&lt;&gt;"""",SPLIT(D272,"" 
""),)"),"")</f>
        <v/>
      </c>
    </row>
    <row r="273">
      <c r="A273" s="96" t="str">
        <f t="shared" si="1"/>
        <v/>
      </c>
      <c r="B273" s="96" t="str">
        <f t="shared" si="2"/>
        <v/>
      </c>
      <c r="C273" s="174" t="str">
        <f t="shared" si="3"/>
        <v/>
      </c>
      <c r="D273" s="175"/>
      <c r="E273" s="93" t="str">
        <f>IFERROR(__xludf.DUMMYFUNCTION("IF(D273&lt;&gt;"""",SPLIT(D273,"" 
""),)"),"")</f>
        <v/>
      </c>
    </row>
    <row r="274">
      <c r="A274" s="96" t="str">
        <f t="shared" si="1"/>
        <v/>
      </c>
      <c r="B274" s="96" t="str">
        <f t="shared" si="2"/>
        <v/>
      </c>
      <c r="C274" s="174" t="str">
        <f t="shared" si="3"/>
        <v/>
      </c>
      <c r="D274" s="175"/>
      <c r="E274" s="93" t="str">
        <f>IFERROR(__xludf.DUMMYFUNCTION("IF(D274&lt;&gt;"""",SPLIT(D274,"" 
""),)"),"")</f>
        <v/>
      </c>
    </row>
    <row r="275">
      <c r="A275" s="96" t="str">
        <f t="shared" si="1"/>
        <v/>
      </c>
      <c r="B275" s="96" t="str">
        <f t="shared" si="2"/>
        <v/>
      </c>
      <c r="C275" s="174" t="str">
        <f t="shared" si="3"/>
        <v/>
      </c>
      <c r="D275" s="175"/>
      <c r="E275" s="93" t="str">
        <f>IFERROR(__xludf.DUMMYFUNCTION("IF(D275&lt;&gt;"""",SPLIT(D275,"" 
""),)"),"")</f>
        <v/>
      </c>
    </row>
    <row r="276">
      <c r="A276" s="96" t="str">
        <f t="shared" si="1"/>
        <v/>
      </c>
      <c r="B276" s="96" t="str">
        <f t="shared" si="2"/>
        <v/>
      </c>
      <c r="C276" s="174" t="str">
        <f t="shared" si="3"/>
        <v/>
      </c>
      <c r="D276" s="175"/>
      <c r="E276" s="93" t="str">
        <f>IFERROR(__xludf.DUMMYFUNCTION("IF(D276&lt;&gt;"""",SPLIT(D276,"" 
""),)"),"")</f>
        <v/>
      </c>
    </row>
    <row r="277">
      <c r="A277" s="96" t="str">
        <f t="shared" si="1"/>
        <v/>
      </c>
      <c r="B277" s="96" t="str">
        <f t="shared" si="2"/>
        <v/>
      </c>
      <c r="C277" s="174" t="str">
        <f t="shared" si="3"/>
        <v/>
      </c>
      <c r="D277" s="175"/>
      <c r="E277" s="93" t="str">
        <f>IFERROR(__xludf.DUMMYFUNCTION("IF(D277&lt;&gt;"""",SPLIT(D277,"" 
""),)"),"")</f>
        <v/>
      </c>
    </row>
    <row r="278">
      <c r="A278" s="96" t="str">
        <f t="shared" si="1"/>
        <v/>
      </c>
      <c r="B278" s="96" t="str">
        <f t="shared" si="2"/>
        <v/>
      </c>
      <c r="C278" s="174" t="str">
        <f t="shared" si="3"/>
        <v/>
      </c>
      <c r="D278" s="175"/>
      <c r="E278" s="93" t="str">
        <f>IFERROR(__xludf.DUMMYFUNCTION("IF(D278&lt;&gt;"""",SPLIT(D278,"" 
""),)"),"")</f>
        <v/>
      </c>
    </row>
    <row r="279">
      <c r="A279" s="96" t="str">
        <f t="shared" si="1"/>
        <v/>
      </c>
      <c r="B279" s="96" t="str">
        <f t="shared" si="2"/>
        <v/>
      </c>
      <c r="C279" s="174" t="str">
        <f t="shared" si="3"/>
        <v/>
      </c>
      <c r="D279" s="175"/>
      <c r="E279" s="93" t="str">
        <f>IFERROR(__xludf.DUMMYFUNCTION("IF(D279&lt;&gt;"""",SPLIT(D279,"" 
""),)"),"")</f>
        <v/>
      </c>
    </row>
    <row r="280">
      <c r="A280" s="96" t="str">
        <f t="shared" si="1"/>
        <v/>
      </c>
      <c r="B280" s="96" t="str">
        <f t="shared" si="2"/>
        <v/>
      </c>
      <c r="C280" s="174" t="str">
        <f t="shared" si="3"/>
        <v/>
      </c>
      <c r="D280" s="175"/>
      <c r="E280" s="93" t="str">
        <f>IFERROR(__xludf.DUMMYFUNCTION("IF(D280&lt;&gt;"""",SPLIT(D280,"" 
""),)"),"")</f>
        <v/>
      </c>
    </row>
    <row r="281">
      <c r="A281" s="96" t="str">
        <f t="shared" si="1"/>
        <v/>
      </c>
      <c r="B281" s="96" t="str">
        <f t="shared" si="2"/>
        <v/>
      </c>
      <c r="C281" s="174" t="str">
        <f t="shared" si="3"/>
        <v/>
      </c>
      <c r="D281" s="175"/>
      <c r="E281" s="93" t="str">
        <f>IFERROR(__xludf.DUMMYFUNCTION("IF(D281&lt;&gt;"""",SPLIT(D281,"" 
""),)"),"")</f>
        <v/>
      </c>
    </row>
    <row r="282">
      <c r="A282" s="96" t="str">
        <f t="shared" si="1"/>
        <v/>
      </c>
      <c r="B282" s="96" t="str">
        <f t="shared" si="2"/>
        <v/>
      </c>
      <c r="C282" s="174" t="str">
        <f t="shared" si="3"/>
        <v/>
      </c>
      <c r="D282" s="175"/>
      <c r="E282" s="93" t="str">
        <f>IFERROR(__xludf.DUMMYFUNCTION("IF(D282&lt;&gt;"""",SPLIT(D282,"" 
""),)"),"")</f>
        <v/>
      </c>
    </row>
    <row r="283">
      <c r="A283" s="96" t="str">
        <f t="shared" si="1"/>
        <v/>
      </c>
      <c r="B283" s="96" t="str">
        <f t="shared" si="2"/>
        <v/>
      </c>
      <c r="C283" s="174" t="str">
        <f t="shared" si="3"/>
        <v/>
      </c>
      <c r="D283" s="175"/>
      <c r="E283" s="93" t="str">
        <f>IFERROR(__xludf.DUMMYFUNCTION("IF(D283&lt;&gt;"""",SPLIT(D283,"" 
""),)"),"")</f>
        <v/>
      </c>
    </row>
    <row r="284">
      <c r="A284" s="96" t="str">
        <f t="shared" si="1"/>
        <v/>
      </c>
      <c r="B284" s="96" t="str">
        <f t="shared" si="2"/>
        <v/>
      </c>
      <c r="C284" s="174" t="str">
        <f t="shared" si="3"/>
        <v/>
      </c>
      <c r="D284" s="175"/>
      <c r="E284" s="93" t="str">
        <f>IFERROR(__xludf.DUMMYFUNCTION("IF(D284&lt;&gt;"""",SPLIT(D284,"" 
""),)"),"")</f>
        <v/>
      </c>
    </row>
    <row r="285">
      <c r="A285" s="96" t="str">
        <f t="shared" si="1"/>
        <v/>
      </c>
      <c r="B285" s="96" t="str">
        <f t="shared" si="2"/>
        <v/>
      </c>
      <c r="C285" s="174" t="str">
        <f t="shared" si="3"/>
        <v/>
      </c>
      <c r="D285" s="175"/>
      <c r="E285" s="93" t="str">
        <f>IFERROR(__xludf.DUMMYFUNCTION("IF(D285&lt;&gt;"""",SPLIT(D285,"" 
""),)"),"")</f>
        <v/>
      </c>
    </row>
    <row r="286">
      <c r="A286" s="96" t="str">
        <f t="shared" si="1"/>
        <v/>
      </c>
      <c r="B286" s="96" t="str">
        <f t="shared" si="2"/>
        <v/>
      </c>
      <c r="C286" s="174" t="str">
        <f t="shared" si="3"/>
        <v/>
      </c>
      <c r="D286" s="175"/>
      <c r="E286" s="93" t="str">
        <f>IFERROR(__xludf.DUMMYFUNCTION("IF(D286&lt;&gt;"""",SPLIT(D286,"" 
""),)"),"")</f>
        <v/>
      </c>
    </row>
    <row r="287">
      <c r="A287" s="96" t="str">
        <f t="shared" si="1"/>
        <v/>
      </c>
      <c r="B287" s="96" t="str">
        <f t="shared" si="2"/>
        <v/>
      </c>
      <c r="C287" s="174" t="str">
        <f t="shared" si="3"/>
        <v/>
      </c>
      <c r="D287" s="175"/>
      <c r="E287" s="93" t="str">
        <f>IFERROR(__xludf.DUMMYFUNCTION("IF(D287&lt;&gt;"""",SPLIT(D287,"" 
""),)"),"")</f>
        <v/>
      </c>
    </row>
    <row r="288">
      <c r="A288" s="96" t="str">
        <f t="shared" si="1"/>
        <v/>
      </c>
      <c r="B288" s="96" t="str">
        <f t="shared" si="2"/>
        <v/>
      </c>
      <c r="C288" s="174" t="str">
        <f t="shared" si="3"/>
        <v/>
      </c>
      <c r="D288" s="175"/>
      <c r="E288" s="93" t="str">
        <f>IFERROR(__xludf.DUMMYFUNCTION("IF(D288&lt;&gt;"""",SPLIT(D288,"" 
""),)"),"")</f>
        <v/>
      </c>
    </row>
    <row r="289">
      <c r="A289" s="96" t="str">
        <f t="shared" si="1"/>
        <v/>
      </c>
      <c r="B289" s="96" t="str">
        <f t="shared" si="2"/>
        <v/>
      </c>
      <c r="C289" s="174" t="str">
        <f t="shared" si="3"/>
        <v/>
      </c>
      <c r="D289" s="175"/>
      <c r="E289" s="93" t="str">
        <f>IFERROR(__xludf.DUMMYFUNCTION("IF(D289&lt;&gt;"""",SPLIT(D289,"" 
""),)"),"")</f>
        <v/>
      </c>
    </row>
    <row r="290">
      <c r="A290" s="96" t="str">
        <f t="shared" si="1"/>
        <v/>
      </c>
      <c r="B290" s="96" t="str">
        <f t="shared" si="2"/>
        <v/>
      </c>
      <c r="C290" s="174" t="str">
        <f t="shared" si="3"/>
        <v/>
      </c>
      <c r="D290" s="175"/>
      <c r="E290" s="93" t="str">
        <f>IFERROR(__xludf.DUMMYFUNCTION("IF(D290&lt;&gt;"""",SPLIT(D290,"" 
""),)"),"")</f>
        <v/>
      </c>
    </row>
    <row r="291">
      <c r="A291" s="96" t="str">
        <f t="shared" si="1"/>
        <v/>
      </c>
      <c r="B291" s="96" t="str">
        <f t="shared" si="2"/>
        <v/>
      </c>
      <c r="C291" s="174" t="str">
        <f t="shared" si="3"/>
        <v/>
      </c>
      <c r="D291" s="175"/>
      <c r="E291" s="93" t="str">
        <f>IFERROR(__xludf.DUMMYFUNCTION("IF(D291&lt;&gt;"""",SPLIT(D291,"" 
""),)"),"")</f>
        <v/>
      </c>
    </row>
    <row r="292">
      <c r="A292" s="96" t="str">
        <f t="shared" si="1"/>
        <v/>
      </c>
      <c r="B292" s="96" t="str">
        <f t="shared" si="2"/>
        <v/>
      </c>
      <c r="C292" s="174" t="str">
        <f t="shared" si="3"/>
        <v/>
      </c>
      <c r="D292" s="175"/>
      <c r="E292" s="93" t="str">
        <f>IFERROR(__xludf.DUMMYFUNCTION("IF(D292&lt;&gt;"""",SPLIT(D292,"" 
""),)"),"")</f>
        <v/>
      </c>
    </row>
    <row r="293">
      <c r="A293" s="96" t="str">
        <f t="shared" si="1"/>
        <v/>
      </c>
      <c r="B293" s="96" t="str">
        <f t="shared" si="2"/>
        <v/>
      </c>
      <c r="C293" s="174" t="str">
        <f t="shared" si="3"/>
        <v/>
      </c>
      <c r="D293" s="175"/>
      <c r="E293" s="93" t="str">
        <f>IFERROR(__xludf.DUMMYFUNCTION("IF(D293&lt;&gt;"""",SPLIT(D293,"" 
""),)"),"")</f>
        <v/>
      </c>
    </row>
    <row r="294">
      <c r="A294" s="96" t="str">
        <f t="shared" si="1"/>
        <v/>
      </c>
      <c r="B294" s="96" t="str">
        <f t="shared" si="2"/>
        <v/>
      </c>
      <c r="C294" s="174" t="str">
        <f t="shared" si="3"/>
        <v/>
      </c>
      <c r="D294" s="175"/>
      <c r="E294" s="93" t="str">
        <f>IFERROR(__xludf.DUMMYFUNCTION("IF(D294&lt;&gt;"""",SPLIT(D294,"" 
""),)"),"")</f>
        <v/>
      </c>
    </row>
    <row r="295">
      <c r="A295" s="96" t="str">
        <f t="shared" si="1"/>
        <v/>
      </c>
      <c r="B295" s="96" t="str">
        <f t="shared" si="2"/>
        <v/>
      </c>
      <c r="C295" s="174" t="str">
        <f t="shared" si="3"/>
        <v/>
      </c>
      <c r="D295" s="175"/>
      <c r="E295" s="93" t="str">
        <f>IFERROR(__xludf.DUMMYFUNCTION("IF(D295&lt;&gt;"""",SPLIT(D295,"" 
""),)"),"")</f>
        <v/>
      </c>
    </row>
    <row r="296">
      <c r="A296" s="96" t="str">
        <f t="shared" si="1"/>
        <v/>
      </c>
      <c r="B296" s="96" t="str">
        <f t="shared" si="2"/>
        <v/>
      </c>
      <c r="C296" s="174" t="str">
        <f t="shared" si="3"/>
        <v/>
      </c>
      <c r="D296" s="175"/>
      <c r="E296" s="93" t="str">
        <f>IFERROR(__xludf.DUMMYFUNCTION("IF(D296&lt;&gt;"""",SPLIT(D296,"" 
""),)"),"")</f>
        <v/>
      </c>
    </row>
    <row r="297">
      <c r="A297" s="96" t="str">
        <f t="shared" si="1"/>
        <v/>
      </c>
      <c r="B297" s="96" t="str">
        <f t="shared" si="2"/>
        <v/>
      </c>
      <c r="C297" s="174" t="str">
        <f t="shared" si="3"/>
        <v/>
      </c>
      <c r="D297" s="175"/>
      <c r="E297" s="93" t="str">
        <f>IFERROR(__xludf.DUMMYFUNCTION("IF(D297&lt;&gt;"""",SPLIT(D297,"" 
""),)"),"")</f>
        <v/>
      </c>
    </row>
    <row r="298">
      <c r="A298" s="96" t="str">
        <f t="shared" si="1"/>
        <v/>
      </c>
      <c r="B298" s="96" t="str">
        <f t="shared" si="2"/>
        <v/>
      </c>
      <c r="C298" s="174" t="str">
        <f t="shared" si="3"/>
        <v/>
      </c>
      <c r="D298" s="175"/>
      <c r="E298" s="93" t="str">
        <f>IFERROR(__xludf.DUMMYFUNCTION("IF(D298&lt;&gt;"""",SPLIT(D298,"" 
""),)"),"")</f>
        <v/>
      </c>
    </row>
    <row r="299">
      <c r="A299" s="96" t="str">
        <f t="shared" si="1"/>
        <v/>
      </c>
      <c r="B299" s="96" t="str">
        <f t="shared" si="2"/>
        <v/>
      </c>
      <c r="C299" s="174" t="str">
        <f t="shared" si="3"/>
        <v/>
      </c>
      <c r="D299" s="175"/>
      <c r="E299" s="93" t="str">
        <f>IFERROR(__xludf.DUMMYFUNCTION("IF(D299&lt;&gt;"""",SPLIT(D299,"" 
""),)"),"")</f>
        <v/>
      </c>
    </row>
    <row r="300">
      <c r="A300" s="96" t="str">
        <f t="shared" si="1"/>
        <v/>
      </c>
      <c r="B300" s="96" t="str">
        <f t="shared" si="2"/>
        <v/>
      </c>
      <c r="C300" s="174" t="str">
        <f t="shared" si="3"/>
        <v/>
      </c>
      <c r="D300" s="175"/>
      <c r="E300" s="93" t="str">
        <f>IFERROR(__xludf.DUMMYFUNCTION("IF(D300&lt;&gt;"""",SPLIT(D300,"" 
""),)"),"")</f>
        <v/>
      </c>
    </row>
    <row r="301">
      <c r="A301" s="96" t="str">
        <f t="shared" si="1"/>
        <v/>
      </c>
      <c r="B301" s="96" t="str">
        <f t="shared" si="2"/>
        <v/>
      </c>
      <c r="C301" s="174" t="str">
        <f t="shared" si="3"/>
        <v/>
      </c>
      <c r="D301" s="175"/>
      <c r="E301" s="93" t="str">
        <f>IFERROR(__xludf.DUMMYFUNCTION("IF(D301&lt;&gt;"""",SPLIT(D301,"" 
""),)"),"")</f>
        <v/>
      </c>
    </row>
    <row r="302">
      <c r="A302" s="96" t="str">
        <f t="shared" si="1"/>
        <v/>
      </c>
      <c r="B302" s="96" t="str">
        <f t="shared" si="2"/>
        <v/>
      </c>
      <c r="C302" s="174" t="str">
        <f t="shared" si="3"/>
        <v/>
      </c>
      <c r="D302" s="175"/>
      <c r="E302" s="93" t="str">
        <f>IFERROR(__xludf.DUMMYFUNCTION("IF(D302&lt;&gt;"""",SPLIT(D302,"" 
""),)"),"")</f>
        <v/>
      </c>
    </row>
    <row r="303">
      <c r="A303" s="96" t="str">
        <f t="shared" si="1"/>
        <v/>
      </c>
      <c r="B303" s="96" t="str">
        <f t="shared" si="2"/>
        <v/>
      </c>
      <c r="C303" s="174" t="str">
        <f t="shared" si="3"/>
        <v/>
      </c>
      <c r="D303" s="175"/>
      <c r="E303" s="93" t="str">
        <f>IFERROR(__xludf.DUMMYFUNCTION("IF(D303&lt;&gt;"""",SPLIT(D303,"" 
""),)"),"")</f>
        <v/>
      </c>
    </row>
    <row r="304">
      <c r="A304" s="96" t="str">
        <f t="shared" si="1"/>
        <v/>
      </c>
      <c r="B304" s="96" t="str">
        <f t="shared" si="2"/>
        <v/>
      </c>
      <c r="C304" s="174" t="str">
        <f t="shared" si="3"/>
        <v/>
      </c>
      <c r="D304" s="175"/>
      <c r="E304" s="93" t="str">
        <f>IFERROR(__xludf.DUMMYFUNCTION("IF(D304&lt;&gt;"""",SPLIT(D304,"" 
""),)"),"")</f>
        <v/>
      </c>
    </row>
    <row r="305">
      <c r="A305" s="96" t="str">
        <f t="shared" si="1"/>
        <v/>
      </c>
      <c r="B305" s="96" t="str">
        <f t="shared" si="2"/>
        <v/>
      </c>
      <c r="C305" s="174" t="str">
        <f t="shared" si="3"/>
        <v/>
      </c>
      <c r="D305" s="175"/>
      <c r="E305" s="93" t="str">
        <f>IFERROR(__xludf.DUMMYFUNCTION("IF(D305&lt;&gt;"""",SPLIT(D305,"" 
""),)"),"")</f>
        <v/>
      </c>
    </row>
    <row r="306">
      <c r="A306" s="96" t="str">
        <f t="shared" si="1"/>
        <v/>
      </c>
      <c r="B306" s="96" t="str">
        <f t="shared" si="2"/>
        <v/>
      </c>
      <c r="C306" s="174" t="str">
        <f t="shared" si="3"/>
        <v/>
      </c>
      <c r="D306" s="175"/>
      <c r="E306" s="93" t="str">
        <f>IFERROR(__xludf.DUMMYFUNCTION("IF(D306&lt;&gt;"""",SPLIT(D306,"" 
""),)"),"")</f>
        <v/>
      </c>
    </row>
    <row r="307">
      <c r="A307" s="96" t="str">
        <f t="shared" si="1"/>
        <v/>
      </c>
      <c r="B307" s="96" t="str">
        <f t="shared" si="2"/>
        <v/>
      </c>
      <c r="C307" s="174" t="str">
        <f t="shared" si="3"/>
        <v/>
      </c>
      <c r="D307" s="175"/>
      <c r="E307" s="93" t="str">
        <f>IFERROR(__xludf.DUMMYFUNCTION("IF(D307&lt;&gt;"""",SPLIT(D307,"" 
""),)"),"")</f>
        <v/>
      </c>
    </row>
    <row r="308">
      <c r="A308" s="96" t="str">
        <f t="shared" si="1"/>
        <v/>
      </c>
      <c r="B308" s="96" t="str">
        <f t="shared" si="2"/>
        <v/>
      </c>
      <c r="C308" s="174" t="str">
        <f t="shared" si="3"/>
        <v/>
      </c>
      <c r="D308" s="175"/>
      <c r="E308" s="93" t="str">
        <f>IFERROR(__xludf.DUMMYFUNCTION("IF(D308&lt;&gt;"""",SPLIT(D308,"" 
""),)"),"")</f>
        <v/>
      </c>
    </row>
    <row r="309">
      <c r="A309" s="96" t="str">
        <f t="shared" si="1"/>
        <v/>
      </c>
      <c r="B309" s="96" t="str">
        <f t="shared" si="2"/>
        <v/>
      </c>
      <c r="C309" s="174" t="str">
        <f t="shared" si="3"/>
        <v/>
      </c>
      <c r="D309" s="175"/>
      <c r="E309" s="93" t="str">
        <f>IFERROR(__xludf.DUMMYFUNCTION("IF(D309&lt;&gt;"""",SPLIT(D309,"" 
""),)"),"")</f>
        <v/>
      </c>
    </row>
    <row r="310">
      <c r="A310" s="96" t="str">
        <f t="shared" si="1"/>
        <v/>
      </c>
      <c r="B310" s="96" t="str">
        <f t="shared" si="2"/>
        <v/>
      </c>
      <c r="C310" s="174" t="str">
        <f t="shared" si="3"/>
        <v/>
      </c>
      <c r="D310" s="175"/>
      <c r="E310" s="93" t="str">
        <f>IFERROR(__xludf.DUMMYFUNCTION("IF(D310&lt;&gt;"""",SPLIT(D310,"" 
""),)"),"")</f>
        <v/>
      </c>
    </row>
    <row r="311">
      <c r="A311" s="96" t="str">
        <f t="shared" si="1"/>
        <v/>
      </c>
      <c r="B311" s="96" t="str">
        <f t="shared" si="2"/>
        <v/>
      </c>
      <c r="C311" s="174" t="str">
        <f t="shared" si="3"/>
        <v/>
      </c>
      <c r="D311" s="175"/>
      <c r="E311" s="93" t="str">
        <f>IFERROR(__xludf.DUMMYFUNCTION("IF(D311&lt;&gt;"""",SPLIT(D311,"" 
""),)"),"")</f>
        <v/>
      </c>
    </row>
    <row r="312">
      <c r="A312" s="96" t="str">
        <f t="shared" si="1"/>
        <v/>
      </c>
      <c r="B312" s="96" t="str">
        <f t="shared" si="2"/>
        <v/>
      </c>
      <c r="C312" s="174" t="str">
        <f t="shared" si="3"/>
        <v/>
      </c>
      <c r="D312" s="175"/>
      <c r="E312" s="93" t="str">
        <f>IFERROR(__xludf.DUMMYFUNCTION("IF(D312&lt;&gt;"""",SPLIT(D312,"" 
""),)"),"")</f>
        <v/>
      </c>
    </row>
    <row r="313">
      <c r="A313" s="96" t="str">
        <f t="shared" si="1"/>
        <v/>
      </c>
      <c r="B313" s="96" t="str">
        <f t="shared" si="2"/>
        <v/>
      </c>
      <c r="C313" s="174" t="str">
        <f t="shared" si="3"/>
        <v/>
      </c>
      <c r="D313" s="175"/>
      <c r="E313" s="93" t="str">
        <f>IFERROR(__xludf.DUMMYFUNCTION("IF(D313&lt;&gt;"""",SPLIT(D313,"" 
""),)"),"")</f>
        <v/>
      </c>
    </row>
    <row r="314">
      <c r="A314" s="96" t="str">
        <f t="shared" si="1"/>
        <v/>
      </c>
      <c r="B314" s="96" t="str">
        <f t="shared" si="2"/>
        <v/>
      </c>
      <c r="C314" s="174" t="str">
        <f t="shared" si="3"/>
        <v/>
      </c>
      <c r="D314" s="175"/>
      <c r="E314" s="93" t="str">
        <f>IFERROR(__xludf.DUMMYFUNCTION("IF(D314&lt;&gt;"""",SPLIT(D314,"" 
""),)"),"")</f>
        <v/>
      </c>
    </row>
    <row r="315">
      <c r="A315" s="96" t="str">
        <f t="shared" si="1"/>
        <v/>
      </c>
      <c r="B315" s="96" t="str">
        <f t="shared" si="2"/>
        <v/>
      </c>
      <c r="C315" s="174" t="str">
        <f t="shared" si="3"/>
        <v/>
      </c>
      <c r="D315" s="175"/>
      <c r="E315" s="93" t="str">
        <f>IFERROR(__xludf.DUMMYFUNCTION("IF(D315&lt;&gt;"""",SPLIT(D315,"" 
""),)"),"")</f>
        <v/>
      </c>
    </row>
    <row r="316">
      <c r="A316" s="96" t="str">
        <f t="shared" si="1"/>
        <v/>
      </c>
      <c r="B316" s="96" t="str">
        <f t="shared" si="2"/>
        <v/>
      </c>
      <c r="C316" s="174" t="str">
        <f t="shared" si="3"/>
        <v/>
      </c>
      <c r="D316" s="175"/>
      <c r="E316" s="93" t="str">
        <f>IFERROR(__xludf.DUMMYFUNCTION("IF(D316&lt;&gt;"""",SPLIT(D316,"" 
""),)"),"")</f>
        <v/>
      </c>
    </row>
    <row r="317">
      <c r="A317" s="96" t="str">
        <f t="shared" si="1"/>
        <v/>
      </c>
      <c r="B317" s="96" t="str">
        <f t="shared" si="2"/>
        <v/>
      </c>
      <c r="C317" s="174" t="str">
        <f t="shared" si="3"/>
        <v/>
      </c>
      <c r="D317" s="175"/>
      <c r="E317" s="93" t="str">
        <f>IFERROR(__xludf.DUMMYFUNCTION("IF(D317&lt;&gt;"""",SPLIT(D317,"" 
""),)"),"")</f>
        <v/>
      </c>
    </row>
    <row r="318">
      <c r="A318" s="96" t="str">
        <f t="shared" si="1"/>
        <v/>
      </c>
      <c r="B318" s="96" t="str">
        <f t="shared" si="2"/>
        <v/>
      </c>
      <c r="C318" s="174" t="str">
        <f t="shared" si="3"/>
        <v/>
      </c>
      <c r="D318" s="175"/>
      <c r="E318" s="93" t="str">
        <f>IFERROR(__xludf.DUMMYFUNCTION("IF(D318&lt;&gt;"""",SPLIT(D318,"" 
""),)"),"")</f>
        <v/>
      </c>
    </row>
    <row r="319">
      <c r="A319" s="96" t="str">
        <f t="shared" si="1"/>
        <v/>
      </c>
      <c r="B319" s="96" t="str">
        <f t="shared" si="2"/>
        <v/>
      </c>
      <c r="C319" s="174" t="str">
        <f t="shared" si="3"/>
        <v/>
      </c>
      <c r="D319" s="175"/>
      <c r="E319" s="93" t="str">
        <f>IFERROR(__xludf.DUMMYFUNCTION("IF(D319&lt;&gt;"""",SPLIT(D319,"" 
""),)"),"")</f>
        <v/>
      </c>
    </row>
    <row r="320">
      <c r="A320" s="96" t="str">
        <f t="shared" si="1"/>
        <v/>
      </c>
      <c r="B320" s="96" t="str">
        <f t="shared" si="2"/>
        <v/>
      </c>
      <c r="C320" s="174" t="str">
        <f t="shared" si="3"/>
        <v/>
      </c>
      <c r="D320" s="175"/>
      <c r="E320" s="93" t="str">
        <f>IFERROR(__xludf.DUMMYFUNCTION("IF(D320&lt;&gt;"""",SPLIT(D320,"" 
""),)"),"")</f>
        <v/>
      </c>
    </row>
    <row r="321">
      <c r="A321" s="96" t="str">
        <f t="shared" si="1"/>
        <v/>
      </c>
      <c r="B321" s="96" t="str">
        <f t="shared" si="2"/>
        <v/>
      </c>
      <c r="C321" s="174" t="str">
        <f t="shared" si="3"/>
        <v/>
      </c>
      <c r="D321" s="175"/>
      <c r="E321" s="93" t="str">
        <f>IFERROR(__xludf.DUMMYFUNCTION("IF(D321&lt;&gt;"""",SPLIT(D321,"" 
""),)"),"")</f>
        <v/>
      </c>
    </row>
    <row r="322">
      <c r="A322" s="96" t="str">
        <f t="shared" si="1"/>
        <v/>
      </c>
      <c r="B322" s="96" t="str">
        <f t="shared" si="2"/>
        <v/>
      </c>
      <c r="C322" s="174" t="str">
        <f t="shared" si="3"/>
        <v/>
      </c>
      <c r="D322" s="175"/>
      <c r="E322" s="93" t="str">
        <f>IFERROR(__xludf.DUMMYFUNCTION("IF(D322&lt;&gt;"""",SPLIT(D322,"" 
""),)"),"")</f>
        <v/>
      </c>
    </row>
    <row r="323">
      <c r="A323" s="96" t="str">
        <f t="shared" si="1"/>
        <v/>
      </c>
      <c r="B323" s="96" t="str">
        <f t="shared" si="2"/>
        <v/>
      </c>
      <c r="C323" s="174" t="str">
        <f t="shared" si="3"/>
        <v/>
      </c>
      <c r="D323" s="175"/>
      <c r="E323" s="93" t="str">
        <f>IFERROR(__xludf.DUMMYFUNCTION("IF(D323&lt;&gt;"""",SPLIT(D323,"" 
""),)"),"")</f>
        <v/>
      </c>
    </row>
    <row r="324">
      <c r="A324" s="96" t="str">
        <f t="shared" si="1"/>
        <v/>
      </c>
      <c r="B324" s="96" t="str">
        <f t="shared" si="2"/>
        <v/>
      </c>
      <c r="C324" s="174" t="str">
        <f t="shared" si="3"/>
        <v/>
      </c>
      <c r="D324" s="175"/>
      <c r="E324" s="93" t="str">
        <f>IFERROR(__xludf.DUMMYFUNCTION("IF(D324&lt;&gt;"""",SPLIT(D324,"" 
""),)"),"")</f>
        <v/>
      </c>
    </row>
    <row r="325">
      <c r="A325" s="96" t="str">
        <f t="shared" si="1"/>
        <v/>
      </c>
      <c r="B325" s="96" t="str">
        <f t="shared" si="2"/>
        <v/>
      </c>
      <c r="C325" s="174" t="str">
        <f t="shared" si="3"/>
        <v/>
      </c>
      <c r="D325" s="175"/>
      <c r="E325" s="93" t="str">
        <f>IFERROR(__xludf.DUMMYFUNCTION("IF(D325&lt;&gt;"""",SPLIT(D325,"" 
""),)"),"")</f>
        <v/>
      </c>
    </row>
    <row r="326">
      <c r="A326" s="96" t="str">
        <f t="shared" si="1"/>
        <v/>
      </c>
      <c r="B326" s="96" t="str">
        <f t="shared" si="2"/>
        <v/>
      </c>
      <c r="C326" s="174" t="str">
        <f t="shared" si="3"/>
        <v/>
      </c>
      <c r="D326" s="175"/>
      <c r="E326" s="93" t="str">
        <f>IFERROR(__xludf.DUMMYFUNCTION("IF(D326&lt;&gt;"""",SPLIT(D326,"" 
""),)"),"")</f>
        <v/>
      </c>
    </row>
    <row r="327">
      <c r="A327" s="96" t="str">
        <f t="shared" si="1"/>
        <v/>
      </c>
      <c r="B327" s="96" t="str">
        <f t="shared" si="2"/>
        <v/>
      </c>
      <c r="C327" s="174" t="str">
        <f t="shared" si="3"/>
        <v/>
      </c>
      <c r="D327" s="175"/>
      <c r="E327" s="93" t="str">
        <f>IFERROR(__xludf.DUMMYFUNCTION("IF(D327&lt;&gt;"""",SPLIT(D327,"" 
""),)"),"")</f>
        <v/>
      </c>
    </row>
    <row r="328">
      <c r="A328" s="96" t="str">
        <f t="shared" si="1"/>
        <v/>
      </c>
      <c r="B328" s="96" t="str">
        <f t="shared" si="2"/>
        <v/>
      </c>
      <c r="C328" s="174" t="str">
        <f t="shared" si="3"/>
        <v/>
      </c>
      <c r="D328" s="175"/>
      <c r="E328" s="93" t="str">
        <f>IFERROR(__xludf.DUMMYFUNCTION("IF(D328&lt;&gt;"""",SPLIT(D328,"" 
""),)"),"")</f>
        <v/>
      </c>
    </row>
    <row r="329">
      <c r="A329" s="96" t="str">
        <f t="shared" si="1"/>
        <v/>
      </c>
      <c r="B329" s="96" t="str">
        <f t="shared" si="2"/>
        <v/>
      </c>
      <c r="C329" s="174" t="str">
        <f t="shared" si="3"/>
        <v/>
      </c>
      <c r="D329" s="175"/>
      <c r="E329" s="93" t="str">
        <f>IFERROR(__xludf.DUMMYFUNCTION("IF(D329&lt;&gt;"""",SPLIT(D329,"" 
""),)"),"")</f>
        <v/>
      </c>
    </row>
    <row r="330">
      <c r="A330" s="96" t="str">
        <f t="shared" si="1"/>
        <v/>
      </c>
      <c r="B330" s="96" t="str">
        <f t="shared" si="2"/>
        <v/>
      </c>
      <c r="C330" s="174" t="str">
        <f t="shared" si="3"/>
        <v/>
      </c>
      <c r="D330" s="175"/>
      <c r="E330" s="93" t="str">
        <f>IFERROR(__xludf.DUMMYFUNCTION("IF(D330&lt;&gt;"""",SPLIT(D330,"" 
""),)"),"")</f>
        <v/>
      </c>
    </row>
    <row r="331">
      <c r="A331" s="96" t="str">
        <f t="shared" si="1"/>
        <v/>
      </c>
      <c r="B331" s="96" t="str">
        <f t="shared" si="2"/>
        <v/>
      </c>
      <c r="C331" s="174" t="str">
        <f t="shared" si="3"/>
        <v/>
      </c>
      <c r="D331" s="175"/>
      <c r="E331" s="93" t="str">
        <f>IFERROR(__xludf.DUMMYFUNCTION("IF(D331&lt;&gt;"""",SPLIT(D331,"" 
""),)"),"")</f>
        <v/>
      </c>
    </row>
    <row r="332">
      <c r="A332" s="96" t="str">
        <f t="shared" si="1"/>
        <v/>
      </c>
      <c r="B332" s="96" t="str">
        <f t="shared" si="2"/>
        <v/>
      </c>
      <c r="C332" s="174" t="str">
        <f t="shared" si="3"/>
        <v/>
      </c>
      <c r="D332" s="175"/>
      <c r="E332" s="93" t="str">
        <f>IFERROR(__xludf.DUMMYFUNCTION("IF(D332&lt;&gt;"""",SPLIT(D332,"" 
""),)"),"")</f>
        <v/>
      </c>
    </row>
    <row r="333">
      <c r="A333" s="96" t="str">
        <f t="shared" si="1"/>
        <v/>
      </c>
      <c r="B333" s="96" t="str">
        <f t="shared" si="2"/>
        <v/>
      </c>
      <c r="C333" s="174" t="str">
        <f t="shared" si="3"/>
        <v/>
      </c>
      <c r="D333" s="175"/>
      <c r="E333" s="93" t="str">
        <f>IFERROR(__xludf.DUMMYFUNCTION("IF(D333&lt;&gt;"""",SPLIT(D333,"" 
""),)"),"")</f>
        <v/>
      </c>
    </row>
    <row r="334">
      <c r="A334" s="96" t="str">
        <f t="shared" si="1"/>
        <v/>
      </c>
      <c r="B334" s="96" t="str">
        <f t="shared" si="2"/>
        <v/>
      </c>
      <c r="C334" s="174" t="str">
        <f t="shared" si="3"/>
        <v/>
      </c>
      <c r="D334" s="175"/>
      <c r="E334" s="93" t="str">
        <f>IFERROR(__xludf.DUMMYFUNCTION("IF(D334&lt;&gt;"""",SPLIT(D334,"" 
""),)"),"")</f>
        <v/>
      </c>
    </row>
    <row r="335">
      <c r="A335" s="96" t="str">
        <f t="shared" si="1"/>
        <v/>
      </c>
      <c r="B335" s="96" t="str">
        <f t="shared" si="2"/>
        <v/>
      </c>
      <c r="C335" s="174" t="str">
        <f t="shared" si="3"/>
        <v/>
      </c>
      <c r="D335" s="175"/>
      <c r="E335" s="93" t="str">
        <f>IFERROR(__xludf.DUMMYFUNCTION("IF(D335&lt;&gt;"""",SPLIT(D335,"" 
""),)"),"")</f>
        <v/>
      </c>
    </row>
    <row r="336">
      <c r="A336" s="96" t="str">
        <f t="shared" si="1"/>
        <v/>
      </c>
      <c r="B336" s="96" t="str">
        <f t="shared" si="2"/>
        <v/>
      </c>
      <c r="C336" s="174" t="str">
        <f t="shared" si="3"/>
        <v/>
      </c>
      <c r="D336" s="175"/>
      <c r="E336" s="93" t="str">
        <f>IFERROR(__xludf.DUMMYFUNCTION("IF(D336&lt;&gt;"""",SPLIT(D336,"" 
""),)"),"")</f>
        <v/>
      </c>
    </row>
    <row r="337">
      <c r="A337" s="96" t="str">
        <f t="shared" si="1"/>
        <v/>
      </c>
      <c r="B337" s="96" t="str">
        <f t="shared" si="2"/>
        <v/>
      </c>
      <c r="C337" s="174" t="str">
        <f t="shared" si="3"/>
        <v/>
      </c>
      <c r="D337" s="175"/>
      <c r="E337" s="93" t="str">
        <f>IFERROR(__xludf.DUMMYFUNCTION("IF(D337&lt;&gt;"""",SPLIT(D337,"" 
""),)"),"")</f>
        <v/>
      </c>
    </row>
    <row r="338">
      <c r="A338" s="96" t="str">
        <f t="shared" si="1"/>
        <v/>
      </c>
      <c r="B338" s="96" t="str">
        <f t="shared" si="2"/>
        <v/>
      </c>
      <c r="C338" s="174" t="str">
        <f t="shared" si="3"/>
        <v/>
      </c>
      <c r="D338" s="175"/>
      <c r="E338" s="93" t="str">
        <f>IFERROR(__xludf.DUMMYFUNCTION("IF(D338&lt;&gt;"""",SPLIT(D338,"" 
""),)"),"")</f>
        <v/>
      </c>
    </row>
    <row r="339">
      <c r="A339" s="96" t="str">
        <f t="shared" si="1"/>
        <v/>
      </c>
      <c r="B339" s="96" t="str">
        <f t="shared" si="2"/>
        <v/>
      </c>
      <c r="C339" s="174" t="str">
        <f t="shared" si="3"/>
        <v/>
      </c>
      <c r="D339" s="175"/>
      <c r="E339" s="93" t="str">
        <f>IFERROR(__xludf.DUMMYFUNCTION("IF(D339&lt;&gt;"""",SPLIT(D339,"" 
""),)"),"")</f>
        <v/>
      </c>
    </row>
    <row r="340">
      <c r="A340" s="96" t="str">
        <f t="shared" si="1"/>
        <v/>
      </c>
      <c r="B340" s="96" t="str">
        <f t="shared" si="2"/>
        <v/>
      </c>
      <c r="C340" s="174" t="str">
        <f t="shared" si="3"/>
        <v/>
      </c>
      <c r="D340" s="175"/>
      <c r="E340" s="93" t="str">
        <f>IFERROR(__xludf.DUMMYFUNCTION("IF(D340&lt;&gt;"""",SPLIT(D340,"" 
""),)"),"")</f>
        <v/>
      </c>
    </row>
    <row r="341">
      <c r="A341" s="96" t="str">
        <f t="shared" si="1"/>
        <v/>
      </c>
      <c r="B341" s="96" t="str">
        <f t="shared" si="2"/>
        <v/>
      </c>
      <c r="C341" s="174" t="str">
        <f t="shared" si="3"/>
        <v/>
      </c>
      <c r="D341" s="175"/>
      <c r="E341" s="93" t="str">
        <f>IFERROR(__xludf.DUMMYFUNCTION("IF(D341&lt;&gt;"""",SPLIT(D341,"" 
""),)"),"")</f>
        <v/>
      </c>
    </row>
    <row r="342">
      <c r="A342" s="96" t="str">
        <f t="shared" si="1"/>
        <v/>
      </c>
      <c r="B342" s="96" t="str">
        <f t="shared" si="2"/>
        <v/>
      </c>
      <c r="C342" s="174" t="str">
        <f t="shared" si="3"/>
        <v/>
      </c>
      <c r="D342" s="175"/>
      <c r="E342" s="93" t="str">
        <f>IFERROR(__xludf.DUMMYFUNCTION("IF(D342&lt;&gt;"""",SPLIT(D342,"" 
""),)"),"")</f>
        <v/>
      </c>
    </row>
    <row r="343">
      <c r="A343" s="96" t="str">
        <f t="shared" si="1"/>
        <v/>
      </c>
      <c r="B343" s="96" t="str">
        <f t="shared" si="2"/>
        <v/>
      </c>
      <c r="C343" s="174" t="str">
        <f t="shared" si="3"/>
        <v/>
      </c>
      <c r="D343" s="175"/>
      <c r="E343" s="93" t="str">
        <f>IFERROR(__xludf.DUMMYFUNCTION("IF(D343&lt;&gt;"""",SPLIT(D343,"" 
""),)"),"")</f>
        <v/>
      </c>
    </row>
    <row r="344">
      <c r="A344" s="96" t="str">
        <f t="shared" si="1"/>
        <v/>
      </c>
      <c r="B344" s="96" t="str">
        <f t="shared" si="2"/>
        <v/>
      </c>
      <c r="C344" s="174" t="str">
        <f t="shared" si="3"/>
        <v/>
      </c>
      <c r="D344" s="175"/>
      <c r="E344" s="93" t="str">
        <f>IFERROR(__xludf.DUMMYFUNCTION("IF(D344&lt;&gt;"""",SPLIT(D344,"" 
""),)"),"")</f>
        <v/>
      </c>
    </row>
    <row r="345">
      <c r="A345" s="96" t="str">
        <f t="shared" si="1"/>
        <v/>
      </c>
      <c r="B345" s="96" t="str">
        <f t="shared" si="2"/>
        <v/>
      </c>
      <c r="C345" s="174" t="str">
        <f t="shared" si="3"/>
        <v/>
      </c>
      <c r="D345" s="175"/>
      <c r="E345" s="93" t="str">
        <f>IFERROR(__xludf.DUMMYFUNCTION("IF(D345&lt;&gt;"""",SPLIT(D345,"" 
""),)"),"")</f>
        <v/>
      </c>
    </row>
    <row r="346">
      <c r="A346" s="96" t="str">
        <f t="shared" si="1"/>
        <v/>
      </c>
      <c r="B346" s="96" t="str">
        <f t="shared" si="2"/>
        <v/>
      </c>
      <c r="C346" s="174" t="str">
        <f t="shared" si="3"/>
        <v/>
      </c>
      <c r="D346" s="175"/>
      <c r="E346" s="93" t="str">
        <f>IFERROR(__xludf.DUMMYFUNCTION("IF(D346&lt;&gt;"""",SPLIT(D346,"" 
""),)"),"")</f>
        <v/>
      </c>
    </row>
    <row r="347">
      <c r="A347" s="96" t="str">
        <f t="shared" si="1"/>
        <v/>
      </c>
      <c r="B347" s="96" t="str">
        <f t="shared" si="2"/>
        <v/>
      </c>
      <c r="C347" s="174" t="str">
        <f t="shared" si="3"/>
        <v/>
      </c>
      <c r="D347" s="175"/>
      <c r="E347" s="93" t="str">
        <f>IFERROR(__xludf.DUMMYFUNCTION("IF(D347&lt;&gt;"""",SPLIT(D347,"" 
""),)"),"")</f>
        <v/>
      </c>
    </row>
    <row r="348">
      <c r="A348" s="96" t="str">
        <f t="shared" si="1"/>
        <v/>
      </c>
      <c r="B348" s="96" t="str">
        <f t="shared" si="2"/>
        <v/>
      </c>
      <c r="C348" s="174" t="str">
        <f t="shared" si="3"/>
        <v/>
      </c>
      <c r="D348" s="175"/>
      <c r="E348" s="93" t="str">
        <f>IFERROR(__xludf.DUMMYFUNCTION("IF(D348&lt;&gt;"""",SPLIT(D348,"" 
""),)"),"")</f>
        <v/>
      </c>
    </row>
    <row r="349">
      <c r="A349" s="96" t="str">
        <f t="shared" si="1"/>
        <v/>
      </c>
      <c r="B349" s="96" t="str">
        <f t="shared" si="2"/>
        <v/>
      </c>
      <c r="C349" s="174" t="str">
        <f t="shared" si="3"/>
        <v/>
      </c>
      <c r="D349" s="175"/>
      <c r="E349" s="93" t="str">
        <f>IFERROR(__xludf.DUMMYFUNCTION("IF(D349&lt;&gt;"""",SPLIT(D349,"" 
""),)"),"")</f>
        <v/>
      </c>
    </row>
    <row r="350">
      <c r="A350" s="96" t="str">
        <f t="shared" si="1"/>
        <v/>
      </c>
      <c r="B350" s="96" t="str">
        <f t="shared" si="2"/>
        <v/>
      </c>
      <c r="C350" s="174" t="str">
        <f t="shared" si="3"/>
        <v/>
      </c>
      <c r="D350" s="175"/>
      <c r="E350" s="93" t="str">
        <f>IFERROR(__xludf.DUMMYFUNCTION("IF(D350&lt;&gt;"""",SPLIT(D350,"" 
""),)"),"")</f>
        <v/>
      </c>
    </row>
    <row r="351">
      <c r="A351" s="96" t="str">
        <f t="shared" si="1"/>
        <v/>
      </c>
      <c r="B351" s="96" t="str">
        <f t="shared" si="2"/>
        <v/>
      </c>
      <c r="C351" s="174" t="str">
        <f t="shared" si="3"/>
        <v/>
      </c>
      <c r="D351" s="175"/>
      <c r="E351" s="93" t="str">
        <f>IFERROR(__xludf.DUMMYFUNCTION("IF(D351&lt;&gt;"""",SPLIT(D351,"" 
""),)"),"")</f>
        <v/>
      </c>
    </row>
    <row r="352">
      <c r="A352" s="96" t="str">
        <f t="shared" si="1"/>
        <v/>
      </c>
      <c r="B352" s="96" t="str">
        <f t="shared" si="2"/>
        <v/>
      </c>
      <c r="C352" s="174" t="str">
        <f t="shared" si="3"/>
        <v/>
      </c>
      <c r="D352" s="175"/>
      <c r="E352" s="93" t="str">
        <f>IFERROR(__xludf.DUMMYFUNCTION("IF(D352&lt;&gt;"""",SPLIT(D352,"" 
""),)"),"")</f>
        <v/>
      </c>
    </row>
    <row r="353">
      <c r="A353" s="96" t="str">
        <f t="shared" si="1"/>
        <v/>
      </c>
      <c r="B353" s="96" t="str">
        <f t="shared" si="2"/>
        <v/>
      </c>
      <c r="C353" s="174" t="str">
        <f t="shared" si="3"/>
        <v/>
      </c>
      <c r="D353" s="175"/>
      <c r="E353" s="93" t="str">
        <f>IFERROR(__xludf.DUMMYFUNCTION("IF(D353&lt;&gt;"""",SPLIT(D353,"" 
""),)"),"")</f>
        <v/>
      </c>
    </row>
    <row r="354">
      <c r="A354" s="96" t="str">
        <f t="shared" si="1"/>
        <v/>
      </c>
      <c r="B354" s="96" t="str">
        <f t="shared" si="2"/>
        <v/>
      </c>
      <c r="C354" s="174" t="str">
        <f t="shared" si="3"/>
        <v/>
      </c>
      <c r="D354" s="175"/>
      <c r="E354" s="93" t="str">
        <f>IFERROR(__xludf.DUMMYFUNCTION("IF(D354&lt;&gt;"""",SPLIT(D354,"" 
""),)"),"")</f>
        <v/>
      </c>
    </row>
    <row r="355">
      <c r="A355" s="96" t="str">
        <f t="shared" si="1"/>
        <v/>
      </c>
      <c r="B355" s="96" t="str">
        <f t="shared" si="2"/>
        <v/>
      </c>
      <c r="C355" s="174" t="str">
        <f t="shared" si="3"/>
        <v/>
      </c>
      <c r="D355" s="175"/>
      <c r="E355" s="93" t="str">
        <f>IFERROR(__xludf.DUMMYFUNCTION("IF(D355&lt;&gt;"""",SPLIT(D355,"" 
""),)"),"")</f>
        <v/>
      </c>
    </row>
    <row r="356">
      <c r="A356" s="96" t="str">
        <f t="shared" si="1"/>
        <v/>
      </c>
      <c r="B356" s="96" t="str">
        <f t="shared" si="2"/>
        <v/>
      </c>
      <c r="C356" s="174" t="str">
        <f t="shared" si="3"/>
        <v/>
      </c>
      <c r="D356" s="175"/>
      <c r="E356" s="93" t="str">
        <f>IFERROR(__xludf.DUMMYFUNCTION("IF(D356&lt;&gt;"""",SPLIT(D356,"" 
""),)"),"")</f>
        <v/>
      </c>
    </row>
    <row r="357">
      <c r="A357" s="96" t="str">
        <f t="shared" si="1"/>
        <v/>
      </c>
      <c r="B357" s="96" t="str">
        <f t="shared" si="2"/>
        <v/>
      </c>
      <c r="C357" s="174" t="str">
        <f t="shared" si="3"/>
        <v/>
      </c>
      <c r="D357" s="175"/>
      <c r="E357" s="93" t="str">
        <f>IFERROR(__xludf.DUMMYFUNCTION("IF(D357&lt;&gt;"""",SPLIT(D357,"" 
""),)"),"")</f>
        <v/>
      </c>
    </row>
    <row r="358">
      <c r="A358" s="96" t="str">
        <f t="shared" si="1"/>
        <v/>
      </c>
      <c r="B358" s="96" t="str">
        <f t="shared" si="2"/>
        <v/>
      </c>
      <c r="C358" s="174" t="str">
        <f t="shared" si="3"/>
        <v/>
      </c>
      <c r="D358" s="175"/>
      <c r="E358" s="93" t="str">
        <f>IFERROR(__xludf.DUMMYFUNCTION("IF(D358&lt;&gt;"""",SPLIT(D358,"" 
""),)"),"")</f>
        <v/>
      </c>
    </row>
    <row r="359">
      <c r="A359" s="96" t="str">
        <f t="shared" si="1"/>
        <v/>
      </c>
      <c r="B359" s="96" t="str">
        <f t="shared" si="2"/>
        <v/>
      </c>
      <c r="C359" s="174" t="str">
        <f t="shared" si="3"/>
        <v/>
      </c>
      <c r="D359" s="175"/>
      <c r="E359" s="93" t="str">
        <f>IFERROR(__xludf.DUMMYFUNCTION("IF(D359&lt;&gt;"""",SPLIT(D359,"" 
""),)"),"")</f>
        <v/>
      </c>
    </row>
    <row r="360">
      <c r="A360" s="96" t="str">
        <f t="shared" si="1"/>
        <v/>
      </c>
      <c r="B360" s="96" t="str">
        <f t="shared" si="2"/>
        <v/>
      </c>
      <c r="C360" s="174" t="str">
        <f t="shared" si="3"/>
        <v/>
      </c>
      <c r="D360" s="175"/>
      <c r="E360" s="93" t="str">
        <f>IFERROR(__xludf.DUMMYFUNCTION("IF(D360&lt;&gt;"""",SPLIT(D360,"" 
""),)"),"")</f>
        <v/>
      </c>
    </row>
    <row r="361">
      <c r="A361" s="96" t="str">
        <f t="shared" si="1"/>
        <v/>
      </c>
      <c r="B361" s="96" t="str">
        <f t="shared" si="2"/>
        <v/>
      </c>
      <c r="C361" s="174" t="str">
        <f t="shared" si="3"/>
        <v/>
      </c>
      <c r="D361" s="175"/>
      <c r="E361" s="93" t="str">
        <f>IFERROR(__xludf.DUMMYFUNCTION("IF(D361&lt;&gt;"""",SPLIT(D361,"" 
""),)"),"")</f>
        <v/>
      </c>
    </row>
    <row r="362">
      <c r="A362" s="96" t="str">
        <f t="shared" si="1"/>
        <v/>
      </c>
      <c r="B362" s="96" t="str">
        <f t="shared" si="2"/>
        <v/>
      </c>
      <c r="C362" s="174" t="str">
        <f t="shared" si="3"/>
        <v/>
      </c>
      <c r="D362" s="175"/>
      <c r="E362" s="93" t="str">
        <f>IFERROR(__xludf.DUMMYFUNCTION("IF(D362&lt;&gt;"""",SPLIT(D362,"" 
""),)"),"")</f>
        <v/>
      </c>
    </row>
    <row r="363">
      <c r="A363" s="96" t="str">
        <f t="shared" si="1"/>
        <v/>
      </c>
      <c r="B363" s="96" t="str">
        <f t="shared" si="2"/>
        <v/>
      </c>
      <c r="C363" s="174" t="str">
        <f t="shared" si="3"/>
        <v/>
      </c>
      <c r="D363" s="175"/>
      <c r="E363" s="93" t="str">
        <f>IFERROR(__xludf.DUMMYFUNCTION("IF(D363&lt;&gt;"""",SPLIT(D363,"" 
""),)"),"")</f>
        <v/>
      </c>
    </row>
    <row r="364">
      <c r="A364" s="96" t="str">
        <f t="shared" si="1"/>
        <v/>
      </c>
      <c r="B364" s="96" t="str">
        <f t="shared" si="2"/>
        <v/>
      </c>
      <c r="C364" s="174" t="str">
        <f t="shared" si="3"/>
        <v/>
      </c>
      <c r="D364" s="175"/>
      <c r="E364" s="93" t="str">
        <f>IFERROR(__xludf.DUMMYFUNCTION("IF(D364&lt;&gt;"""",SPLIT(D364,"" 
""),)"),"")</f>
        <v/>
      </c>
    </row>
    <row r="365">
      <c r="A365" s="96" t="str">
        <f t="shared" si="1"/>
        <v/>
      </c>
      <c r="B365" s="96" t="str">
        <f t="shared" si="2"/>
        <v/>
      </c>
      <c r="C365" s="174" t="str">
        <f t="shared" si="3"/>
        <v/>
      </c>
      <c r="D365" s="175"/>
      <c r="E365" s="93" t="str">
        <f>IFERROR(__xludf.DUMMYFUNCTION("IF(D365&lt;&gt;"""",SPLIT(D365,"" 
""),)"),"")</f>
        <v/>
      </c>
    </row>
    <row r="366">
      <c r="A366" s="96" t="str">
        <f t="shared" si="1"/>
        <v/>
      </c>
      <c r="B366" s="96" t="str">
        <f t="shared" si="2"/>
        <v/>
      </c>
      <c r="C366" s="174" t="str">
        <f t="shared" si="3"/>
        <v/>
      </c>
      <c r="D366" s="175"/>
      <c r="E366" s="93" t="str">
        <f>IFERROR(__xludf.DUMMYFUNCTION("IF(D366&lt;&gt;"""",SPLIT(D366,"" 
""),)"),"")</f>
        <v/>
      </c>
    </row>
    <row r="367">
      <c r="A367" s="96" t="str">
        <f t="shared" si="1"/>
        <v/>
      </c>
      <c r="B367" s="96" t="str">
        <f t="shared" si="2"/>
        <v/>
      </c>
      <c r="C367" s="174" t="str">
        <f t="shared" si="3"/>
        <v/>
      </c>
      <c r="D367" s="175"/>
      <c r="E367" s="93" t="str">
        <f>IFERROR(__xludf.DUMMYFUNCTION("IF(D367&lt;&gt;"""",SPLIT(D367,"" 
""),)"),"")</f>
        <v/>
      </c>
    </row>
    <row r="368">
      <c r="A368" s="96" t="str">
        <f t="shared" si="1"/>
        <v/>
      </c>
      <c r="B368" s="96" t="str">
        <f t="shared" si="2"/>
        <v/>
      </c>
      <c r="C368" s="174" t="str">
        <f t="shared" si="3"/>
        <v/>
      </c>
      <c r="D368" s="175"/>
      <c r="E368" s="93" t="str">
        <f>IFERROR(__xludf.DUMMYFUNCTION("IF(D368&lt;&gt;"""",SPLIT(D368,"" 
""),)"),"")</f>
        <v/>
      </c>
    </row>
    <row r="369">
      <c r="A369" s="96" t="str">
        <f t="shared" si="1"/>
        <v/>
      </c>
      <c r="B369" s="96" t="str">
        <f t="shared" si="2"/>
        <v/>
      </c>
      <c r="C369" s="174" t="str">
        <f t="shared" si="3"/>
        <v/>
      </c>
      <c r="D369" s="175"/>
      <c r="E369" s="93" t="str">
        <f>IFERROR(__xludf.DUMMYFUNCTION("IF(D369&lt;&gt;"""",SPLIT(D369,"" 
""),)"),"")</f>
        <v/>
      </c>
    </row>
    <row r="370">
      <c r="A370" s="96" t="str">
        <f t="shared" si="1"/>
        <v/>
      </c>
      <c r="B370" s="96" t="str">
        <f t="shared" si="2"/>
        <v/>
      </c>
      <c r="C370" s="174" t="str">
        <f t="shared" si="3"/>
        <v/>
      </c>
      <c r="D370" s="175"/>
      <c r="E370" s="93" t="str">
        <f>IFERROR(__xludf.DUMMYFUNCTION("IF(D370&lt;&gt;"""",SPLIT(D370,"" 
""),)"),"")</f>
        <v/>
      </c>
    </row>
    <row r="371">
      <c r="A371" s="96" t="str">
        <f t="shared" si="1"/>
        <v/>
      </c>
      <c r="B371" s="96" t="str">
        <f t="shared" si="2"/>
        <v/>
      </c>
      <c r="C371" s="174" t="str">
        <f t="shared" si="3"/>
        <v/>
      </c>
      <c r="D371" s="175"/>
      <c r="E371" s="93" t="str">
        <f>IFERROR(__xludf.DUMMYFUNCTION("IF(D371&lt;&gt;"""",SPLIT(D371,"" 
""),)"),"")</f>
        <v/>
      </c>
    </row>
    <row r="372">
      <c r="A372" s="96" t="str">
        <f t="shared" si="1"/>
        <v/>
      </c>
      <c r="B372" s="96" t="str">
        <f t="shared" si="2"/>
        <v/>
      </c>
      <c r="C372" s="174" t="str">
        <f t="shared" si="3"/>
        <v/>
      </c>
      <c r="D372" s="175"/>
      <c r="E372" s="93" t="str">
        <f>IFERROR(__xludf.DUMMYFUNCTION("IF(D372&lt;&gt;"""",SPLIT(D372,"" 
""),)"),"")</f>
        <v/>
      </c>
    </row>
    <row r="373">
      <c r="A373" s="96" t="str">
        <f t="shared" si="1"/>
        <v/>
      </c>
      <c r="B373" s="96" t="str">
        <f t="shared" si="2"/>
        <v/>
      </c>
      <c r="C373" s="174" t="str">
        <f t="shared" si="3"/>
        <v/>
      </c>
      <c r="D373" s="175"/>
      <c r="E373" s="93" t="str">
        <f>IFERROR(__xludf.DUMMYFUNCTION("IF(D373&lt;&gt;"""",SPLIT(D373,"" 
""),)"),"")</f>
        <v/>
      </c>
    </row>
    <row r="374">
      <c r="A374" s="96" t="str">
        <f t="shared" si="1"/>
        <v/>
      </c>
      <c r="B374" s="96" t="str">
        <f t="shared" si="2"/>
        <v/>
      </c>
      <c r="C374" s="174" t="str">
        <f t="shared" si="3"/>
        <v/>
      </c>
      <c r="D374" s="175"/>
      <c r="E374" s="93" t="str">
        <f>IFERROR(__xludf.DUMMYFUNCTION("IF(D374&lt;&gt;"""",SPLIT(D374,"" 
""),)"),"")</f>
        <v/>
      </c>
    </row>
    <row r="375">
      <c r="A375" s="96" t="str">
        <f t="shared" si="1"/>
        <v/>
      </c>
      <c r="B375" s="96" t="str">
        <f t="shared" si="2"/>
        <v/>
      </c>
      <c r="C375" s="174" t="str">
        <f t="shared" si="3"/>
        <v/>
      </c>
      <c r="D375" s="175"/>
      <c r="E375" s="93" t="str">
        <f>IFERROR(__xludf.DUMMYFUNCTION("IF(D375&lt;&gt;"""",SPLIT(D375,"" 
""),)"),"")</f>
        <v/>
      </c>
    </row>
    <row r="376">
      <c r="A376" s="96" t="str">
        <f t="shared" si="1"/>
        <v/>
      </c>
      <c r="B376" s="96" t="str">
        <f t="shared" si="2"/>
        <v/>
      </c>
      <c r="C376" s="174" t="str">
        <f t="shared" si="3"/>
        <v/>
      </c>
      <c r="D376" s="175"/>
      <c r="E376" s="93" t="str">
        <f>IFERROR(__xludf.DUMMYFUNCTION("IF(D376&lt;&gt;"""",SPLIT(D376,"" 
""),)"),"")</f>
        <v/>
      </c>
    </row>
    <row r="377">
      <c r="A377" s="96" t="str">
        <f t="shared" si="1"/>
        <v/>
      </c>
      <c r="B377" s="96" t="str">
        <f t="shared" si="2"/>
        <v/>
      </c>
      <c r="C377" s="174" t="str">
        <f t="shared" si="3"/>
        <v/>
      </c>
      <c r="D377" s="175"/>
      <c r="E377" s="93" t="str">
        <f>IFERROR(__xludf.DUMMYFUNCTION("IF(D377&lt;&gt;"""",SPLIT(D377,"" 
""),)"),"")</f>
        <v/>
      </c>
    </row>
    <row r="378">
      <c r="A378" s="96" t="str">
        <f t="shared" si="1"/>
        <v/>
      </c>
      <c r="B378" s="96" t="str">
        <f t="shared" si="2"/>
        <v/>
      </c>
      <c r="C378" s="174" t="str">
        <f t="shared" si="3"/>
        <v/>
      </c>
      <c r="D378" s="175"/>
      <c r="E378" s="93" t="str">
        <f>IFERROR(__xludf.DUMMYFUNCTION("IF(D378&lt;&gt;"""",SPLIT(D378,"" 
""),)"),"")</f>
        <v/>
      </c>
    </row>
    <row r="379">
      <c r="A379" s="96" t="str">
        <f t="shared" si="1"/>
        <v/>
      </c>
      <c r="B379" s="96" t="str">
        <f t="shared" si="2"/>
        <v/>
      </c>
      <c r="C379" s="174" t="str">
        <f t="shared" si="3"/>
        <v/>
      </c>
      <c r="D379" s="175"/>
      <c r="E379" s="93" t="str">
        <f>IFERROR(__xludf.DUMMYFUNCTION("IF(D379&lt;&gt;"""",SPLIT(D379,"" 
""),)"),"")</f>
        <v/>
      </c>
    </row>
    <row r="380">
      <c r="A380" s="96" t="str">
        <f t="shared" si="1"/>
        <v/>
      </c>
      <c r="B380" s="96" t="str">
        <f t="shared" si="2"/>
        <v/>
      </c>
      <c r="C380" s="174" t="str">
        <f t="shared" si="3"/>
        <v/>
      </c>
      <c r="D380" s="175"/>
      <c r="E380" s="93" t="str">
        <f>IFERROR(__xludf.DUMMYFUNCTION("IF(D380&lt;&gt;"""",SPLIT(D380,"" 
""),)"),"")</f>
        <v/>
      </c>
    </row>
    <row r="381">
      <c r="A381" s="96" t="str">
        <f t="shared" si="1"/>
        <v/>
      </c>
      <c r="B381" s="96" t="str">
        <f t="shared" si="2"/>
        <v/>
      </c>
      <c r="C381" s="174" t="str">
        <f t="shared" si="3"/>
        <v/>
      </c>
      <c r="D381" s="175"/>
      <c r="E381" s="93" t="str">
        <f>IFERROR(__xludf.DUMMYFUNCTION("IF(D381&lt;&gt;"""",SPLIT(D381,"" 
""),)"),"")</f>
        <v/>
      </c>
    </row>
    <row r="382">
      <c r="A382" s="96" t="str">
        <f t="shared" si="1"/>
        <v/>
      </c>
      <c r="B382" s="96" t="str">
        <f t="shared" si="2"/>
        <v/>
      </c>
      <c r="C382" s="174" t="str">
        <f t="shared" si="3"/>
        <v/>
      </c>
      <c r="D382" s="175"/>
      <c r="E382" s="93" t="str">
        <f>IFERROR(__xludf.DUMMYFUNCTION("IF(D382&lt;&gt;"""",SPLIT(D382,"" 
""),)"),"")</f>
        <v/>
      </c>
    </row>
    <row r="383">
      <c r="A383" s="96" t="str">
        <f t="shared" si="1"/>
        <v/>
      </c>
      <c r="B383" s="96" t="str">
        <f t="shared" si="2"/>
        <v/>
      </c>
      <c r="C383" s="174" t="str">
        <f t="shared" si="3"/>
        <v/>
      </c>
      <c r="D383" s="175"/>
      <c r="E383" s="93" t="str">
        <f>IFERROR(__xludf.DUMMYFUNCTION("IF(D383&lt;&gt;"""",SPLIT(D383,"" 
""),)"),"")</f>
        <v/>
      </c>
    </row>
    <row r="384">
      <c r="A384" s="96" t="str">
        <f t="shared" si="1"/>
        <v/>
      </c>
      <c r="B384" s="96" t="str">
        <f t="shared" si="2"/>
        <v/>
      </c>
      <c r="C384" s="174" t="str">
        <f t="shared" si="3"/>
        <v/>
      </c>
      <c r="D384" s="175"/>
      <c r="E384" s="93" t="str">
        <f>IFERROR(__xludf.DUMMYFUNCTION("IF(D384&lt;&gt;"""",SPLIT(D384,"" 
""),)"),"")</f>
        <v/>
      </c>
    </row>
    <row r="385">
      <c r="A385" s="96" t="str">
        <f t="shared" si="1"/>
        <v/>
      </c>
      <c r="B385" s="96" t="str">
        <f t="shared" si="2"/>
        <v/>
      </c>
      <c r="C385" s="174" t="str">
        <f t="shared" si="3"/>
        <v/>
      </c>
      <c r="D385" s="175"/>
      <c r="E385" s="93" t="str">
        <f>IFERROR(__xludf.DUMMYFUNCTION("IF(D385&lt;&gt;"""",SPLIT(D385,"" 
""),)"),"")</f>
        <v/>
      </c>
    </row>
    <row r="386">
      <c r="A386" s="96" t="str">
        <f t="shared" si="1"/>
        <v/>
      </c>
      <c r="B386" s="96" t="str">
        <f t="shared" si="2"/>
        <v/>
      </c>
      <c r="C386" s="174" t="str">
        <f t="shared" si="3"/>
        <v/>
      </c>
      <c r="D386" s="175"/>
      <c r="E386" s="93" t="str">
        <f>IFERROR(__xludf.DUMMYFUNCTION("IF(D386&lt;&gt;"""",SPLIT(D386,"" 
""),)"),"")</f>
        <v/>
      </c>
    </row>
    <row r="387">
      <c r="A387" s="96" t="str">
        <f t="shared" si="1"/>
        <v/>
      </c>
      <c r="B387" s="96" t="str">
        <f t="shared" si="2"/>
        <v/>
      </c>
      <c r="C387" s="174" t="str">
        <f t="shared" si="3"/>
        <v/>
      </c>
      <c r="D387" s="175"/>
      <c r="E387" s="93" t="str">
        <f>IFERROR(__xludf.DUMMYFUNCTION("IF(D387&lt;&gt;"""",SPLIT(D387,"" 
""),)"),"")</f>
        <v/>
      </c>
    </row>
    <row r="388">
      <c r="A388" s="96" t="str">
        <f t="shared" si="1"/>
        <v/>
      </c>
      <c r="B388" s="96" t="str">
        <f t="shared" si="2"/>
        <v/>
      </c>
      <c r="C388" s="174" t="str">
        <f t="shared" si="3"/>
        <v/>
      </c>
      <c r="D388" s="175"/>
      <c r="E388" s="93" t="str">
        <f>IFERROR(__xludf.DUMMYFUNCTION("IF(D388&lt;&gt;"""",SPLIT(D388,"" 
""),)"),"")</f>
        <v/>
      </c>
    </row>
    <row r="389">
      <c r="A389" s="96" t="str">
        <f t="shared" si="1"/>
        <v/>
      </c>
      <c r="B389" s="96" t="str">
        <f t="shared" si="2"/>
        <v/>
      </c>
      <c r="C389" s="174" t="str">
        <f t="shared" si="3"/>
        <v/>
      </c>
      <c r="D389" s="175"/>
      <c r="E389" s="93" t="str">
        <f>IFERROR(__xludf.DUMMYFUNCTION("IF(D389&lt;&gt;"""",SPLIT(D389,"" 
""),)"),"")</f>
        <v/>
      </c>
    </row>
    <row r="390">
      <c r="A390" s="96" t="str">
        <f t="shared" si="1"/>
        <v/>
      </c>
      <c r="B390" s="96" t="str">
        <f t="shared" si="2"/>
        <v/>
      </c>
      <c r="C390" s="174" t="str">
        <f t="shared" si="3"/>
        <v/>
      </c>
      <c r="D390" s="175"/>
      <c r="E390" s="93" t="str">
        <f>IFERROR(__xludf.DUMMYFUNCTION("IF(D390&lt;&gt;"""",SPLIT(D390,"" 
""),)"),"")</f>
        <v/>
      </c>
    </row>
    <row r="391">
      <c r="A391" s="96" t="str">
        <f t="shared" si="1"/>
        <v/>
      </c>
      <c r="B391" s="96" t="str">
        <f t="shared" si="2"/>
        <v/>
      </c>
      <c r="C391" s="174" t="str">
        <f t="shared" si="3"/>
        <v/>
      </c>
      <c r="D391" s="175"/>
      <c r="E391" s="93" t="str">
        <f>IFERROR(__xludf.DUMMYFUNCTION("IF(D391&lt;&gt;"""",SPLIT(D391,"" 
""),)"),"")</f>
        <v/>
      </c>
    </row>
    <row r="392">
      <c r="A392" s="96" t="str">
        <f t="shared" si="1"/>
        <v/>
      </c>
      <c r="B392" s="96" t="str">
        <f t="shared" si="2"/>
        <v/>
      </c>
      <c r="C392" s="174" t="str">
        <f t="shared" si="3"/>
        <v/>
      </c>
      <c r="D392" s="175"/>
      <c r="E392" s="93" t="str">
        <f>IFERROR(__xludf.DUMMYFUNCTION("IF(D392&lt;&gt;"""",SPLIT(D392,"" 
""),)"),"")</f>
        <v/>
      </c>
    </row>
    <row r="393">
      <c r="A393" s="96" t="str">
        <f t="shared" si="1"/>
        <v/>
      </c>
      <c r="B393" s="96" t="str">
        <f t="shared" si="2"/>
        <v/>
      </c>
      <c r="C393" s="174" t="str">
        <f t="shared" si="3"/>
        <v/>
      </c>
      <c r="D393" s="175"/>
      <c r="E393" s="93" t="str">
        <f>IFERROR(__xludf.DUMMYFUNCTION("IF(D393&lt;&gt;"""",SPLIT(D393,"" 
""),)"),"")</f>
        <v/>
      </c>
    </row>
    <row r="394">
      <c r="A394" s="96" t="str">
        <f t="shared" si="1"/>
        <v/>
      </c>
      <c r="B394" s="96" t="str">
        <f t="shared" si="2"/>
        <v/>
      </c>
      <c r="C394" s="174" t="str">
        <f t="shared" si="3"/>
        <v/>
      </c>
      <c r="D394" s="175"/>
      <c r="E394" s="93" t="str">
        <f>IFERROR(__xludf.DUMMYFUNCTION("IF(D394&lt;&gt;"""",SPLIT(D394,"" 
""),)"),"")</f>
        <v/>
      </c>
    </row>
    <row r="395">
      <c r="A395" s="96" t="str">
        <f t="shared" si="1"/>
        <v/>
      </c>
      <c r="B395" s="96" t="str">
        <f t="shared" si="2"/>
        <v/>
      </c>
      <c r="C395" s="174" t="str">
        <f t="shared" si="3"/>
        <v/>
      </c>
      <c r="D395" s="175"/>
      <c r="E395" s="93" t="str">
        <f>IFERROR(__xludf.DUMMYFUNCTION("IF(D395&lt;&gt;"""",SPLIT(D395,"" 
""),)"),"")</f>
        <v/>
      </c>
    </row>
    <row r="396">
      <c r="A396" s="96" t="str">
        <f t="shared" si="1"/>
        <v/>
      </c>
      <c r="B396" s="96" t="str">
        <f t="shared" si="2"/>
        <v/>
      </c>
      <c r="C396" s="174" t="str">
        <f t="shared" si="3"/>
        <v/>
      </c>
      <c r="D396" s="175"/>
      <c r="E396" s="93" t="str">
        <f>IFERROR(__xludf.DUMMYFUNCTION("IF(D396&lt;&gt;"""",SPLIT(D396,"" 
""),)"),"")</f>
        <v/>
      </c>
    </row>
    <row r="397">
      <c r="A397" s="96" t="str">
        <f t="shared" si="1"/>
        <v/>
      </c>
      <c r="B397" s="96" t="str">
        <f t="shared" si="2"/>
        <v/>
      </c>
      <c r="C397" s="174" t="str">
        <f t="shared" si="3"/>
        <v/>
      </c>
      <c r="D397" s="175"/>
      <c r="E397" s="93" t="str">
        <f>IFERROR(__xludf.DUMMYFUNCTION("IF(D397&lt;&gt;"""",SPLIT(D397,"" 
""),)"),"")</f>
        <v/>
      </c>
    </row>
    <row r="398">
      <c r="A398" s="96" t="str">
        <f t="shared" si="1"/>
        <v/>
      </c>
      <c r="B398" s="96" t="str">
        <f t="shared" si="2"/>
        <v/>
      </c>
      <c r="C398" s="174" t="str">
        <f t="shared" si="3"/>
        <v/>
      </c>
      <c r="D398" s="175"/>
      <c r="E398" s="93" t="str">
        <f>IFERROR(__xludf.DUMMYFUNCTION("IF(D398&lt;&gt;"""",SPLIT(D398,"" 
""),)"),"")</f>
        <v/>
      </c>
    </row>
    <row r="399">
      <c r="A399" s="96" t="str">
        <f t="shared" si="1"/>
        <v/>
      </c>
      <c r="B399" s="96" t="str">
        <f t="shared" si="2"/>
        <v/>
      </c>
      <c r="C399" s="174" t="str">
        <f t="shared" si="3"/>
        <v/>
      </c>
      <c r="D399" s="175"/>
      <c r="E399" s="93" t="str">
        <f>IFERROR(__xludf.DUMMYFUNCTION("IF(D399&lt;&gt;"""",SPLIT(D399,"" 
""),)"),"")</f>
        <v/>
      </c>
    </row>
    <row r="400">
      <c r="A400" s="96" t="str">
        <f t="shared" si="1"/>
        <v/>
      </c>
      <c r="B400" s="96" t="str">
        <f t="shared" si="2"/>
        <v/>
      </c>
      <c r="C400" s="174" t="str">
        <f t="shared" si="3"/>
        <v/>
      </c>
      <c r="D400" s="175"/>
      <c r="E400" s="93" t="str">
        <f>IFERROR(__xludf.DUMMYFUNCTION("IF(D400&lt;&gt;"""",SPLIT(D400,"" 
""),)"),"")</f>
        <v/>
      </c>
    </row>
    <row r="401">
      <c r="A401" s="96" t="str">
        <f t="shared" si="1"/>
        <v/>
      </c>
      <c r="B401" s="96" t="str">
        <f t="shared" si="2"/>
        <v/>
      </c>
      <c r="C401" s="174" t="str">
        <f t="shared" si="3"/>
        <v/>
      </c>
      <c r="D401" s="175"/>
      <c r="E401" s="93" t="str">
        <f>IFERROR(__xludf.DUMMYFUNCTION("IF(D401&lt;&gt;"""",SPLIT(D401,"" 
""),)"),"")</f>
        <v/>
      </c>
    </row>
    <row r="402">
      <c r="A402" s="96" t="str">
        <f t="shared" si="1"/>
        <v/>
      </c>
      <c r="B402" s="96" t="str">
        <f t="shared" si="2"/>
        <v/>
      </c>
      <c r="C402" s="174" t="str">
        <f t="shared" si="3"/>
        <v/>
      </c>
      <c r="D402" s="175"/>
      <c r="E402" s="93" t="str">
        <f>IFERROR(__xludf.DUMMYFUNCTION("IF(D402&lt;&gt;"""",SPLIT(D402,"" 
""),)"),"")</f>
        <v/>
      </c>
    </row>
    <row r="403">
      <c r="A403" s="96" t="str">
        <f t="shared" si="1"/>
        <v/>
      </c>
      <c r="B403" s="96" t="str">
        <f t="shared" si="2"/>
        <v/>
      </c>
      <c r="C403" s="174" t="str">
        <f t="shared" si="3"/>
        <v/>
      </c>
      <c r="D403" s="175"/>
      <c r="E403" s="93" t="str">
        <f>IFERROR(__xludf.DUMMYFUNCTION("IF(D403&lt;&gt;"""",SPLIT(D403,"" 
""),)"),"")</f>
        <v/>
      </c>
    </row>
    <row r="404">
      <c r="A404" s="96" t="str">
        <f t="shared" si="1"/>
        <v/>
      </c>
      <c r="B404" s="96" t="str">
        <f t="shared" si="2"/>
        <v/>
      </c>
      <c r="C404" s="174" t="str">
        <f t="shared" si="3"/>
        <v/>
      </c>
      <c r="D404" s="175"/>
      <c r="E404" s="93" t="str">
        <f>IFERROR(__xludf.DUMMYFUNCTION("IF(D404&lt;&gt;"""",SPLIT(D404,"" 
""),)"),"")</f>
        <v/>
      </c>
    </row>
    <row r="405">
      <c r="A405" s="96" t="str">
        <f t="shared" si="1"/>
        <v/>
      </c>
      <c r="B405" s="96" t="str">
        <f t="shared" si="2"/>
        <v/>
      </c>
      <c r="C405" s="174" t="str">
        <f t="shared" si="3"/>
        <v/>
      </c>
      <c r="D405" s="175"/>
      <c r="E405" s="93" t="str">
        <f>IFERROR(__xludf.DUMMYFUNCTION("IF(D405&lt;&gt;"""",SPLIT(D405,"" 
""),)"),"")</f>
        <v/>
      </c>
    </row>
    <row r="406">
      <c r="A406" s="96" t="str">
        <f t="shared" si="1"/>
        <v/>
      </c>
      <c r="B406" s="96" t="str">
        <f t="shared" si="2"/>
        <v/>
      </c>
      <c r="C406" s="174" t="str">
        <f t="shared" si="3"/>
        <v/>
      </c>
      <c r="D406" s="175"/>
      <c r="E406" s="93" t="str">
        <f>IFERROR(__xludf.DUMMYFUNCTION("IF(D406&lt;&gt;"""",SPLIT(D406,"" 
""),)"),"")</f>
        <v/>
      </c>
    </row>
    <row r="407">
      <c r="A407" s="96" t="str">
        <f t="shared" si="1"/>
        <v/>
      </c>
      <c r="B407" s="96" t="str">
        <f t="shared" si="2"/>
        <v/>
      </c>
      <c r="C407" s="174" t="str">
        <f t="shared" si="3"/>
        <v/>
      </c>
      <c r="D407" s="175"/>
      <c r="E407" s="93" t="str">
        <f>IFERROR(__xludf.DUMMYFUNCTION("IF(D407&lt;&gt;"""",SPLIT(D407,"" 
""),)"),"")</f>
        <v/>
      </c>
    </row>
    <row r="408">
      <c r="A408" s="96" t="str">
        <f t="shared" si="1"/>
        <v/>
      </c>
      <c r="B408" s="96" t="str">
        <f t="shared" si="2"/>
        <v/>
      </c>
      <c r="C408" s="174" t="str">
        <f t="shared" si="3"/>
        <v/>
      </c>
      <c r="D408" s="175"/>
      <c r="E408" s="93" t="str">
        <f>IFERROR(__xludf.DUMMYFUNCTION("IF(D408&lt;&gt;"""",SPLIT(D408,"" 
""),)"),"")</f>
        <v/>
      </c>
    </row>
    <row r="409">
      <c r="A409" s="96" t="str">
        <f t="shared" si="1"/>
        <v/>
      </c>
      <c r="B409" s="96" t="str">
        <f t="shared" si="2"/>
        <v/>
      </c>
      <c r="C409" s="174" t="str">
        <f t="shared" si="3"/>
        <v/>
      </c>
      <c r="D409" s="175"/>
      <c r="E409" s="93" t="str">
        <f>IFERROR(__xludf.DUMMYFUNCTION("IF(D409&lt;&gt;"""",SPLIT(D409,"" 
""),)"),"")</f>
        <v/>
      </c>
    </row>
    <row r="410">
      <c r="A410" s="96" t="str">
        <f t="shared" si="1"/>
        <v/>
      </c>
      <c r="B410" s="96" t="str">
        <f t="shared" si="2"/>
        <v/>
      </c>
      <c r="C410" s="174" t="str">
        <f t="shared" si="3"/>
        <v/>
      </c>
      <c r="D410" s="175"/>
      <c r="E410" s="93" t="str">
        <f>IFERROR(__xludf.DUMMYFUNCTION("IF(D410&lt;&gt;"""",SPLIT(D410,"" 
""),)"),"")</f>
        <v/>
      </c>
    </row>
    <row r="411">
      <c r="A411" s="96" t="str">
        <f t="shared" si="1"/>
        <v/>
      </c>
      <c r="B411" s="96" t="str">
        <f t="shared" si="2"/>
        <v/>
      </c>
      <c r="C411" s="174" t="str">
        <f t="shared" si="3"/>
        <v/>
      </c>
      <c r="D411" s="175"/>
      <c r="E411" s="93" t="str">
        <f>IFERROR(__xludf.DUMMYFUNCTION("IF(D411&lt;&gt;"""",SPLIT(D411,"" 
""),)"),"")</f>
        <v/>
      </c>
    </row>
    <row r="412">
      <c r="A412" s="96" t="str">
        <f t="shared" si="1"/>
        <v/>
      </c>
      <c r="B412" s="96" t="str">
        <f t="shared" si="2"/>
        <v/>
      </c>
      <c r="C412" s="174" t="str">
        <f t="shared" si="3"/>
        <v/>
      </c>
      <c r="D412" s="175"/>
      <c r="E412" s="93" t="str">
        <f>IFERROR(__xludf.DUMMYFUNCTION("IF(D412&lt;&gt;"""",SPLIT(D412,"" 
""),)"),"")</f>
        <v/>
      </c>
    </row>
    <row r="413">
      <c r="A413" s="96" t="str">
        <f t="shared" si="1"/>
        <v/>
      </c>
      <c r="B413" s="96" t="str">
        <f t="shared" si="2"/>
        <v/>
      </c>
      <c r="C413" s="174" t="str">
        <f t="shared" si="3"/>
        <v/>
      </c>
      <c r="D413" s="175"/>
      <c r="E413" s="93" t="str">
        <f>IFERROR(__xludf.DUMMYFUNCTION("IF(D413&lt;&gt;"""",SPLIT(D413,"" 
""),)"),"")</f>
        <v/>
      </c>
    </row>
    <row r="414">
      <c r="A414" s="96" t="str">
        <f t="shared" si="1"/>
        <v/>
      </c>
      <c r="B414" s="96" t="str">
        <f t="shared" si="2"/>
        <v/>
      </c>
      <c r="C414" s="174" t="str">
        <f t="shared" si="3"/>
        <v/>
      </c>
      <c r="D414" s="175"/>
      <c r="E414" s="93" t="str">
        <f>IFERROR(__xludf.DUMMYFUNCTION("IF(D414&lt;&gt;"""",SPLIT(D414,"" 
""),)"),"")</f>
        <v/>
      </c>
    </row>
    <row r="415">
      <c r="A415" s="96" t="str">
        <f t="shared" si="1"/>
        <v/>
      </c>
      <c r="B415" s="96" t="str">
        <f t="shared" si="2"/>
        <v/>
      </c>
      <c r="C415" s="174" t="str">
        <f t="shared" si="3"/>
        <v/>
      </c>
      <c r="D415" s="175"/>
      <c r="E415" s="93" t="str">
        <f>IFERROR(__xludf.DUMMYFUNCTION("IF(D415&lt;&gt;"""",SPLIT(D415,"" 
""),)"),"")</f>
        <v/>
      </c>
    </row>
    <row r="416">
      <c r="A416" s="96" t="str">
        <f t="shared" si="1"/>
        <v/>
      </c>
      <c r="B416" s="96" t="str">
        <f t="shared" si="2"/>
        <v/>
      </c>
      <c r="C416" s="174" t="str">
        <f t="shared" si="3"/>
        <v/>
      </c>
      <c r="D416" s="175"/>
      <c r="E416" s="93" t="str">
        <f>IFERROR(__xludf.DUMMYFUNCTION("IF(D416&lt;&gt;"""",SPLIT(D416,"" 
""),)"),"")</f>
        <v/>
      </c>
    </row>
    <row r="417">
      <c r="A417" s="96" t="str">
        <f t="shared" si="1"/>
        <v/>
      </c>
      <c r="B417" s="96" t="str">
        <f t="shared" si="2"/>
        <v/>
      </c>
      <c r="C417" s="174" t="str">
        <f t="shared" si="3"/>
        <v/>
      </c>
      <c r="D417" s="175"/>
      <c r="E417" s="93" t="str">
        <f>IFERROR(__xludf.DUMMYFUNCTION("IF(D417&lt;&gt;"""",SPLIT(D417,"" 
""),)"),"")</f>
        <v/>
      </c>
    </row>
    <row r="418">
      <c r="A418" s="96" t="str">
        <f t="shared" si="1"/>
        <v/>
      </c>
      <c r="B418" s="96" t="str">
        <f t="shared" si="2"/>
        <v/>
      </c>
      <c r="C418" s="174" t="str">
        <f t="shared" si="3"/>
        <v/>
      </c>
      <c r="D418" s="175"/>
      <c r="E418" s="93" t="str">
        <f>IFERROR(__xludf.DUMMYFUNCTION("IF(D418&lt;&gt;"""",SPLIT(D418,"" 
""),)"),"")</f>
        <v/>
      </c>
    </row>
    <row r="419">
      <c r="A419" s="96" t="str">
        <f t="shared" si="1"/>
        <v/>
      </c>
      <c r="B419" s="96" t="str">
        <f t="shared" si="2"/>
        <v/>
      </c>
      <c r="C419" s="174" t="str">
        <f t="shared" si="3"/>
        <v/>
      </c>
      <c r="D419" s="175"/>
      <c r="E419" s="93" t="str">
        <f>IFERROR(__xludf.DUMMYFUNCTION("IF(D419&lt;&gt;"""",SPLIT(D419,"" 
""),)"),"")</f>
        <v/>
      </c>
    </row>
    <row r="420">
      <c r="A420" s="96" t="str">
        <f t="shared" si="1"/>
        <v/>
      </c>
      <c r="B420" s="96" t="str">
        <f t="shared" si="2"/>
        <v/>
      </c>
      <c r="C420" s="174" t="str">
        <f t="shared" si="3"/>
        <v/>
      </c>
      <c r="D420" s="175"/>
      <c r="E420" s="93" t="str">
        <f>IFERROR(__xludf.DUMMYFUNCTION("IF(D420&lt;&gt;"""",SPLIT(D420,"" 
""),)"),"")</f>
        <v/>
      </c>
    </row>
    <row r="421">
      <c r="A421" s="96" t="str">
        <f t="shared" si="1"/>
        <v/>
      </c>
      <c r="B421" s="96" t="str">
        <f t="shared" si="2"/>
        <v/>
      </c>
      <c r="C421" s="174" t="str">
        <f t="shared" si="3"/>
        <v/>
      </c>
      <c r="D421" s="175"/>
      <c r="E421" s="93" t="str">
        <f>IFERROR(__xludf.DUMMYFUNCTION("IF(D421&lt;&gt;"""",SPLIT(D421,"" 
""),)"),"")</f>
        <v/>
      </c>
    </row>
    <row r="422">
      <c r="A422" s="96" t="str">
        <f t="shared" si="1"/>
        <v/>
      </c>
      <c r="B422" s="96" t="str">
        <f t="shared" si="2"/>
        <v/>
      </c>
      <c r="C422" s="174" t="str">
        <f t="shared" si="3"/>
        <v/>
      </c>
      <c r="D422" s="175"/>
      <c r="E422" s="93" t="str">
        <f>IFERROR(__xludf.DUMMYFUNCTION("IF(D422&lt;&gt;"""",SPLIT(D422,"" 
""),)"),"")</f>
        <v/>
      </c>
    </row>
    <row r="423">
      <c r="A423" s="96" t="str">
        <f t="shared" si="1"/>
        <v/>
      </c>
      <c r="B423" s="96" t="str">
        <f t="shared" si="2"/>
        <v/>
      </c>
      <c r="C423" s="174" t="str">
        <f t="shared" si="3"/>
        <v/>
      </c>
      <c r="D423" s="175"/>
      <c r="E423" s="93" t="str">
        <f>IFERROR(__xludf.DUMMYFUNCTION("IF(D423&lt;&gt;"""",SPLIT(D423,"" 
""),)"),"")</f>
        <v/>
      </c>
    </row>
    <row r="424">
      <c r="A424" s="96" t="str">
        <f t="shared" si="1"/>
        <v/>
      </c>
      <c r="B424" s="96" t="str">
        <f t="shared" si="2"/>
        <v/>
      </c>
      <c r="C424" s="174" t="str">
        <f t="shared" si="3"/>
        <v/>
      </c>
      <c r="D424" s="175"/>
      <c r="E424" s="93" t="str">
        <f>IFERROR(__xludf.DUMMYFUNCTION("IF(D424&lt;&gt;"""",SPLIT(D424,"" 
""),)"),"")</f>
        <v/>
      </c>
    </row>
    <row r="425">
      <c r="A425" s="96" t="str">
        <f t="shared" si="1"/>
        <v/>
      </c>
      <c r="B425" s="96" t="str">
        <f t="shared" si="2"/>
        <v/>
      </c>
      <c r="C425" s="174" t="str">
        <f t="shared" si="3"/>
        <v/>
      </c>
      <c r="D425" s="175"/>
      <c r="E425" s="93" t="str">
        <f>IFERROR(__xludf.DUMMYFUNCTION("IF(D425&lt;&gt;"""",SPLIT(D425,"" 
""),)"),"")</f>
        <v/>
      </c>
    </row>
    <row r="426">
      <c r="A426" s="96" t="str">
        <f t="shared" si="1"/>
        <v/>
      </c>
      <c r="B426" s="96" t="str">
        <f t="shared" si="2"/>
        <v/>
      </c>
      <c r="C426" s="174" t="str">
        <f t="shared" si="3"/>
        <v/>
      </c>
      <c r="D426" s="175"/>
      <c r="E426" s="93" t="str">
        <f>IFERROR(__xludf.DUMMYFUNCTION("IF(D426&lt;&gt;"""",SPLIT(D426,"" 
""),)"),"")</f>
        <v/>
      </c>
    </row>
    <row r="427">
      <c r="A427" s="96" t="str">
        <f t="shared" si="1"/>
        <v/>
      </c>
      <c r="B427" s="96" t="str">
        <f t="shared" si="2"/>
        <v/>
      </c>
      <c r="C427" s="174" t="str">
        <f t="shared" si="3"/>
        <v/>
      </c>
      <c r="D427" s="175"/>
      <c r="E427" s="93" t="str">
        <f>IFERROR(__xludf.DUMMYFUNCTION("IF(D427&lt;&gt;"""",SPLIT(D427,"" 
""),)"),"")</f>
        <v/>
      </c>
    </row>
    <row r="428">
      <c r="A428" s="96" t="str">
        <f t="shared" si="1"/>
        <v/>
      </c>
      <c r="B428" s="96" t="str">
        <f t="shared" si="2"/>
        <v/>
      </c>
      <c r="C428" s="174" t="str">
        <f t="shared" si="3"/>
        <v/>
      </c>
      <c r="D428" s="175"/>
      <c r="E428" s="93" t="str">
        <f>IFERROR(__xludf.DUMMYFUNCTION("IF(D428&lt;&gt;"""",SPLIT(D428,"" 
""),)"),"")</f>
        <v/>
      </c>
    </row>
    <row r="429">
      <c r="A429" s="96" t="str">
        <f t="shared" si="1"/>
        <v/>
      </c>
      <c r="B429" s="96" t="str">
        <f t="shared" si="2"/>
        <v/>
      </c>
      <c r="C429" s="174" t="str">
        <f t="shared" si="3"/>
        <v/>
      </c>
      <c r="D429" s="175"/>
      <c r="E429" s="93" t="str">
        <f>IFERROR(__xludf.DUMMYFUNCTION("IF(D429&lt;&gt;"""",SPLIT(D429,"" 
""),)"),"")</f>
        <v/>
      </c>
    </row>
    <row r="430">
      <c r="A430" s="96" t="str">
        <f t="shared" si="1"/>
        <v/>
      </c>
      <c r="B430" s="96" t="str">
        <f t="shared" si="2"/>
        <v/>
      </c>
      <c r="C430" s="174" t="str">
        <f t="shared" si="3"/>
        <v/>
      </c>
      <c r="D430" s="175"/>
      <c r="E430" s="93" t="str">
        <f>IFERROR(__xludf.DUMMYFUNCTION("IF(D430&lt;&gt;"""",SPLIT(D430,"" 
""),)"),"")</f>
        <v/>
      </c>
    </row>
    <row r="431">
      <c r="A431" s="96" t="str">
        <f t="shared" si="1"/>
        <v/>
      </c>
      <c r="B431" s="96" t="str">
        <f t="shared" si="2"/>
        <v/>
      </c>
      <c r="C431" s="174" t="str">
        <f t="shared" si="3"/>
        <v/>
      </c>
      <c r="D431" s="175"/>
      <c r="E431" s="93" t="str">
        <f>IFERROR(__xludf.DUMMYFUNCTION("IF(D431&lt;&gt;"""",SPLIT(D431,"" 
""),)"),"")</f>
        <v/>
      </c>
    </row>
    <row r="432">
      <c r="A432" s="96" t="str">
        <f t="shared" si="1"/>
        <v/>
      </c>
      <c r="B432" s="96" t="str">
        <f t="shared" si="2"/>
        <v/>
      </c>
      <c r="C432" s="174" t="str">
        <f t="shared" si="3"/>
        <v/>
      </c>
      <c r="D432" s="175"/>
      <c r="E432" s="93" t="str">
        <f>IFERROR(__xludf.DUMMYFUNCTION("IF(D432&lt;&gt;"""",SPLIT(D432,"" 
""),)"),"")</f>
        <v/>
      </c>
    </row>
    <row r="433">
      <c r="A433" s="96" t="str">
        <f t="shared" si="1"/>
        <v/>
      </c>
      <c r="B433" s="96" t="str">
        <f t="shared" si="2"/>
        <v/>
      </c>
      <c r="C433" s="174" t="str">
        <f t="shared" si="3"/>
        <v/>
      </c>
      <c r="D433" s="175"/>
      <c r="E433" s="93" t="str">
        <f>IFERROR(__xludf.DUMMYFUNCTION("IF(D433&lt;&gt;"""",SPLIT(D433,"" 
""),)"),"")</f>
        <v/>
      </c>
    </row>
    <row r="434">
      <c r="A434" s="96" t="str">
        <f t="shared" si="1"/>
        <v/>
      </c>
      <c r="B434" s="96" t="str">
        <f t="shared" si="2"/>
        <v/>
      </c>
      <c r="C434" s="174" t="str">
        <f t="shared" si="3"/>
        <v/>
      </c>
      <c r="D434" s="175"/>
      <c r="E434" s="93" t="str">
        <f>IFERROR(__xludf.DUMMYFUNCTION("IF(D434&lt;&gt;"""",SPLIT(D434,"" 
""),)"),"")</f>
        <v/>
      </c>
    </row>
    <row r="435">
      <c r="A435" s="96" t="str">
        <f t="shared" si="1"/>
        <v/>
      </c>
      <c r="B435" s="96" t="str">
        <f t="shared" si="2"/>
        <v/>
      </c>
      <c r="C435" s="174" t="str">
        <f t="shared" si="3"/>
        <v/>
      </c>
      <c r="D435" s="175"/>
      <c r="E435" s="93" t="str">
        <f>IFERROR(__xludf.DUMMYFUNCTION("IF(D435&lt;&gt;"""",SPLIT(D435,"" 
""),)"),"")</f>
        <v/>
      </c>
    </row>
    <row r="436">
      <c r="A436" s="96" t="str">
        <f t="shared" si="1"/>
        <v/>
      </c>
      <c r="B436" s="96" t="str">
        <f t="shared" si="2"/>
        <v/>
      </c>
      <c r="C436" s="174" t="str">
        <f t="shared" si="3"/>
        <v/>
      </c>
      <c r="D436" s="175"/>
      <c r="E436" s="93" t="str">
        <f>IFERROR(__xludf.DUMMYFUNCTION("IF(D436&lt;&gt;"""",SPLIT(D436,"" 
""),)"),"")</f>
        <v/>
      </c>
    </row>
    <row r="437">
      <c r="A437" s="96" t="str">
        <f t="shared" si="1"/>
        <v/>
      </c>
      <c r="B437" s="96" t="str">
        <f t="shared" si="2"/>
        <v/>
      </c>
      <c r="C437" s="174" t="str">
        <f t="shared" si="3"/>
        <v/>
      </c>
      <c r="D437" s="175"/>
      <c r="E437" s="93" t="str">
        <f>IFERROR(__xludf.DUMMYFUNCTION("IF(D437&lt;&gt;"""",SPLIT(D437,"" 
""),)"),"")</f>
        <v/>
      </c>
    </row>
    <row r="438">
      <c r="A438" s="96" t="str">
        <f t="shared" si="1"/>
        <v/>
      </c>
      <c r="B438" s="96" t="str">
        <f t="shared" si="2"/>
        <v/>
      </c>
      <c r="C438" s="174" t="str">
        <f t="shared" si="3"/>
        <v/>
      </c>
      <c r="D438" s="175"/>
      <c r="E438" s="93" t="str">
        <f>IFERROR(__xludf.DUMMYFUNCTION("IF(D438&lt;&gt;"""",SPLIT(D438,"" 
""),)"),"")</f>
        <v/>
      </c>
    </row>
    <row r="439">
      <c r="A439" s="96" t="str">
        <f t="shared" si="1"/>
        <v/>
      </c>
      <c r="B439" s="96" t="str">
        <f t="shared" si="2"/>
        <v/>
      </c>
      <c r="C439" s="174" t="str">
        <f t="shared" si="3"/>
        <v/>
      </c>
      <c r="D439" s="175"/>
      <c r="E439" s="93" t="str">
        <f>IFERROR(__xludf.DUMMYFUNCTION("IF(D439&lt;&gt;"""",SPLIT(D439,"" 
""),)"),"")</f>
        <v/>
      </c>
    </row>
    <row r="440">
      <c r="A440" s="96" t="str">
        <f t="shared" si="1"/>
        <v/>
      </c>
      <c r="B440" s="96" t="str">
        <f t="shared" si="2"/>
        <v/>
      </c>
      <c r="C440" s="174" t="str">
        <f t="shared" si="3"/>
        <v/>
      </c>
      <c r="D440" s="175"/>
      <c r="E440" s="93" t="str">
        <f>IFERROR(__xludf.DUMMYFUNCTION("IF(D440&lt;&gt;"""",SPLIT(D440,"" 
""),)"),"")</f>
        <v/>
      </c>
    </row>
    <row r="441">
      <c r="A441" s="96" t="str">
        <f t="shared" si="1"/>
        <v/>
      </c>
      <c r="B441" s="96" t="str">
        <f t="shared" si="2"/>
        <v/>
      </c>
      <c r="C441" s="174" t="str">
        <f t="shared" si="3"/>
        <v/>
      </c>
      <c r="D441" s="175"/>
      <c r="E441" s="93" t="str">
        <f>IFERROR(__xludf.DUMMYFUNCTION("IF(D441&lt;&gt;"""",SPLIT(D441,"" 
""),)"),"")</f>
        <v/>
      </c>
    </row>
    <row r="442">
      <c r="A442" s="96" t="str">
        <f t="shared" si="1"/>
        <v/>
      </c>
      <c r="B442" s="96" t="str">
        <f t="shared" si="2"/>
        <v/>
      </c>
      <c r="C442" s="174" t="str">
        <f t="shared" si="3"/>
        <v/>
      </c>
      <c r="D442" s="175"/>
      <c r="E442" s="93" t="str">
        <f>IFERROR(__xludf.DUMMYFUNCTION("IF(D442&lt;&gt;"""",SPLIT(D442,"" 
""),)"),"")</f>
        <v/>
      </c>
    </row>
    <row r="443">
      <c r="A443" s="96" t="str">
        <f t="shared" si="1"/>
        <v/>
      </c>
      <c r="B443" s="96" t="str">
        <f t="shared" si="2"/>
        <v/>
      </c>
      <c r="C443" s="174" t="str">
        <f t="shared" si="3"/>
        <v/>
      </c>
      <c r="D443" s="175"/>
      <c r="E443" s="93" t="str">
        <f>IFERROR(__xludf.DUMMYFUNCTION("IF(D443&lt;&gt;"""",SPLIT(D443,"" 
""),)"),"")</f>
        <v/>
      </c>
    </row>
    <row r="444">
      <c r="A444" s="96" t="str">
        <f t="shared" si="1"/>
        <v/>
      </c>
      <c r="B444" s="96" t="str">
        <f t="shared" si="2"/>
        <v/>
      </c>
      <c r="C444" s="174" t="str">
        <f t="shared" si="3"/>
        <v/>
      </c>
      <c r="D444" s="175"/>
      <c r="E444" s="93" t="str">
        <f>IFERROR(__xludf.DUMMYFUNCTION("IF(D444&lt;&gt;"""",SPLIT(D444,"" 
""),)"),"")</f>
        <v/>
      </c>
    </row>
    <row r="445">
      <c r="A445" s="96" t="str">
        <f t="shared" si="1"/>
        <v/>
      </c>
      <c r="B445" s="96" t="str">
        <f t="shared" si="2"/>
        <v/>
      </c>
      <c r="C445" s="174" t="str">
        <f t="shared" si="3"/>
        <v/>
      </c>
      <c r="D445" s="175"/>
      <c r="E445" s="93" t="str">
        <f>IFERROR(__xludf.DUMMYFUNCTION("IF(D445&lt;&gt;"""",SPLIT(D445,"" 
""),)"),"")</f>
        <v/>
      </c>
    </row>
    <row r="446">
      <c r="A446" s="96" t="str">
        <f t="shared" si="1"/>
        <v/>
      </c>
      <c r="B446" s="96" t="str">
        <f t="shared" si="2"/>
        <v/>
      </c>
      <c r="C446" s="174" t="str">
        <f t="shared" si="3"/>
        <v/>
      </c>
      <c r="D446" s="175"/>
      <c r="E446" s="93" t="str">
        <f>IFERROR(__xludf.DUMMYFUNCTION("IF(D446&lt;&gt;"""",SPLIT(D446,"" 
""),)"),"")</f>
        <v/>
      </c>
    </row>
    <row r="447">
      <c r="A447" s="96" t="str">
        <f t="shared" si="1"/>
        <v/>
      </c>
      <c r="B447" s="96" t="str">
        <f t="shared" si="2"/>
        <v/>
      </c>
      <c r="C447" s="174" t="str">
        <f t="shared" si="3"/>
        <v/>
      </c>
      <c r="D447" s="175"/>
      <c r="E447" s="93" t="str">
        <f>IFERROR(__xludf.DUMMYFUNCTION("IF(D447&lt;&gt;"""",SPLIT(D447,"" 
""),)"),"")</f>
        <v/>
      </c>
    </row>
    <row r="448">
      <c r="A448" s="96" t="str">
        <f t="shared" si="1"/>
        <v/>
      </c>
      <c r="B448" s="96" t="str">
        <f t="shared" si="2"/>
        <v/>
      </c>
      <c r="C448" s="174" t="str">
        <f t="shared" si="3"/>
        <v/>
      </c>
      <c r="D448" s="175"/>
      <c r="E448" s="93" t="str">
        <f>IFERROR(__xludf.DUMMYFUNCTION("IF(D448&lt;&gt;"""",SPLIT(D448,"" 
""),)"),"")</f>
        <v/>
      </c>
    </row>
    <row r="449">
      <c r="A449" s="96" t="str">
        <f t="shared" si="1"/>
        <v/>
      </c>
      <c r="B449" s="96" t="str">
        <f t="shared" si="2"/>
        <v/>
      </c>
      <c r="C449" s="174" t="str">
        <f t="shared" si="3"/>
        <v/>
      </c>
      <c r="D449" s="175"/>
      <c r="E449" s="93" t="str">
        <f>IFERROR(__xludf.DUMMYFUNCTION("IF(D449&lt;&gt;"""",SPLIT(D449,"" 
""),)"),"")</f>
        <v/>
      </c>
    </row>
    <row r="450">
      <c r="A450" s="96" t="str">
        <f t="shared" si="1"/>
        <v/>
      </c>
      <c r="B450" s="96" t="str">
        <f t="shared" si="2"/>
        <v/>
      </c>
      <c r="C450" s="174" t="str">
        <f t="shared" si="3"/>
        <v/>
      </c>
      <c r="D450" s="175"/>
      <c r="E450" s="93" t="str">
        <f>IFERROR(__xludf.DUMMYFUNCTION("IF(D450&lt;&gt;"""",SPLIT(D450,"" 
""),)"),"")</f>
        <v/>
      </c>
    </row>
    <row r="451">
      <c r="A451" s="96" t="str">
        <f t="shared" si="1"/>
        <v/>
      </c>
      <c r="B451" s="96" t="str">
        <f t="shared" si="2"/>
        <v/>
      </c>
      <c r="C451" s="174" t="str">
        <f t="shared" si="3"/>
        <v/>
      </c>
      <c r="D451" s="175"/>
      <c r="E451" s="93" t="str">
        <f>IFERROR(__xludf.DUMMYFUNCTION("IF(D451&lt;&gt;"""",SPLIT(D451,"" 
""),)"),"")</f>
        <v/>
      </c>
    </row>
    <row r="452">
      <c r="A452" s="96" t="str">
        <f t="shared" si="1"/>
        <v/>
      </c>
      <c r="B452" s="96" t="str">
        <f t="shared" si="2"/>
        <v/>
      </c>
      <c r="C452" s="174" t="str">
        <f t="shared" si="3"/>
        <v/>
      </c>
      <c r="D452" s="175"/>
      <c r="E452" s="93" t="str">
        <f>IFERROR(__xludf.DUMMYFUNCTION("IF(D452&lt;&gt;"""",SPLIT(D452,"" 
""),)"),"")</f>
        <v/>
      </c>
    </row>
    <row r="453">
      <c r="A453" s="96" t="str">
        <f t="shared" si="1"/>
        <v/>
      </c>
      <c r="B453" s="96" t="str">
        <f t="shared" si="2"/>
        <v/>
      </c>
      <c r="C453" s="174" t="str">
        <f t="shared" si="3"/>
        <v/>
      </c>
      <c r="D453" s="175"/>
      <c r="E453" s="93" t="str">
        <f>IFERROR(__xludf.DUMMYFUNCTION("IF(D453&lt;&gt;"""",SPLIT(D453,"" 
""),)"),"")</f>
        <v/>
      </c>
    </row>
    <row r="454">
      <c r="A454" s="96" t="str">
        <f t="shared" si="1"/>
        <v/>
      </c>
      <c r="B454" s="96" t="str">
        <f t="shared" si="2"/>
        <v/>
      </c>
      <c r="C454" s="174" t="str">
        <f t="shared" si="3"/>
        <v/>
      </c>
      <c r="D454" s="175"/>
      <c r="E454" s="93" t="str">
        <f>IFERROR(__xludf.DUMMYFUNCTION("IF(D454&lt;&gt;"""",SPLIT(D454,"" 
""),)"),"")</f>
        <v/>
      </c>
    </row>
    <row r="455">
      <c r="A455" s="96" t="str">
        <f t="shared" si="1"/>
        <v/>
      </c>
      <c r="B455" s="96" t="str">
        <f t="shared" si="2"/>
        <v/>
      </c>
      <c r="C455" s="174" t="str">
        <f t="shared" si="3"/>
        <v/>
      </c>
      <c r="D455" s="175"/>
      <c r="E455" s="93" t="str">
        <f>IFERROR(__xludf.DUMMYFUNCTION("IF(D455&lt;&gt;"""",SPLIT(D455,"" 
""),)"),"")</f>
        <v/>
      </c>
    </row>
    <row r="456">
      <c r="A456" s="96" t="str">
        <f t="shared" si="1"/>
        <v/>
      </c>
      <c r="B456" s="96" t="str">
        <f t="shared" si="2"/>
        <v/>
      </c>
      <c r="C456" s="174" t="str">
        <f t="shared" si="3"/>
        <v/>
      </c>
      <c r="D456" s="175"/>
      <c r="E456" s="93" t="str">
        <f>IFERROR(__xludf.DUMMYFUNCTION("IF(D456&lt;&gt;"""",SPLIT(D456,"" 
""),)"),"")</f>
        <v/>
      </c>
    </row>
    <row r="457">
      <c r="A457" s="96" t="str">
        <f t="shared" si="1"/>
        <v/>
      </c>
      <c r="B457" s="96" t="str">
        <f t="shared" si="2"/>
        <v/>
      </c>
      <c r="C457" s="174" t="str">
        <f t="shared" si="3"/>
        <v/>
      </c>
      <c r="D457" s="175"/>
      <c r="E457" s="93" t="str">
        <f>IFERROR(__xludf.DUMMYFUNCTION("IF(D457&lt;&gt;"""",SPLIT(D457,"" 
""),)"),"")</f>
        <v/>
      </c>
    </row>
    <row r="458">
      <c r="A458" s="96" t="str">
        <f t="shared" si="1"/>
        <v/>
      </c>
      <c r="B458" s="96" t="str">
        <f t="shared" si="2"/>
        <v/>
      </c>
      <c r="C458" s="174" t="str">
        <f t="shared" si="3"/>
        <v/>
      </c>
      <c r="D458" s="175"/>
      <c r="E458" s="93" t="str">
        <f>IFERROR(__xludf.DUMMYFUNCTION("IF(D458&lt;&gt;"""",SPLIT(D458,"" 
""),)"),"")</f>
        <v/>
      </c>
    </row>
    <row r="459">
      <c r="A459" s="96" t="str">
        <f t="shared" si="1"/>
        <v/>
      </c>
      <c r="B459" s="96" t="str">
        <f t="shared" si="2"/>
        <v/>
      </c>
      <c r="C459" s="174" t="str">
        <f t="shared" si="3"/>
        <v/>
      </c>
      <c r="D459" s="175"/>
      <c r="E459" s="93" t="str">
        <f>IFERROR(__xludf.DUMMYFUNCTION("IF(D459&lt;&gt;"""",SPLIT(D459,"" 
""),)"),"")</f>
        <v/>
      </c>
    </row>
    <row r="460">
      <c r="A460" s="96" t="str">
        <f t="shared" si="1"/>
        <v/>
      </c>
      <c r="B460" s="96" t="str">
        <f t="shared" si="2"/>
        <v/>
      </c>
      <c r="C460" s="174" t="str">
        <f t="shared" si="3"/>
        <v/>
      </c>
      <c r="D460" s="175"/>
      <c r="E460" s="93" t="str">
        <f>IFERROR(__xludf.DUMMYFUNCTION("IF(D460&lt;&gt;"""",SPLIT(D460,"" 
""),)"),"")</f>
        <v/>
      </c>
    </row>
    <row r="461">
      <c r="A461" s="96" t="str">
        <f t="shared" si="1"/>
        <v/>
      </c>
      <c r="B461" s="96" t="str">
        <f t="shared" si="2"/>
        <v/>
      </c>
      <c r="C461" s="174" t="str">
        <f t="shared" si="3"/>
        <v/>
      </c>
      <c r="D461" s="175"/>
      <c r="E461" s="93" t="str">
        <f>IFERROR(__xludf.DUMMYFUNCTION("IF(D461&lt;&gt;"""",SPLIT(D461,"" 
""),)"),"")</f>
        <v/>
      </c>
    </row>
    <row r="462">
      <c r="A462" s="96" t="str">
        <f t="shared" si="1"/>
        <v/>
      </c>
      <c r="B462" s="96" t="str">
        <f t="shared" si="2"/>
        <v/>
      </c>
      <c r="C462" s="174" t="str">
        <f t="shared" si="3"/>
        <v/>
      </c>
      <c r="D462" s="175"/>
      <c r="E462" s="93" t="str">
        <f>IFERROR(__xludf.DUMMYFUNCTION("IF(D462&lt;&gt;"""",SPLIT(D462,"" 
""),)"),"")</f>
        <v/>
      </c>
    </row>
    <row r="463">
      <c r="A463" s="96" t="str">
        <f t="shared" si="1"/>
        <v/>
      </c>
      <c r="B463" s="96" t="str">
        <f t="shared" si="2"/>
        <v/>
      </c>
      <c r="C463" s="174" t="str">
        <f t="shared" si="3"/>
        <v/>
      </c>
      <c r="D463" s="175"/>
      <c r="E463" s="93" t="str">
        <f>IFERROR(__xludf.DUMMYFUNCTION("IF(D463&lt;&gt;"""",SPLIT(D463,"" 
""),)"),"")</f>
        <v/>
      </c>
    </row>
    <row r="464">
      <c r="A464" s="96" t="str">
        <f t="shared" si="1"/>
        <v/>
      </c>
      <c r="B464" s="96" t="str">
        <f t="shared" si="2"/>
        <v/>
      </c>
      <c r="C464" s="174" t="str">
        <f t="shared" si="3"/>
        <v/>
      </c>
      <c r="D464" s="175"/>
      <c r="E464" s="93" t="str">
        <f>IFERROR(__xludf.DUMMYFUNCTION("IF(D464&lt;&gt;"""",SPLIT(D464,"" 
""),)"),"")</f>
        <v/>
      </c>
    </row>
    <row r="465">
      <c r="A465" s="96" t="str">
        <f t="shared" si="1"/>
        <v/>
      </c>
      <c r="B465" s="96" t="str">
        <f t="shared" si="2"/>
        <v/>
      </c>
      <c r="C465" s="174" t="str">
        <f t="shared" si="3"/>
        <v/>
      </c>
      <c r="D465" s="175"/>
      <c r="E465" s="93" t="str">
        <f>IFERROR(__xludf.DUMMYFUNCTION("IF(D465&lt;&gt;"""",SPLIT(D465,"" 
""),)"),"")</f>
        <v/>
      </c>
    </row>
    <row r="466">
      <c r="A466" s="96" t="str">
        <f t="shared" si="1"/>
        <v/>
      </c>
      <c r="B466" s="96" t="str">
        <f t="shared" si="2"/>
        <v/>
      </c>
      <c r="C466" s="174" t="str">
        <f t="shared" si="3"/>
        <v/>
      </c>
      <c r="D466" s="175"/>
      <c r="E466" s="93" t="str">
        <f>IFERROR(__xludf.DUMMYFUNCTION("IF(D466&lt;&gt;"""",SPLIT(D466,"" 
""),)"),"")</f>
        <v/>
      </c>
    </row>
    <row r="467">
      <c r="A467" s="96" t="str">
        <f t="shared" si="1"/>
        <v/>
      </c>
      <c r="B467" s="96" t="str">
        <f t="shared" si="2"/>
        <v/>
      </c>
      <c r="C467" s="174" t="str">
        <f t="shared" si="3"/>
        <v/>
      </c>
      <c r="D467" s="175"/>
      <c r="E467" s="93" t="str">
        <f>IFERROR(__xludf.DUMMYFUNCTION("IF(D467&lt;&gt;"""",SPLIT(D467,"" 
""),)"),"")</f>
        <v/>
      </c>
    </row>
    <row r="468">
      <c r="A468" s="96" t="str">
        <f t="shared" si="1"/>
        <v/>
      </c>
      <c r="B468" s="96" t="str">
        <f t="shared" si="2"/>
        <v/>
      </c>
      <c r="C468" s="174" t="str">
        <f t="shared" si="3"/>
        <v/>
      </c>
      <c r="D468" s="175"/>
      <c r="E468" s="93" t="str">
        <f>IFERROR(__xludf.DUMMYFUNCTION("IF(D468&lt;&gt;"""",SPLIT(D468,"" 
""),)"),"")</f>
        <v/>
      </c>
    </row>
    <row r="469">
      <c r="A469" s="96" t="str">
        <f t="shared" si="1"/>
        <v/>
      </c>
      <c r="B469" s="96" t="str">
        <f t="shared" si="2"/>
        <v/>
      </c>
      <c r="C469" s="174" t="str">
        <f t="shared" si="3"/>
        <v/>
      </c>
      <c r="D469" s="175"/>
      <c r="E469" s="93" t="str">
        <f>IFERROR(__xludf.DUMMYFUNCTION("IF(D469&lt;&gt;"""",SPLIT(D469,"" 
""),)"),"")</f>
        <v/>
      </c>
    </row>
    <row r="470">
      <c r="A470" s="96" t="str">
        <f t="shared" si="1"/>
        <v/>
      </c>
      <c r="B470" s="96" t="str">
        <f t="shared" si="2"/>
        <v/>
      </c>
      <c r="C470" s="174" t="str">
        <f t="shared" si="3"/>
        <v/>
      </c>
      <c r="D470" s="175"/>
      <c r="E470" s="93" t="str">
        <f>IFERROR(__xludf.DUMMYFUNCTION("IF(D470&lt;&gt;"""",SPLIT(D470,"" 
""),)"),"")</f>
        <v/>
      </c>
    </row>
    <row r="471">
      <c r="A471" s="96" t="str">
        <f t="shared" si="1"/>
        <v/>
      </c>
      <c r="B471" s="96" t="str">
        <f t="shared" si="2"/>
        <v/>
      </c>
      <c r="C471" s="174" t="str">
        <f t="shared" si="3"/>
        <v/>
      </c>
      <c r="D471" s="175"/>
      <c r="E471" s="93" t="str">
        <f>IFERROR(__xludf.DUMMYFUNCTION("IF(D471&lt;&gt;"""",SPLIT(D471,"" 
""),)"),"")</f>
        <v/>
      </c>
    </row>
    <row r="472">
      <c r="A472" s="96" t="str">
        <f t="shared" si="1"/>
        <v/>
      </c>
      <c r="B472" s="96" t="str">
        <f t="shared" si="2"/>
        <v/>
      </c>
      <c r="C472" s="174" t="str">
        <f t="shared" si="3"/>
        <v/>
      </c>
      <c r="D472" s="175"/>
      <c r="E472" s="93" t="str">
        <f>IFERROR(__xludf.DUMMYFUNCTION("IF(D472&lt;&gt;"""",SPLIT(D472,"" 
""),)"),"")</f>
        <v/>
      </c>
    </row>
    <row r="473">
      <c r="A473" s="96" t="str">
        <f t="shared" si="1"/>
        <v/>
      </c>
      <c r="B473" s="96" t="str">
        <f t="shared" si="2"/>
        <v/>
      </c>
      <c r="C473" s="174" t="str">
        <f t="shared" si="3"/>
        <v/>
      </c>
      <c r="D473" s="175"/>
      <c r="E473" s="93" t="str">
        <f>IFERROR(__xludf.DUMMYFUNCTION("IF(D473&lt;&gt;"""",SPLIT(D473,"" 
""),)"),"")</f>
        <v/>
      </c>
    </row>
    <row r="474">
      <c r="A474" s="96" t="str">
        <f t="shared" si="1"/>
        <v/>
      </c>
      <c r="B474" s="96" t="str">
        <f t="shared" si="2"/>
        <v/>
      </c>
      <c r="C474" s="174" t="str">
        <f t="shared" si="3"/>
        <v/>
      </c>
      <c r="D474" s="175"/>
      <c r="E474" s="93" t="str">
        <f>IFERROR(__xludf.DUMMYFUNCTION("IF(D474&lt;&gt;"""",SPLIT(D474,"" 
""),)"),"")</f>
        <v/>
      </c>
    </row>
    <row r="475">
      <c r="A475" s="96" t="str">
        <f t="shared" si="1"/>
        <v/>
      </c>
      <c r="B475" s="96" t="str">
        <f t="shared" si="2"/>
        <v/>
      </c>
      <c r="C475" s="174" t="str">
        <f t="shared" si="3"/>
        <v/>
      </c>
      <c r="D475" s="175"/>
      <c r="E475" s="93" t="str">
        <f>IFERROR(__xludf.DUMMYFUNCTION("IF(D475&lt;&gt;"""",SPLIT(D475,"" 
""),)"),"")</f>
        <v/>
      </c>
    </row>
    <row r="476">
      <c r="A476" s="96" t="str">
        <f t="shared" si="1"/>
        <v/>
      </c>
      <c r="B476" s="96" t="str">
        <f t="shared" si="2"/>
        <v/>
      </c>
      <c r="C476" s="174" t="str">
        <f t="shared" si="3"/>
        <v/>
      </c>
      <c r="D476" s="175"/>
      <c r="E476" s="93" t="str">
        <f>IFERROR(__xludf.DUMMYFUNCTION("IF(D476&lt;&gt;"""",SPLIT(D476,"" 
""),)"),"")</f>
        <v/>
      </c>
    </row>
    <row r="477">
      <c r="A477" s="96" t="str">
        <f t="shared" si="1"/>
        <v/>
      </c>
      <c r="B477" s="96" t="str">
        <f t="shared" si="2"/>
        <v/>
      </c>
      <c r="C477" s="174" t="str">
        <f t="shared" si="3"/>
        <v/>
      </c>
      <c r="D477" s="175"/>
      <c r="E477" s="93" t="str">
        <f>IFERROR(__xludf.DUMMYFUNCTION("IF(D477&lt;&gt;"""",SPLIT(D477,"" 
""),)"),"")</f>
        <v/>
      </c>
    </row>
    <row r="478">
      <c r="A478" s="96" t="str">
        <f t="shared" si="1"/>
        <v/>
      </c>
      <c r="B478" s="96" t="str">
        <f t="shared" si="2"/>
        <v/>
      </c>
      <c r="C478" s="174" t="str">
        <f t="shared" si="3"/>
        <v/>
      </c>
      <c r="D478" s="175"/>
      <c r="E478" s="93" t="str">
        <f>IFERROR(__xludf.DUMMYFUNCTION("IF(D478&lt;&gt;"""",SPLIT(D478,"" 
""),)"),"")</f>
        <v/>
      </c>
    </row>
    <row r="479">
      <c r="A479" s="96" t="str">
        <f t="shared" si="1"/>
        <v/>
      </c>
      <c r="B479" s="96" t="str">
        <f t="shared" si="2"/>
        <v/>
      </c>
      <c r="C479" s="174" t="str">
        <f t="shared" si="3"/>
        <v/>
      </c>
      <c r="D479" s="175"/>
      <c r="E479" s="93" t="str">
        <f>IFERROR(__xludf.DUMMYFUNCTION("IF(D479&lt;&gt;"""",SPLIT(D479,"" 
""),)"),"")</f>
        <v/>
      </c>
    </row>
    <row r="480">
      <c r="A480" s="96" t="str">
        <f t="shared" si="1"/>
        <v/>
      </c>
      <c r="B480" s="96" t="str">
        <f t="shared" si="2"/>
        <v/>
      </c>
      <c r="C480" s="174" t="str">
        <f t="shared" si="3"/>
        <v/>
      </c>
      <c r="D480" s="175"/>
      <c r="E480" s="93" t="str">
        <f>IFERROR(__xludf.DUMMYFUNCTION("IF(D480&lt;&gt;"""",SPLIT(D480,"" 
""),)"),"")</f>
        <v/>
      </c>
    </row>
    <row r="481">
      <c r="A481" s="96" t="str">
        <f t="shared" si="1"/>
        <v/>
      </c>
      <c r="B481" s="96" t="str">
        <f t="shared" si="2"/>
        <v/>
      </c>
      <c r="C481" s="174" t="str">
        <f t="shared" si="3"/>
        <v/>
      </c>
      <c r="D481" s="175"/>
      <c r="E481" s="93" t="str">
        <f>IFERROR(__xludf.DUMMYFUNCTION("IF(D481&lt;&gt;"""",SPLIT(D481,"" 
""),)"),"")</f>
        <v/>
      </c>
    </row>
    <row r="482">
      <c r="A482" s="96" t="str">
        <f t="shared" si="1"/>
        <v/>
      </c>
      <c r="B482" s="96" t="str">
        <f t="shared" si="2"/>
        <v/>
      </c>
      <c r="C482" s="174" t="str">
        <f t="shared" si="3"/>
        <v/>
      </c>
      <c r="D482" s="175"/>
      <c r="E482" s="93" t="str">
        <f>IFERROR(__xludf.DUMMYFUNCTION("IF(D482&lt;&gt;"""",SPLIT(D482,"" 
""),)"),"")</f>
        <v/>
      </c>
    </row>
    <row r="483">
      <c r="A483" s="96" t="str">
        <f t="shared" si="1"/>
        <v/>
      </c>
      <c r="B483" s="96" t="str">
        <f t="shared" si="2"/>
        <v/>
      </c>
      <c r="C483" s="174" t="str">
        <f t="shared" si="3"/>
        <v/>
      </c>
      <c r="D483" s="175"/>
      <c r="E483" s="93" t="str">
        <f>IFERROR(__xludf.DUMMYFUNCTION("IF(D483&lt;&gt;"""",SPLIT(D483,"" 
""),)"),"")</f>
        <v/>
      </c>
    </row>
    <row r="484">
      <c r="A484" s="96" t="str">
        <f t="shared" si="1"/>
        <v/>
      </c>
      <c r="B484" s="96" t="str">
        <f t="shared" si="2"/>
        <v/>
      </c>
      <c r="C484" s="174" t="str">
        <f t="shared" si="3"/>
        <v/>
      </c>
      <c r="D484" s="175"/>
      <c r="E484" s="93" t="str">
        <f>IFERROR(__xludf.DUMMYFUNCTION("IF(D484&lt;&gt;"""",SPLIT(D484,"" 
""),)"),"")</f>
        <v/>
      </c>
    </row>
    <row r="485">
      <c r="A485" s="96" t="str">
        <f t="shared" si="1"/>
        <v/>
      </c>
      <c r="B485" s="96" t="str">
        <f t="shared" si="2"/>
        <v/>
      </c>
      <c r="C485" s="174" t="str">
        <f t="shared" si="3"/>
        <v/>
      </c>
      <c r="D485" s="175"/>
      <c r="E485" s="93" t="str">
        <f>IFERROR(__xludf.DUMMYFUNCTION("IF(D485&lt;&gt;"""",SPLIT(D485,"" 
""),)"),"")</f>
        <v/>
      </c>
    </row>
    <row r="486">
      <c r="A486" s="96" t="str">
        <f t="shared" si="1"/>
        <v/>
      </c>
      <c r="B486" s="96" t="str">
        <f t="shared" si="2"/>
        <v/>
      </c>
      <c r="C486" s="174" t="str">
        <f t="shared" si="3"/>
        <v/>
      </c>
      <c r="D486" s="175"/>
      <c r="E486" s="93" t="str">
        <f>IFERROR(__xludf.DUMMYFUNCTION("IF(D486&lt;&gt;"""",SPLIT(D486,"" 
""),)"),"")</f>
        <v/>
      </c>
    </row>
    <row r="487">
      <c r="A487" s="96" t="str">
        <f t="shared" si="1"/>
        <v/>
      </c>
      <c r="B487" s="96" t="str">
        <f t="shared" si="2"/>
        <v/>
      </c>
      <c r="C487" s="174" t="str">
        <f t="shared" si="3"/>
        <v/>
      </c>
      <c r="D487" s="175"/>
      <c r="E487" s="93" t="str">
        <f>IFERROR(__xludf.DUMMYFUNCTION("IF(D487&lt;&gt;"""",SPLIT(D487,"" 
""),)"),"")</f>
        <v/>
      </c>
    </row>
    <row r="488">
      <c r="A488" s="96" t="str">
        <f t="shared" si="1"/>
        <v/>
      </c>
      <c r="B488" s="96" t="str">
        <f t="shared" si="2"/>
        <v/>
      </c>
      <c r="C488" s="174" t="str">
        <f t="shared" si="3"/>
        <v/>
      </c>
      <c r="D488" s="175"/>
      <c r="E488" s="93" t="str">
        <f>IFERROR(__xludf.DUMMYFUNCTION("IF(D488&lt;&gt;"""",SPLIT(D488,"" 
""),)"),"")</f>
        <v/>
      </c>
    </row>
    <row r="489">
      <c r="A489" s="96" t="str">
        <f t="shared" si="1"/>
        <v/>
      </c>
      <c r="B489" s="96" t="str">
        <f t="shared" si="2"/>
        <v/>
      </c>
      <c r="C489" s="174" t="str">
        <f t="shared" si="3"/>
        <v/>
      </c>
      <c r="D489" s="175"/>
      <c r="E489" s="93" t="str">
        <f>IFERROR(__xludf.DUMMYFUNCTION("IF(D489&lt;&gt;"""",SPLIT(D489,"" 
""),)"),"")</f>
        <v/>
      </c>
    </row>
    <row r="490">
      <c r="A490" s="96" t="str">
        <f t="shared" si="1"/>
        <v/>
      </c>
      <c r="B490" s="96" t="str">
        <f t="shared" si="2"/>
        <v/>
      </c>
      <c r="C490" s="174" t="str">
        <f t="shared" si="3"/>
        <v/>
      </c>
      <c r="D490" s="175"/>
      <c r="E490" s="93" t="str">
        <f>IFERROR(__xludf.DUMMYFUNCTION("IF(D490&lt;&gt;"""",SPLIT(D490,"" 
""),)"),"")</f>
        <v/>
      </c>
    </row>
    <row r="491">
      <c r="A491" s="96" t="str">
        <f t="shared" si="1"/>
        <v/>
      </c>
      <c r="B491" s="96" t="str">
        <f t="shared" si="2"/>
        <v/>
      </c>
      <c r="C491" s="174" t="str">
        <f t="shared" si="3"/>
        <v/>
      </c>
      <c r="D491" s="175"/>
      <c r="E491" s="93" t="str">
        <f>IFERROR(__xludf.DUMMYFUNCTION("IF(D491&lt;&gt;"""",SPLIT(D491,"" 
""),)"),"")</f>
        <v/>
      </c>
    </row>
    <row r="492">
      <c r="A492" s="96" t="str">
        <f t="shared" si="1"/>
        <v/>
      </c>
      <c r="B492" s="96" t="str">
        <f t="shared" si="2"/>
        <v/>
      </c>
      <c r="C492" s="174" t="str">
        <f t="shared" si="3"/>
        <v/>
      </c>
      <c r="D492" s="175"/>
      <c r="E492" s="93" t="str">
        <f>IFERROR(__xludf.DUMMYFUNCTION("IF(D492&lt;&gt;"""",SPLIT(D492,"" 
""),)"),"")</f>
        <v/>
      </c>
    </row>
    <row r="493">
      <c r="A493" s="96" t="str">
        <f t="shared" si="1"/>
        <v/>
      </c>
      <c r="B493" s="96" t="str">
        <f t="shared" si="2"/>
        <v/>
      </c>
      <c r="C493" s="174" t="str">
        <f t="shared" si="3"/>
        <v/>
      </c>
      <c r="D493" s="175"/>
      <c r="E493" s="93" t="str">
        <f>IFERROR(__xludf.DUMMYFUNCTION("IF(D493&lt;&gt;"""",SPLIT(D493,"" 
""),)"),"")</f>
        <v/>
      </c>
    </row>
    <row r="494">
      <c r="A494" s="96" t="str">
        <f t="shared" si="1"/>
        <v/>
      </c>
      <c r="B494" s="96" t="str">
        <f t="shared" si="2"/>
        <v/>
      </c>
      <c r="C494" s="174" t="str">
        <f t="shared" si="3"/>
        <v/>
      </c>
      <c r="D494" s="175"/>
      <c r="E494" s="93" t="str">
        <f>IFERROR(__xludf.DUMMYFUNCTION("IF(D494&lt;&gt;"""",SPLIT(D494,"" 
""),)"),"")</f>
        <v/>
      </c>
    </row>
    <row r="495">
      <c r="A495" s="96" t="str">
        <f t="shared" si="1"/>
        <v/>
      </c>
      <c r="B495" s="96" t="str">
        <f t="shared" si="2"/>
        <v/>
      </c>
      <c r="C495" s="174" t="str">
        <f t="shared" si="3"/>
        <v/>
      </c>
      <c r="D495" s="175"/>
      <c r="E495" s="93" t="str">
        <f>IFERROR(__xludf.DUMMYFUNCTION("IF(D495&lt;&gt;"""",SPLIT(D495,"" 
""),)"),"")</f>
        <v/>
      </c>
    </row>
    <row r="496">
      <c r="A496" s="96" t="str">
        <f t="shared" si="1"/>
        <v/>
      </c>
      <c r="B496" s="96" t="str">
        <f t="shared" si="2"/>
        <v/>
      </c>
      <c r="C496" s="174" t="str">
        <f t="shared" si="3"/>
        <v/>
      </c>
      <c r="D496" s="175"/>
      <c r="E496" s="93" t="str">
        <f>IFERROR(__xludf.DUMMYFUNCTION("IF(D496&lt;&gt;"""",SPLIT(D496,"" 
""),)"),"")</f>
        <v/>
      </c>
    </row>
    <row r="497">
      <c r="A497" s="96" t="str">
        <f t="shared" si="1"/>
        <v/>
      </c>
      <c r="B497" s="96" t="str">
        <f t="shared" si="2"/>
        <v/>
      </c>
      <c r="C497" s="174" t="str">
        <f t="shared" si="3"/>
        <v/>
      </c>
      <c r="D497" s="175"/>
      <c r="E497" s="93" t="str">
        <f>IFERROR(__xludf.DUMMYFUNCTION("IF(D497&lt;&gt;"""",SPLIT(D497,"" 
""),)"),"")</f>
        <v/>
      </c>
    </row>
    <row r="498">
      <c r="A498" s="96" t="str">
        <f t="shared" si="1"/>
        <v/>
      </c>
      <c r="B498" s="96" t="str">
        <f t="shared" si="2"/>
        <v/>
      </c>
      <c r="C498" s="174" t="str">
        <f t="shared" si="3"/>
        <v/>
      </c>
      <c r="D498" s="175"/>
      <c r="E498" s="93" t="str">
        <f>IFERROR(__xludf.DUMMYFUNCTION("IF(D498&lt;&gt;"""",SPLIT(D498,"" 
""),)"),"")</f>
        <v/>
      </c>
    </row>
    <row r="499">
      <c r="A499" s="96" t="str">
        <f t="shared" si="1"/>
        <v/>
      </c>
      <c r="B499" s="96" t="str">
        <f t="shared" si="2"/>
        <v/>
      </c>
      <c r="C499" s="174" t="str">
        <f t="shared" si="3"/>
        <v/>
      </c>
      <c r="D499" s="175"/>
      <c r="E499" s="93" t="str">
        <f>IFERROR(__xludf.DUMMYFUNCTION("IF(D499&lt;&gt;"""",SPLIT(D499,"" 
""),)"),"")</f>
        <v/>
      </c>
    </row>
    <row r="500">
      <c r="A500" s="96" t="str">
        <f t="shared" si="1"/>
        <v/>
      </c>
      <c r="B500" s="96" t="str">
        <f t="shared" si="2"/>
        <v/>
      </c>
      <c r="C500" s="174" t="str">
        <f t="shared" si="3"/>
        <v/>
      </c>
      <c r="D500" s="175"/>
      <c r="E500" s="93" t="str">
        <f>IFERROR(__xludf.DUMMYFUNCTION("IF(D500&lt;&gt;"""",SPLIT(D500,"" 
""),)"),"")</f>
        <v/>
      </c>
    </row>
    <row r="501">
      <c r="A501" s="96" t="str">
        <f t="shared" si="1"/>
        <v/>
      </c>
      <c r="B501" s="96" t="str">
        <f t="shared" si="2"/>
        <v/>
      </c>
      <c r="C501" s="174" t="str">
        <f t="shared" si="3"/>
        <v/>
      </c>
      <c r="D501" s="175"/>
      <c r="E501" s="93" t="str">
        <f>IFERROR(__xludf.DUMMYFUNCTION("IF(D501&lt;&gt;"""",SPLIT(D501,"" 
""),)"),"")</f>
        <v/>
      </c>
    </row>
    <row r="502">
      <c r="A502" s="96" t="str">
        <f t="shared" si="1"/>
        <v/>
      </c>
      <c r="B502" s="96" t="str">
        <f t="shared" si="2"/>
        <v/>
      </c>
      <c r="C502" s="174" t="str">
        <f t="shared" si="3"/>
        <v/>
      </c>
      <c r="D502" s="175"/>
      <c r="E502" s="93" t="str">
        <f>IFERROR(__xludf.DUMMYFUNCTION("IF(D502&lt;&gt;"""",SPLIT(D502,"" 
""),)"),"")</f>
        <v/>
      </c>
    </row>
    <row r="503">
      <c r="A503" s="96" t="str">
        <f t="shared" si="1"/>
        <v/>
      </c>
      <c r="B503" s="96" t="str">
        <f t="shared" si="2"/>
        <v/>
      </c>
      <c r="C503" s="174" t="str">
        <f t="shared" si="3"/>
        <v/>
      </c>
      <c r="D503" s="175"/>
      <c r="E503" s="93" t="str">
        <f>IFERROR(__xludf.DUMMYFUNCTION("IF(D503&lt;&gt;"""",SPLIT(D503,"" 
""),)"),"")</f>
        <v/>
      </c>
    </row>
    <row r="504">
      <c r="A504" s="96" t="str">
        <f t="shared" si="1"/>
        <v/>
      </c>
      <c r="B504" s="96" t="str">
        <f t="shared" si="2"/>
        <v/>
      </c>
      <c r="C504" s="174" t="str">
        <f t="shared" si="3"/>
        <v/>
      </c>
      <c r="D504" s="175"/>
      <c r="E504" s="93" t="str">
        <f>IFERROR(__xludf.DUMMYFUNCTION("IF(D504&lt;&gt;"""",SPLIT(D504,"" 
""),)"),"")</f>
        <v/>
      </c>
    </row>
    <row r="505">
      <c r="A505" s="96" t="str">
        <f t="shared" si="1"/>
        <v/>
      </c>
      <c r="B505" s="96" t="str">
        <f t="shared" si="2"/>
        <v/>
      </c>
      <c r="C505" s="174" t="str">
        <f t="shared" si="3"/>
        <v/>
      </c>
      <c r="D505" s="175"/>
      <c r="E505" s="93" t="str">
        <f>IFERROR(__xludf.DUMMYFUNCTION("IF(D505&lt;&gt;"""",SPLIT(D505,"" 
""),)"),"")</f>
        <v/>
      </c>
    </row>
    <row r="506">
      <c r="A506" s="96" t="str">
        <f t="shared" si="1"/>
        <v/>
      </c>
      <c r="B506" s="96" t="str">
        <f t="shared" si="2"/>
        <v/>
      </c>
      <c r="C506" s="174" t="str">
        <f t="shared" si="3"/>
        <v/>
      </c>
      <c r="D506" s="175"/>
      <c r="E506" s="93" t="str">
        <f>IFERROR(__xludf.DUMMYFUNCTION("IF(D506&lt;&gt;"""",SPLIT(D506,"" 
""),)"),"")</f>
        <v/>
      </c>
    </row>
    <row r="507">
      <c r="A507" s="96" t="str">
        <f t="shared" si="1"/>
        <v/>
      </c>
      <c r="B507" s="96" t="str">
        <f t="shared" si="2"/>
        <v/>
      </c>
      <c r="C507" s="174" t="str">
        <f t="shared" si="3"/>
        <v/>
      </c>
      <c r="D507" s="175"/>
      <c r="E507" s="93" t="str">
        <f>IFERROR(__xludf.DUMMYFUNCTION("IF(D507&lt;&gt;"""",SPLIT(D507,"" 
""),)"),"")</f>
        <v/>
      </c>
    </row>
    <row r="508">
      <c r="A508" s="96" t="str">
        <f t="shared" si="1"/>
        <v/>
      </c>
      <c r="B508" s="96" t="str">
        <f t="shared" si="2"/>
        <v/>
      </c>
      <c r="C508" s="174" t="str">
        <f t="shared" si="3"/>
        <v/>
      </c>
      <c r="D508" s="175"/>
      <c r="E508" s="93" t="str">
        <f>IFERROR(__xludf.DUMMYFUNCTION("IF(D508&lt;&gt;"""",SPLIT(D508,"" 
""),)"),"")</f>
        <v/>
      </c>
    </row>
    <row r="509">
      <c r="A509" s="96" t="str">
        <f t="shared" si="1"/>
        <v/>
      </c>
      <c r="B509" s="96" t="str">
        <f t="shared" si="2"/>
        <v/>
      </c>
      <c r="C509" s="174" t="str">
        <f t="shared" si="3"/>
        <v/>
      </c>
      <c r="D509" s="175"/>
      <c r="E509" s="93" t="str">
        <f>IFERROR(__xludf.DUMMYFUNCTION("IF(D509&lt;&gt;"""",SPLIT(D509,"" 
""),)"),"")</f>
        <v/>
      </c>
    </row>
    <row r="510">
      <c r="A510" s="96" t="str">
        <f t="shared" si="1"/>
        <v/>
      </c>
      <c r="B510" s="96" t="str">
        <f t="shared" si="2"/>
        <v/>
      </c>
      <c r="C510" s="174" t="str">
        <f t="shared" si="3"/>
        <v/>
      </c>
      <c r="D510" s="175"/>
      <c r="E510" s="93" t="str">
        <f>IFERROR(__xludf.DUMMYFUNCTION("IF(D510&lt;&gt;"""",SPLIT(D510,"" 
""),)"),"")</f>
        <v/>
      </c>
    </row>
    <row r="511">
      <c r="A511" s="96" t="str">
        <f t="shared" si="1"/>
        <v/>
      </c>
      <c r="B511" s="96" t="str">
        <f t="shared" si="2"/>
        <v/>
      </c>
      <c r="C511" s="174" t="str">
        <f t="shared" si="3"/>
        <v/>
      </c>
      <c r="D511" s="175"/>
      <c r="E511" s="93" t="str">
        <f>IFERROR(__xludf.DUMMYFUNCTION("IF(D511&lt;&gt;"""",SPLIT(D511,"" 
""),)"),"")</f>
        <v/>
      </c>
    </row>
    <row r="512">
      <c r="A512" s="96" t="str">
        <f t="shared" si="1"/>
        <v/>
      </c>
      <c r="B512" s="96" t="str">
        <f t="shared" si="2"/>
        <v/>
      </c>
      <c r="C512" s="174" t="str">
        <f t="shared" si="3"/>
        <v/>
      </c>
      <c r="D512" s="175"/>
      <c r="E512" s="93" t="str">
        <f>IFERROR(__xludf.DUMMYFUNCTION("IF(D512&lt;&gt;"""",SPLIT(D512,"" 
""),)"),"")</f>
        <v/>
      </c>
    </row>
    <row r="513">
      <c r="A513" s="96" t="str">
        <f t="shared" si="1"/>
        <v/>
      </c>
      <c r="B513" s="96" t="str">
        <f t="shared" si="2"/>
        <v/>
      </c>
      <c r="C513" s="174" t="str">
        <f t="shared" si="3"/>
        <v/>
      </c>
      <c r="D513" s="175"/>
      <c r="E513" s="93" t="str">
        <f>IFERROR(__xludf.DUMMYFUNCTION("IF(D513&lt;&gt;"""",SPLIT(D513,"" 
""),)"),"")</f>
        <v/>
      </c>
    </row>
    <row r="514">
      <c r="A514" s="96" t="str">
        <f t="shared" si="1"/>
        <v/>
      </c>
      <c r="B514" s="96" t="str">
        <f t="shared" si="2"/>
        <v/>
      </c>
      <c r="C514" s="174" t="str">
        <f t="shared" si="3"/>
        <v/>
      </c>
      <c r="D514" s="175"/>
      <c r="E514" s="93" t="str">
        <f>IFERROR(__xludf.DUMMYFUNCTION("IF(D514&lt;&gt;"""",SPLIT(D514,"" 
""),)"),"")</f>
        <v/>
      </c>
    </row>
    <row r="515">
      <c r="A515" s="96" t="str">
        <f t="shared" si="1"/>
        <v/>
      </c>
      <c r="B515" s="96" t="str">
        <f t="shared" si="2"/>
        <v/>
      </c>
      <c r="C515" s="174" t="str">
        <f t="shared" si="3"/>
        <v/>
      </c>
      <c r="D515" s="175"/>
      <c r="E515" s="93" t="str">
        <f>IFERROR(__xludf.DUMMYFUNCTION("IF(D515&lt;&gt;"""",SPLIT(D515,"" 
""),)"),"")</f>
        <v/>
      </c>
    </row>
    <row r="516">
      <c r="A516" s="96" t="str">
        <f t="shared" si="1"/>
        <v/>
      </c>
      <c r="B516" s="96" t="str">
        <f t="shared" si="2"/>
        <v/>
      </c>
      <c r="C516" s="174" t="str">
        <f t="shared" si="3"/>
        <v/>
      </c>
      <c r="D516" s="175"/>
      <c r="E516" s="93" t="str">
        <f>IFERROR(__xludf.DUMMYFUNCTION("IF(D516&lt;&gt;"""",SPLIT(D516,"" 
""),)"),"")</f>
        <v/>
      </c>
    </row>
    <row r="517">
      <c r="A517" s="96" t="str">
        <f t="shared" si="1"/>
        <v/>
      </c>
      <c r="B517" s="96" t="str">
        <f t="shared" si="2"/>
        <v/>
      </c>
      <c r="C517" s="174" t="str">
        <f t="shared" si="3"/>
        <v/>
      </c>
      <c r="D517" s="175"/>
      <c r="E517" s="93" t="str">
        <f>IFERROR(__xludf.DUMMYFUNCTION("IF(D517&lt;&gt;"""",SPLIT(D517,"" 
""),)"),"")</f>
        <v/>
      </c>
    </row>
    <row r="518">
      <c r="A518" s="96" t="str">
        <f t="shared" si="1"/>
        <v/>
      </c>
      <c r="B518" s="96" t="str">
        <f t="shared" si="2"/>
        <v/>
      </c>
      <c r="C518" s="174" t="str">
        <f t="shared" si="3"/>
        <v/>
      </c>
      <c r="D518" s="175"/>
      <c r="E518" s="93" t="str">
        <f>IFERROR(__xludf.DUMMYFUNCTION("IF(D518&lt;&gt;"""",SPLIT(D518,"" 
""),)"),"")</f>
        <v/>
      </c>
    </row>
    <row r="519">
      <c r="A519" s="96" t="str">
        <f t="shared" si="1"/>
        <v/>
      </c>
      <c r="B519" s="96" t="str">
        <f t="shared" si="2"/>
        <v/>
      </c>
      <c r="C519" s="174" t="str">
        <f t="shared" si="3"/>
        <v/>
      </c>
      <c r="D519" s="175"/>
      <c r="E519" s="93" t="str">
        <f>IFERROR(__xludf.DUMMYFUNCTION("IF(D519&lt;&gt;"""",SPLIT(D519,"" 
""),)"),"")</f>
        <v/>
      </c>
    </row>
    <row r="520">
      <c r="A520" s="96" t="str">
        <f t="shared" si="1"/>
        <v/>
      </c>
      <c r="B520" s="96" t="str">
        <f t="shared" si="2"/>
        <v/>
      </c>
      <c r="C520" s="174" t="str">
        <f t="shared" si="3"/>
        <v/>
      </c>
      <c r="D520" s="175"/>
      <c r="E520" s="93" t="str">
        <f>IFERROR(__xludf.DUMMYFUNCTION("IF(D520&lt;&gt;"""",SPLIT(D520,"" 
""),)"),"")</f>
        <v/>
      </c>
    </row>
    <row r="521">
      <c r="A521" s="96" t="str">
        <f t="shared" si="1"/>
        <v/>
      </c>
      <c r="B521" s="96" t="str">
        <f t="shared" si="2"/>
        <v/>
      </c>
      <c r="C521" s="174" t="str">
        <f t="shared" si="3"/>
        <v/>
      </c>
      <c r="D521" s="175"/>
      <c r="E521" s="93" t="str">
        <f>IFERROR(__xludf.DUMMYFUNCTION("IF(D521&lt;&gt;"""",SPLIT(D521,"" 
""),)"),"")</f>
        <v/>
      </c>
    </row>
    <row r="522">
      <c r="A522" s="96" t="str">
        <f t="shared" si="1"/>
        <v/>
      </c>
      <c r="B522" s="96" t="str">
        <f t="shared" si="2"/>
        <v/>
      </c>
      <c r="C522" s="174" t="str">
        <f t="shared" si="3"/>
        <v/>
      </c>
      <c r="D522" s="175"/>
      <c r="E522" s="93" t="str">
        <f>IFERROR(__xludf.DUMMYFUNCTION("IF(D522&lt;&gt;"""",SPLIT(D522,"" 
""),)"),"")</f>
        <v/>
      </c>
    </row>
    <row r="523">
      <c r="A523" s="96" t="str">
        <f t="shared" si="1"/>
        <v/>
      </c>
      <c r="B523" s="96" t="str">
        <f t="shared" si="2"/>
        <v/>
      </c>
      <c r="C523" s="174" t="str">
        <f t="shared" si="3"/>
        <v/>
      </c>
      <c r="D523" s="175"/>
      <c r="E523" s="93" t="str">
        <f>IFERROR(__xludf.DUMMYFUNCTION("IF(D523&lt;&gt;"""",SPLIT(D523,"" 
""),)"),"")</f>
        <v/>
      </c>
    </row>
    <row r="524">
      <c r="A524" s="96" t="str">
        <f t="shared" si="1"/>
        <v/>
      </c>
      <c r="B524" s="96" t="str">
        <f t="shared" si="2"/>
        <v/>
      </c>
      <c r="C524" s="174" t="str">
        <f t="shared" si="3"/>
        <v/>
      </c>
      <c r="D524" s="175"/>
      <c r="E524" s="93" t="str">
        <f>IFERROR(__xludf.DUMMYFUNCTION("IF(D524&lt;&gt;"""",SPLIT(D524,"" 
""),)"),"")</f>
        <v/>
      </c>
    </row>
    <row r="525">
      <c r="A525" s="96" t="str">
        <f t="shared" si="1"/>
        <v/>
      </c>
      <c r="B525" s="96" t="str">
        <f t="shared" si="2"/>
        <v/>
      </c>
      <c r="C525" s="174" t="str">
        <f t="shared" si="3"/>
        <v/>
      </c>
      <c r="D525" s="175"/>
      <c r="E525" s="93" t="str">
        <f>IFERROR(__xludf.DUMMYFUNCTION("IF(D525&lt;&gt;"""",SPLIT(D525,"" 
""),)"),"")</f>
        <v/>
      </c>
    </row>
    <row r="526">
      <c r="A526" s="96" t="str">
        <f t="shared" si="1"/>
        <v/>
      </c>
      <c r="B526" s="96" t="str">
        <f t="shared" si="2"/>
        <v/>
      </c>
      <c r="C526" s="174" t="str">
        <f t="shared" si="3"/>
        <v/>
      </c>
      <c r="D526" s="175"/>
      <c r="E526" s="93" t="str">
        <f>IFERROR(__xludf.DUMMYFUNCTION("IF(D526&lt;&gt;"""",SPLIT(D526,"" 
""),)"),"")</f>
        <v/>
      </c>
    </row>
    <row r="527">
      <c r="A527" s="96" t="str">
        <f t="shared" si="1"/>
        <v/>
      </c>
      <c r="B527" s="96" t="str">
        <f t="shared" si="2"/>
        <v/>
      </c>
      <c r="C527" s="174" t="str">
        <f t="shared" si="3"/>
        <v/>
      </c>
      <c r="D527" s="175"/>
      <c r="E527" s="93" t="str">
        <f>IFERROR(__xludf.DUMMYFUNCTION("IF(D527&lt;&gt;"""",SPLIT(D527,"" 
""),)"),"")</f>
        <v/>
      </c>
    </row>
    <row r="528">
      <c r="A528" s="96" t="str">
        <f t="shared" si="1"/>
        <v/>
      </c>
      <c r="B528" s="96" t="str">
        <f t="shared" si="2"/>
        <v/>
      </c>
      <c r="C528" s="174" t="str">
        <f t="shared" si="3"/>
        <v/>
      </c>
      <c r="D528" s="175"/>
      <c r="E528" s="93" t="str">
        <f>IFERROR(__xludf.DUMMYFUNCTION("IF(D528&lt;&gt;"""",SPLIT(D528,"" 
""),)"),"")</f>
        <v/>
      </c>
    </row>
    <row r="529">
      <c r="A529" s="96" t="str">
        <f t="shared" si="1"/>
        <v/>
      </c>
      <c r="B529" s="96" t="str">
        <f t="shared" si="2"/>
        <v/>
      </c>
      <c r="C529" s="174" t="str">
        <f t="shared" si="3"/>
        <v/>
      </c>
      <c r="D529" s="175"/>
      <c r="E529" s="93" t="str">
        <f>IFERROR(__xludf.DUMMYFUNCTION("IF(D529&lt;&gt;"""",SPLIT(D529,"" 
""),)"),"")</f>
        <v/>
      </c>
    </row>
    <row r="530">
      <c r="A530" s="96" t="str">
        <f t="shared" si="1"/>
        <v/>
      </c>
      <c r="B530" s="96" t="str">
        <f t="shared" si="2"/>
        <v/>
      </c>
      <c r="C530" s="174" t="str">
        <f t="shared" si="3"/>
        <v/>
      </c>
      <c r="D530" s="175"/>
      <c r="E530" s="93" t="str">
        <f>IFERROR(__xludf.DUMMYFUNCTION("IF(D530&lt;&gt;"""",SPLIT(D530,"" 
""),)"),"")</f>
        <v/>
      </c>
    </row>
    <row r="531">
      <c r="A531" s="96" t="str">
        <f t="shared" si="1"/>
        <v/>
      </c>
      <c r="B531" s="96" t="str">
        <f t="shared" si="2"/>
        <v/>
      </c>
      <c r="C531" s="174" t="str">
        <f t="shared" si="3"/>
        <v/>
      </c>
      <c r="D531" s="175"/>
      <c r="E531" s="93" t="str">
        <f>IFERROR(__xludf.DUMMYFUNCTION("IF(D531&lt;&gt;"""",SPLIT(D531,"" 
""),)"),"")</f>
        <v/>
      </c>
    </row>
    <row r="532">
      <c r="A532" s="96" t="str">
        <f t="shared" si="1"/>
        <v/>
      </c>
      <c r="B532" s="96" t="str">
        <f t="shared" si="2"/>
        <v/>
      </c>
      <c r="C532" s="174" t="str">
        <f t="shared" si="3"/>
        <v/>
      </c>
      <c r="D532" s="175"/>
      <c r="E532" s="93" t="str">
        <f>IFERROR(__xludf.DUMMYFUNCTION("IF(D532&lt;&gt;"""",SPLIT(D532,"" 
""),)"),"")</f>
        <v/>
      </c>
    </row>
    <row r="533">
      <c r="A533" s="96" t="str">
        <f t="shared" si="1"/>
        <v/>
      </c>
      <c r="B533" s="96" t="str">
        <f t="shared" si="2"/>
        <v/>
      </c>
      <c r="C533" s="174" t="str">
        <f t="shared" si="3"/>
        <v/>
      </c>
      <c r="D533" s="175"/>
      <c r="E533" s="93" t="str">
        <f>IFERROR(__xludf.DUMMYFUNCTION("IF(D533&lt;&gt;"""",SPLIT(D533,"" 
""),)"),"")</f>
        <v/>
      </c>
    </row>
    <row r="534">
      <c r="A534" s="96" t="str">
        <f t="shared" si="1"/>
        <v/>
      </c>
      <c r="B534" s="96" t="str">
        <f t="shared" si="2"/>
        <v/>
      </c>
      <c r="C534" s="174" t="str">
        <f t="shared" si="3"/>
        <v/>
      </c>
      <c r="D534" s="175"/>
      <c r="E534" s="93" t="str">
        <f>IFERROR(__xludf.DUMMYFUNCTION("IF(D534&lt;&gt;"""",SPLIT(D534,"" 
""),)"),"")</f>
        <v/>
      </c>
    </row>
    <row r="535">
      <c r="A535" s="96" t="str">
        <f t="shared" si="1"/>
        <v/>
      </c>
      <c r="B535" s="96" t="str">
        <f t="shared" si="2"/>
        <v/>
      </c>
      <c r="C535" s="174" t="str">
        <f t="shared" si="3"/>
        <v/>
      </c>
      <c r="D535" s="175"/>
      <c r="E535" s="93" t="str">
        <f>IFERROR(__xludf.DUMMYFUNCTION("IF(D535&lt;&gt;"""",SPLIT(D535,"" 
""),)"),"")</f>
        <v/>
      </c>
    </row>
    <row r="536">
      <c r="A536" s="96" t="str">
        <f t="shared" si="1"/>
        <v/>
      </c>
      <c r="B536" s="96" t="str">
        <f t="shared" si="2"/>
        <v/>
      </c>
      <c r="C536" s="174" t="str">
        <f t="shared" si="3"/>
        <v/>
      </c>
      <c r="D536" s="175"/>
      <c r="E536" s="93" t="str">
        <f>IFERROR(__xludf.DUMMYFUNCTION("IF(D536&lt;&gt;"""",SPLIT(D536,"" 
""),)"),"")</f>
        <v/>
      </c>
    </row>
    <row r="537">
      <c r="A537" s="96" t="str">
        <f t="shared" si="1"/>
        <v/>
      </c>
      <c r="B537" s="96" t="str">
        <f t="shared" si="2"/>
        <v/>
      </c>
      <c r="C537" s="174" t="str">
        <f t="shared" si="3"/>
        <v/>
      </c>
      <c r="D537" s="175"/>
      <c r="E537" s="93" t="str">
        <f>IFERROR(__xludf.DUMMYFUNCTION("IF(D537&lt;&gt;"""",SPLIT(D537,"" 
""),)"),"")</f>
        <v/>
      </c>
    </row>
    <row r="538">
      <c r="A538" s="96" t="str">
        <f t="shared" si="1"/>
        <v/>
      </c>
      <c r="B538" s="96" t="str">
        <f t="shared" si="2"/>
        <v/>
      </c>
      <c r="C538" s="174" t="str">
        <f t="shared" si="3"/>
        <v/>
      </c>
      <c r="D538" s="175"/>
      <c r="E538" s="93" t="str">
        <f>IFERROR(__xludf.DUMMYFUNCTION("IF(D538&lt;&gt;"""",SPLIT(D538,"" 
""),)"),"")</f>
        <v/>
      </c>
    </row>
    <row r="539">
      <c r="A539" s="96" t="str">
        <f t="shared" si="1"/>
        <v/>
      </c>
      <c r="B539" s="96" t="str">
        <f t="shared" si="2"/>
        <v/>
      </c>
      <c r="C539" s="174" t="str">
        <f t="shared" si="3"/>
        <v/>
      </c>
      <c r="D539" s="175"/>
      <c r="E539" s="93" t="str">
        <f>IFERROR(__xludf.DUMMYFUNCTION("IF(D539&lt;&gt;"""",SPLIT(D539,"" 
""),)"),"")</f>
        <v/>
      </c>
    </row>
    <row r="540">
      <c r="A540" s="96" t="str">
        <f t="shared" si="1"/>
        <v/>
      </c>
      <c r="B540" s="96" t="str">
        <f t="shared" si="2"/>
        <v/>
      </c>
      <c r="C540" s="174" t="str">
        <f t="shared" si="3"/>
        <v/>
      </c>
      <c r="D540" s="175"/>
      <c r="E540" s="93" t="str">
        <f>IFERROR(__xludf.DUMMYFUNCTION("IF(D540&lt;&gt;"""",SPLIT(D540,"" 
""),)"),"")</f>
        <v/>
      </c>
    </row>
    <row r="541">
      <c r="A541" s="96" t="str">
        <f t="shared" si="1"/>
        <v/>
      </c>
      <c r="B541" s="96" t="str">
        <f t="shared" si="2"/>
        <v/>
      </c>
      <c r="C541" s="174" t="str">
        <f t="shared" si="3"/>
        <v/>
      </c>
      <c r="D541" s="175"/>
      <c r="E541" s="93" t="str">
        <f>IFERROR(__xludf.DUMMYFUNCTION("IF(D541&lt;&gt;"""",SPLIT(D541,"" 
""),)"),"")</f>
        <v/>
      </c>
    </row>
    <row r="542">
      <c r="A542" s="96" t="str">
        <f t="shared" si="1"/>
        <v/>
      </c>
      <c r="B542" s="96" t="str">
        <f t="shared" si="2"/>
        <v/>
      </c>
      <c r="C542" s="174" t="str">
        <f t="shared" si="3"/>
        <v/>
      </c>
      <c r="D542" s="175"/>
      <c r="E542" s="93" t="str">
        <f>IFERROR(__xludf.DUMMYFUNCTION("IF(D542&lt;&gt;"""",SPLIT(D542,"" 
""),)"),"")</f>
        <v/>
      </c>
    </row>
    <row r="543">
      <c r="A543" s="96" t="str">
        <f t="shared" si="1"/>
        <v/>
      </c>
      <c r="B543" s="96" t="str">
        <f t="shared" si="2"/>
        <v/>
      </c>
      <c r="C543" s="174" t="str">
        <f t="shared" si="3"/>
        <v/>
      </c>
      <c r="D543" s="175"/>
      <c r="E543" s="93" t="str">
        <f>IFERROR(__xludf.DUMMYFUNCTION("IF(D543&lt;&gt;"""",SPLIT(D543,"" 
""),)"),"")</f>
        <v/>
      </c>
    </row>
    <row r="544">
      <c r="A544" s="96" t="str">
        <f t="shared" si="1"/>
        <v/>
      </c>
      <c r="B544" s="96" t="str">
        <f t="shared" si="2"/>
        <v/>
      </c>
      <c r="C544" s="174" t="str">
        <f t="shared" si="3"/>
        <v/>
      </c>
      <c r="D544" s="175"/>
      <c r="E544" s="93" t="str">
        <f>IFERROR(__xludf.DUMMYFUNCTION("IF(D544&lt;&gt;"""",SPLIT(D544,"" 
""),)"),"")</f>
        <v/>
      </c>
    </row>
    <row r="545">
      <c r="A545" s="96" t="str">
        <f t="shared" si="1"/>
        <v/>
      </c>
      <c r="B545" s="96" t="str">
        <f t="shared" si="2"/>
        <v/>
      </c>
      <c r="C545" s="174" t="str">
        <f t="shared" si="3"/>
        <v/>
      </c>
      <c r="D545" s="175"/>
      <c r="E545" s="93" t="str">
        <f>IFERROR(__xludf.DUMMYFUNCTION("IF(D545&lt;&gt;"""",SPLIT(D545,"" 
""),)"),"")</f>
        <v/>
      </c>
    </row>
    <row r="546">
      <c r="A546" s="96" t="str">
        <f t="shared" si="1"/>
        <v/>
      </c>
      <c r="B546" s="96" t="str">
        <f t="shared" si="2"/>
        <v/>
      </c>
      <c r="C546" s="174" t="str">
        <f t="shared" si="3"/>
        <v/>
      </c>
      <c r="D546" s="175"/>
      <c r="E546" s="93" t="str">
        <f>IFERROR(__xludf.DUMMYFUNCTION("IF(D546&lt;&gt;"""",SPLIT(D546,"" 
""),)"),"")</f>
        <v/>
      </c>
    </row>
    <row r="547">
      <c r="A547" s="96" t="str">
        <f t="shared" si="1"/>
        <v/>
      </c>
      <c r="B547" s="96" t="str">
        <f t="shared" si="2"/>
        <v/>
      </c>
      <c r="C547" s="174" t="str">
        <f t="shared" si="3"/>
        <v/>
      </c>
      <c r="D547" s="175"/>
      <c r="E547" s="93" t="str">
        <f>IFERROR(__xludf.DUMMYFUNCTION("IF(D547&lt;&gt;"""",SPLIT(D547,"" 
""),)"),"")</f>
        <v/>
      </c>
    </row>
    <row r="548">
      <c r="A548" s="96" t="str">
        <f t="shared" si="1"/>
        <v/>
      </c>
      <c r="B548" s="96" t="str">
        <f t="shared" si="2"/>
        <v/>
      </c>
      <c r="C548" s="174" t="str">
        <f t="shared" si="3"/>
        <v/>
      </c>
      <c r="D548" s="175"/>
      <c r="E548" s="93" t="str">
        <f>IFERROR(__xludf.DUMMYFUNCTION("IF(D548&lt;&gt;"""",SPLIT(D548,"" 
""),)"),"")</f>
        <v/>
      </c>
    </row>
    <row r="549">
      <c r="A549" s="96" t="str">
        <f t="shared" si="1"/>
        <v/>
      </c>
      <c r="B549" s="96" t="str">
        <f t="shared" si="2"/>
        <v/>
      </c>
      <c r="C549" s="174" t="str">
        <f t="shared" si="3"/>
        <v/>
      </c>
      <c r="D549" s="175"/>
      <c r="E549" s="93" t="str">
        <f>IFERROR(__xludf.DUMMYFUNCTION("IF(D549&lt;&gt;"""",SPLIT(D549,"" 
""),)"),"")</f>
        <v/>
      </c>
    </row>
    <row r="550">
      <c r="A550" s="96" t="str">
        <f t="shared" si="1"/>
        <v/>
      </c>
      <c r="B550" s="96" t="str">
        <f t="shared" si="2"/>
        <v/>
      </c>
      <c r="C550" s="174" t="str">
        <f t="shared" si="3"/>
        <v/>
      </c>
      <c r="D550" s="175"/>
      <c r="E550" s="93" t="str">
        <f>IFERROR(__xludf.DUMMYFUNCTION("IF(D550&lt;&gt;"""",SPLIT(D550,"" 
""),)"),"")</f>
        <v/>
      </c>
    </row>
    <row r="551">
      <c r="A551" s="96" t="str">
        <f t="shared" si="1"/>
        <v/>
      </c>
      <c r="B551" s="96" t="str">
        <f t="shared" si="2"/>
        <v/>
      </c>
      <c r="C551" s="174" t="str">
        <f t="shared" si="3"/>
        <v/>
      </c>
      <c r="D551" s="175"/>
      <c r="E551" s="93" t="str">
        <f>IFERROR(__xludf.DUMMYFUNCTION("IF(D551&lt;&gt;"""",SPLIT(D551,"" 
""),)"),"")</f>
        <v/>
      </c>
    </row>
    <row r="552">
      <c r="A552" s="96" t="str">
        <f t="shared" si="1"/>
        <v/>
      </c>
      <c r="B552" s="96" t="str">
        <f t="shared" si="2"/>
        <v/>
      </c>
      <c r="C552" s="174" t="str">
        <f t="shared" si="3"/>
        <v/>
      </c>
      <c r="D552" s="175"/>
      <c r="E552" s="93" t="str">
        <f>IFERROR(__xludf.DUMMYFUNCTION("IF(D552&lt;&gt;"""",SPLIT(D552,"" 
""),)"),"")</f>
        <v/>
      </c>
    </row>
    <row r="553">
      <c r="A553" s="96" t="str">
        <f t="shared" si="1"/>
        <v/>
      </c>
      <c r="B553" s="96" t="str">
        <f t="shared" si="2"/>
        <v/>
      </c>
      <c r="C553" s="174" t="str">
        <f t="shared" si="3"/>
        <v/>
      </c>
      <c r="D553" s="175"/>
      <c r="E553" s="93" t="str">
        <f>IFERROR(__xludf.DUMMYFUNCTION("IF(D553&lt;&gt;"""",SPLIT(D553,"" 
""),)"),"")</f>
        <v/>
      </c>
    </row>
    <row r="554">
      <c r="A554" s="96" t="str">
        <f t="shared" si="1"/>
        <v/>
      </c>
      <c r="B554" s="96" t="str">
        <f t="shared" si="2"/>
        <v/>
      </c>
      <c r="C554" s="174" t="str">
        <f t="shared" si="3"/>
        <v/>
      </c>
      <c r="D554" s="175"/>
      <c r="E554" s="93" t="str">
        <f>IFERROR(__xludf.DUMMYFUNCTION("IF(D554&lt;&gt;"""",SPLIT(D554,"" 
""),)"),"")</f>
        <v/>
      </c>
    </row>
    <row r="555">
      <c r="A555" s="96" t="str">
        <f t="shared" si="1"/>
        <v/>
      </c>
      <c r="B555" s="96" t="str">
        <f t="shared" si="2"/>
        <v/>
      </c>
      <c r="C555" s="174" t="str">
        <f t="shared" si="3"/>
        <v/>
      </c>
      <c r="D555" s="175"/>
      <c r="E555" s="93" t="str">
        <f>IFERROR(__xludf.DUMMYFUNCTION("IF(D555&lt;&gt;"""",SPLIT(D555,"" 
""),)"),"")</f>
        <v/>
      </c>
    </row>
    <row r="556">
      <c r="A556" s="96" t="str">
        <f t="shared" si="1"/>
        <v/>
      </c>
      <c r="B556" s="96" t="str">
        <f t="shared" si="2"/>
        <v/>
      </c>
      <c r="C556" s="174" t="str">
        <f t="shared" si="3"/>
        <v/>
      </c>
      <c r="D556" s="175"/>
      <c r="E556" s="93" t="str">
        <f>IFERROR(__xludf.DUMMYFUNCTION("IF(D556&lt;&gt;"""",SPLIT(D556,"" 
""),)"),"")</f>
        <v/>
      </c>
    </row>
    <row r="557">
      <c r="A557" s="96" t="str">
        <f t="shared" si="1"/>
        <v/>
      </c>
      <c r="B557" s="96" t="str">
        <f t="shared" si="2"/>
        <v/>
      </c>
      <c r="C557" s="174" t="str">
        <f t="shared" si="3"/>
        <v/>
      </c>
      <c r="D557" s="175"/>
      <c r="E557" s="93" t="str">
        <f>IFERROR(__xludf.DUMMYFUNCTION("IF(D557&lt;&gt;"""",SPLIT(D557,"" 
""),)"),"")</f>
        <v/>
      </c>
    </row>
    <row r="558">
      <c r="A558" s="96" t="str">
        <f t="shared" si="1"/>
        <v/>
      </c>
      <c r="B558" s="96" t="str">
        <f t="shared" si="2"/>
        <v/>
      </c>
      <c r="C558" s="174" t="str">
        <f t="shared" si="3"/>
        <v/>
      </c>
      <c r="D558" s="175"/>
      <c r="E558" s="93" t="str">
        <f>IFERROR(__xludf.DUMMYFUNCTION("IF(D558&lt;&gt;"""",SPLIT(D558,"" 
""),)"),"")</f>
        <v/>
      </c>
    </row>
    <row r="559">
      <c r="A559" s="96" t="str">
        <f t="shared" si="1"/>
        <v/>
      </c>
      <c r="B559" s="96" t="str">
        <f t="shared" si="2"/>
        <v/>
      </c>
      <c r="C559" s="174" t="str">
        <f t="shared" si="3"/>
        <v/>
      </c>
      <c r="D559" s="175"/>
      <c r="E559" s="93" t="str">
        <f>IFERROR(__xludf.DUMMYFUNCTION("IF(D559&lt;&gt;"""",SPLIT(D559,"" 
""),)"),"")</f>
        <v/>
      </c>
    </row>
    <row r="560">
      <c r="A560" s="96" t="str">
        <f t="shared" si="1"/>
        <v/>
      </c>
      <c r="B560" s="96" t="str">
        <f t="shared" si="2"/>
        <v/>
      </c>
      <c r="C560" s="174" t="str">
        <f t="shared" si="3"/>
        <v/>
      </c>
      <c r="D560" s="175"/>
      <c r="E560" s="93" t="str">
        <f>IFERROR(__xludf.DUMMYFUNCTION("IF(D560&lt;&gt;"""",SPLIT(D560,"" 
""),)"),"")</f>
        <v/>
      </c>
    </row>
    <row r="561">
      <c r="A561" s="96" t="str">
        <f t="shared" si="1"/>
        <v/>
      </c>
      <c r="B561" s="96" t="str">
        <f t="shared" si="2"/>
        <v/>
      </c>
      <c r="C561" s="174" t="str">
        <f t="shared" si="3"/>
        <v/>
      </c>
      <c r="D561" s="175"/>
      <c r="E561" s="93" t="str">
        <f>IFERROR(__xludf.DUMMYFUNCTION("IF(D561&lt;&gt;"""",SPLIT(D561,"" 
""),)"),"")</f>
        <v/>
      </c>
    </row>
    <row r="562">
      <c r="A562" s="96" t="str">
        <f t="shared" si="1"/>
        <v/>
      </c>
      <c r="B562" s="96" t="str">
        <f t="shared" si="2"/>
        <v/>
      </c>
      <c r="C562" s="174" t="str">
        <f t="shared" si="3"/>
        <v/>
      </c>
      <c r="D562" s="175"/>
      <c r="E562" s="93" t="str">
        <f>IFERROR(__xludf.DUMMYFUNCTION("IF(D562&lt;&gt;"""",SPLIT(D562,"" 
""),)"),"")</f>
        <v/>
      </c>
    </row>
    <row r="563">
      <c r="A563" s="96" t="str">
        <f t="shared" si="1"/>
        <v/>
      </c>
      <c r="B563" s="96" t="str">
        <f t="shared" si="2"/>
        <v/>
      </c>
      <c r="C563" s="174" t="str">
        <f t="shared" si="3"/>
        <v/>
      </c>
      <c r="D563" s="175"/>
      <c r="E563" s="93" t="str">
        <f>IFERROR(__xludf.DUMMYFUNCTION("IF(D563&lt;&gt;"""",SPLIT(D563,"" 
""),)"),"")</f>
        <v/>
      </c>
    </row>
    <row r="564">
      <c r="A564" s="96" t="str">
        <f t="shared" si="1"/>
        <v/>
      </c>
      <c r="B564" s="96" t="str">
        <f t="shared" si="2"/>
        <v/>
      </c>
      <c r="C564" s="174" t="str">
        <f t="shared" si="3"/>
        <v/>
      </c>
      <c r="D564" s="175"/>
      <c r="E564" s="93" t="str">
        <f>IFERROR(__xludf.DUMMYFUNCTION("IF(D564&lt;&gt;"""",SPLIT(D564,"" 
""),)"),"")</f>
        <v/>
      </c>
    </row>
    <row r="565">
      <c r="A565" s="96" t="str">
        <f t="shared" si="1"/>
        <v/>
      </c>
      <c r="B565" s="96" t="str">
        <f t="shared" si="2"/>
        <v/>
      </c>
      <c r="C565" s="174" t="str">
        <f t="shared" si="3"/>
        <v/>
      </c>
      <c r="D565" s="175"/>
      <c r="E565" s="93" t="str">
        <f>IFERROR(__xludf.DUMMYFUNCTION("IF(D565&lt;&gt;"""",SPLIT(D565,"" 
""),)"),"")</f>
        <v/>
      </c>
    </row>
    <row r="566">
      <c r="A566" s="96" t="str">
        <f t="shared" si="1"/>
        <v/>
      </c>
      <c r="B566" s="96" t="str">
        <f t="shared" si="2"/>
        <v/>
      </c>
      <c r="C566" s="174" t="str">
        <f t="shared" si="3"/>
        <v/>
      </c>
      <c r="D566" s="175"/>
      <c r="E566" s="93" t="str">
        <f>IFERROR(__xludf.DUMMYFUNCTION("IF(D566&lt;&gt;"""",SPLIT(D566,"" 
""),)"),"")</f>
        <v/>
      </c>
    </row>
    <row r="567">
      <c r="A567" s="96" t="str">
        <f t="shared" si="1"/>
        <v/>
      </c>
      <c r="B567" s="96" t="str">
        <f t="shared" si="2"/>
        <v/>
      </c>
      <c r="C567" s="174" t="str">
        <f t="shared" si="3"/>
        <v/>
      </c>
      <c r="D567" s="175"/>
      <c r="E567" s="93" t="str">
        <f>IFERROR(__xludf.DUMMYFUNCTION("IF(D567&lt;&gt;"""",SPLIT(D567,"" 
""),)"),"")</f>
        <v/>
      </c>
    </row>
    <row r="568">
      <c r="A568" s="96" t="str">
        <f t="shared" si="1"/>
        <v/>
      </c>
      <c r="B568" s="96" t="str">
        <f t="shared" si="2"/>
        <v/>
      </c>
      <c r="C568" s="174" t="str">
        <f t="shared" si="3"/>
        <v/>
      </c>
      <c r="D568" s="175"/>
      <c r="E568" s="93" t="str">
        <f>IFERROR(__xludf.DUMMYFUNCTION("IF(D568&lt;&gt;"""",SPLIT(D568,"" 
""),)"),"")</f>
        <v/>
      </c>
    </row>
    <row r="569">
      <c r="A569" s="96" t="str">
        <f t="shared" si="1"/>
        <v/>
      </c>
      <c r="B569" s="96" t="str">
        <f t="shared" si="2"/>
        <v/>
      </c>
      <c r="C569" s="174" t="str">
        <f t="shared" si="3"/>
        <v/>
      </c>
      <c r="D569" s="175"/>
      <c r="E569" s="93" t="str">
        <f>IFERROR(__xludf.DUMMYFUNCTION("IF(D569&lt;&gt;"""",SPLIT(D569,"" 
""),)"),"")</f>
        <v/>
      </c>
    </row>
    <row r="570">
      <c r="A570" s="96" t="str">
        <f t="shared" si="1"/>
        <v/>
      </c>
      <c r="B570" s="96" t="str">
        <f t="shared" si="2"/>
        <v/>
      </c>
      <c r="C570" s="174" t="str">
        <f t="shared" si="3"/>
        <v/>
      </c>
      <c r="D570" s="175"/>
      <c r="E570" s="93" t="str">
        <f>IFERROR(__xludf.DUMMYFUNCTION("IF(D570&lt;&gt;"""",SPLIT(D570,"" 
""),)"),"")</f>
        <v/>
      </c>
    </row>
    <row r="571">
      <c r="A571" s="96" t="str">
        <f t="shared" si="1"/>
        <v/>
      </c>
      <c r="B571" s="96" t="str">
        <f t="shared" si="2"/>
        <v/>
      </c>
      <c r="C571" s="174" t="str">
        <f t="shared" si="3"/>
        <v/>
      </c>
      <c r="D571" s="175"/>
      <c r="E571" s="93" t="str">
        <f>IFERROR(__xludf.DUMMYFUNCTION("IF(D571&lt;&gt;"""",SPLIT(D571,"" 
""),)"),"")</f>
        <v/>
      </c>
    </row>
    <row r="572">
      <c r="A572" s="96" t="str">
        <f t="shared" si="1"/>
        <v/>
      </c>
      <c r="B572" s="96" t="str">
        <f t="shared" si="2"/>
        <v/>
      </c>
      <c r="C572" s="174" t="str">
        <f t="shared" si="3"/>
        <v/>
      </c>
      <c r="D572" s="175"/>
      <c r="E572" s="93" t="str">
        <f>IFERROR(__xludf.DUMMYFUNCTION("IF(D572&lt;&gt;"""",SPLIT(D572,"" 
""),)"),"")</f>
        <v/>
      </c>
    </row>
    <row r="573">
      <c r="A573" s="96" t="str">
        <f t="shared" si="1"/>
        <v/>
      </c>
      <c r="B573" s="96" t="str">
        <f t="shared" si="2"/>
        <v/>
      </c>
      <c r="C573" s="174" t="str">
        <f t="shared" si="3"/>
        <v/>
      </c>
      <c r="D573" s="175"/>
      <c r="E573" s="93" t="str">
        <f>IFERROR(__xludf.DUMMYFUNCTION("IF(D573&lt;&gt;"""",SPLIT(D573,"" 
""),)"),"")</f>
        <v/>
      </c>
    </row>
    <row r="574">
      <c r="A574" s="96" t="str">
        <f t="shared" si="1"/>
        <v/>
      </c>
      <c r="B574" s="96" t="str">
        <f t="shared" si="2"/>
        <v/>
      </c>
      <c r="C574" s="174" t="str">
        <f t="shared" si="3"/>
        <v/>
      </c>
      <c r="D574" s="175"/>
      <c r="E574" s="93" t="str">
        <f>IFERROR(__xludf.DUMMYFUNCTION("IF(D574&lt;&gt;"""",SPLIT(D574,"" 
""),)"),"")</f>
        <v/>
      </c>
    </row>
    <row r="575">
      <c r="A575" s="96" t="str">
        <f t="shared" si="1"/>
        <v/>
      </c>
      <c r="B575" s="96" t="str">
        <f t="shared" si="2"/>
        <v/>
      </c>
      <c r="C575" s="174" t="str">
        <f t="shared" si="3"/>
        <v/>
      </c>
      <c r="D575" s="175"/>
      <c r="E575" s="93" t="str">
        <f>IFERROR(__xludf.DUMMYFUNCTION("IF(D575&lt;&gt;"""",SPLIT(D575,"" 
""),)"),"")</f>
        <v/>
      </c>
    </row>
    <row r="576">
      <c r="A576" s="96" t="str">
        <f t="shared" si="1"/>
        <v/>
      </c>
      <c r="B576" s="96" t="str">
        <f t="shared" si="2"/>
        <v/>
      </c>
      <c r="C576" s="174" t="str">
        <f t="shared" si="3"/>
        <v/>
      </c>
      <c r="D576" s="175"/>
      <c r="E576" s="93" t="str">
        <f>IFERROR(__xludf.DUMMYFUNCTION("IF(D576&lt;&gt;"""",SPLIT(D576,"" 
""),)"),"")</f>
        <v/>
      </c>
    </row>
    <row r="577">
      <c r="A577" s="96" t="str">
        <f t="shared" si="1"/>
        <v/>
      </c>
      <c r="B577" s="96" t="str">
        <f t="shared" si="2"/>
        <v/>
      </c>
      <c r="C577" s="174" t="str">
        <f t="shared" si="3"/>
        <v/>
      </c>
      <c r="D577" s="175"/>
      <c r="E577" s="93" t="str">
        <f>IFERROR(__xludf.DUMMYFUNCTION("IF(D577&lt;&gt;"""",SPLIT(D577,"" 
""),)"),"")</f>
        <v/>
      </c>
    </row>
    <row r="578">
      <c r="A578" s="96" t="str">
        <f t="shared" si="1"/>
        <v/>
      </c>
      <c r="B578" s="96" t="str">
        <f t="shared" si="2"/>
        <v/>
      </c>
      <c r="C578" s="174" t="str">
        <f t="shared" si="3"/>
        <v/>
      </c>
      <c r="D578" s="175"/>
      <c r="E578" s="93" t="str">
        <f>IFERROR(__xludf.DUMMYFUNCTION("IF(D578&lt;&gt;"""",SPLIT(D578,"" 
""),)"),"")</f>
        <v/>
      </c>
    </row>
    <row r="579">
      <c r="A579" s="96" t="str">
        <f t="shared" si="1"/>
        <v/>
      </c>
      <c r="B579" s="96" t="str">
        <f t="shared" si="2"/>
        <v/>
      </c>
      <c r="C579" s="174" t="str">
        <f t="shared" si="3"/>
        <v/>
      </c>
      <c r="D579" s="175"/>
      <c r="E579" s="93" t="str">
        <f>IFERROR(__xludf.DUMMYFUNCTION("IF(D579&lt;&gt;"""",SPLIT(D579,"" 
""),)"),"")</f>
        <v/>
      </c>
    </row>
    <row r="580">
      <c r="A580" s="96" t="str">
        <f t="shared" si="1"/>
        <v/>
      </c>
      <c r="B580" s="96" t="str">
        <f t="shared" si="2"/>
        <v/>
      </c>
      <c r="C580" s="174" t="str">
        <f t="shared" si="3"/>
        <v/>
      </c>
      <c r="D580" s="175"/>
      <c r="E580" s="93" t="str">
        <f>IFERROR(__xludf.DUMMYFUNCTION("IF(D580&lt;&gt;"""",SPLIT(D580,"" 
""),)"),"")</f>
        <v/>
      </c>
    </row>
    <row r="581">
      <c r="A581" s="96" t="str">
        <f t="shared" si="1"/>
        <v/>
      </c>
      <c r="B581" s="96" t="str">
        <f t="shared" si="2"/>
        <v/>
      </c>
      <c r="C581" s="174" t="str">
        <f t="shared" si="3"/>
        <v/>
      </c>
      <c r="D581" s="175"/>
      <c r="E581" s="93" t="str">
        <f>IFERROR(__xludf.DUMMYFUNCTION("IF(D581&lt;&gt;"""",SPLIT(D581,"" 
""),)"),"")</f>
        <v/>
      </c>
    </row>
    <row r="582">
      <c r="A582" s="96" t="str">
        <f t="shared" si="1"/>
        <v/>
      </c>
      <c r="B582" s="96" t="str">
        <f t="shared" si="2"/>
        <v/>
      </c>
      <c r="C582" s="174" t="str">
        <f t="shared" si="3"/>
        <v/>
      </c>
      <c r="D582" s="175"/>
      <c r="E582" s="93" t="str">
        <f>IFERROR(__xludf.DUMMYFUNCTION("IF(D582&lt;&gt;"""",SPLIT(D582,"" 
""),)"),"")</f>
        <v/>
      </c>
    </row>
    <row r="583">
      <c r="A583" s="96" t="str">
        <f t="shared" si="1"/>
        <v/>
      </c>
      <c r="B583" s="96" t="str">
        <f t="shared" si="2"/>
        <v/>
      </c>
      <c r="C583" s="174" t="str">
        <f t="shared" si="3"/>
        <v/>
      </c>
      <c r="D583" s="175"/>
      <c r="E583" s="93" t="str">
        <f>IFERROR(__xludf.DUMMYFUNCTION("IF(D583&lt;&gt;"""",SPLIT(D583,"" 
""),)"),"")</f>
        <v/>
      </c>
    </row>
    <row r="584">
      <c r="A584" s="96" t="str">
        <f t="shared" si="1"/>
        <v/>
      </c>
      <c r="B584" s="96" t="str">
        <f t="shared" si="2"/>
        <v/>
      </c>
      <c r="C584" s="174" t="str">
        <f t="shared" si="3"/>
        <v/>
      </c>
      <c r="D584" s="175"/>
      <c r="E584" s="93" t="str">
        <f>IFERROR(__xludf.DUMMYFUNCTION("IF(D584&lt;&gt;"""",SPLIT(D584,"" 
""),)"),"")</f>
        <v/>
      </c>
    </row>
    <row r="585">
      <c r="A585" s="96" t="str">
        <f t="shared" si="1"/>
        <v/>
      </c>
      <c r="B585" s="96" t="str">
        <f t="shared" si="2"/>
        <v/>
      </c>
      <c r="C585" s="174" t="str">
        <f t="shared" si="3"/>
        <v/>
      </c>
      <c r="D585" s="175"/>
      <c r="E585" s="93" t="str">
        <f>IFERROR(__xludf.DUMMYFUNCTION("IF(D585&lt;&gt;"""",SPLIT(D585,"" 
""),)"),"")</f>
        <v/>
      </c>
    </row>
    <row r="586">
      <c r="A586" s="96" t="str">
        <f t="shared" si="1"/>
        <v/>
      </c>
      <c r="B586" s="96" t="str">
        <f t="shared" si="2"/>
        <v/>
      </c>
      <c r="C586" s="174" t="str">
        <f t="shared" si="3"/>
        <v/>
      </c>
      <c r="D586" s="175"/>
      <c r="E586" s="93" t="str">
        <f>IFERROR(__xludf.DUMMYFUNCTION("IF(D586&lt;&gt;"""",SPLIT(D586,"" 
""),)"),"")</f>
        <v/>
      </c>
    </row>
    <row r="587">
      <c r="A587" s="96" t="str">
        <f t="shared" si="1"/>
        <v/>
      </c>
      <c r="B587" s="96" t="str">
        <f t="shared" si="2"/>
        <v/>
      </c>
      <c r="C587" s="174" t="str">
        <f t="shared" si="3"/>
        <v/>
      </c>
      <c r="D587" s="175"/>
      <c r="E587" s="93" t="str">
        <f>IFERROR(__xludf.DUMMYFUNCTION("IF(D587&lt;&gt;"""",SPLIT(D587,"" 
""),)"),"")</f>
        <v/>
      </c>
    </row>
    <row r="588">
      <c r="A588" s="96" t="str">
        <f t="shared" si="1"/>
        <v/>
      </c>
      <c r="B588" s="96" t="str">
        <f t="shared" si="2"/>
        <v/>
      </c>
      <c r="C588" s="174" t="str">
        <f t="shared" si="3"/>
        <v/>
      </c>
      <c r="D588" s="175"/>
      <c r="E588" s="93" t="str">
        <f>IFERROR(__xludf.DUMMYFUNCTION("IF(D588&lt;&gt;"""",SPLIT(D588,"" 
""),)"),"")</f>
        <v/>
      </c>
    </row>
    <row r="589">
      <c r="A589" s="96" t="str">
        <f t="shared" si="1"/>
        <v/>
      </c>
      <c r="B589" s="96" t="str">
        <f t="shared" si="2"/>
        <v/>
      </c>
      <c r="C589" s="174" t="str">
        <f t="shared" si="3"/>
        <v/>
      </c>
      <c r="D589" s="175"/>
      <c r="E589" s="93" t="str">
        <f>IFERROR(__xludf.DUMMYFUNCTION("IF(D589&lt;&gt;"""",SPLIT(D589,"" 
""),)"),"")</f>
        <v/>
      </c>
    </row>
    <row r="590">
      <c r="A590" s="96" t="str">
        <f t="shared" si="1"/>
        <v/>
      </c>
      <c r="B590" s="96" t="str">
        <f t="shared" si="2"/>
        <v/>
      </c>
      <c r="C590" s="174" t="str">
        <f t="shared" si="3"/>
        <v/>
      </c>
      <c r="D590" s="175"/>
      <c r="E590" s="93" t="str">
        <f>IFERROR(__xludf.DUMMYFUNCTION("IF(D590&lt;&gt;"""",SPLIT(D590,"" 
""),)"),"")</f>
        <v/>
      </c>
    </row>
    <row r="591">
      <c r="A591" s="96" t="str">
        <f t="shared" si="1"/>
        <v/>
      </c>
      <c r="B591" s="96" t="str">
        <f t="shared" si="2"/>
        <v/>
      </c>
      <c r="C591" s="174" t="str">
        <f t="shared" si="3"/>
        <v/>
      </c>
      <c r="D591" s="175"/>
      <c r="E591" s="93" t="str">
        <f>IFERROR(__xludf.DUMMYFUNCTION("IF(D591&lt;&gt;"""",SPLIT(D591,"" 
""),)"),"")</f>
        <v/>
      </c>
    </row>
    <row r="592">
      <c r="A592" s="96" t="str">
        <f t="shared" si="1"/>
        <v/>
      </c>
      <c r="B592" s="96" t="str">
        <f t="shared" si="2"/>
        <v/>
      </c>
      <c r="C592" s="174" t="str">
        <f t="shared" si="3"/>
        <v/>
      </c>
      <c r="D592" s="175"/>
      <c r="E592" s="93" t="str">
        <f>IFERROR(__xludf.DUMMYFUNCTION("IF(D592&lt;&gt;"""",SPLIT(D592,"" 
""),)"),"")</f>
        <v/>
      </c>
    </row>
    <row r="593">
      <c r="A593" s="96" t="str">
        <f t="shared" si="1"/>
        <v/>
      </c>
      <c r="B593" s="96" t="str">
        <f t="shared" si="2"/>
        <v/>
      </c>
      <c r="C593" s="174" t="str">
        <f t="shared" si="3"/>
        <v/>
      </c>
      <c r="D593" s="175"/>
      <c r="E593" s="93" t="str">
        <f>IFERROR(__xludf.DUMMYFUNCTION("IF(D593&lt;&gt;"""",SPLIT(D593,"" 
""),)"),"")</f>
        <v/>
      </c>
    </row>
    <row r="594">
      <c r="A594" s="96" t="str">
        <f t="shared" si="1"/>
        <v/>
      </c>
      <c r="B594" s="96" t="str">
        <f t="shared" si="2"/>
        <v/>
      </c>
      <c r="C594" s="174" t="str">
        <f t="shared" si="3"/>
        <v/>
      </c>
      <c r="D594" s="175"/>
      <c r="E594" s="93" t="str">
        <f>IFERROR(__xludf.DUMMYFUNCTION("IF(D594&lt;&gt;"""",SPLIT(D594,"" 
""),)"),"")</f>
        <v/>
      </c>
    </row>
    <row r="595">
      <c r="A595" s="96" t="str">
        <f t="shared" si="1"/>
        <v/>
      </c>
      <c r="B595" s="96" t="str">
        <f t="shared" si="2"/>
        <v/>
      </c>
      <c r="C595" s="174" t="str">
        <f t="shared" si="3"/>
        <v/>
      </c>
      <c r="D595" s="175"/>
      <c r="E595" s="93" t="str">
        <f>IFERROR(__xludf.DUMMYFUNCTION("IF(D595&lt;&gt;"""",SPLIT(D595,"" 
""),)"),"")</f>
        <v/>
      </c>
    </row>
    <row r="596">
      <c r="A596" s="96" t="str">
        <f t="shared" si="1"/>
        <v/>
      </c>
      <c r="B596" s="96" t="str">
        <f t="shared" si="2"/>
        <v/>
      </c>
      <c r="C596" s="174" t="str">
        <f t="shared" si="3"/>
        <v/>
      </c>
      <c r="D596" s="175"/>
      <c r="E596" s="93" t="str">
        <f>IFERROR(__xludf.DUMMYFUNCTION("IF(D596&lt;&gt;"""",SPLIT(D596,"" 
""),)"),"")</f>
        <v/>
      </c>
    </row>
    <row r="597">
      <c r="A597" s="96" t="str">
        <f t="shared" si="1"/>
        <v/>
      </c>
      <c r="B597" s="96" t="str">
        <f t="shared" si="2"/>
        <v/>
      </c>
      <c r="C597" s="174" t="str">
        <f t="shared" si="3"/>
        <v/>
      </c>
      <c r="D597" s="175"/>
      <c r="E597" s="93" t="str">
        <f>IFERROR(__xludf.DUMMYFUNCTION("IF(D597&lt;&gt;"""",SPLIT(D597,"" 
""),)"),"")</f>
        <v/>
      </c>
    </row>
    <row r="598">
      <c r="A598" s="96" t="str">
        <f t="shared" si="1"/>
        <v/>
      </c>
      <c r="B598" s="96" t="str">
        <f t="shared" si="2"/>
        <v/>
      </c>
      <c r="C598" s="174" t="str">
        <f t="shared" si="3"/>
        <v/>
      </c>
      <c r="D598" s="175"/>
      <c r="E598" s="93" t="str">
        <f>IFERROR(__xludf.DUMMYFUNCTION("IF(D598&lt;&gt;"""",SPLIT(D598,"" 
""),)"),"")</f>
        <v/>
      </c>
    </row>
    <row r="599">
      <c r="A599" s="96" t="str">
        <f t="shared" si="1"/>
        <v/>
      </c>
      <c r="B599" s="96" t="str">
        <f t="shared" si="2"/>
        <v/>
      </c>
      <c r="C599" s="174" t="str">
        <f t="shared" si="3"/>
        <v/>
      </c>
      <c r="D599" s="175"/>
      <c r="E599" s="93" t="str">
        <f>IFERROR(__xludf.DUMMYFUNCTION("IF(D599&lt;&gt;"""",SPLIT(D599,"" 
""),)"),"")</f>
        <v/>
      </c>
    </row>
    <row r="600">
      <c r="A600" s="96" t="str">
        <f t="shared" si="1"/>
        <v/>
      </c>
      <c r="B600" s="96" t="str">
        <f t="shared" si="2"/>
        <v/>
      </c>
      <c r="C600" s="174" t="str">
        <f t="shared" si="3"/>
        <v/>
      </c>
      <c r="D600" s="175"/>
      <c r="E600" s="93" t="str">
        <f>IFERROR(__xludf.DUMMYFUNCTION("IF(D600&lt;&gt;"""",SPLIT(D600,"" 
""),)"),"")</f>
        <v/>
      </c>
    </row>
    <row r="601">
      <c r="A601" s="96" t="str">
        <f t="shared" si="1"/>
        <v/>
      </c>
      <c r="B601" s="96" t="str">
        <f t="shared" si="2"/>
        <v/>
      </c>
      <c r="C601" s="174" t="str">
        <f t="shared" si="3"/>
        <v/>
      </c>
      <c r="D601" s="175"/>
      <c r="E601" s="93" t="str">
        <f>IFERROR(__xludf.DUMMYFUNCTION("IF(D601&lt;&gt;"""",SPLIT(D601,"" 
""),)"),"")</f>
        <v/>
      </c>
    </row>
    <row r="602">
      <c r="A602" s="96" t="str">
        <f t="shared" si="1"/>
        <v/>
      </c>
      <c r="B602" s="96" t="str">
        <f t="shared" si="2"/>
        <v/>
      </c>
      <c r="C602" s="174" t="str">
        <f t="shared" si="3"/>
        <v/>
      </c>
      <c r="D602" s="175"/>
      <c r="E602" s="93" t="str">
        <f>IFERROR(__xludf.DUMMYFUNCTION("IF(D602&lt;&gt;"""",SPLIT(D602,"" 
""),)"),"")</f>
        <v/>
      </c>
    </row>
    <row r="603">
      <c r="A603" s="96" t="str">
        <f t="shared" si="1"/>
        <v/>
      </c>
      <c r="B603" s="96" t="str">
        <f t="shared" si="2"/>
        <v/>
      </c>
      <c r="C603" s="174" t="str">
        <f t="shared" si="3"/>
        <v/>
      </c>
      <c r="D603" s="175"/>
      <c r="E603" s="93" t="str">
        <f>IFERROR(__xludf.DUMMYFUNCTION("IF(D603&lt;&gt;"""",SPLIT(D603,"" 
""),)"),"")</f>
        <v/>
      </c>
    </row>
    <row r="604">
      <c r="A604" s="96" t="str">
        <f t="shared" si="1"/>
        <v/>
      </c>
      <c r="B604" s="96" t="str">
        <f t="shared" si="2"/>
        <v/>
      </c>
      <c r="C604" s="174" t="str">
        <f t="shared" si="3"/>
        <v/>
      </c>
      <c r="D604" s="175"/>
      <c r="E604" s="93" t="str">
        <f>IFERROR(__xludf.DUMMYFUNCTION("IF(D604&lt;&gt;"""",SPLIT(D604,"" 
""),)"),"")</f>
        <v/>
      </c>
    </row>
    <row r="605">
      <c r="A605" s="96" t="str">
        <f t="shared" si="1"/>
        <v/>
      </c>
      <c r="B605" s="96" t="str">
        <f t="shared" si="2"/>
        <v/>
      </c>
      <c r="C605" s="174" t="str">
        <f t="shared" si="3"/>
        <v/>
      </c>
      <c r="D605" s="175"/>
      <c r="E605" s="93" t="str">
        <f>IFERROR(__xludf.DUMMYFUNCTION("IF(D605&lt;&gt;"""",SPLIT(D605,"" 
""),)"),"")</f>
        <v/>
      </c>
    </row>
    <row r="606">
      <c r="A606" s="96" t="str">
        <f t="shared" si="1"/>
        <v/>
      </c>
      <c r="B606" s="96" t="str">
        <f t="shared" si="2"/>
        <v/>
      </c>
      <c r="C606" s="174" t="str">
        <f t="shared" si="3"/>
        <v/>
      </c>
      <c r="D606" s="175"/>
      <c r="E606" s="93" t="str">
        <f>IFERROR(__xludf.DUMMYFUNCTION("IF(D606&lt;&gt;"""",SPLIT(D606,"" 
""),)"),"")</f>
        <v/>
      </c>
    </row>
    <row r="607">
      <c r="A607" s="96" t="str">
        <f t="shared" si="1"/>
        <v/>
      </c>
      <c r="B607" s="96" t="str">
        <f t="shared" si="2"/>
        <v/>
      </c>
      <c r="C607" s="174" t="str">
        <f t="shared" si="3"/>
        <v/>
      </c>
      <c r="D607" s="175"/>
      <c r="E607" s="93" t="str">
        <f>IFERROR(__xludf.DUMMYFUNCTION("IF(D607&lt;&gt;"""",SPLIT(D607,"" 
""),)"),"")</f>
        <v/>
      </c>
    </row>
    <row r="608">
      <c r="A608" s="96" t="str">
        <f t="shared" si="1"/>
        <v/>
      </c>
      <c r="B608" s="96" t="str">
        <f t="shared" si="2"/>
        <v/>
      </c>
      <c r="C608" s="174" t="str">
        <f t="shared" si="3"/>
        <v/>
      </c>
      <c r="D608" s="175"/>
      <c r="E608" s="93" t="str">
        <f>IFERROR(__xludf.DUMMYFUNCTION("IF(D608&lt;&gt;"""",SPLIT(D608,"" 
""),)"),"")</f>
        <v/>
      </c>
    </row>
    <row r="609">
      <c r="A609" s="96" t="str">
        <f t="shared" si="1"/>
        <v/>
      </c>
      <c r="B609" s="96" t="str">
        <f t="shared" si="2"/>
        <v/>
      </c>
      <c r="C609" s="174" t="str">
        <f t="shared" si="3"/>
        <v/>
      </c>
      <c r="D609" s="175"/>
      <c r="E609" s="93" t="str">
        <f>IFERROR(__xludf.DUMMYFUNCTION("IF(D609&lt;&gt;"""",SPLIT(D609,"" 
""),)"),"")</f>
        <v/>
      </c>
    </row>
    <row r="610">
      <c r="A610" s="96" t="str">
        <f t="shared" si="1"/>
        <v/>
      </c>
      <c r="B610" s="96" t="str">
        <f t="shared" si="2"/>
        <v/>
      </c>
      <c r="C610" s="174" t="str">
        <f t="shared" si="3"/>
        <v/>
      </c>
      <c r="D610" s="175"/>
      <c r="E610" s="93" t="str">
        <f>IFERROR(__xludf.DUMMYFUNCTION("IF(D610&lt;&gt;"""",SPLIT(D610,"" 
""),)"),"")</f>
        <v/>
      </c>
    </row>
    <row r="611">
      <c r="A611" s="96" t="str">
        <f t="shared" si="1"/>
        <v/>
      </c>
      <c r="B611" s="96" t="str">
        <f t="shared" si="2"/>
        <v/>
      </c>
      <c r="C611" s="174" t="str">
        <f t="shared" si="3"/>
        <v/>
      </c>
      <c r="D611" s="175"/>
      <c r="E611" s="93" t="str">
        <f>IFERROR(__xludf.DUMMYFUNCTION("IF(D611&lt;&gt;"""",SPLIT(D611,"" 
""),)"),"")</f>
        <v/>
      </c>
    </row>
    <row r="612">
      <c r="A612" s="96" t="str">
        <f t="shared" si="1"/>
        <v/>
      </c>
      <c r="B612" s="96" t="str">
        <f t="shared" si="2"/>
        <v/>
      </c>
      <c r="C612" s="174" t="str">
        <f t="shared" si="3"/>
        <v/>
      </c>
      <c r="D612" s="175"/>
      <c r="E612" s="93" t="str">
        <f>IFERROR(__xludf.DUMMYFUNCTION("IF(D612&lt;&gt;"""",SPLIT(D612,"" 
""),)"),"")</f>
        <v/>
      </c>
    </row>
    <row r="613">
      <c r="A613" s="96" t="str">
        <f t="shared" si="1"/>
        <v/>
      </c>
      <c r="B613" s="96" t="str">
        <f t="shared" si="2"/>
        <v/>
      </c>
      <c r="C613" s="174" t="str">
        <f t="shared" si="3"/>
        <v/>
      </c>
      <c r="D613" s="175"/>
      <c r="E613" s="93" t="str">
        <f>IFERROR(__xludf.DUMMYFUNCTION("IF(D613&lt;&gt;"""",SPLIT(D613,"" 
""),)"),"")</f>
        <v/>
      </c>
    </row>
    <row r="614">
      <c r="A614" s="96" t="str">
        <f t="shared" si="1"/>
        <v/>
      </c>
      <c r="B614" s="96" t="str">
        <f t="shared" si="2"/>
        <v/>
      </c>
      <c r="C614" s="174" t="str">
        <f t="shared" si="3"/>
        <v/>
      </c>
      <c r="D614" s="175"/>
      <c r="E614" s="93" t="str">
        <f>IFERROR(__xludf.DUMMYFUNCTION("IF(D614&lt;&gt;"""",SPLIT(D614,"" 
""),)"),"")</f>
        <v/>
      </c>
    </row>
    <row r="615">
      <c r="A615" s="96" t="str">
        <f t="shared" si="1"/>
        <v/>
      </c>
      <c r="B615" s="96" t="str">
        <f t="shared" si="2"/>
        <v/>
      </c>
      <c r="C615" s="174" t="str">
        <f t="shared" si="3"/>
        <v/>
      </c>
      <c r="D615" s="175"/>
      <c r="E615" s="93" t="str">
        <f>IFERROR(__xludf.DUMMYFUNCTION("IF(D615&lt;&gt;"""",SPLIT(D615,"" 
""),)"),"")</f>
        <v/>
      </c>
    </row>
    <row r="616">
      <c r="A616" s="96" t="str">
        <f t="shared" si="1"/>
        <v/>
      </c>
      <c r="B616" s="96" t="str">
        <f t="shared" si="2"/>
        <v/>
      </c>
      <c r="C616" s="174" t="str">
        <f t="shared" si="3"/>
        <v/>
      </c>
      <c r="D616" s="175"/>
      <c r="E616" s="93" t="str">
        <f>IFERROR(__xludf.DUMMYFUNCTION("IF(D616&lt;&gt;"""",SPLIT(D616,"" 
""),)"),"")</f>
        <v/>
      </c>
    </row>
    <row r="617">
      <c r="A617" s="96" t="str">
        <f t="shared" si="1"/>
        <v/>
      </c>
      <c r="B617" s="96" t="str">
        <f t="shared" si="2"/>
        <v/>
      </c>
      <c r="C617" s="174" t="str">
        <f t="shared" si="3"/>
        <v/>
      </c>
      <c r="D617" s="175"/>
      <c r="E617" s="93" t="str">
        <f>IFERROR(__xludf.DUMMYFUNCTION("IF(D617&lt;&gt;"""",SPLIT(D617,"" 
""),)"),"")</f>
        <v/>
      </c>
    </row>
    <row r="618">
      <c r="A618" s="96" t="str">
        <f t="shared" si="1"/>
        <v/>
      </c>
      <c r="B618" s="96" t="str">
        <f t="shared" si="2"/>
        <v/>
      </c>
      <c r="C618" s="174" t="str">
        <f t="shared" si="3"/>
        <v/>
      </c>
      <c r="D618" s="175"/>
      <c r="E618" s="93" t="str">
        <f>IFERROR(__xludf.DUMMYFUNCTION("IF(D618&lt;&gt;"""",SPLIT(D618,"" 
""),)"),"")</f>
        <v/>
      </c>
    </row>
    <row r="619">
      <c r="A619" s="96" t="str">
        <f t="shared" si="1"/>
        <v/>
      </c>
      <c r="B619" s="96" t="str">
        <f t="shared" si="2"/>
        <v/>
      </c>
      <c r="C619" s="174" t="str">
        <f t="shared" si="3"/>
        <v/>
      </c>
      <c r="D619" s="175"/>
      <c r="E619" s="93" t="str">
        <f>IFERROR(__xludf.DUMMYFUNCTION("IF(D619&lt;&gt;"""",SPLIT(D619,"" 
""),)"),"")</f>
        <v/>
      </c>
    </row>
    <row r="620">
      <c r="A620" s="96" t="str">
        <f t="shared" si="1"/>
        <v/>
      </c>
      <c r="B620" s="96" t="str">
        <f t="shared" si="2"/>
        <v/>
      </c>
      <c r="C620" s="174" t="str">
        <f t="shared" si="3"/>
        <v/>
      </c>
      <c r="D620" s="175"/>
      <c r="E620" s="93" t="str">
        <f>IFERROR(__xludf.DUMMYFUNCTION("IF(D620&lt;&gt;"""",SPLIT(D620,"" 
""),)"),"")</f>
        <v/>
      </c>
    </row>
    <row r="621">
      <c r="A621" s="96" t="str">
        <f t="shared" si="1"/>
        <v/>
      </c>
      <c r="B621" s="96" t="str">
        <f t="shared" si="2"/>
        <v/>
      </c>
      <c r="C621" s="174" t="str">
        <f t="shared" si="3"/>
        <v/>
      </c>
      <c r="D621" s="175"/>
      <c r="E621" s="93" t="str">
        <f>IFERROR(__xludf.DUMMYFUNCTION("IF(D621&lt;&gt;"""",SPLIT(D621,"" 
""),)"),"")</f>
        <v/>
      </c>
    </row>
    <row r="622">
      <c r="A622" s="96" t="str">
        <f t="shared" si="1"/>
        <v/>
      </c>
      <c r="B622" s="96" t="str">
        <f t="shared" si="2"/>
        <v/>
      </c>
      <c r="C622" s="174" t="str">
        <f t="shared" si="3"/>
        <v/>
      </c>
      <c r="D622" s="175"/>
      <c r="E622" s="93" t="str">
        <f>IFERROR(__xludf.DUMMYFUNCTION("IF(D622&lt;&gt;"""",SPLIT(D622,"" 
""),)"),"")</f>
        <v/>
      </c>
    </row>
    <row r="623">
      <c r="A623" s="96" t="str">
        <f t="shared" si="1"/>
        <v/>
      </c>
      <c r="B623" s="96" t="str">
        <f t="shared" si="2"/>
        <v/>
      </c>
      <c r="C623" s="174" t="str">
        <f t="shared" si="3"/>
        <v/>
      </c>
      <c r="D623" s="175"/>
      <c r="E623" s="93" t="str">
        <f>IFERROR(__xludf.DUMMYFUNCTION("IF(D623&lt;&gt;"""",SPLIT(D623,"" 
""),)"),"")</f>
        <v/>
      </c>
    </row>
    <row r="624">
      <c r="A624" s="96" t="str">
        <f t="shared" si="1"/>
        <v/>
      </c>
      <c r="B624" s="96" t="str">
        <f t="shared" si="2"/>
        <v/>
      </c>
      <c r="C624" s="174" t="str">
        <f t="shared" si="3"/>
        <v/>
      </c>
      <c r="D624" s="175"/>
      <c r="E624" s="93" t="str">
        <f>IFERROR(__xludf.DUMMYFUNCTION("IF(D624&lt;&gt;"""",SPLIT(D624,"" 
""),)"),"")</f>
        <v/>
      </c>
    </row>
    <row r="625">
      <c r="A625" s="96" t="str">
        <f t="shared" si="1"/>
        <v/>
      </c>
      <c r="B625" s="96" t="str">
        <f t="shared" si="2"/>
        <v/>
      </c>
      <c r="C625" s="174" t="str">
        <f t="shared" si="3"/>
        <v/>
      </c>
      <c r="D625" s="175"/>
      <c r="E625" s="93" t="str">
        <f>IFERROR(__xludf.DUMMYFUNCTION("IF(D625&lt;&gt;"""",SPLIT(D625,"" 
""),)"),"")</f>
        <v/>
      </c>
    </row>
    <row r="626">
      <c r="A626" s="96" t="str">
        <f t="shared" si="1"/>
        <v/>
      </c>
      <c r="B626" s="96" t="str">
        <f t="shared" si="2"/>
        <v/>
      </c>
      <c r="C626" s="174" t="str">
        <f t="shared" si="3"/>
        <v/>
      </c>
      <c r="D626" s="175"/>
      <c r="E626" s="93" t="str">
        <f>IFERROR(__xludf.DUMMYFUNCTION("IF(D626&lt;&gt;"""",SPLIT(D626,"" 
""),)"),"")</f>
        <v/>
      </c>
    </row>
    <row r="627">
      <c r="A627" s="96" t="str">
        <f t="shared" si="1"/>
        <v/>
      </c>
      <c r="B627" s="96" t="str">
        <f t="shared" si="2"/>
        <v/>
      </c>
      <c r="C627" s="174" t="str">
        <f t="shared" si="3"/>
        <v/>
      </c>
      <c r="D627" s="175"/>
      <c r="E627" s="93" t="str">
        <f>IFERROR(__xludf.DUMMYFUNCTION("IF(D627&lt;&gt;"""",SPLIT(D627,"" 
""),)"),"")</f>
        <v/>
      </c>
    </row>
    <row r="628">
      <c r="A628" s="96" t="str">
        <f t="shared" si="1"/>
        <v/>
      </c>
      <c r="B628" s="96" t="str">
        <f t="shared" si="2"/>
        <v/>
      </c>
      <c r="C628" s="174" t="str">
        <f t="shared" si="3"/>
        <v/>
      </c>
      <c r="D628" s="175"/>
      <c r="E628" s="93" t="str">
        <f>IFERROR(__xludf.DUMMYFUNCTION("IF(D628&lt;&gt;"""",SPLIT(D628,"" 
""),)"),"")</f>
        <v/>
      </c>
    </row>
    <row r="629">
      <c r="A629" s="96" t="str">
        <f t="shared" si="1"/>
        <v/>
      </c>
      <c r="B629" s="96" t="str">
        <f t="shared" si="2"/>
        <v/>
      </c>
      <c r="C629" s="174" t="str">
        <f t="shared" si="3"/>
        <v/>
      </c>
      <c r="D629" s="175"/>
      <c r="E629" s="93" t="str">
        <f>IFERROR(__xludf.DUMMYFUNCTION("IF(D629&lt;&gt;"""",SPLIT(D629,"" 
""),)"),"")</f>
        <v/>
      </c>
    </row>
    <row r="630">
      <c r="A630" s="96" t="str">
        <f t="shared" si="1"/>
        <v/>
      </c>
      <c r="B630" s="96" t="str">
        <f t="shared" si="2"/>
        <v/>
      </c>
      <c r="C630" s="174" t="str">
        <f t="shared" si="3"/>
        <v/>
      </c>
      <c r="D630" s="175"/>
      <c r="E630" s="93" t="str">
        <f>IFERROR(__xludf.DUMMYFUNCTION("IF(D630&lt;&gt;"""",SPLIT(D630,"" 
""),)"),"")</f>
        <v/>
      </c>
    </row>
    <row r="631">
      <c r="A631" s="96" t="str">
        <f t="shared" si="1"/>
        <v/>
      </c>
      <c r="B631" s="96" t="str">
        <f t="shared" si="2"/>
        <v/>
      </c>
      <c r="C631" s="174" t="str">
        <f t="shared" si="3"/>
        <v/>
      </c>
      <c r="D631" s="175"/>
      <c r="E631" s="93" t="str">
        <f>IFERROR(__xludf.DUMMYFUNCTION("IF(D631&lt;&gt;"""",SPLIT(D631,"" 
""),)"),"")</f>
        <v/>
      </c>
    </row>
    <row r="632">
      <c r="A632" s="96" t="str">
        <f t="shared" si="1"/>
        <v/>
      </c>
      <c r="B632" s="96" t="str">
        <f t="shared" si="2"/>
        <v/>
      </c>
      <c r="C632" s="174" t="str">
        <f t="shared" si="3"/>
        <v/>
      </c>
      <c r="D632" s="175"/>
      <c r="E632" s="93" t="str">
        <f>IFERROR(__xludf.DUMMYFUNCTION("IF(D632&lt;&gt;"""",SPLIT(D632,"" 
""),)"),"")</f>
        <v/>
      </c>
    </row>
    <row r="633">
      <c r="A633" s="96" t="str">
        <f t="shared" si="1"/>
        <v/>
      </c>
      <c r="B633" s="96" t="str">
        <f t="shared" si="2"/>
        <v/>
      </c>
      <c r="C633" s="174" t="str">
        <f t="shared" si="3"/>
        <v/>
      </c>
      <c r="D633" s="175"/>
      <c r="E633" s="93" t="str">
        <f>IFERROR(__xludf.DUMMYFUNCTION("IF(D633&lt;&gt;"""",SPLIT(D633,"" 
""),)"),"")</f>
        <v/>
      </c>
    </row>
    <row r="634">
      <c r="A634" s="96" t="str">
        <f t="shared" si="1"/>
        <v/>
      </c>
      <c r="B634" s="96" t="str">
        <f t="shared" si="2"/>
        <v/>
      </c>
      <c r="C634" s="174" t="str">
        <f t="shared" si="3"/>
        <v/>
      </c>
      <c r="D634" s="175"/>
      <c r="E634" s="93" t="str">
        <f>IFERROR(__xludf.DUMMYFUNCTION("IF(D634&lt;&gt;"""",SPLIT(D634,"" 
""),)"),"")</f>
        <v/>
      </c>
    </row>
    <row r="635">
      <c r="A635" s="96" t="str">
        <f t="shared" si="1"/>
        <v/>
      </c>
      <c r="B635" s="96" t="str">
        <f t="shared" si="2"/>
        <v/>
      </c>
      <c r="C635" s="174" t="str">
        <f t="shared" si="3"/>
        <v/>
      </c>
      <c r="D635" s="175"/>
      <c r="E635" s="93" t="str">
        <f>IFERROR(__xludf.DUMMYFUNCTION("IF(D635&lt;&gt;"""",SPLIT(D635,"" 
""),)"),"")</f>
        <v/>
      </c>
    </row>
    <row r="636">
      <c r="A636" s="96" t="str">
        <f t="shared" si="1"/>
        <v/>
      </c>
      <c r="B636" s="96" t="str">
        <f t="shared" si="2"/>
        <v/>
      </c>
      <c r="C636" s="174" t="str">
        <f t="shared" si="3"/>
        <v/>
      </c>
      <c r="D636" s="175"/>
      <c r="E636" s="93" t="str">
        <f>IFERROR(__xludf.DUMMYFUNCTION("IF(D636&lt;&gt;"""",SPLIT(D636,"" 
""),)"),"")</f>
        <v/>
      </c>
    </row>
    <row r="637">
      <c r="A637" s="96" t="str">
        <f t="shared" si="1"/>
        <v/>
      </c>
      <c r="B637" s="96" t="str">
        <f t="shared" si="2"/>
        <v/>
      </c>
      <c r="C637" s="174" t="str">
        <f t="shared" si="3"/>
        <v/>
      </c>
      <c r="D637" s="175"/>
      <c r="E637" s="93" t="str">
        <f>IFERROR(__xludf.DUMMYFUNCTION("IF(D637&lt;&gt;"""",SPLIT(D637,"" 
""),)"),"")</f>
        <v/>
      </c>
    </row>
    <row r="638">
      <c r="A638" s="96" t="str">
        <f t="shared" si="1"/>
        <v/>
      </c>
      <c r="B638" s="96" t="str">
        <f t="shared" si="2"/>
        <v/>
      </c>
      <c r="C638" s="174" t="str">
        <f t="shared" si="3"/>
        <v/>
      </c>
      <c r="D638" s="175"/>
      <c r="E638" s="93" t="str">
        <f>IFERROR(__xludf.DUMMYFUNCTION("IF(D638&lt;&gt;"""",SPLIT(D638,"" 
""),)"),"")</f>
        <v/>
      </c>
    </row>
    <row r="639">
      <c r="A639" s="96" t="str">
        <f t="shared" si="1"/>
        <v/>
      </c>
      <c r="B639" s="96" t="str">
        <f t="shared" si="2"/>
        <v/>
      </c>
      <c r="C639" s="174" t="str">
        <f t="shared" si="3"/>
        <v/>
      </c>
      <c r="D639" s="175"/>
      <c r="E639" s="93" t="str">
        <f>IFERROR(__xludf.DUMMYFUNCTION("IF(D639&lt;&gt;"""",SPLIT(D639,"" 
""),)"),"")</f>
        <v/>
      </c>
    </row>
    <row r="640">
      <c r="A640" s="96" t="str">
        <f t="shared" si="1"/>
        <v/>
      </c>
      <c r="B640" s="96" t="str">
        <f t="shared" si="2"/>
        <v/>
      </c>
      <c r="C640" s="174" t="str">
        <f t="shared" si="3"/>
        <v/>
      </c>
      <c r="D640" s="175"/>
      <c r="E640" s="93" t="str">
        <f>IFERROR(__xludf.DUMMYFUNCTION("IF(D640&lt;&gt;"""",SPLIT(D640,"" 
""),)"),"")</f>
        <v/>
      </c>
    </row>
    <row r="641">
      <c r="A641" s="96" t="str">
        <f t="shared" si="1"/>
        <v/>
      </c>
      <c r="B641" s="96" t="str">
        <f t="shared" si="2"/>
        <v/>
      </c>
      <c r="C641" s="174" t="str">
        <f t="shared" si="3"/>
        <v/>
      </c>
      <c r="D641" s="175"/>
      <c r="E641" s="93" t="str">
        <f>IFERROR(__xludf.DUMMYFUNCTION("IF(D641&lt;&gt;"""",SPLIT(D641,"" 
""),)"),"")</f>
        <v/>
      </c>
    </row>
    <row r="642">
      <c r="A642" s="96" t="str">
        <f t="shared" si="1"/>
        <v/>
      </c>
      <c r="B642" s="96" t="str">
        <f t="shared" si="2"/>
        <v/>
      </c>
      <c r="C642" s="174" t="str">
        <f t="shared" si="3"/>
        <v/>
      </c>
      <c r="D642" s="175"/>
      <c r="E642" s="93" t="str">
        <f>IFERROR(__xludf.DUMMYFUNCTION("IF(D642&lt;&gt;"""",SPLIT(D642,"" 
""),)"),"")</f>
        <v/>
      </c>
    </row>
    <row r="643">
      <c r="A643" s="96" t="str">
        <f t="shared" si="1"/>
        <v/>
      </c>
      <c r="B643" s="96" t="str">
        <f t="shared" si="2"/>
        <v/>
      </c>
      <c r="C643" s="174" t="str">
        <f t="shared" si="3"/>
        <v/>
      </c>
      <c r="D643" s="175"/>
      <c r="E643" s="93" t="str">
        <f>IFERROR(__xludf.DUMMYFUNCTION("IF(D643&lt;&gt;"""",SPLIT(D643,"" 
""),)"),"")</f>
        <v/>
      </c>
    </row>
    <row r="644">
      <c r="A644" s="96" t="str">
        <f t="shared" si="1"/>
        <v/>
      </c>
      <c r="B644" s="96" t="str">
        <f t="shared" si="2"/>
        <v/>
      </c>
      <c r="C644" s="174" t="str">
        <f t="shared" si="3"/>
        <v/>
      </c>
      <c r="D644" s="175"/>
      <c r="E644" s="93" t="str">
        <f>IFERROR(__xludf.DUMMYFUNCTION("IF(D644&lt;&gt;"""",SPLIT(D644,"" 
""),)"),"")</f>
        <v/>
      </c>
    </row>
    <row r="645">
      <c r="A645" s="96" t="str">
        <f t="shared" si="1"/>
        <v/>
      </c>
      <c r="B645" s="96" t="str">
        <f t="shared" si="2"/>
        <v/>
      </c>
      <c r="C645" s="174" t="str">
        <f t="shared" si="3"/>
        <v/>
      </c>
      <c r="D645" s="175"/>
      <c r="E645" s="93" t="str">
        <f>IFERROR(__xludf.DUMMYFUNCTION("IF(D645&lt;&gt;"""",SPLIT(D645,"" 
""),)"),"")</f>
        <v/>
      </c>
    </row>
    <row r="646">
      <c r="A646" s="96" t="str">
        <f t="shared" si="1"/>
        <v/>
      </c>
      <c r="B646" s="96" t="str">
        <f t="shared" si="2"/>
        <v/>
      </c>
      <c r="C646" s="174" t="str">
        <f t="shared" si="3"/>
        <v/>
      </c>
      <c r="D646" s="175"/>
      <c r="E646" s="93" t="str">
        <f>IFERROR(__xludf.DUMMYFUNCTION("IF(D646&lt;&gt;"""",SPLIT(D646,"" 
""),)"),"")</f>
        <v/>
      </c>
    </row>
    <row r="647">
      <c r="A647" s="96" t="str">
        <f t="shared" si="1"/>
        <v/>
      </c>
      <c r="B647" s="96" t="str">
        <f t="shared" si="2"/>
        <v/>
      </c>
      <c r="C647" s="174" t="str">
        <f t="shared" si="3"/>
        <v/>
      </c>
      <c r="D647" s="175"/>
      <c r="E647" s="93" t="str">
        <f>IFERROR(__xludf.DUMMYFUNCTION("IF(D647&lt;&gt;"""",SPLIT(D647,"" 
""),)"),"")</f>
        <v/>
      </c>
    </row>
    <row r="648">
      <c r="A648" s="96" t="str">
        <f t="shared" si="1"/>
        <v/>
      </c>
      <c r="B648" s="96" t="str">
        <f t="shared" si="2"/>
        <v/>
      </c>
      <c r="C648" s="174" t="str">
        <f t="shared" si="3"/>
        <v/>
      </c>
      <c r="D648" s="175"/>
      <c r="E648" s="93" t="str">
        <f>IFERROR(__xludf.DUMMYFUNCTION("IF(D648&lt;&gt;"""",SPLIT(D648,"" 
""),)"),"")</f>
        <v/>
      </c>
    </row>
    <row r="649">
      <c r="A649" s="96" t="str">
        <f t="shared" si="1"/>
        <v/>
      </c>
      <c r="B649" s="96" t="str">
        <f t="shared" si="2"/>
        <v/>
      </c>
      <c r="C649" s="174" t="str">
        <f t="shared" si="3"/>
        <v/>
      </c>
      <c r="D649" s="175"/>
      <c r="E649" s="93" t="str">
        <f>IFERROR(__xludf.DUMMYFUNCTION("IF(D649&lt;&gt;"""",SPLIT(D649,"" 
""),)"),"")</f>
        <v/>
      </c>
    </row>
    <row r="650">
      <c r="A650" s="96" t="str">
        <f t="shared" si="1"/>
        <v/>
      </c>
      <c r="B650" s="96" t="str">
        <f t="shared" si="2"/>
        <v/>
      </c>
      <c r="C650" s="174" t="str">
        <f t="shared" si="3"/>
        <v/>
      </c>
      <c r="D650" s="175"/>
      <c r="E650" s="93" t="str">
        <f>IFERROR(__xludf.DUMMYFUNCTION("IF(D650&lt;&gt;"""",SPLIT(D650,"" 
""),)"),"")</f>
        <v/>
      </c>
    </row>
    <row r="651">
      <c r="A651" s="96" t="str">
        <f t="shared" si="1"/>
        <v/>
      </c>
      <c r="B651" s="96" t="str">
        <f t="shared" si="2"/>
        <v/>
      </c>
      <c r="C651" s="174" t="str">
        <f t="shared" si="3"/>
        <v/>
      </c>
      <c r="D651" s="175"/>
      <c r="E651" s="93" t="str">
        <f>IFERROR(__xludf.DUMMYFUNCTION("IF(D651&lt;&gt;"""",SPLIT(D651,"" 
""),)"),"")</f>
        <v/>
      </c>
    </row>
    <row r="652">
      <c r="A652" s="96" t="str">
        <f t="shared" si="1"/>
        <v/>
      </c>
      <c r="B652" s="96" t="str">
        <f t="shared" si="2"/>
        <v/>
      </c>
      <c r="C652" s="174" t="str">
        <f t="shared" si="3"/>
        <v/>
      </c>
      <c r="D652" s="175"/>
      <c r="E652" s="93" t="str">
        <f>IFERROR(__xludf.DUMMYFUNCTION("IF(D652&lt;&gt;"""",SPLIT(D652,"" 
""),)"),"")</f>
        <v/>
      </c>
    </row>
    <row r="653">
      <c r="A653" s="96" t="str">
        <f t="shared" si="1"/>
        <v/>
      </c>
      <c r="B653" s="96" t="str">
        <f t="shared" si="2"/>
        <v/>
      </c>
      <c r="C653" s="174" t="str">
        <f t="shared" si="3"/>
        <v/>
      </c>
      <c r="D653" s="175"/>
      <c r="E653" s="93" t="str">
        <f>IFERROR(__xludf.DUMMYFUNCTION("IF(D653&lt;&gt;"""",SPLIT(D653,"" 
""),)"),"")</f>
        <v/>
      </c>
    </row>
    <row r="654">
      <c r="A654" s="96" t="str">
        <f t="shared" si="1"/>
        <v/>
      </c>
      <c r="B654" s="96" t="str">
        <f t="shared" si="2"/>
        <v/>
      </c>
      <c r="C654" s="174" t="str">
        <f t="shared" si="3"/>
        <v/>
      </c>
      <c r="D654" s="175"/>
      <c r="E654" s="93" t="str">
        <f>IFERROR(__xludf.DUMMYFUNCTION("IF(D654&lt;&gt;"""",SPLIT(D654,"" 
""),)"),"")</f>
        <v/>
      </c>
    </row>
    <row r="655">
      <c r="A655" s="96" t="str">
        <f t="shared" si="1"/>
        <v/>
      </c>
      <c r="B655" s="96" t="str">
        <f t="shared" si="2"/>
        <v/>
      </c>
      <c r="C655" s="174" t="str">
        <f t="shared" si="3"/>
        <v/>
      </c>
      <c r="D655" s="175"/>
      <c r="E655" s="93" t="str">
        <f>IFERROR(__xludf.DUMMYFUNCTION("IF(D655&lt;&gt;"""",SPLIT(D655,"" 
""),)"),"")</f>
        <v/>
      </c>
    </row>
    <row r="656">
      <c r="A656" s="96" t="str">
        <f t="shared" si="1"/>
        <v/>
      </c>
      <c r="B656" s="96" t="str">
        <f t="shared" si="2"/>
        <v/>
      </c>
      <c r="C656" s="174" t="str">
        <f t="shared" si="3"/>
        <v/>
      </c>
      <c r="D656" s="175"/>
      <c r="E656" s="93" t="str">
        <f>IFERROR(__xludf.DUMMYFUNCTION("IF(D656&lt;&gt;"""",SPLIT(D656,"" 
""),)"),"")</f>
        <v/>
      </c>
    </row>
    <row r="657">
      <c r="A657" s="96" t="str">
        <f t="shared" si="1"/>
        <v/>
      </c>
      <c r="B657" s="96" t="str">
        <f t="shared" si="2"/>
        <v/>
      </c>
      <c r="C657" s="174" t="str">
        <f t="shared" si="3"/>
        <v/>
      </c>
      <c r="D657" s="175"/>
      <c r="E657" s="93" t="str">
        <f>IFERROR(__xludf.DUMMYFUNCTION("IF(D657&lt;&gt;"""",SPLIT(D657,"" 
""),)"),"")</f>
        <v/>
      </c>
    </row>
    <row r="658">
      <c r="A658" s="96" t="str">
        <f t="shared" si="1"/>
        <v/>
      </c>
      <c r="B658" s="96" t="str">
        <f t="shared" si="2"/>
        <v/>
      </c>
      <c r="C658" s="174" t="str">
        <f t="shared" si="3"/>
        <v/>
      </c>
      <c r="D658" s="175"/>
      <c r="E658" s="93" t="str">
        <f>IFERROR(__xludf.DUMMYFUNCTION("IF(D658&lt;&gt;"""",SPLIT(D658,"" 
""),)"),"")</f>
        <v/>
      </c>
    </row>
    <row r="659">
      <c r="A659" s="96" t="str">
        <f t="shared" si="1"/>
        <v/>
      </c>
      <c r="B659" s="96" t="str">
        <f t="shared" si="2"/>
        <v/>
      </c>
      <c r="C659" s="174" t="str">
        <f t="shared" si="3"/>
        <v/>
      </c>
      <c r="D659" s="175"/>
      <c r="E659" s="93" t="str">
        <f>IFERROR(__xludf.DUMMYFUNCTION("IF(D659&lt;&gt;"""",SPLIT(D659,"" 
""),)"),"")</f>
        <v/>
      </c>
    </row>
    <row r="660">
      <c r="A660" s="96" t="str">
        <f t="shared" si="1"/>
        <v/>
      </c>
      <c r="B660" s="96" t="str">
        <f t="shared" si="2"/>
        <v/>
      </c>
      <c r="C660" s="174" t="str">
        <f t="shared" si="3"/>
        <v/>
      </c>
      <c r="D660" s="175"/>
      <c r="E660" s="93" t="str">
        <f>IFERROR(__xludf.DUMMYFUNCTION("IF(D660&lt;&gt;"""",SPLIT(D660,"" 
""),)"),"")</f>
        <v/>
      </c>
    </row>
    <row r="661">
      <c r="A661" s="96" t="str">
        <f t="shared" si="1"/>
        <v/>
      </c>
      <c r="B661" s="96" t="str">
        <f t="shared" si="2"/>
        <v/>
      </c>
      <c r="C661" s="174" t="str">
        <f t="shared" si="3"/>
        <v/>
      </c>
      <c r="D661" s="175"/>
      <c r="E661" s="93" t="str">
        <f>IFERROR(__xludf.DUMMYFUNCTION("IF(D661&lt;&gt;"""",SPLIT(D661,"" 
""),)"),"")</f>
        <v/>
      </c>
    </row>
    <row r="662">
      <c r="A662" s="96" t="str">
        <f t="shared" si="1"/>
        <v/>
      </c>
      <c r="B662" s="96" t="str">
        <f t="shared" si="2"/>
        <v/>
      </c>
      <c r="C662" s="174" t="str">
        <f t="shared" si="3"/>
        <v/>
      </c>
      <c r="D662" s="175"/>
      <c r="E662" s="93" t="str">
        <f>IFERROR(__xludf.DUMMYFUNCTION("IF(D662&lt;&gt;"""",SPLIT(D662,"" 
""),)"),"")</f>
        <v/>
      </c>
    </row>
    <row r="663">
      <c r="A663" s="96" t="str">
        <f t="shared" si="1"/>
        <v/>
      </c>
      <c r="B663" s="96" t="str">
        <f t="shared" si="2"/>
        <v/>
      </c>
      <c r="C663" s="174" t="str">
        <f t="shared" si="3"/>
        <v/>
      </c>
      <c r="D663" s="175"/>
      <c r="E663" s="93" t="str">
        <f>IFERROR(__xludf.DUMMYFUNCTION("IF(D663&lt;&gt;"""",SPLIT(D663,"" 
""),)"),"")</f>
        <v/>
      </c>
    </row>
    <row r="664">
      <c r="A664" s="96" t="str">
        <f t="shared" si="1"/>
        <v/>
      </c>
      <c r="B664" s="96" t="str">
        <f t="shared" si="2"/>
        <v/>
      </c>
      <c r="C664" s="174" t="str">
        <f t="shared" si="3"/>
        <v/>
      </c>
      <c r="D664" s="175"/>
      <c r="E664" s="93" t="str">
        <f>IFERROR(__xludf.DUMMYFUNCTION("IF(D664&lt;&gt;"""",SPLIT(D664,"" 
""),)"),"")</f>
        <v/>
      </c>
    </row>
    <row r="665">
      <c r="A665" s="96" t="str">
        <f t="shared" si="1"/>
        <v/>
      </c>
      <c r="B665" s="96" t="str">
        <f t="shared" si="2"/>
        <v/>
      </c>
      <c r="C665" s="174" t="str">
        <f t="shared" si="3"/>
        <v/>
      </c>
      <c r="D665" s="175"/>
      <c r="E665" s="93" t="str">
        <f>IFERROR(__xludf.DUMMYFUNCTION("IF(D665&lt;&gt;"""",SPLIT(D665,"" 
""),)"),"")</f>
        <v/>
      </c>
    </row>
    <row r="666">
      <c r="A666" s="96" t="str">
        <f t="shared" si="1"/>
        <v/>
      </c>
      <c r="B666" s="96" t="str">
        <f t="shared" si="2"/>
        <v/>
      </c>
      <c r="C666" s="174" t="str">
        <f t="shared" si="3"/>
        <v/>
      </c>
      <c r="D666" s="175"/>
      <c r="E666" s="93" t="str">
        <f>IFERROR(__xludf.DUMMYFUNCTION("IF(D666&lt;&gt;"""",SPLIT(D666,"" 
""),)"),"")</f>
        <v/>
      </c>
    </row>
    <row r="667">
      <c r="A667" s="96" t="str">
        <f t="shared" si="1"/>
        <v/>
      </c>
      <c r="B667" s="96" t="str">
        <f t="shared" si="2"/>
        <v/>
      </c>
      <c r="C667" s="174" t="str">
        <f t="shared" si="3"/>
        <v/>
      </c>
      <c r="D667" s="175"/>
      <c r="E667" s="93" t="str">
        <f>IFERROR(__xludf.DUMMYFUNCTION("IF(D667&lt;&gt;"""",SPLIT(D667,"" 
""),)"),"")</f>
        <v/>
      </c>
    </row>
    <row r="668">
      <c r="A668" s="96" t="str">
        <f t="shared" si="1"/>
        <v/>
      </c>
      <c r="B668" s="96" t="str">
        <f t="shared" si="2"/>
        <v/>
      </c>
      <c r="C668" s="174" t="str">
        <f t="shared" si="3"/>
        <v/>
      </c>
      <c r="D668" s="175"/>
      <c r="E668" s="93" t="str">
        <f>IFERROR(__xludf.DUMMYFUNCTION("IF(D668&lt;&gt;"""",SPLIT(D668,"" 
""),)"),"")</f>
        <v/>
      </c>
    </row>
    <row r="669">
      <c r="A669" s="96" t="str">
        <f t="shared" si="1"/>
        <v/>
      </c>
      <c r="B669" s="96" t="str">
        <f t="shared" si="2"/>
        <v/>
      </c>
      <c r="C669" s="174" t="str">
        <f t="shared" si="3"/>
        <v/>
      </c>
      <c r="D669" s="175"/>
      <c r="E669" s="93" t="str">
        <f>IFERROR(__xludf.DUMMYFUNCTION("IF(D669&lt;&gt;"""",SPLIT(D669,"" 
""),)"),"")</f>
        <v/>
      </c>
    </row>
    <row r="670">
      <c r="A670" s="96" t="str">
        <f t="shared" si="1"/>
        <v/>
      </c>
      <c r="B670" s="96" t="str">
        <f t="shared" si="2"/>
        <v/>
      </c>
      <c r="C670" s="174" t="str">
        <f t="shared" si="3"/>
        <v/>
      </c>
      <c r="D670" s="175"/>
      <c r="E670" s="93" t="str">
        <f>IFERROR(__xludf.DUMMYFUNCTION("IF(D670&lt;&gt;"""",SPLIT(D670,"" 
""),)"),"")</f>
        <v/>
      </c>
    </row>
    <row r="671">
      <c r="A671" s="96" t="str">
        <f t="shared" si="1"/>
        <v/>
      </c>
      <c r="B671" s="96" t="str">
        <f t="shared" si="2"/>
        <v/>
      </c>
      <c r="C671" s="174" t="str">
        <f t="shared" si="3"/>
        <v/>
      </c>
      <c r="D671" s="175"/>
      <c r="E671" s="93" t="str">
        <f>IFERROR(__xludf.DUMMYFUNCTION("IF(D671&lt;&gt;"""",SPLIT(D671,"" 
""),)"),"")</f>
        <v/>
      </c>
    </row>
    <row r="672">
      <c r="A672" s="96" t="str">
        <f t="shared" si="1"/>
        <v/>
      </c>
      <c r="B672" s="96" t="str">
        <f t="shared" si="2"/>
        <v/>
      </c>
      <c r="C672" s="174" t="str">
        <f t="shared" si="3"/>
        <v/>
      </c>
      <c r="D672" s="175"/>
      <c r="E672" s="93" t="str">
        <f>IFERROR(__xludf.DUMMYFUNCTION("IF(D672&lt;&gt;"""",SPLIT(D672,"" 
""),)"),"")</f>
        <v/>
      </c>
    </row>
    <row r="673">
      <c r="A673" s="96" t="str">
        <f t="shared" si="1"/>
        <v/>
      </c>
      <c r="B673" s="96" t="str">
        <f t="shared" si="2"/>
        <v/>
      </c>
      <c r="C673" s="174" t="str">
        <f t="shared" si="3"/>
        <v/>
      </c>
      <c r="D673" s="175"/>
      <c r="E673" s="93" t="str">
        <f>IFERROR(__xludf.DUMMYFUNCTION("IF(D673&lt;&gt;"""",SPLIT(D673,"" 
""),)"),"")</f>
        <v/>
      </c>
    </row>
    <row r="674">
      <c r="A674" s="96" t="str">
        <f t="shared" si="1"/>
        <v/>
      </c>
      <c r="B674" s="96" t="str">
        <f t="shared" si="2"/>
        <v/>
      </c>
      <c r="C674" s="174" t="str">
        <f t="shared" si="3"/>
        <v/>
      </c>
      <c r="D674" s="175"/>
      <c r="E674" s="93" t="str">
        <f>IFERROR(__xludf.DUMMYFUNCTION("IF(D674&lt;&gt;"""",SPLIT(D674,"" 
""),)"),"")</f>
        <v/>
      </c>
    </row>
    <row r="675">
      <c r="A675" s="96" t="str">
        <f t="shared" si="1"/>
        <v/>
      </c>
      <c r="B675" s="96" t="str">
        <f t="shared" si="2"/>
        <v/>
      </c>
      <c r="C675" s="174" t="str">
        <f t="shared" si="3"/>
        <v/>
      </c>
      <c r="D675" s="175"/>
      <c r="E675" s="93" t="str">
        <f>IFERROR(__xludf.DUMMYFUNCTION("IF(D675&lt;&gt;"""",SPLIT(D675,"" 
""),)"),"")</f>
        <v/>
      </c>
    </row>
    <row r="676">
      <c r="A676" s="96" t="str">
        <f t="shared" si="1"/>
        <v/>
      </c>
      <c r="B676" s="96" t="str">
        <f t="shared" si="2"/>
        <v/>
      </c>
      <c r="C676" s="174" t="str">
        <f t="shared" si="3"/>
        <v/>
      </c>
      <c r="D676" s="175"/>
      <c r="E676" s="93" t="str">
        <f>IFERROR(__xludf.DUMMYFUNCTION("IF(D676&lt;&gt;"""",SPLIT(D676,"" 
""),)"),"")</f>
        <v/>
      </c>
    </row>
    <row r="677">
      <c r="A677" s="96" t="str">
        <f t="shared" si="1"/>
        <v/>
      </c>
      <c r="B677" s="96" t="str">
        <f t="shared" si="2"/>
        <v/>
      </c>
      <c r="C677" s="174" t="str">
        <f t="shared" si="3"/>
        <v/>
      </c>
      <c r="D677" s="175"/>
      <c r="E677" s="93" t="str">
        <f>IFERROR(__xludf.DUMMYFUNCTION("IF(D677&lt;&gt;"""",SPLIT(D677,"" 
""),)"),"")</f>
        <v/>
      </c>
    </row>
    <row r="678">
      <c r="A678" s="96" t="str">
        <f t="shared" si="1"/>
        <v/>
      </c>
      <c r="B678" s="96" t="str">
        <f t="shared" si="2"/>
        <v/>
      </c>
      <c r="C678" s="174" t="str">
        <f t="shared" si="3"/>
        <v/>
      </c>
      <c r="D678" s="175"/>
      <c r="E678" s="93" t="str">
        <f>IFERROR(__xludf.DUMMYFUNCTION("IF(D678&lt;&gt;"""",SPLIT(D678,"" 
""),)"),"")</f>
        <v/>
      </c>
    </row>
    <row r="679">
      <c r="A679" s="96" t="str">
        <f t="shared" si="1"/>
        <v/>
      </c>
      <c r="B679" s="96" t="str">
        <f t="shared" si="2"/>
        <v/>
      </c>
      <c r="C679" s="174" t="str">
        <f t="shared" si="3"/>
        <v/>
      </c>
      <c r="D679" s="175"/>
      <c r="E679" s="93" t="str">
        <f>IFERROR(__xludf.DUMMYFUNCTION("IF(D679&lt;&gt;"""",SPLIT(D679,"" 
""),)"),"")</f>
        <v/>
      </c>
    </row>
    <row r="680">
      <c r="A680" s="96" t="str">
        <f t="shared" si="1"/>
        <v/>
      </c>
      <c r="B680" s="96" t="str">
        <f t="shared" si="2"/>
        <v/>
      </c>
      <c r="C680" s="174" t="str">
        <f t="shared" si="3"/>
        <v/>
      </c>
      <c r="D680" s="175"/>
      <c r="E680" s="93" t="str">
        <f>IFERROR(__xludf.DUMMYFUNCTION("IF(D680&lt;&gt;"""",SPLIT(D680,"" 
""),)"),"")</f>
        <v/>
      </c>
    </row>
    <row r="681">
      <c r="A681" s="96" t="str">
        <f t="shared" si="1"/>
        <v/>
      </c>
      <c r="B681" s="96" t="str">
        <f t="shared" si="2"/>
        <v/>
      </c>
      <c r="C681" s="174" t="str">
        <f t="shared" si="3"/>
        <v/>
      </c>
      <c r="D681" s="175"/>
      <c r="E681" s="93" t="str">
        <f>IFERROR(__xludf.DUMMYFUNCTION("IF(D681&lt;&gt;"""",SPLIT(D681,"" 
""),)"),"")</f>
        <v/>
      </c>
    </row>
    <row r="682">
      <c r="A682" s="96" t="str">
        <f t="shared" si="1"/>
        <v/>
      </c>
      <c r="B682" s="96" t="str">
        <f t="shared" si="2"/>
        <v/>
      </c>
      <c r="C682" s="174" t="str">
        <f t="shared" si="3"/>
        <v/>
      </c>
      <c r="D682" s="175"/>
      <c r="E682" s="93" t="str">
        <f>IFERROR(__xludf.DUMMYFUNCTION("IF(D682&lt;&gt;"""",SPLIT(D682,"" 
""),)"),"")</f>
        <v/>
      </c>
    </row>
    <row r="683">
      <c r="A683" s="96" t="str">
        <f t="shared" si="1"/>
        <v/>
      </c>
      <c r="B683" s="96" t="str">
        <f t="shared" si="2"/>
        <v/>
      </c>
      <c r="C683" s="174" t="str">
        <f t="shared" si="3"/>
        <v/>
      </c>
      <c r="D683" s="175"/>
      <c r="E683" s="93" t="str">
        <f>IFERROR(__xludf.DUMMYFUNCTION("IF(D683&lt;&gt;"""",SPLIT(D683,"" 
""),)"),"")</f>
        <v/>
      </c>
    </row>
    <row r="684">
      <c r="A684" s="96" t="str">
        <f t="shared" si="1"/>
        <v/>
      </c>
      <c r="B684" s="96" t="str">
        <f t="shared" si="2"/>
        <v/>
      </c>
      <c r="C684" s="174" t="str">
        <f t="shared" si="3"/>
        <v/>
      </c>
      <c r="D684" s="175"/>
      <c r="E684" s="93" t="str">
        <f>IFERROR(__xludf.DUMMYFUNCTION("IF(D684&lt;&gt;"""",SPLIT(D684,"" 
""),)"),"")</f>
        <v/>
      </c>
    </row>
    <row r="685">
      <c r="A685" s="96" t="str">
        <f t="shared" si="1"/>
        <v/>
      </c>
      <c r="B685" s="96" t="str">
        <f t="shared" si="2"/>
        <v/>
      </c>
      <c r="C685" s="174" t="str">
        <f t="shared" si="3"/>
        <v/>
      </c>
      <c r="D685" s="175"/>
      <c r="E685" s="93" t="str">
        <f>IFERROR(__xludf.DUMMYFUNCTION("IF(D685&lt;&gt;"""",SPLIT(D685,"" 
""),)"),"")</f>
        <v/>
      </c>
    </row>
    <row r="686">
      <c r="A686" s="96" t="str">
        <f t="shared" si="1"/>
        <v/>
      </c>
      <c r="B686" s="96" t="str">
        <f t="shared" si="2"/>
        <v/>
      </c>
      <c r="C686" s="174" t="str">
        <f t="shared" si="3"/>
        <v/>
      </c>
      <c r="D686" s="175"/>
      <c r="E686" s="93" t="str">
        <f>IFERROR(__xludf.DUMMYFUNCTION("IF(D686&lt;&gt;"""",SPLIT(D686,"" 
""),)"),"")</f>
        <v/>
      </c>
    </row>
    <row r="687">
      <c r="A687" s="96" t="str">
        <f t="shared" si="1"/>
        <v/>
      </c>
      <c r="B687" s="96" t="str">
        <f t="shared" si="2"/>
        <v/>
      </c>
      <c r="C687" s="174" t="str">
        <f t="shared" si="3"/>
        <v/>
      </c>
      <c r="D687" s="175"/>
      <c r="E687" s="93" t="str">
        <f>IFERROR(__xludf.DUMMYFUNCTION("IF(D687&lt;&gt;"""",SPLIT(D687,"" 
""),)"),"")</f>
        <v/>
      </c>
    </row>
    <row r="688">
      <c r="A688" s="96" t="str">
        <f t="shared" si="1"/>
        <v/>
      </c>
      <c r="B688" s="96" t="str">
        <f t="shared" si="2"/>
        <v/>
      </c>
      <c r="C688" s="174" t="str">
        <f t="shared" si="3"/>
        <v/>
      </c>
      <c r="D688" s="175"/>
      <c r="E688" s="93" t="str">
        <f>IFERROR(__xludf.DUMMYFUNCTION("IF(D688&lt;&gt;"""",SPLIT(D688,"" 
""),)"),"")</f>
        <v/>
      </c>
    </row>
    <row r="689">
      <c r="A689" s="96" t="str">
        <f t="shared" si="1"/>
        <v/>
      </c>
      <c r="B689" s="96" t="str">
        <f t="shared" si="2"/>
        <v/>
      </c>
      <c r="C689" s="174" t="str">
        <f t="shared" si="3"/>
        <v/>
      </c>
      <c r="D689" s="175"/>
      <c r="E689" s="93" t="str">
        <f>IFERROR(__xludf.DUMMYFUNCTION("IF(D689&lt;&gt;"""",SPLIT(D689,"" 
""),)"),"")</f>
        <v/>
      </c>
    </row>
    <row r="690">
      <c r="A690" s="96" t="str">
        <f t="shared" si="1"/>
        <v/>
      </c>
      <c r="B690" s="96" t="str">
        <f t="shared" si="2"/>
        <v/>
      </c>
      <c r="C690" s="174" t="str">
        <f t="shared" si="3"/>
        <v/>
      </c>
      <c r="D690" s="175"/>
      <c r="E690" s="93" t="str">
        <f>IFERROR(__xludf.DUMMYFUNCTION("IF(D690&lt;&gt;"""",SPLIT(D690,"" 
""),)"),"")</f>
        <v/>
      </c>
    </row>
    <row r="691">
      <c r="A691" s="96" t="str">
        <f t="shared" si="1"/>
        <v/>
      </c>
      <c r="B691" s="96" t="str">
        <f t="shared" si="2"/>
        <v/>
      </c>
      <c r="C691" s="174" t="str">
        <f t="shared" si="3"/>
        <v/>
      </c>
      <c r="D691" s="175"/>
      <c r="E691" s="93" t="str">
        <f>IFERROR(__xludf.DUMMYFUNCTION("IF(D691&lt;&gt;"""",SPLIT(D691,"" 
""),)"),"")</f>
        <v/>
      </c>
    </row>
    <row r="692">
      <c r="A692" s="96" t="str">
        <f t="shared" si="1"/>
        <v/>
      </c>
      <c r="B692" s="96" t="str">
        <f t="shared" si="2"/>
        <v/>
      </c>
      <c r="C692" s="174" t="str">
        <f t="shared" si="3"/>
        <v/>
      </c>
      <c r="D692" s="175"/>
      <c r="E692" s="93" t="str">
        <f>IFERROR(__xludf.DUMMYFUNCTION("IF(D692&lt;&gt;"""",SPLIT(D692,"" 
""),)"),"")</f>
        <v/>
      </c>
    </row>
    <row r="693">
      <c r="A693" s="96" t="str">
        <f t="shared" si="1"/>
        <v/>
      </c>
      <c r="B693" s="96" t="str">
        <f t="shared" si="2"/>
        <v/>
      </c>
      <c r="C693" s="174" t="str">
        <f t="shared" si="3"/>
        <v/>
      </c>
      <c r="D693" s="175"/>
      <c r="E693" s="93" t="str">
        <f>IFERROR(__xludf.DUMMYFUNCTION("IF(D693&lt;&gt;"""",SPLIT(D693,"" 
""),)"),"")</f>
        <v/>
      </c>
    </row>
    <row r="694">
      <c r="A694" s="96" t="str">
        <f t="shared" si="1"/>
        <v/>
      </c>
      <c r="B694" s="96" t="str">
        <f t="shared" si="2"/>
        <v/>
      </c>
      <c r="C694" s="174" t="str">
        <f t="shared" si="3"/>
        <v/>
      </c>
      <c r="D694" s="175"/>
      <c r="E694" s="93" t="str">
        <f>IFERROR(__xludf.DUMMYFUNCTION("IF(D694&lt;&gt;"""",SPLIT(D694,"" 
""),)"),"")</f>
        <v/>
      </c>
    </row>
    <row r="695">
      <c r="A695" s="96" t="str">
        <f t="shared" si="1"/>
        <v/>
      </c>
      <c r="B695" s="96" t="str">
        <f t="shared" si="2"/>
        <v/>
      </c>
      <c r="C695" s="174" t="str">
        <f t="shared" si="3"/>
        <v/>
      </c>
      <c r="D695" s="175"/>
      <c r="E695" s="93" t="str">
        <f>IFERROR(__xludf.DUMMYFUNCTION("IF(D695&lt;&gt;"""",SPLIT(D695,"" 
""),)"),"")</f>
        <v/>
      </c>
    </row>
    <row r="696">
      <c r="A696" s="96" t="str">
        <f t="shared" si="1"/>
        <v/>
      </c>
      <c r="B696" s="96" t="str">
        <f t="shared" si="2"/>
        <v/>
      </c>
      <c r="C696" s="174" t="str">
        <f t="shared" si="3"/>
        <v/>
      </c>
      <c r="D696" s="175"/>
      <c r="E696" s="93" t="str">
        <f>IFERROR(__xludf.DUMMYFUNCTION("IF(D696&lt;&gt;"""",SPLIT(D696,"" 
""),)"),"")</f>
        <v/>
      </c>
    </row>
    <row r="697">
      <c r="A697" s="96" t="str">
        <f t="shared" si="1"/>
        <v/>
      </c>
      <c r="B697" s="96" t="str">
        <f t="shared" si="2"/>
        <v/>
      </c>
      <c r="C697" s="174" t="str">
        <f t="shared" si="3"/>
        <v/>
      </c>
      <c r="D697" s="175"/>
      <c r="E697" s="93" t="str">
        <f>IFERROR(__xludf.DUMMYFUNCTION("IF(D697&lt;&gt;"""",SPLIT(D697,"" 
""),)"),"")</f>
        <v/>
      </c>
    </row>
    <row r="698">
      <c r="A698" s="96" t="str">
        <f t="shared" si="1"/>
        <v/>
      </c>
      <c r="B698" s="96" t="str">
        <f t="shared" si="2"/>
        <v/>
      </c>
      <c r="C698" s="174" t="str">
        <f t="shared" si="3"/>
        <v/>
      </c>
      <c r="D698" s="175"/>
      <c r="E698" s="93" t="str">
        <f>IFERROR(__xludf.DUMMYFUNCTION("IF(D698&lt;&gt;"""",SPLIT(D698,"" 
""),)"),"")</f>
        <v/>
      </c>
    </row>
    <row r="699">
      <c r="A699" s="96" t="str">
        <f t="shared" si="1"/>
        <v/>
      </c>
      <c r="B699" s="96" t="str">
        <f t="shared" si="2"/>
        <v/>
      </c>
      <c r="C699" s="174" t="str">
        <f t="shared" si="3"/>
        <v/>
      </c>
      <c r="D699" s="175"/>
      <c r="E699" s="93" t="str">
        <f>IFERROR(__xludf.DUMMYFUNCTION("IF(D699&lt;&gt;"""",SPLIT(D699,"" 
""),)"),"")</f>
        <v/>
      </c>
    </row>
    <row r="700">
      <c r="A700" s="96" t="str">
        <f t="shared" si="1"/>
        <v/>
      </c>
      <c r="B700" s="96" t="str">
        <f t="shared" si="2"/>
        <v/>
      </c>
      <c r="C700" s="174" t="str">
        <f t="shared" si="3"/>
        <v/>
      </c>
      <c r="D700" s="175"/>
      <c r="E700" s="93" t="str">
        <f>IFERROR(__xludf.DUMMYFUNCTION("IF(D700&lt;&gt;"""",SPLIT(D700,"" 
""),)"),"")</f>
        <v/>
      </c>
    </row>
    <row r="701">
      <c r="A701" s="96" t="str">
        <f t="shared" si="1"/>
        <v/>
      </c>
      <c r="B701" s="96" t="str">
        <f t="shared" si="2"/>
        <v/>
      </c>
      <c r="C701" s="174" t="str">
        <f t="shared" si="3"/>
        <v/>
      </c>
      <c r="D701" s="175"/>
      <c r="E701" s="93" t="str">
        <f>IFERROR(__xludf.DUMMYFUNCTION("IF(D701&lt;&gt;"""",SPLIT(D701,"" 
""),)"),"")</f>
        <v/>
      </c>
    </row>
    <row r="702">
      <c r="A702" s="96" t="str">
        <f t="shared" si="1"/>
        <v/>
      </c>
      <c r="B702" s="96" t="str">
        <f t="shared" si="2"/>
        <v/>
      </c>
      <c r="C702" s="174" t="str">
        <f t="shared" si="3"/>
        <v/>
      </c>
      <c r="D702" s="175"/>
      <c r="E702" s="93" t="str">
        <f>IFERROR(__xludf.DUMMYFUNCTION("IF(D702&lt;&gt;"""",SPLIT(D702,"" 
""),)"),"")</f>
        <v/>
      </c>
    </row>
    <row r="703">
      <c r="A703" s="96" t="str">
        <f t="shared" si="1"/>
        <v/>
      </c>
      <c r="B703" s="96" t="str">
        <f t="shared" si="2"/>
        <v/>
      </c>
      <c r="C703" s="174" t="str">
        <f t="shared" si="3"/>
        <v/>
      </c>
      <c r="D703" s="175"/>
      <c r="E703" s="93" t="str">
        <f>IFERROR(__xludf.DUMMYFUNCTION("IF(D703&lt;&gt;"""",SPLIT(D703,"" 
""),)"),"")</f>
        <v/>
      </c>
    </row>
    <row r="704">
      <c r="A704" s="96" t="str">
        <f t="shared" si="1"/>
        <v/>
      </c>
      <c r="B704" s="96" t="str">
        <f t="shared" si="2"/>
        <v/>
      </c>
      <c r="C704" s="174" t="str">
        <f t="shared" si="3"/>
        <v/>
      </c>
      <c r="D704" s="175"/>
      <c r="E704" s="93" t="str">
        <f>IFERROR(__xludf.DUMMYFUNCTION("IF(D704&lt;&gt;"""",SPLIT(D704,"" 
""),)"),"")</f>
        <v/>
      </c>
    </row>
    <row r="705">
      <c r="A705" s="96" t="str">
        <f t="shared" si="1"/>
        <v/>
      </c>
      <c r="B705" s="96" t="str">
        <f t="shared" si="2"/>
        <v/>
      </c>
      <c r="C705" s="174" t="str">
        <f t="shared" si="3"/>
        <v/>
      </c>
      <c r="D705" s="175"/>
      <c r="E705" s="93" t="str">
        <f>IFERROR(__xludf.DUMMYFUNCTION("IF(D705&lt;&gt;"""",SPLIT(D705,"" 
""),)"),"")</f>
        <v/>
      </c>
    </row>
    <row r="706">
      <c r="A706" s="96" t="str">
        <f t="shared" si="1"/>
        <v/>
      </c>
      <c r="B706" s="96" t="str">
        <f t="shared" si="2"/>
        <v/>
      </c>
      <c r="C706" s="174" t="str">
        <f t="shared" si="3"/>
        <v/>
      </c>
      <c r="D706" s="175"/>
      <c r="E706" s="93" t="str">
        <f>IFERROR(__xludf.DUMMYFUNCTION("IF(D706&lt;&gt;"""",SPLIT(D706,"" 
""),)"),"")</f>
        <v/>
      </c>
    </row>
    <row r="707">
      <c r="A707" s="96" t="str">
        <f t="shared" si="1"/>
        <v/>
      </c>
      <c r="B707" s="96" t="str">
        <f t="shared" si="2"/>
        <v/>
      </c>
      <c r="C707" s="174" t="str">
        <f t="shared" si="3"/>
        <v/>
      </c>
      <c r="D707" s="175"/>
      <c r="E707" s="93" t="str">
        <f>IFERROR(__xludf.DUMMYFUNCTION("IF(D707&lt;&gt;"""",SPLIT(D707,"" 
""),)"),"")</f>
        <v/>
      </c>
    </row>
    <row r="708">
      <c r="A708" s="96" t="str">
        <f t="shared" si="1"/>
        <v/>
      </c>
      <c r="B708" s="96" t="str">
        <f t="shared" si="2"/>
        <v/>
      </c>
      <c r="C708" s="174" t="str">
        <f t="shared" si="3"/>
        <v/>
      </c>
      <c r="D708" s="175"/>
      <c r="E708" s="93" t="str">
        <f>IFERROR(__xludf.DUMMYFUNCTION("IF(D708&lt;&gt;"""",SPLIT(D708,"" 
""),)"),"")</f>
        <v/>
      </c>
    </row>
    <row r="709">
      <c r="A709" s="96" t="str">
        <f t="shared" si="1"/>
        <v/>
      </c>
      <c r="B709" s="96" t="str">
        <f t="shared" si="2"/>
        <v/>
      </c>
      <c r="C709" s="174" t="str">
        <f t="shared" si="3"/>
        <v/>
      </c>
      <c r="D709" s="175"/>
      <c r="E709" s="93" t="str">
        <f>IFERROR(__xludf.DUMMYFUNCTION("IF(D709&lt;&gt;"""",SPLIT(D709,"" 
""),)"),"")</f>
        <v/>
      </c>
    </row>
    <row r="710">
      <c r="A710" s="96" t="str">
        <f t="shared" si="1"/>
        <v/>
      </c>
      <c r="B710" s="96" t="str">
        <f t="shared" si="2"/>
        <v/>
      </c>
      <c r="C710" s="174" t="str">
        <f t="shared" si="3"/>
        <v/>
      </c>
      <c r="D710" s="175"/>
      <c r="E710" s="93" t="str">
        <f>IFERROR(__xludf.DUMMYFUNCTION("IF(D710&lt;&gt;"""",SPLIT(D710,"" 
""),)"),"")</f>
        <v/>
      </c>
    </row>
    <row r="711">
      <c r="A711" s="96" t="str">
        <f t="shared" si="1"/>
        <v/>
      </c>
      <c r="B711" s="96" t="str">
        <f t="shared" si="2"/>
        <v/>
      </c>
      <c r="C711" s="174" t="str">
        <f t="shared" si="3"/>
        <v/>
      </c>
      <c r="D711" s="175"/>
      <c r="E711" s="93" t="str">
        <f>IFERROR(__xludf.DUMMYFUNCTION("IF(D711&lt;&gt;"""",SPLIT(D711,"" 
""),)"),"")</f>
        <v/>
      </c>
    </row>
    <row r="712">
      <c r="A712" s="96" t="str">
        <f t="shared" si="1"/>
        <v/>
      </c>
      <c r="B712" s="96" t="str">
        <f t="shared" si="2"/>
        <v/>
      </c>
      <c r="C712" s="174" t="str">
        <f t="shared" si="3"/>
        <v/>
      </c>
      <c r="D712" s="175"/>
      <c r="E712" s="93" t="str">
        <f>IFERROR(__xludf.DUMMYFUNCTION("IF(D712&lt;&gt;"""",SPLIT(D712,"" 
""),)"),"")</f>
        <v/>
      </c>
    </row>
    <row r="713">
      <c r="A713" s="96" t="str">
        <f t="shared" si="1"/>
        <v/>
      </c>
      <c r="B713" s="96" t="str">
        <f t="shared" si="2"/>
        <v/>
      </c>
      <c r="C713" s="174" t="str">
        <f t="shared" si="3"/>
        <v/>
      </c>
      <c r="D713" s="175"/>
      <c r="E713" s="93" t="str">
        <f>IFERROR(__xludf.DUMMYFUNCTION("IF(D713&lt;&gt;"""",SPLIT(D713,"" 
""),)"),"")</f>
        <v/>
      </c>
    </row>
    <row r="714">
      <c r="A714" s="96" t="str">
        <f t="shared" si="1"/>
        <v/>
      </c>
      <c r="B714" s="96" t="str">
        <f t="shared" si="2"/>
        <v/>
      </c>
      <c r="C714" s="174" t="str">
        <f t="shared" si="3"/>
        <v/>
      </c>
      <c r="D714" s="175"/>
      <c r="E714" s="93" t="str">
        <f>IFERROR(__xludf.DUMMYFUNCTION("IF(D714&lt;&gt;"""",SPLIT(D714,"" 
""),)"),"")</f>
        <v/>
      </c>
    </row>
    <row r="715">
      <c r="A715" s="96" t="str">
        <f t="shared" si="1"/>
        <v/>
      </c>
      <c r="B715" s="96" t="str">
        <f t="shared" si="2"/>
        <v/>
      </c>
      <c r="C715" s="174" t="str">
        <f t="shared" si="3"/>
        <v/>
      </c>
      <c r="D715" s="175"/>
      <c r="E715" s="93" t="str">
        <f>IFERROR(__xludf.DUMMYFUNCTION("IF(D715&lt;&gt;"""",SPLIT(D715,"" 
""),)"),"")</f>
        <v/>
      </c>
    </row>
    <row r="716">
      <c r="A716" s="96" t="str">
        <f t="shared" si="1"/>
        <v/>
      </c>
      <c r="B716" s="96" t="str">
        <f t="shared" si="2"/>
        <v/>
      </c>
      <c r="C716" s="174" t="str">
        <f t="shared" si="3"/>
        <v/>
      </c>
      <c r="D716" s="175"/>
      <c r="E716" s="93" t="str">
        <f>IFERROR(__xludf.DUMMYFUNCTION("IF(D716&lt;&gt;"""",SPLIT(D716,"" 
""),)"),"")</f>
        <v/>
      </c>
    </row>
    <row r="717">
      <c r="A717" s="96" t="str">
        <f t="shared" si="1"/>
        <v/>
      </c>
      <c r="B717" s="96" t="str">
        <f t="shared" si="2"/>
        <v/>
      </c>
      <c r="C717" s="174" t="str">
        <f t="shared" si="3"/>
        <v/>
      </c>
      <c r="D717" s="175"/>
      <c r="E717" s="93" t="str">
        <f>IFERROR(__xludf.DUMMYFUNCTION("IF(D717&lt;&gt;"""",SPLIT(D717,"" 
""),)"),"")</f>
        <v/>
      </c>
    </row>
    <row r="718">
      <c r="A718" s="96" t="str">
        <f t="shared" si="1"/>
        <v/>
      </c>
      <c r="B718" s="96" t="str">
        <f t="shared" si="2"/>
        <v/>
      </c>
      <c r="C718" s="174" t="str">
        <f t="shared" si="3"/>
        <v/>
      </c>
      <c r="D718" s="175"/>
      <c r="E718" s="93" t="str">
        <f>IFERROR(__xludf.DUMMYFUNCTION("IF(D718&lt;&gt;"""",SPLIT(D718,"" 
""),)"),"")</f>
        <v/>
      </c>
    </row>
    <row r="719">
      <c r="A719" s="96" t="str">
        <f t="shared" si="1"/>
        <v/>
      </c>
      <c r="B719" s="96" t="str">
        <f t="shared" si="2"/>
        <v/>
      </c>
      <c r="C719" s="174" t="str">
        <f t="shared" si="3"/>
        <v/>
      </c>
      <c r="D719" s="175"/>
      <c r="E719" s="93" t="str">
        <f>IFERROR(__xludf.DUMMYFUNCTION("IF(D719&lt;&gt;"""",SPLIT(D719,"" 
""),)"),"")</f>
        <v/>
      </c>
    </row>
    <row r="720">
      <c r="A720" s="96" t="str">
        <f t="shared" si="1"/>
        <v/>
      </c>
      <c r="B720" s="96" t="str">
        <f t="shared" si="2"/>
        <v/>
      </c>
      <c r="C720" s="174" t="str">
        <f t="shared" si="3"/>
        <v/>
      </c>
      <c r="D720" s="175"/>
      <c r="E720" s="93" t="str">
        <f>IFERROR(__xludf.DUMMYFUNCTION("IF(D720&lt;&gt;"""",SPLIT(D720,"" 
""),)"),"")</f>
        <v/>
      </c>
    </row>
    <row r="721">
      <c r="A721" s="96" t="str">
        <f t="shared" si="1"/>
        <v/>
      </c>
      <c r="B721" s="96" t="str">
        <f t="shared" si="2"/>
        <v/>
      </c>
      <c r="C721" s="174" t="str">
        <f t="shared" si="3"/>
        <v/>
      </c>
      <c r="D721" s="175"/>
      <c r="E721" s="93" t="str">
        <f>IFERROR(__xludf.DUMMYFUNCTION("IF(D721&lt;&gt;"""",SPLIT(D721,"" 
""),)"),"")</f>
        <v/>
      </c>
    </row>
    <row r="722">
      <c r="A722" s="96" t="str">
        <f t="shared" si="1"/>
        <v/>
      </c>
      <c r="B722" s="96" t="str">
        <f t="shared" si="2"/>
        <v/>
      </c>
      <c r="C722" s="174" t="str">
        <f t="shared" si="3"/>
        <v/>
      </c>
      <c r="D722" s="175"/>
      <c r="E722" s="93" t="str">
        <f>IFERROR(__xludf.DUMMYFUNCTION("IF(D722&lt;&gt;"""",SPLIT(D722,"" 
""),)"),"")</f>
        <v/>
      </c>
    </row>
    <row r="723">
      <c r="A723" s="96" t="str">
        <f t="shared" si="1"/>
        <v/>
      </c>
      <c r="B723" s="96" t="str">
        <f t="shared" si="2"/>
        <v/>
      </c>
      <c r="C723" s="174" t="str">
        <f t="shared" si="3"/>
        <v/>
      </c>
      <c r="D723" s="175"/>
      <c r="E723" s="93" t="str">
        <f>IFERROR(__xludf.DUMMYFUNCTION("IF(D723&lt;&gt;"""",SPLIT(D723,"" 
""),)"),"")</f>
        <v/>
      </c>
    </row>
    <row r="724">
      <c r="A724" s="96" t="str">
        <f t="shared" si="1"/>
        <v/>
      </c>
      <c r="B724" s="96" t="str">
        <f t="shared" si="2"/>
        <v/>
      </c>
      <c r="C724" s="174" t="str">
        <f t="shared" si="3"/>
        <v/>
      </c>
      <c r="D724" s="175"/>
      <c r="E724" s="93" t="str">
        <f>IFERROR(__xludf.DUMMYFUNCTION("IF(D724&lt;&gt;"""",SPLIT(D724,"" 
""),)"),"")</f>
        <v/>
      </c>
    </row>
    <row r="725">
      <c r="A725" s="96" t="str">
        <f t="shared" si="1"/>
        <v/>
      </c>
      <c r="B725" s="96" t="str">
        <f t="shared" si="2"/>
        <v/>
      </c>
      <c r="C725" s="174" t="str">
        <f t="shared" si="3"/>
        <v/>
      </c>
      <c r="D725" s="175"/>
      <c r="E725" s="93" t="str">
        <f>IFERROR(__xludf.DUMMYFUNCTION("IF(D725&lt;&gt;"""",SPLIT(D725,"" 
""),)"),"")</f>
        <v/>
      </c>
    </row>
    <row r="726">
      <c r="A726" s="96" t="str">
        <f t="shared" si="1"/>
        <v/>
      </c>
      <c r="B726" s="96" t="str">
        <f t="shared" si="2"/>
        <v/>
      </c>
      <c r="C726" s="174" t="str">
        <f t="shared" si="3"/>
        <v/>
      </c>
      <c r="D726" s="175"/>
      <c r="E726" s="93" t="str">
        <f>IFERROR(__xludf.DUMMYFUNCTION("IF(D726&lt;&gt;"""",SPLIT(D726,"" 
""),)"),"")</f>
        <v/>
      </c>
    </row>
    <row r="727">
      <c r="A727" s="96" t="str">
        <f t="shared" si="1"/>
        <v/>
      </c>
      <c r="B727" s="96" t="str">
        <f t="shared" si="2"/>
        <v/>
      </c>
      <c r="C727" s="174" t="str">
        <f t="shared" si="3"/>
        <v/>
      </c>
      <c r="D727" s="175"/>
      <c r="E727" s="93" t="str">
        <f>IFERROR(__xludf.DUMMYFUNCTION("IF(D727&lt;&gt;"""",SPLIT(D727,"" 
""),)"),"")</f>
        <v/>
      </c>
    </row>
    <row r="728">
      <c r="A728" s="96" t="str">
        <f t="shared" si="1"/>
        <v/>
      </c>
      <c r="B728" s="96" t="str">
        <f t="shared" si="2"/>
        <v/>
      </c>
      <c r="C728" s="174" t="str">
        <f t="shared" si="3"/>
        <v/>
      </c>
      <c r="D728" s="175"/>
      <c r="E728" s="93" t="str">
        <f>IFERROR(__xludf.DUMMYFUNCTION("IF(D728&lt;&gt;"""",SPLIT(D728,"" 
""),)"),"")</f>
        <v/>
      </c>
    </row>
    <row r="729">
      <c r="A729" s="96" t="str">
        <f t="shared" si="1"/>
        <v/>
      </c>
      <c r="B729" s="96" t="str">
        <f t="shared" si="2"/>
        <v/>
      </c>
      <c r="C729" s="174" t="str">
        <f t="shared" si="3"/>
        <v/>
      </c>
      <c r="D729" s="175"/>
      <c r="E729" s="93" t="str">
        <f>IFERROR(__xludf.DUMMYFUNCTION("IF(D729&lt;&gt;"""",SPLIT(D729,"" 
""),)"),"")</f>
        <v/>
      </c>
    </row>
    <row r="730">
      <c r="A730" s="96" t="str">
        <f t="shared" si="1"/>
        <v/>
      </c>
      <c r="B730" s="96" t="str">
        <f t="shared" si="2"/>
        <v/>
      </c>
      <c r="C730" s="174" t="str">
        <f t="shared" si="3"/>
        <v/>
      </c>
      <c r="D730" s="175"/>
      <c r="E730" s="93" t="str">
        <f>IFERROR(__xludf.DUMMYFUNCTION("IF(D730&lt;&gt;"""",SPLIT(D730,"" 
""),)"),"")</f>
        <v/>
      </c>
    </row>
    <row r="731">
      <c r="A731" s="96" t="str">
        <f t="shared" si="1"/>
        <v/>
      </c>
      <c r="B731" s="96" t="str">
        <f t="shared" si="2"/>
        <v/>
      </c>
      <c r="C731" s="174" t="str">
        <f t="shared" si="3"/>
        <v/>
      </c>
      <c r="D731" s="175"/>
      <c r="E731" s="93" t="str">
        <f>IFERROR(__xludf.DUMMYFUNCTION("IF(D731&lt;&gt;"""",SPLIT(D731,"" 
""),)"),"")</f>
        <v/>
      </c>
    </row>
    <row r="732">
      <c r="A732" s="96" t="str">
        <f t="shared" si="1"/>
        <v/>
      </c>
      <c r="B732" s="96" t="str">
        <f t="shared" si="2"/>
        <v/>
      </c>
      <c r="C732" s="174" t="str">
        <f t="shared" si="3"/>
        <v/>
      </c>
      <c r="D732" s="175"/>
      <c r="E732" s="93" t="str">
        <f>IFERROR(__xludf.DUMMYFUNCTION("IF(D732&lt;&gt;"""",SPLIT(D732,"" 
""),)"),"")</f>
        <v/>
      </c>
    </row>
    <row r="733">
      <c r="A733" s="96" t="str">
        <f t="shared" si="1"/>
        <v/>
      </c>
      <c r="B733" s="96" t="str">
        <f t="shared" si="2"/>
        <v/>
      </c>
      <c r="C733" s="174" t="str">
        <f t="shared" si="3"/>
        <v/>
      </c>
      <c r="D733" s="175"/>
      <c r="E733" s="93" t="str">
        <f>IFERROR(__xludf.DUMMYFUNCTION("IF(D733&lt;&gt;"""",SPLIT(D733,"" 
""),)"),"")</f>
        <v/>
      </c>
    </row>
    <row r="734">
      <c r="A734" s="96" t="str">
        <f t="shared" si="1"/>
        <v/>
      </c>
      <c r="B734" s="96" t="str">
        <f t="shared" si="2"/>
        <v/>
      </c>
      <c r="C734" s="174" t="str">
        <f t="shared" si="3"/>
        <v/>
      </c>
      <c r="D734" s="175"/>
      <c r="E734" s="93" t="str">
        <f>IFERROR(__xludf.DUMMYFUNCTION("IF(D734&lt;&gt;"""",SPLIT(D734,"" 
""),)"),"")</f>
        <v/>
      </c>
    </row>
    <row r="735">
      <c r="A735" s="96" t="str">
        <f t="shared" si="1"/>
        <v/>
      </c>
      <c r="B735" s="96" t="str">
        <f t="shared" si="2"/>
        <v/>
      </c>
      <c r="C735" s="174" t="str">
        <f t="shared" si="3"/>
        <v/>
      </c>
      <c r="D735" s="175"/>
      <c r="E735" s="93" t="str">
        <f>IFERROR(__xludf.DUMMYFUNCTION("IF(D735&lt;&gt;"""",SPLIT(D735,"" 
""),)"),"")</f>
        <v/>
      </c>
    </row>
    <row r="736">
      <c r="A736" s="96" t="str">
        <f t="shared" si="1"/>
        <v/>
      </c>
      <c r="B736" s="96" t="str">
        <f t="shared" si="2"/>
        <v/>
      </c>
      <c r="C736" s="174" t="str">
        <f t="shared" si="3"/>
        <v/>
      </c>
      <c r="D736" s="175"/>
      <c r="E736" s="93" t="str">
        <f>IFERROR(__xludf.DUMMYFUNCTION("IF(D736&lt;&gt;"""",SPLIT(D736,"" 
""),)"),"")</f>
        <v/>
      </c>
    </row>
    <row r="737">
      <c r="A737" s="96" t="str">
        <f t="shared" si="1"/>
        <v/>
      </c>
      <c r="B737" s="96" t="str">
        <f t="shared" si="2"/>
        <v/>
      </c>
      <c r="C737" s="174" t="str">
        <f t="shared" si="3"/>
        <v/>
      </c>
      <c r="D737" s="175"/>
      <c r="E737" s="93" t="str">
        <f>IFERROR(__xludf.DUMMYFUNCTION("IF(D737&lt;&gt;"""",SPLIT(D737,"" 
""),)"),"")</f>
        <v/>
      </c>
    </row>
    <row r="738">
      <c r="A738" s="96" t="str">
        <f t="shared" si="1"/>
        <v/>
      </c>
      <c r="B738" s="96" t="str">
        <f t="shared" si="2"/>
        <v/>
      </c>
      <c r="C738" s="174" t="str">
        <f t="shared" si="3"/>
        <v/>
      </c>
      <c r="D738" s="175"/>
      <c r="E738" s="93" t="str">
        <f>IFERROR(__xludf.DUMMYFUNCTION("IF(D738&lt;&gt;"""",SPLIT(D738,"" 
""),)"),"")</f>
        <v/>
      </c>
    </row>
    <row r="739">
      <c r="A739" s="96" t="str">
        <f t="shared" si="1"/>
        <v/>
      </c>
      <c r="B739" s="96" t="str">
        <f t="shared" si="2"/>
        <v/>
      </c>
      <c r="C739" s="174" t="str">
        <f t="shared" si="3"/>
        <v/>
      </c>
      <c r="D739" s="175"/>
      <c r="E739" s="93" t="str">
        <f>IFERROR(__xludf.DUMMYFUNCTION("IF(D739&lt;&gt;"""",SPLIT(D739,"" 
""),)"),"")</f>
        <v/>
      </c>
    </row>
    <row r="740">
      <c r="A740" s="96" t="str">
        <f t="shared" si="1"/>
        <v/>
      </c>
      <c r="B740" s="96" t="str">
        <f t="shared" si="2"/>
        <v/>
      </c>
      <c r="C740" s="174" t="str">
        <f t="shared" si="3"/>
        <v/>
      </c>
      <c r="D740" s="175"/>
      <c r="E740" s="93" t="str">
        <f>IFERROR(__xludf.DUMMYFUNCTION("IF(D740&lt;&gt;"""",SPLIT(D740,"" 
""),)"),"")</f>
        <v/>
      </c>
    </row>
    <row r="741">
      <c r="A741" s="96" t="str">
        <f t="shared" si="1"/>
        <v/>
      </c>
      <c r="B741" s="96" t="str">
        <f t="shared" si="2"/>
        <v/>
      </c>
      <c r="C741" s="174" t="str">
        <f t="shared" si="3"/>
        <v/>
      </c>
      <c r="D741" s="175"/>
      <c r="E741" s="93" t="str">
        <f>IFERROR(__xludf.DUMMYFUNCTION("IF(D741&lt;&gt;"""",SPLIT(D741,"" 
""),)"),"")</f>
        <v/>
      </c>
    </row>
    <row r="742">
      <c r="A742" s="96" t="str">
        <f t="shared" si="1"/>
        <v/>
      </c>
      <c r="B742" s="96" t="str">
        <f t="shared" si="2"/>
        <v/>
      </c>
      <c r="C742" s="174" t="str">
        <f t="shared" si="3"/>
        <v/>
      </c>
      <c r="D742" s="175"/>
      <c r="E742" s="93" t="str">
        <f>IFERROR(__xludf.DUMMYFUNCTION("IF(D742&lt;&gt;"""",SPLIT(D742,"" 
""),)"),"")</f>
        <v/>
      </c>
    </row>
    <row r="743">
      <c r="A743" s="96" t="str">
        <f t="shared" si="1"/>
        <v/>
      </c>
      <c r="B743" s="96" t="str">
        <f t="shared" si="2"/>
        <v/>
      </c>
      <c r="C743" s="174" t="str">
        <f t="shared" si="3"/>
        <v/>
      </c>
      <c r="D743" s="175"/>
      <c r="E743" s="93" t="str">
        <f>IFERROR(__xludf.DUMMYFUNCTION("IF(D743&lt;&gt;"""",SPLIT(D743,"" 
""),)"),"")</f>
        <v/>
      </c>
    </row>
    <row r="744">
      <c r="A744" s="96" t="str">
        <f t="shared" si="1"/>
        <v/>
      </c>
      <c r="B744" s="96" t="str">
        <f t="shared" si="2"/>
        <v/>
      </c>
      <c r="C744" s="174" t="str">
        <f t="shared" si="3"/>
        <v/>
      </c>
      <c r="D744" s="175"/>
      <c r="E744" s="93" t="str">
        <f>IFERROR(__xludf.DUMMYFUNCTION("IF(D744&lt;&gt;"""",SPLIT(D744,"" 
""),)"),"")</f>
        <v/>
      </c>
    </row>
    <row r="745">
      <c r="A745" s="96" t="str">
        <f t="shared" si="1"/>
        <v/>
      </c>
      <c r="B745" s="96" t="str">
        <f t="shared" si="2"/>
        <v/>
      </c>
      <c r="C745" s="174" t="str">
        <f t="shared" si="3"/>
        <v/>
      </c>
      <c r="D745" s="175"/>
      <c r="E745" s="93" t="str">
        <f>IFERROR(__xludf.DUMMYFUNCTION("IF(D745&lt;&gt;"""",SPLIT(D745,"" 
""),)"),"")</f>
        <v/>
      </c>
    </row>
    <row r="746">
      <c r="A746" s="96" t="str">
        <f t="shared" si="1"/>
        <v/>
      </c>
      <c r="B746" s="96" t="str">
        <f t="shared" si="2"/>
        <v/>
      </c>
      <c r="C746" s="174" t="str">
        <f t="shared" si="3"/>
        <v/>
      </c>
      <c r="D746" s="175"/>
      <c r="E746" s="93" t="str">
        <f>IFERROR(__xludf.DUMMYFUNCTION("IF(D746&lt;&gt;"""",SPLIT(D746,"" 
""),)"),"")</f>
        <v/>
      </c>
    </row>
    <row r="747">
      <c r="A747" s="96" t="str">
        <f t="shared" si="1"/>
        <v/>
      </c>
      <c r="B747" s="96" t="str">
        <f t="shared" si="2"/>
        <v/>
      </c>
      <c r="C747" s="174" t="str">
        <f t="shared" si="3"/>
        <v/>
      </c>
      <c r="D747" s="175"/>
      <c r="E747" s="93" t="str">
        <f>IFERROR(__xludf.DUMMYFUNCTION("IF(D747&lt;&gt;"""",SPLIT(D747,"" 
""),)"),"")</f>
        <v/>
      </c>
    </row>
    <row r="748">
      <c r="A748" s="96" t="str">
        <f t="shared" si="1"/>
        <v/>
      </c>
      <c r="B748" s="96" t="str">
        <f t="shared" si="2"/>
        <v/>
      </c>
      <c r="C748" s="174" t="str">
        <f t="shared" si="3"/>
        <v/>
      </c>
      <c r="D748" s="175"/>
      <c r="E748" s="93" t="str">
        <f>IFERROR(__xludf.DUMMYFUNCTION("IF(D748&lt;&gt;"""",SPLIT(D748,"" 
""),)"),"")</f>
        <v/>
      </c>
    </row>
    <row r="749">
      <c r="A749" s="96" t="str">
        <f t="shared" si="1"/>
        <v/>
      </c>
      <c r="B749" s="96" t="str">
        <f t="shared" si="2"/>
        <v/>
      </c>
      <c r="C749" s="174" t="str">
        <f t="shared" si="3"/>
        <v/>
      </c>
      <c r="D749" s="175"/>
      <c r="E749" s="93" t="str">
        <f>IFERROR(__xludf.DUMMYFUNCTION("IF(D749&lt;&gt;"""",SPLIT(D749,"" 
""),)"),"")</f>
        <v/>
      </c>
    </row>
    <row r="750">
      <c r="A750" s="96" t="str">
        <f t="shared" si="1"/>
        <v/>
      </c>
      <c r="B750" s="96" t="str">
        <f t="shared" si="2"/>
        <v/>
      </c>
      <c r="C750" s="174" t="str">
        <f t="shared" si="3"/>
        <v/>
      </c>
      <c r="D750" s="175"/>
      <c r="E750" s="93" t="str">
        <f>IFERROR(__xludf.DUMMYFUNCTION("IF(D750&lt;&gt;"""",SPLIT(D750,"" 
""),)"),"")</f>
        <v/>
      </c>
    </row>
    <row r="751">
      <c r="A751" s="96" t="str">
        <f t="shared" si="1"/>
        <v/>
      </c>
      <c r="B751" s="96" t="str">
        <f t="shared" si="2"/>
        <v/>
      </c>
      <c r="C751" s="174" t="str">
        <f t="shared" si="3"/>
        <v/>
      </c>
      <c r="D751" s="175"/>
      <c r="E751" s="93" t="str">
        <f>IFERROR(__xludf.DUMMYFUNCTION("IF(D751&lt;&gt;"""",SPLIT(D751,"" 
""),)"),"")</f>
        <v/>
      </c>
    </row>
    <row r="752">
      <c r="A752" s="96" t="str">
        <f t="shared" si="1"/>
        <v/>
      </c>
      <c r="B752" s="96" t="str">
        <f t="shared" si="2"/>
        <v/>
      </c>
      <c r="C752" s="174" t="str">
        <f t="shared" si="3"/>
        <v/>
      </c>
      <c r="D752" s="175"/>
      <c r="E752" s="93" t="str">
        <f>IFERROR(__xludf.DUMMYFUNCTION("IF(D752&lt;&gt;"""",SPLIT(D752,"" 
""),)"),"")</f>
        <v/>
      </c>
    </row>
    <row r="753">
      <c r="A753" s="96" t="str">
        <f t="shared" si="1"/>
        <v/>
      </c>
      <c r="B753" s="96" t="str">
        <f t="shared" si="2"/>
        <v/>
      </c>
      <c r="C753" s="174" t="str">
        <f t="shared" si="3"/>
        <v/>
      </c>
      <c r="D753" s="175"/>
      <c r="E753" s="93" t="str">
        <f>IFERROR(__xludf.DUMMYFUNCTION("IF(D753&lt;&gt;"""",SPLIT(D753,"" 
""),)"),"")</f>
        <v/>
      </c>
    </row>
    <row r="754">
      <c r="A754" s="96" t="str">
        <f t="shared" si="1"/>
        <v/>
      </c>
      <c r="B754" s="96" t="str">
        <f t="shared" si="2"/>
        <v/>
      </c>
      <c r="C754" s="174" t="str">
        <f t="shared" si="3"/>
        <v/>
      </c>
      <c r="D754" s="175"/>
      <c r="E754" s="93" t="str">
        <f>IFERROR(__xludf.DUMMYFUNCTION("IF(D754&lt;&gt;"""",SPLIT(D754,"" 
""),)"),"")</f>
        <v/>
      </c>
    </row>
    <row r="755">
      <c r="A755" s="96" t="str">
        <f t="shared" si="1"/>
        <v/>
      </c>
      <c r="B755" s="96" t="str">
        <f t="shared" si="2"/>
        <v/>
      </c>
      <c r="C755" s="174" t="str">
        <f t="shared" si="3"/>
        <v/>
      </c>
      <c r="D755" s="175"/>
      <c r="E755" s="93" t="str">
        <f>IFERROR(__xludf.DUMMYFUNCTION("IF(D755&lt;&gt;"""",SPLIT(D755,"" 
""),)"),"")</f>
        <v/>
      </c>
    </row>
    <row r="756">
      <c r="A756" s="96" t="str">
        <f t="shared" si="1"/>
        <v/>
      </c>
      <c r="B756" s="96" t="str">
        <f t="shared" si="2"/>
        <v/>
      </c>
      <c r="C756" s="174" t="str">
        <f t="shared" si="3"/>
        <v/>
      </c>
      <c r="D756" s="175"/>
      <c r="E756" s="93" t="str">
        <f>IFERROR(__xludf.DUMMYFUNCTION("IF(D756&lt;&gt;"""",SPLIT(D756,"" 
""),)"),"")</f>
        <v/>
      </c>
    </row>
    <row r="757">
      <c r="A757" s="96" t="str">
        <f t="shared" si="1"/>
        <v/>
      </c>
      <c r="B757" s="96" t="str">
        <f t="shared" si="2"/>
        <v/>
      </c>
      <c r="C757" s="174" t="str">
        <f t="shared" si="3"/>
        <v/>
      </c>
      <c r="D757" s="175"/>
      <c r="E757" s="93" t="str">
        <f>IFERROR(__xludf.DUMMYFUNCTION("IF(D757&lt;&gt;"""",SPLIT(D757,"" 
""),)"),"")</f>
        <v/>
      </c>
    </row>
    <row r="758">
      <c r="A758" s="96" t="str">
        <f t="shared" si="1"/>
        <v/>
      </c>
      <c r="B758" s="96" t="str">
        <f t="shared" si="2"/>
        <v/>
      </c>
      <c r="C758" s="174" t="str">
        <f t="shared" si="3"/>
        <v/>
      </c>
      <c r="D758" s="175"/>
      <c r="E758" s="93" t="str">
        <f>IFERROR(__xludf.DUMMYFUNCTION("IF(D758&lt;&gt;"""",SPLIT(D758,"" 
""),)"),"")</f>
        <v/>
      </c>
    </row>
    <row r="759">
      <c r="A759" s="96" t="str">
        <f t="shared" si="1"/>
        <v/>
      </c>
      <c r="B759" s="96" t="str">
        <f t="shared" si="2"/>
        <v/>
      </c>
      <c r="C759" s="174" t="str">
        <f t="shared" si="3"/>
        <v/>
      </c>
      <c r="D759" s="175"/>
      <c r="E759" s="93" t="str">
        <f>IFERROR(__xludf.DUMMYFUNCTION("IF(D759&lt;&gt;"""",SPLIT(D759,"" 
""),)"),"")</f>
        <v/>
      </c>
    </row>
    <row r="760">
      <c r="A760" s="96" t="str">
        <f t="shared" si="1"/>
        <v/>
      </c>
      <c r="B760" s="96" t="str">
        <f t="shared" si="2"/>
        <v/>
      </c>
      <c r="C760" s="174" t="str">
        <f t="shared" si="3"/>
        <v/>
      </c>
      <c r="D760" s="175"/>
      <c r="E760" s="93" t="str">
        <f>IFERROR(__xludf.DUMMYFUNCTION("IF(D760&lt;&gt;"""",SPLIT(D760,"" 
""),)"),"")</f>
        <v/>
      </c>
    </row>
    <row r="761">
      <c r="A761" s="96" t="str">
        <f t="shared" si="1"/>
        <v/>
      </c>
      <c r="B761" s="96" t="str">
        <f t="shared" si="2"/>
        <v/>
      </c>
      <c r="C761" s="174" t="str">
        <f t="shared" si="3"/>
        <v/>
      </c>
      <c r="D761" s="175"/>
      <c r="E761" s="93" t="str">
        <f>IFERROR(__xludf.DUMMYFUNCTION("IF(D761&lt;&gt;"""",SPLIT(D761,"" 
""),)"),"")</f>
        <v/>
      </c>
    </row>
    <row r="762">
      <c r="A762" s="96" t="str">
        <f t="shared" si="1"/>
        <v/>
      </c>
      <c r="B762" s="96" t="str">
        <f t="shared" si="2"/>
        <v/>
      </c>
      <c r="C762" s="174" t="str">
        <f t="shared" si="3"/>
        <v/>
      </c>
      <c r="D762" s="175"/>
      <c r="E762" s="93" t="str">
        <f>IFERROR(__xludf.DUMMYFUNCTION("IF(D762&lt;&gt;"""",SPLIT(D762,"" 
""),)"),"")</f>
        <v/>
      </c>
    </row>
    <row r="763">
      <c r="A763" s="96" t="str">
        <f t="shared" si="1"/>
        <v/>
      </c>
      <c r="B763" s="96" t="str">
        <f t="shared" si="2"/>
        <v/>
      </c>
      <c r="C763" s="174" t="str">
        <f t="shared" si="3"/>
        <v/>
      </c>
      <c r="D763" s="175"/>
      <c r="E763" s="93" t="str">
        <f>IFERROR(__xludf.DUMMYFUNCTION("IF(D763&lt;&gt;"""",SPLIT(D763,"" 
""),)"),"")</f>
        <v/>
      </c>
    </row>
    <row r="764">
      <c r="A764" s="96" t="str">
        <f t="shared" si="1"/>
        <v/>
      </c>
      <c r="B764" s="96" t="str">
        <f t="shared" si="2"/>
        <v/>
      </c>
      <c r="C764" s="174" t="str">
        <f t="shared" si="3"/>
        <v/>
      </c>
      <c r="D764" s="175"/>
      <c r="E764" s="93" t="str">
        <f>IFERROR(__xludf.DUMMYFUNCTION("IF(D764&lt;&gt;"""",SPLIT(D764,"" 
""),)"),"")</f>
        <v/>
      </c>
    </row>
    <row r="765">
      <c r="A765" s="96" t="str">
        <f t="shared" si="1"/>
        <v/>
      </c>
      <c r="B765" s="96" t="str">
        <f t="shared" si="2"/>
        <v/>
      </c>
      <c r="C765" s="174" t="str">
        <f t="shared" si="3"/>
        <v/>
      </c>
      <c r="D765" s="175"/>
      <c r="E765" s="93" t="str">
        <f>IFERROR(__xludf.DUMMYFUNCTION("IF(D765&lt;&gt;"""",SPLIT(D765,"" 
""),)"),"")</f>
        <v/>
      </c>
    </row>
    <row r="766">
      <c r="A766" s="96" t="str">
        <f t="shared" si="1"/>
        <v/>
      </c>
      <c r="B766" s="96" t="str">
        <f t="shared" si="2"/>
        <v/>
      </c>
      <c r="C766" s="174" t="str">
        <f t="shared" si="3"/>
        <v/>
      </c>
      <c r="D766" s="175"/>
      <c r="E766" s="93" t="str">
        <f>IFERROR(__xludf.DUMMYFUNCTION("IF(D766&lt;&gt;"""",SPLIT(D766,"" 
""),)"),"")</f>
        <v/>
      </c>
    </row>
    <row r="767">
      <c r="A767" s="96" t="str">
        <f t="shared" si="1"/>
        <v/>
      </c>
      <c r="B767" s="96" t="str">
        <f t="shared" si="2"/>
        <v/>
      </c>
      <c r="C767" s="174" t="str">
        <f t="shared" si="3"/>
        <v/>
      </c>
      <c r="D767" s="175"/>
      <c r="E767" s="93" t="str">
        <f>IFERROR(__xludf.DUMMYFUNCTION("IF(D767&lt;&gt;"""",SPLIT(D767,"" 
""),)"),"")</f>
        <v/>
      </c>
    </row>
    <row r="768">
      <c r="A768" s="96" t="str">
        <f t="shared" si="1"/>
        <v/>
      </c>
      <c r="B768" s="96" t="str">
        <f t="shared" si="2"/>
        <v/>
      </c>
      <c r="C768" s="174" t="str">
        <f t="shared" si="3"/>
        <v/>
      </c>
      <c r="D768" s="175"/>
      <c r="E768" s="93" t="str">
        <f>IFERROR(__xludf.DUMMYFUNCTION("IF(D768&lt;&gt;"""",SPLIT(D768,"" 
""),)"),"")</f>
        <v/>
      </c>
    </row>
    <row r="769">
      <c r="A769" s="96" t="str">
        <f t="shared" si="1"/>
        <v/>
      </c>
      <c r="B769" s="96" t="str">
        <f t="shared" si="2"/>
        <v/>
      </c>
      <c r="C769" s="174" t="str">
        <f t="shared" si="3"/>
        <v/>
      </c>
      <c r="D769" s="175"/>
      <c r="E769" s="93" t="str">
        <f>IFERROR(__xludf.DUMMYFUNCTION("IF(D769&lt;&gt;"""",SPLIT(D769,"" 
""),)"),"")</f>
        <v/>
      </c>
    </row>
    <row r="770">
      <c r="A770" s="96" t="str">
        <f t="shared" si="1"/>
        <v/>
      </c>
      <c r="B770" s="96" t="str">
        <f t="shared" si="2"/>
        <v/>
      </c>
      <c r="C770" s="174" t="str">
        <f t="shared" si="3"/>
        <v/>
      </c>
      <c r="D770" s="175"/>
      <c r="E770" s="93" t="str">
        <f>IFERROR(__xludf.DUMMYFUNCTION("IF(D770&lt;&gt;"""",SPLIT(D770,"" 
""),)"),"")</f>
        <v/>
      </c>
    </row>
    <row r="771">
      <c r="A771" s="96" t="str">
        <f t="shared" si="1"/>
        <v/>
      </c>
      <c r="B771" s="96" t="str">
        <f t="shared" si="2"/>
        <v/>
      </c>
      <c r="C771" s="174" t="str">
        <f t="shared" si="3"/>
        <v/>
      </c>
      <c r="D771" s="175"/>
      <c r="E771" s="93" t="str">
        <f>IFERROR(__xludf.DUMMYFUNCTION("IF(D771&lt;&gt;"""",SPLIT(D771,"" 
""),)"),"")</f>
        <v/>
      </c>
    </row>
    <row r="772">
      <c r="A772" s="96" t="str">
        <f t="shared" si="1"/>
        <v/>
      </c>
      <c r="B772" s="96" t="str">
        <f t="shared" si="2"/>
        <v/>
      </c>
      <c r="C772" s="174" t="str">
        <f t="shared" si="3"/>
        <v/>
      </c>
      <c r="D772" s="175"/>
      <c r="E772" s="93" t="str">
        <f>IFERROR(__xludf.DUMMYFUNCTION("IF(D772&lt;&gt;"""",SPLIT(D772,"" 
""),)"),"")</f>
        <v/>
      </c>
    </row>
    <row r="773">
      <c r="A773" s="96" t="str">
        <f t="shared" si="1"/>
        <v/>
      </c>
      <c r="B773" s="96" t="str">
        <f t="shared" si="2"/>
        <v/>
      </c>
      <c r="C773" s="174" t="str">
        <f t="shared" si="3"/>
        <v/>
      </c>
      <c r="D773" s="175"/>
      <c r="E773" s="93" t="str">
        <f>IFERROR(__xludf.DUMMYFUNCTION("IF(D773&lt;&gt;"""",SPLIT(D773,"" 
""),)"),"")</f>
        <v/>
      </c>
    </row>
    <row r="774">
      <c r="A774" s="96" t="str">
        <f t="shared" si="1"/>
        <v/>
      </c>
      <c r="B774" s="96" t="str">
        <f t="shared" si="2"/>
        <v/>
      </c>
      <c r="C774" s="174" t="str">
        <f t="shared" si="3"/>
        <v/>
      </c>
      <c r="D774" s="175"/>
      <c r="E774" s="93" t="str">
        <f>IFERROR(__xludf.DUMMYFUNCTION("IF(D774&lt;&gt;"""",SPLIT(D774,"" 
""),)"),"")</f>
        <v/>
      </c>
    </row>
    <row r="775">
      <c r="A775" s="96" t="str">
        <f t="shared" si="1"/>
        <v/>
      </c>
      <c r="B775" s="96" t="str">
        <f t="shared" si="2"/>
        <v/>
      </c>
      <c r="C775" s="174" t="str">
        <f t="shared" si="3"/>
        <v/>
      </c>
      <c r="D775" s="175"/>
      <c r="E775" s="93" t="str">
        <f>IFERROR(__xludf.DUMMYFUNCTION("IF(D775&lt;&gt;"""",SPLIT(D775,"" 
""),)"),"")</f>
        <v/>
      </c>
    </row>
    <row r="776">
      <c r="A776" s="96" t="str">
        <f t="shared" si="1"/>
        <v/>
      </c>
      <c r="B776" s="96" t="str">
        <f t="shared" si="2"/>
        <v/>
      </c>
      <c r="C776" s="174" t="str">
        <f t="shared" si="3"/>
        <v/>
      </c>
      <c r="D776" s="175"/>
      <c r="E776" s="93" t="str">
        <f>IFERROR(__xludf.DUMMYFUNCTION("IF(D776&lt;&gt;"""",SPLIT(D776,"" 
""),)"),"")</f>
        <v/>
      </c>
    </row>
    <row r="777">
      <c r="A777" s="96" t="str">
        <f t="shared" si="1"/>
        <v/>
      </c>
      <c r="B777" s="96" t="str">
        <f t="shared" si="2"/>
        <v/>
      </c>
      <c r="C777" s="174" t="str">
        <f t="shared" si="3"/>
        <v/>
      </c>
      <c r="D777" s="175"/>
      <c r="E777" s="93" t="str">
        <f>IFERROR(__xludf.DUMMYFUNCTION("IF(D777&lt;&gt;"""",SPLIT(D777,"" 
""),)"),"")</f>
        <v/>
      </c>
    </row>
    <row r="778">
      <c r="A778" s="96" t="str">
        <f t="shared" si="1"/>
        <v/>
      </c>
      <c r="B778" s="96" t="str">
        <f t="shared" si="2"/>
        <v/>
      </c>
      <c r="C778" s="174" t="str">
        <f t="shared" si="3"/>
        <v/>
      </c>
      <c r="D778" s="175"/>
      <c r="E778" s="93" t="str">
        <f>IFERROR(__xludf.DUMMYFUNCTION("IF(D778&lt;&gt;"""",SPLIT(D778,"" 
""),)"),"")</f>
        <v/>
      </c>
    </row>
    <row r="779">
      <c r="A779" s="96" t="str">
        <f t="shared" si="1"/>
        <v/>
      </c>
      <c r="B779" s="96" t="str">
        <f t="shared" si="2"/>
        <v/>
      </c>
      <c r="C779" s="174" t="str">
        <f t="shared" si="3"/>
        <v/>
      </c>
      <c r="D779" s="175"/>
      <c r="E779" s="93" t="str">
        <f>IFERROR(__xludf.DUMMYFUNCTION("IF(D779&lt;&gt;"""",SPLIT(D779,"" 
""),)"),"")</f>
        <v/>
      </c>
    </row>
    <row r="780">
      <c r="A780" s="96" t="str">
        <f t="shared" si="1"/>
        <v/>
      </c>
      <c r="B780" s="96" t="str">
        <f t="shared" si="2"/>
        <v/>
      </c>
      <c r="C780" s="174" t="str">
        <f t="shared" si="3"/>
        <v/>
      </c>
      <c r="D780" s="175"/>
      <c r="E780" s="93" t="str">
        <f>IFERROR(__xludf.DUMMYFUNCTION("IF(D780&lt;&gt;"""",SPLIT(D780,"" 
""),)"),"")</f>
        <v/>
      </c>
    </row>
    <row r="781">
      <c r="A781" s="96" t="str">
        <f t="shared" si="1"/>
        <v/>
      </c>
      <c r="B781" s="96" t="str">
        <f t="shared" si="2"/>
        <v/>
      </c>
      <c r="C781" s="174" t="str">
        <f t="shared" si="3"/>
        <v/>
      </c>
      <c r="D781" s="175"/>
      <c r="E781" s="93" t="str">
        <f>IFERROR(__xludf.DUMMYFUNCTION("IF(D781&lt;&gt;"""",SPLIT(D781,"" 
""),)"),"")</f>
        <v/>
      </c>
    </row>
    <row r="782">
      <c r="A782" s="96" t="str">
        <f t="shared" si="1"/>
        <v/>
      </c>
      <c r="B782" s="96" t="str">
        <f t="shared" si="2"/>
        <v/>
      </c>
      <c r="C782" s="174" t="str">
        <f t="shared" si="3"/>
        <v/>
      </c>
      <c r="D782" s="175"/>
      <c r="E782" s="93" t="str">
        <f>IFERROR(__xludf.DUMMYFUNCTION("IF(D782&lt;&gt;"""",SPLIT(D782,"" 
""),)"),"")</f>
        <v/>
      </c>
    </row>
    <row r="783">
      <c r="A783" s="96" t="str">
        <f t="shared" si="1"/>
        <v/>
      </c>
      <c r="B783" s="96" t="str">
        <f t="shared" si="2"/>
        <v/>
      </c>
      <c r="C783" s="174" t="str">
        <f t="shared" si="3"/>
        <v/>
      </c>
      <c r="D783" s="175"/>
      <c r="E783" s="93" t="str">
        <f>IFERROR(__xludf.DUMMYFUNCTION("IF(D783&lt;&gt;"""",SPLIT(D783,"" 
""),)"),"")</f>
        <v/>
      </c>
    </row>
    <row r="784">
      <c r="A784" s="96" t="str">
        <f t="shared" si="1"/>
        <v/>
      </c>
      <c r="B784" s="96" t="str">
        <f t="shared" si="2"/>
        <v/>
      </c>
      <c r="C784" s="174" t="str">
        <f t="shared" si="3"/>
        <v/>
      </c>
      <c r="D784" s="175"/>
      <c r="E784" s="93" t="str">
        <f>IFERROR(__xludf.DUMMYFUNCTION("IF(D784&lt;&gt;"""",SPLIT(D784,"" 
""),)"),"")</f>
        <v/>
      </c>
    </row>
    <row r="785">
      <c r="A785" s="96" t="str">
        <f t="shared" si="1"/>
        <v/>
      </c>
      <c r="B785" s="96" t="str">
        <f t="shared" si="2"/>
        <v/>
      </c>
      <c r="C785" s="174" t="str">
        <f t="shared" si="3"/>
        <v/>
      </c>
      <c r="D785" s="175"/>
      <c r="E785" s="93" t="str">
        <f>IFERROR(__xludf.DUMMYFUNCTION("IF(D785&lt;&gt;"""",SPLIT(D785,"" 
""),)"),"")</f>
        <v/>
      </c>
    </row>
    <row r="786">
      <c r="A786" s="96" t="str">
        <f t="shared" si="1"/>
        <v/>
      </c>
      <c r="B786" s="96" t="str">
        <f t="shared" si="2"/>
        <v/>
      </c>
      <c r="C786" s="174" t="str">
        <f t="shared" si="3"/>
        <v/>
      </c>
      <c r="D786" s="175"/>
      <c r="E786" s="93" t="str">
        <f>IFERROR(__xludf.DUMMYFUNCTION("IF(D786&lt;&gt;"""",SPLIT(D786,"" 
""),)"),"")</f>
        <v/>
      </c>
    </row>
    <row r="787">
      <c r="A787" s="96" t="str">
        <f t="shared" si="1"/>
        <v/>
      </c>
      <c r="B787" s="96" t="str">
        <f t="shared" si="2"/>
        <v/>
      </c>
      <c r="C787" s="174" t="str">
        <f t="shared" si="3"/>
        <v/>
      </c>
      <c r="D787" s="175"/>
      <c r="E787" s="93" t="str">
        <f>IFERROR(__xludf.DUMMYFUNCTION("IF(D787&lt;&gt;"""",SPLIT(D787,"" 
""),)"),"")</f>
        <v/>
      </c>
    </row>
    <row r="788">
      <c r="A788" s="96" t="str">
        <f t="shared" si="1"/>
        <v/>
      </c>
      <c r="B788" s="96" t="str">
        <f t="shared" si="2"/>
        <v/>
      </c>
      <c r="C788" s="174" t="str">
        <f t="shared" si="3"/>
        <v/>
      </c>
      <c r="D788" s="175"/>
      <c r="E788" s="93" t="str">
        <f>IFERROR(__xludf.DUMMYFUNCTION("IF(D788&lt;&gt;"""",SPLIT(D788,"" 
""),)"),"")</f>
        <v/>
      </c>
    </row>
    <row r="789">
      <c r="A789" s="96" t="str">
        <f t="shared" si="1"/>
        <v/>
      </c>
      <c r="B789" s="96" t="str">
        <f t="shared" si="2"/>
        <v/>
      </c>
      <c r="C789" s="174" t="str">
        <f t="shared" si="3"/>
        <v/>
      </c>
      <c r="D789" s="175"/>
      <c r="E789" s="93" t="str">
        <f>IFERROR(__xludf.DUMMYFUNCTION("IF(D789&lt;&gt;"""",SPLIT(D789,"" 
""),)"),"")</f>
        <v/>
      </c>
    </row>
    <row r="790">
      <c r="A790" s="96" t="str">
        <f t="shared" si="1"/>
        <v/>
      </c>
      <c r="B790" s="96" t="str">
        <f t="shared" si="2"/>
        <v/>
      </c>
      <c r="C790" s="174" t="str">
        <f t="shared" si="3"/>
        <v/>
      </c>
      <c r="D790" s="175"/>
      <c r="E790" s="93" t="str">
        <f>IFERROR(__xludf.DUMMYFUNCTION("IF(D790&lt;&gt;"""",SPLIT(D790,"" 
""),)"),"")</f>
        <v/>
      </c>
    </row>
    <row r="791">
      <c r="A791" s="96" t="str">
        <f t="shared" si="1"/>
        <v/>
      </c>
      <c r="B791" s="96" t="str">
        <f t="shared" si="2"/>
        <v/>
      </c>
      <c r="C791" s="174" t="str">
        <f t="shared" si="3"/>
        <v/>
      </c>
      <c r="D791" s="175"/>
      <c r="E791" s="93" t="str">
        <f>IFERROR(__xludf.DUMMYFUNCTION("IF(D791&lt;&gt;"""",SPLIT(D791,"" 
""),)"),"")</f>
        <v/>
      </c>
    </row>
    <row r="792">
      <c r="A792" s="96" t="str">
        <f t="shared" si="1"/>
        <v/>
      </c>
      <c r="B792" s="96" t="str">
        <f t="shared" si="2"/>
        <v/>
      </c>
      <c r="C792" s="174" t="str">
        <f t="shared" si="3"/>
        <v/>
      </c>
      <c r="D792" s="175"/>
      <c r="E792" s="93" t="str">
        <f>IFERROR(__xludf.DUMMYFUNCTION("IF(D792&lt;&gt;"""",SPLIT(D792,"" 
""),)"),"")</f>
        <v/>
      </c>
    </row>
    <row r="793">
      <c r="A793" s="96" t="str">
        <f t="shared" si="1"/>
        <v/>
      </c>
      <c r="B793" s="96" t="str">
        <f t="shared" si="2"/>
        <v/>
      </c>
      <c r="C793" s="174" t="str">
        <f t="shared" si="3"/>
        <v/>
      </c>
      <c r="D793" s="175"/>
      <c r="E793" s="93" t="str">
        <f>IFERROR(__xludf.DUMMYFUNCTION("IF(D793&lt;&gt;"""",SPLIT(D793,"" 
""),)"),"")</f>
        <v/>
      </c>
    </row>
    <row r="794">
      <c r="A794" s="96" t="str">
        <f t="shared" si="1"/>
        <v/>
      </c>
      <c r="B794" s="96" t="str">
        <f t="shared" si="2"/>
        <v/>
      </c>
      <c r="C794" s="174" t="str">
        <f t="shared" si="3"/>
        <v/>
      </c>
      <c r="D794" s="175"/>
      <c r="E794" s="93" t="str">
        <f>IFERROR(__xludf.DUMMYFUNCTION("IF(D794&lt;&gt;"""",SPLIT(D794,"" 
""),)"),"")</f>
        <v/>
      </c>
    </row>
    <row r="795">
      <c r="A795" s="96" t="str">
        <f t="shared" si="1"/>
        <v/>
      </c>
      <c r="B795" s="96" t="str">
        <f t="shared" si="2"/>
        <v/>
      </c>
      <c r="C795" s="174" t="str">
        <f t="shared" si="3"/>
        <v/>
      </c>
      <c r="D795" s="175"/>
      <c r="E795" s="93" t="str">
        <f>IFERROR(__xludf.DUMMYFUNCTION("IF(D795&lt;&gt;"""",SPLIT(D795,"" 
""),)"),"")</f>
        <v/>
      </c>
    </row>
    <row r="796">
      <c r="A796" s="96" t="str">
        <f t="shared" si="1"/>
        <v/>
      </c>
      <c r="B796" s="96" t="str">
        <f t="shared" si="2"/>
        <v/>
      </c>
      <c r="C796" s="174" t="str">
        <f t="shared" si="3"/>
        <v/>
      </c>
      <c r="D796" s="175"/>
      <c r="E796" s="93" t="str">
        <f>IFERROR(__xludf.DUMMYFUNCTION("IF(D796&lt;&gt;"""",SPLIT(D796,"" 
""),)"),"")</f>
        <v/>
      </c>
    </row>
    <row r="797">
      <c r="A797" s="96" t="str">
        <f t="shared" si="1"/>
        <v/>
      </c>
      <c r="B797" s="96" t="str">
        <f t="shared" si="2"/>
        <v/>
      </c>
      <c r="C797" s="174" t="str">
        <f t="shared" si="3"/>
        <v/>
      </c>
      <c r="D797" s="175"/>
      <c r="E797" s="93" t="str">
        <f>IFERROR(__xludf.DUMMYFUNCTION("IF(D797&lt;&gt;"""",SPLIT(D797,"" 
""),)"),"")</f>
        <v/>
      </c>
    </row>
    <row r="798">
      <c r="A798" s="96" t="str">
        <f t="shared" si="1"/>
        <v/>
      </c>
      <c r="B798" s="96" t="str">
        <f t="shared" si="2"/>
        <v/>
      </c>
      <c r="C798" s="174" t="str">
        <f t="shared" si="3"/>
        <v/>
      </c>
      <c r="D798" s="175"/>
      <c r="E798" s="93" t="str">
        <f>IFERROR(__xludf.DUMMYFUNCTION("IF(D798&lt;&gt;"""",SPLIT(D798,"" 
""),)"),"")</f>
        <v/>
      </c>
    </row>
    <row r="799">
      <c r="A799" s="96" t="str">
        <f t="shared" si="1"/>
        <v/>
      </c>
      <c r="B799" s="96" t="str">
        <f t="shared" si="2"/>
        <v/>
      </c>
      <c r="C799" s="174" t="str">
        <f t="shared" si="3"/>
        <v/>
      </c>
      <c r="D799" s="175"/>
      <c r="E799" s="93" t="str">
        <f>IFERROR(__xludf.DUMMYFUNCTION("IF(D799&lt;&gt;"""",SPLIT(D799,"" 
""),)"),"")</f>
        <v/>
      </c>
    </row>
    <row r="800">
      <c r="A800" s="96" t="str">
        <f t="shared" si="1"/>
        <v/>
      </c>
      <c r="B800" s="96" t="str">
        <f t="shared" si="2"/>
        <v/>
      </c>
      <c r="C800" s="174" t="str">
        <f t="shared" si="3"/>
        <v/>
      </c>
      <c r="D800" s="175"/>
      <c r="E800" s="93" t="str">
        <f>IFERROR(__xludf.DUMMYFUNCTION("IF(D800&lt;&gt;"""",SPLIT(D800,"" 
""),)"),"")</f>
        <v/>
      </c>
    </row>
    <row r="801">
      <c r="A801" s="96" t="str">
        <f t="shared" si="1"/>
        <v/>
      </c>
      <c r="B801" s="96" t="str">
        <f t="shared" si="2"/>
        <v/>
      </c>
      <c r="C801" s="174" t="str">
        <f t="shared" si="3"/>
        <v/>
      </c>
      <c r="D801" s="175"/>
      <c r="E801" s="93" t="str">
        <f>IFERROR(__xludf.DUMMYFUNCTION("IF(D801&lt;&gt;"""",SPLIT(D801,"" 
""),)"),"")</f>
        <v/>
      </c>
    </row>
    <row r="802">
      <c r="A802" s="96" t="str">
        <f t="shared" si="1"/>
        <v/>
      </c>
      <c r="B802" s="96" t="str">
        <f t="shared" si="2"/>
        <v/>
      </c>
      <c r="C802" s="174" t="str">
        <f t="shared" si="3"/>
        <v/>
      </c>
      <c r="D802" s="175"/>
      <c r="E802" s="93" t="str">
        <f>IFERROR(__xludf.DUMMYFUNCTION("IF(D802&lt;&gt;"""",SPLIT(D802,"" 
""),)"),"")</f>
        <v/>
      </c>
    </row>
    <row r="803">
      <c r="A803" s="96" t="str">
        <f t="shared" si="1"/>
        <v/>
      </c>
      <c r="B803" s="96" t="str">
        <f t="shared" si="2"/>
        <v/>
      </c>
      <c r="C803" s="174" t="str">
        <f t="shared" si="3"/>
        <v/>
      </c>
      <c r="D803" s="175"/>
      <c r="E803" s="93" t="str">
        <f>IFERROR(__xludf.DUMMYFUNCTION("IF(D803&lt;&gt;"""",SPLIT(D803,"" 
""),)"),"")</f>
        <v/>
      </c>
    </row>
    <row r="804">
      <c r="A804" s="96" t="str">
        <f t="shared" si="1"/>
        <v/>
      </c>
      <c r="B804" s="96" t="str">
        <f t="shared" si="2"/>
        <v/>
      </c>
      <c r="C804" s="174" t="str">
        <f t="shared" si="3"/>
        <v/>
      </c>
      <c r="D804" s="175"/>
      <c r="E804" s="93" t="str">
        <f>IFERROR(__xludf.DUMMYFUNCTION("IF(D804&lt;&gt;"""",SPLIT(D804,"" 
""),)"),"")</f>
        <v/>
      </c>
    </row>
    <row r="805">
      <c r="A805" s="96" t="str">
        <f t="shared" si="1"/>
        <v/>
      </c>
      <c r="B805" s="96" t="str">
        <f t="shared" si="2"/>
        <v/>
      </c>
      <c r="C805" s="174" t="str">
        <f t="shared" si="3"/>
        <v/>
      </c>
      <c r="D805" s="175"/>
      <c r="E805" s="93" t="str">
        <f>IFERROR(__xludf.DUMMYFUNCTION("IF(D805&lt;&gt;"""",SPLIT(D805,"" 
""),)"),"")</f>
        <v/>
      </c>
    </row>
    <row r="806">
      <c r="A806" s="96" t="str">
        <f t="shared" si="1"/>
        <v/>
      </c>
      <c r="B806" s="96" t="str">
        <f t="shared" si="2"/>
        <v/>
      </c>
      <c r="C806" s="174" t="str">
        <f t="shared" si="3"/>
        <v/>
      </c>
      <c r="D806" s="175"/>
      <c r="E806" s="93" t="str">
        <f>IFERROR(__xludf.DUMMYFUNCTION("IF(D806&lt;&gt;"""",SPLIT(D806,"" 
""),)"),"")</f>
        <v/>
      </c>
    </row>
    <row r="807">
      <c r="A807" s="96" t="str">
        <f t="shared" si="1"/>
        <v/>
      </c>
      <c r="B807" s="96" t="str">
        <f t="shared" si="2"/>
        <v/>
      </c>
      <c r="C807" s="174" t="str">
        <f t="shared" si="3"/>
        <v/>
      </c>
      <c r="D807" s="175"/>
      <c r="E807" s="93" t="str">
        <f>IFERROR(__xludf.DUMMYFUNCTION("IF(D807&lt;&gt;"""",SPLIT(D807,"" 
""),)"),"")</f>
        <v/>
      </c>
    </row>
    <row r="808">
      <c r="A808" s="96" t="str">
        <f t="shared" si="1"/>
        <v/>
      </c>
      <c r="B808" s="96" t="str">
        <f t="shared" si="2"/>
        <v/>
      </c>
      <c r="C808" s="174" t="str">
        <f t="shared" si="3"/>
        <v/>
      </c>
      <c r="D808" s="175"/>
      <c r="E808" s="93" t="str">
        <f>IFERROR(__xludf.DUMMYFUNCTION("IF(D808&lt;&gt;"""",SPLIT(D808,"" 
""),)"),"")</f>
        <v/>
      </c>
    </row>
    <row r="809">
      <c r="A809" s="96" t="str">
        <f t="shared" si="1"/>
        <v/>
      </c>
      <c r="B809" s="96" t="str">
        <f t="shared" si="2"/>
        <v/>
      </c>
      <c r="C809" s="174" t="str">
        <f t="shared" si="3"/>
        <v/>
      </c>
      <c r="D809" s="175"/>
      <c r="E809" s="93" t="str">
        <f>IFERROR(__xludf.DUMMYFUNCTION("IF(D809&lt;&gt;"""",SPLIT(D809,"" 
""),)"),"")</f>
        <v/>
      </c>
    </row>
    <row r="810">
      <c r="A810" s="96" t="str">
        <f t="shared" si="1"/>
        <v/>
      </c>
      <c r="B810" s="96" t="str">
        <f t="shared" si="2"/>
        <v/>
      </c>
      <c r="C810" s="174" t="str">
        <f t="shared" si="3"/>
        <v/>
      </c>
      <c r="D810" s="175"/>
      <c r="E810" s="93" t="str">
        <f>IFERROR(__xludf.DUMMYFUNCTION("IF(D810&lt;&gt;"""",SPLIT(D810,"" 
""),)"),"")</f>
        <v/>
      </c>
    </row>
    <row r="811">
      <c r="A811" s="96" t="str">
        <f t="shared" si="1"/>
        <v/>
      </c>
      <c r="B811" s="96" t="str">
        <f t="shared" si="2"/>
        <v/>
      </c>
      <c r="C811" s="174" t="str">
        <f t="shared" si="3"/>
        <v/>
      </c>
      <c r="D811" s="175"/>
      <c r="E811" s="93" t="str">
        <f>IFERROR(__xludf.DUMMYFUNCTION("IF(D811&lt;&gt;"""",SPLIT(D811,"" 
""),)"),"")</f>
        <v/>
      </c>
    </row>
    <row r="812">
      <c r="A812" s="96" t="str">
        <f t="shared" si="1"/>
        <v/>
      </c>
      <c r="B812" s="96" t="str">
        <f t="shared" si="2"/>
        <v/>
      </c>
      <c r="C812" s="174" t="str">
        <f t="shared" si="3"/>
        <v/>
      </c>
      <c r="D812" s="175"/>
      <c r="E812" s="93" t="str">
        <f>IFERROR(__xludf.DUMMYFUNCTION("IF(D812&lt;&gt;"""",SPLIT(D812,"" 
""),)"),"")</f>
        <v/>
      </c>
    </row>
    <row r="813">
      <c r="A813" s="96" t="str">
        <f t="shared" si="1"/>
        <v/>
      </c>
      <c r="B813" s="96" t="str">
        <f t="shared" si="2"/>
        <v/>
      </c>
      <c r="C813" s="174" t="str">
        <f t="shared" si="3"/>
        <v/>
      </c>
      <c r="D813" s="175"/>
      <c r="E813" s="93" t="str">
        <f>IFERROR(__xludf.DUMMYFUNCTION("IF(D813&lt;&gt;"""",SPLIT(D813,"" 
""),)"),"")</f>
        <v/>
      </c>
    </row>
    <row r="814">
      <c r="A814" s="96" t="str">
        <f t="shared" si="1"/>
        <v/>
      </c>
      <c r="B814" s="96" t="str">
        <f t="shared" si="2"/>
        <v/>
      </c>
      <c r="C814" s="174" t="str">
        <f t="shared" si="3"/>
        <v/>
      </c>
      <c r="D814" s="175"/>
      <c r="E814" s="93" t="str">
        <f>IFERROR(__xludf.DUMMYFUNCTION("IF(D814&lt;&gt;"""",SPLIT(D814,"" 
""),)"),"")</f>
        <v/>
      </c>
    </row>
    <row r="815">
      <c r="A815" s="96" t="str">
        <f t="shared" si="1"/>
        <v/>
      </c>
      <c r="B815" s="96" t="str">
        <f t="shared" si="2"/>
        <v/>
      </c>
      <c r="C815" s="174" t="str">
        <f t="shared" si="3"/>
        <v/>
      </c>
      <c r="D815" s="175"/>
      <c r="E815" s="93" t="str">
        <f>IFERROR(__xludf.DUMMYFUNCTION("IF(D815&lt;&gt;"""",SPLIT(D815,"" 
""),)"),"")</f>
        <v/>
      </c>
    </row>
    <row r="816">
      <c r="A816" s="96" t="str">
        <f t="shared" si="1"/>
        <v/>
      </c>
      <c r="B816" s="96" t="str">
        <f t="shared" si="2"/>
        <v/>
      </c>
      <c r="C816" s="174" t="str">
        <f t="shared" si="3"/>
        <v/>
      </c>
      <c r="D816" s="175"/>
      <c r="E816" s="93" t="str">
        <f>IFERROR(__xludf.DUMMYFUNCTION("IF(D816&lt;&gt;"""",SPLIT(D816,"" 
""),)"),"")</f>
        <v/>
      </c>
    </row>
    <row r="817">
      <c r="A817" s="96" t="str">
        <f t="shared" si="1"/>
        <v/>
      </c>
      <c r="B817" s="96" t="str">
        <f t="shared" si="2"/>
        <v/>
      </c>
      <c r="C817" s="174" t="str">
        <f t="shared" si="3"/>
        <v/>
      </c>
      <c r="D817" s="175"/>
      <c r="E817" s="93" t="str">
        <f>IFERROR(__xludf.DUMMYFUNCTION("IF(D817&lt;&gt;"""",SPLIT(D817,"" 
""),)"),"")</f>
        <v/>
      </c>
    </row>
    <row r="818">
      <c r="A818" s="96" t="str">
        <f t="shared" si="1"/>
        <v/>
      </c>
      <c r="B818" s="96" t="str">
        <f t="shared" si="2"/>
        <v/>
      </c>
      <c r="C818" s="174" t="str">
        <f t="shared" si="3"/>
        <v/>
      </c>
      <c r="D818" s="175"/>
      <c r="E818" s="93" t="str">
        <f>IFERROR(__xludf.DUMMYFUNCTION("IF(D818&lt;&gt;"""",SPLIT(D818,"" 
""),)"),"")</f>
        <v/>
      </c>
    </row>
    <row r="819">
      <c r="A819" s="96" t="str">
        <f t="shared" si="1"/>
        <v/>
      </c>
      <c r="B819" s="96" t="str">
        <f t="shared" si="2"/>
        <v/>
      </c>
      <c r="C819" s="174" t="str">
        <f t="shared" si="3"/>
        <v/>
      </c>
      <c r="D819" s="175"/>
      <c r="E819" s="93" t="str">
        <f>IFERROR(__xludf.DUMMYFUNCTION("IF(D819&lt;&gt;"""",SPLIT(D819,"" 
""),)"),"")</f>
        <v/>
      </c>
    </row>
    <row r="820">
      <c r="A820" s="96" t="str">
        <f t="shared" si="1"/>
        <v/>
      </c>
      <c r="B820" s="96" t="str">
        <f t="shared" si="2"/>
        <v/>
      </c>
      <c r="C820" s="174" t="str">
        <f t="shared" si="3"/>
        <v/>
      </c>
      <c r="D820" s="175"/>
      <c r="E820" s="93" t="str">
        <f>IFERROR(__xludf.DUMMYFUNCTION("IF(D820&lt;&gt;"""",SPLIT(D820,"" 
""),)"),"")</f>
        <v/>
      </c>
    </row>
    <row r="821">
      <c r="A821" s="96" t="str">
        <f t="shared" si="1"/>
        <v/>
      </c>
      <c r="B821" s="96" t="str">
        <f t="shared" si="2"/>
        <v/>
      </c>
      <c r="C821" s="174" t="str">
        <f t="shared" si="3"/>
        <v/>
      </c>
      <c r="D821" s="175"/>
      <c r="E821" s="93" t="str">
        <f>IFERROR(__xludf.DUMMYFUNCTION("IF(D821&lt;&gt;"""",SPLIT(D821,"" 
""),)"),"")</f>
        <v/>
      </c>
    </row>
    <row r="822">
      <c r="A822" s="96" t="str">
        <f t="shared" si="1"/>
        <v/>
      </c>
      <c r="B822" s="96" t="str">
        <f t="shared" si="2"/>
        <v/>
      </c>
      <c r="C822" s="174" t="str">
        <f t="shared" si="3"/>
        <v/>
      </c>
      <c r="D822" s="175"/>
      <c r="E822" s="93" t="str">
        <f>IFERROR(__xludf.DUMMYFUNCTION("IF(D822&lt;&gt;"""",SPLIT(D822,"" 
""),)"),"")</f>
        <v/>
      </c>
    </row>
    <row r="823">
      <c r="A823" s="96" t="str">
        <f t="shared" si="1"/>
        <v/>
      </c>
      <c r="B823" s="96" t="str">
        <f t="shared" si="2"/>
        <v/>
      </c>
      <c r="C823" s="174" t="str">
        <f t="shared" si="3"/>
        <v/>
      </c>
      <c r="D823" s="175"/>
      <c r="E823" s="93" t="str">
        <f>IFERROR(__xludf.DUMMYFUNCTION("IF(D823&lt;&gt;"""",SPLIT(D823,"" 
""),)"),"")</f>
        <v/>
      </c>
    </row>
    <row r="824">
      <c r="A824" s="96" t="str">
        <f t="shared" si="1"/>
        <v/>
      </c>
      <c r="B824" s="96" t="str">
        <f t="shared" si="2"/>
        <v/>
      </c>
      <c r="C824" s="174" t="str">
        <f t="shared" si="3"/>
        <v/>
      </c>
      <c r="D824" s="175"/>
      <c r="E824" s="93" t="str">
        <f>IFERROR(__xludf.DUMMYFUNCTION("IF(D824&lt;&gt;"""",SPLIT(D824,"" 
""),)"),"")</f>
        <v/>
      </c>
    </row>
    <row r="825">
      <c r="A825" s="96" t="str">
        <f t="shared" si="1"/>
        <v/>
      </c>
      <c r="B825" s="96" t="str">
        <f t="shared" si="2"/>
        <v/>
      </c>
      <c r="C825" s="174" t="str">
        <f t="shared" si="3"/>
        <v/>
      </c>
      <c r="D825" s="175"/>
      <c r="E825" s="93" t="str">
        <f>IFERROR(__xludf.DUMMYFUNCTION("IF(D825&lt;&gt;"""",SPLIT(D825,"" 
""),)"),"")</f>
        <v/>
      </c>
    </row>
    <row r="826">
      <c r="A826" s="96" t="str">
        <f t="shared" si="1"/>
        <v/>
      </c>
      <c r="B826" s="96" t="str">
        <f t="shared" si="2"/>
        <v/>
      </c>
      <c r="C826" s="174" t="str">
        <f t="shared" si="3"/>
        <v/>
      </c>
      <c r="D826" s="175"/>
      <c r="E826" s="93" t="str">
        <f>IFERROR(__xludf.DUMMYFUNCTION("IF(D826&lt;&gt;"""",SPLIT(D826,"" 
""),)"),"")</f>
        <v/>
      </c>
    </row>
    <row r="827">
      <c r="A827" s="96" t="str">
        <f t="shared" si="1"/>
        <v/>
      </c>
      <c r="B827" s="96" t="str">
        <f t="shared" si="2"/>
        <v/>
      </c>
      <c r="C827" s="174" t="str">
        <f t="shared" si="3"/>
        <v/>
      </c>
      <c r="D827" s="175"/>
      <c r="E827" s="93" t="str">
        <f>IFERROR(__xludf.DUMMYFUNCTION("IF(D827&lt;&gt;"""",SPLIT(D827,"" 
""),)"),"")</f>
        <v/>
      </c>
    </row>
    <row r="828">
      <c r="A828" s="96" t="str">
        <f t="shared" si="1"/>
        <v/>
      </c>
      <c r="B828" s="96" t="str">
        <f t="shared" si="2"/>
        <v/>
      </c>
      <c r="C828" s="174" t="str">
        <f t="shared" si="3"/>
        <v/>
      </c>
      <c r="D828" s="175"/>
      <c r="E828" s="93" t="str">
        <f>IFERROR(__xludf.DUMMYFUNCTION("IF(D828&lt;&gt;"""",SPLIT(D828,"" 
""),)"),"")</f>
        <v/>
      </c>
    </row>
    <row r="829">
      <c r="A829" s="96" t="str">
        <f t="shared" si="1"/>
        <v/>
      </c>
      <c r="B829" s="96" t="str">
        <f t="shared" si="2"/>
        <v/>
      </c>
      <c r="C829" s="174" t="str">
        <f t="shared" si="3"/>
        <v/>
      </c>
      <c r="D829" s="175"/>
      <c r="E829" s="93" t="str">
        <f>IFERROR(__xludf.DUMMYFUNCTION("IF(D829&lt;&gt;"""",SPLIT(D829,"" 
""),)"),"")</f>
        <v/>
      </c>
    </row>
    <row r="830">
      <c r="A830" s="96" t="str">
        <f t="shared" si="1"/>
        <v/>
      </c>
      <c r="B830" s="96" t="str">
        <f t="shared" si="2"/>
        <v/>
      </c>
      <c r="C830" s="174" t="str">
        <f t="shared" si="3"/>
        <v/>
      </c>
      <c r="D830" s="175"/>
      <c r="E830" s="93" t="str">
        <f>IFERROR(__xludf.DUMMYFUNCTION("IF(D830&lt;&gt;"""",SPLIT(D830,"" 
""),)"),"")</f>
        <v/>
      </c>
    </row>
    <row r="831">
      <c r="A831" s="96" t="str">
        <f t="shared" si="1"/>
        <v/>
      </c>
      <c r="B831" s="96" t="str">
        <f t="shared" si="2"/>
        <v/>
      </c>
      <c r="C831" s="174" t="str">
        <f t="shared" si="3"/>
        <v/>
      </c>
      <c r="D831" s="175"/>
      <c r="E831" s="93" t="str">
        <f>IFERROR(__xludf.DUMMYFUNCTION("IF(D831&lt;&gt;"""",SPLIT(D831,"" 
""),)"),"")</f>
        <v/>
      </c>
    </row>
    <row r="832">
      <c r="A832" s="96" t="str">
        <f t="shared" si="1"/>
        <v/>
      </c>
      <c r="B832" s="96" t="str">
        <f t="shared" si="2"/>
        <v/>
      </c>
      <c r="C832" s="174" t="str">
        <f t="shared" si="3"/>
        <v/>
      </c>
      <c r="D832" s="175"/>
      <c r="E832" s="93" t="str">
        <f>IFERROR(__xludf.DUMMYFUNCTION("IF(D832&lt;&gt;"""",SPLIT(D832,"" 
""),)"),"")</f>
        <v/>
      </c>
    </row>
    <row r="833">
      <c r="A833" s="96" t="str">
        <f t="shared" si="1"/>
        <v/>
      </c>
      <c r="B833" s="96" t="str">
        <f t="shared" si="2"/>
        <v/>
      </c>
      <c r="C833" s="174" t="str">
        <f t="shared" si="3"/>
        <v/>
      </c>
      <c r="D833" s="175"/>
      <c r="E833" s="93" t="str">
        <f>IFERROR(__xludf.DUMMYFUNCTION("IF(D833&lt;&gt;"""",SPLIT(D833,"" 
""),)"),"")</f>
        <v/>
      </c>
    </row>
    <row r="834">
      <c r="A834" s="96" t="str">
        <f t="shared" si="1"/>
        <v/>
      </c>
      <c r="B834" s="96" t="str">
        <f t="shared" si="2"/>
        <v/>
      </c>
      <c r="C834" s="174" t="str">
        <f t="shared" si="3"/>
        <v/>
      </c>
      <c r="D834" s="175"/>
      <c r="E834" s="93" t="str">
        <f>IFERROR(__xludf.DUMMYFUNCTION("IF(D834&lt;&gt;"""",SPLIT(D834,"" 
""),)"),"")</f>
        <v/>
      </c>
    </row>
    <row r="835">
      <c r="A835" s="96" t="str">
        <f t="shared" si="1"/>
        <v/>
      </c>
      <c r="B835" s="96" t="str">
        <f t="shared" si="2"/>
        <v/>
      </c>
      <c r="C835" s="174" t="str">
        <f t="shared" si="3"/>
        <v/>
      </c>
      <c r="D835" s="175"/>
      <c r="E835" s="93" t="str">
        <f>IFERROR(__xludf.DUMMYFUNCTION("IF(D835&lt;&gt;"""",SPLIT(D835,"" 
""),)"),"")</f>
        <v/>
      </c>
    </row>
    <row r="836">
      <c r="A836" s="96" t="str">
        <f t="shared" si="1"/>
        <v/>
      </c>
      <c r="B836" s="96" t="str">
        <f t="shared" si="2"/>
        <v/>
      </c>
      <c r="C836" s="174" t="str">
        <f t="shared" si="3"/>
        <v/>
      </c>
      <c r="D836" s="175"/>
      <c r="E836" s="93" t="str">
        <f>IFERROR(__xludf.DUMMYFUNCTION("IF(D836&lt;&gt;"""",SPLIT(D836,"" 
""),)"),"")</f>
        <v/>
      </c>
    </row>
    <row r="837">
      <c r="A837" s="96" t="str">
        <f t="shared" si="1"/>
        <v/>
      </c>
      <c r="B837" s="96" t="str">
        <f t="shared" si="2"/>
        <v/>
      </c>
      <c r="C837" s="174" t="str">
        <f t="shared" si="3"/>
        <v/>
      </c>
      <c r="D837" s="175"/>
      <c r="E837" s="93" t="str">
        <f>IFERROR(__xludf.DUMMYFUNCTION("IF(D837&lt;&gt;"""",SPLIT(D837,"" 
""),)"),"")</f>
        <v/>
      </c>
    </row>
    <row r="838">
      <c r="A838" s="96" t="str">
        <f t="shared" si="1"/>
        <v/>
      </c>
      <c r="B838" s="96" t="str">
        <f t="shared" si="2"/>
        <v/>
      </c>
      <c r="C838" s="174" t="str">
        <f t="shared" si="3"/>
        <v/>
      </c>
      <c r="D838" s="175"/>
      <c r="E838" s="93" t="str">
        <f>IFERROR(__xludf.DUMMYFUNCTION("IF(D838&lt;&gt;"""",SPLIT(D838,"" 
""),)"),"")</f>
        <v/>
      </c>
    </row>
    <row r="839">
      <c r="A839" s="96" t="str">
        <f t="shared" si="1"/>
        <v/>
      </c>
      <c r="B839" s="96" t="str">
        <f t="shared" si="2"/>
        <v/>
      </c>
      <c r="C839" s="174" t="str">
        <f t="shared" si="3"/>
        <v/>
      </c>
      <c r="D839" s="175"/>
      <c r="E839" s="93" t="str">
        <f>IFERROR(__xludf.DUMMYFUNCTION("IF(D839&lt;&gt;"""",SPLIT(D839,"" 
""),)"),"")</f>
        <v/>
      </c>
    </row>
    <row r="840">
      <c r="A840" s="96" t="str">
        <f t="shared" si="1"/>
        <v/>
      </c>
      <c r="B840" s="96" t="str">
        <f t="shared" si="2"/>
        <v/>
      </c>
      <c r="C840" s="174" t="str">
        <f t="shared" si="3"/>
        <v/>
      </c>
      <c r="D840" s="175"/>
      <c r="E840" s="93" t="str">
        <f>IFERROR(__xludf.DUMMYFUNCTION("IF(D840&lt;&gt;"""",SPLIT(D840,"" 
""),)"),"")</f>
        <v/>
      </c>
    </row>
    <row r="841">
      <c r="A841" s="96" t="str">
        <f t="shared" si="1"/>
        <v/>
      </c>
      <c r="B841" s="96" t="str">
        <f t="shared" si="2"/>
        <v/>
      </c>
      <c r="C841" s="174" t="str">
        <f t="shared" si="3"/>
        <v/>
      </c>
      <c r="D841" s="175"/>
      <c r="E841" s="93" t="str">
        <f>IFERROR(__xludf.DUMMYFUNCTION("IF(D841&lt;&gt;"""",SPLIT(D841,"" 
""),)"),"")</f>
        <v/>
      </c>
    </row>
    <row r="842">
      <c r="A842" s="96" t="str">
        <f t="shared" si="1"/>
        <v/>
      </c>
      <c r="B842" s="96" t="str">
        <f t="shared" si="2"/>
        <v/>
      </c>
      <c r="C842" s="174" t="str">
        <f t="shared" si="3"/>
        <v/>
      </c>
      <c r="D842" s="175"/>
      <c r="E842" s="93" t="str">
        <f>IFERROR(__xludf.DUMMYFUNCTION("IF(D842&lt;&gt;"""",SPLIT(D842,"" 
""),)"),"")</f>
        <v/>
      </c>
    </row>
    <row r="843">
      <c r="A843" s="96" t="str">
        <f t="shared" si="1"/>
        <v/>
      </c>
      <c r="B843" s="96" t="str">
        <f t="shared" si="2"/>
        <v/>
      </c>
      <c r="C843" s="174" t="str">
        <f t="shared" si="3"/>
        <v/>
      </c>
      <c r="D843" s="175"/>
      <c r="E843" s="93" t="str">
        <f>IFERROR(__xludf.DUMMYFUNCTION("IF(D843&lt;&gt;"""",SPLIT(D843,"" 
""),)"),"")</f>
        <v/>
      </c>
    </row>
    <row r="844">
      <c r="A844" s="96" t="str">
        <f t="shared" si="1"/>
        <v/>
      </c>
      <c r="B844" s="96" t="str">
        <f t="shared" si="2"/>
        <v/>
      </c>
      <c r="C844" s="174" t="str">
        <f t="shared" si="3"/>
        <v/>
      </c>
      <c r="D844" s="175"/>
      <c r="E844" s="93" t="str">
        <f>IFERROR(__xludf.DUMMYFUNCTION("IF(D844&lt;&gt;"""",SPLIT(D844,"" 
""),)"),"")</f>
        <v/>
      </c>
    </row>
    <row r="845">
      <c r="A845" s="96" t="str">
        <f t="shared" si="1"/>
        <v/>
      </c>
      <c r="B845" s="96" t="str">
        <f t="shared" si="2"/>
        <v/>
      </c>
      <c r="C845" s="174" t="str">
        <f t="shared" si="3"/>
        <v/>
      </c>
      <c r="D845" s="175"/>
      <c r="E845" s="93" t="str">
        <f>IFERROR(__xludf.DUMMYFUNCTION("IF(D845&lt;&gt;"""",SPLIT(D845,"" 
""),)"),"")</f>
        <v/>
      </c>
    </row>
    <row r="846">
      <c r="A846" s="96" t="str">
        <f t="shared" si="1"/>
        <v/>
      </c>
      <c r="B846" s="96" t="str">
        <f t="shared" si="2"/>
        <v/>
      </c>
      <c r="C846" s="174" t="str">
        <f t="shared" si="3"/>
        <v/>
      </c>
      <c r="D846" s="175"/>
      <c r="E846" s="93" t="str">
        <f>IFERROR(__xludf.DUMMYFUNCTION("IF(D846&lt;&gt;"""",SPLIT(D846,"" 
""),)"),"")</f>
        <v/>
      </c>
    </row>
    <row r="847">
      <c r="A847" s="96" t="str">
        <f t="shared" si="1"/>
        <v/>
      </c>
      <c r="B847" s="96" t="str">
        <f t="shared" si="2"/>
        <v/>
      </c>
      <c r="C847" s="174" t="str">
        <f t="shared" si="3"/>
        <v/>
      </c>
      <c r="D847" s="175"/>
      <c r="E847" s="93" t="str">
        <f>IFERROR(__xludf.DUMMYFUNCTION("IF(D847&lt;&gt;"""",SPLIT(D847,"" 
""),)"),"")</f>
        <v/>
      </c>
    </row>
    <row r="848">
      <c r="A848" s="96" t="str">
        <f t="shared" si="1"/>
        <v/>
      </c>
      <c r="B848" s="96" t="str">
        <f t="shared" si="2"/>
        <v/>
      </c>
      <c r="C848" s="174" t="str">
        <f t="shared" si="3"/>
        <v/>
      </c>
      <c r="D848" s="175"/>
      <c r="E848" s="93" t="str">
        <f>IFERROR(__xludf.DUMMYFUNCTION("IF(D848&lt;&gt;"""",SPLIT(D848,"" 
""),)"),"")</f>
        <v/>
      </c>
    </row>
    <row r="849">
      <c r="A849" s="96" t="str">
        <f t="shared" si="1"/>
        <v/>
      </c>
      <c r="B849" s="96" t="str">
        <f t="shared" si="2"/>
        <v/>
      </c>
      <c r="C849" s="174" t="str">
        <f t="shared" si="3"/>
        <v/>
      </c>
      <c r="D849" s="175"/>
      <c r="E849" s="93" t="str">
        <f>IFERROR(__xludf.DUMMYFUNCTION("IF(D849&lt;&gt;"""",SPLIT(D849,"" 
""),)"),"")</f>
        <v/>
      </c>
    </row>
    <row r="850">
      <c r="A850" s="96" t="str">
        <f t="shared" si="1"/>
        <v/>
      </c>
      <c r="B850" s="96" t="str">
        <f t="shared" si="2"/>
        <v/>
      </c>
      <c r="C850" s="174" t="str">
        <f t="shared" si="3"/>
        <v/>
      </c>
      <c r="D850" s="175"/>
      <c r="E850" s="93" t="str">
        <f>IFERROR(__xludf.DUMMYFUNCTION("IF(D850&lt;&gt;"""",SPLIT(D850,"" 
""),)"),"")</f>
        <v/>
      </c>
    </row>
    <row r="851">
      <c r="A851" s="96" t="str">
        <f t="shared" si="1"/>
        <v/>
      </c>
      <c r="B851" s="96" t="str">
        <f t="shared" si="2"/>
        <v/>
      </c>
      <c r="C851" s="174" t="str">
        <f t="shared" si="3"/>
        <v/>
      </c>
      <c r="D851" s="175"/>
      <c r="E851" s="93" t="str">
        <f>IFERROR(__xludf.DUMMYFUNCTION("IF(D851&lt;&gt;"""",SPLIT(D851,"" 
""),)"),"")</f>
        <v/>
      </c>
    </row>
    <row r="852">
      <c r="A852" s="96" t="str">
        <f t="shared" si="1"/>
        <v/>
      </c>
      <c r="B852" s="96" t="str">
        <f t="shared" si="2"/>
        <v/>
      </c>
      <c r="C852" s="174" t="str">
        <f t="shared" si="3"/>
        <v/>
      </c>
      <c r="D852" s="175"/>
      <c r="E852" s="93" t="str">
        <f>IFERROR(__xludf.DUMMYFUNCTION("IF(D852&lt;&gt;"""",SPLIT(D852,"" 
""),)"),"")</f>
        <v/>
      </c>
    </row>
    <row r="853">
      <c r="A853" s="96" t="str">
        <f t="shared" si="1"/>
        <v/>
      </c>
      <c r="B853" s="96" t="str">
        <f t="shared" si="2"/>
        <v/>
      </c>
      <c r="C853" s="174" t="str">
        <f t="shared" si="3"/>
        <v/>
      </c>
      <c r="D853" s="175"/>
      <c r="E853" s="93" t="str">
        <f>IFERROR(__xludf.DUMMYFUNCTION("IF(D853&lt;&gt;"""",SPLIT(D853,"" 
""),)"),"")</f>
        <v/>
      </c>
    </row>
    <row r="854">
      <c r="A854" s="96" t="str">
        <f t="shared" si="1"/>
        <v/>
      </c>
      <c r="B854" s="96" t="str">
        <f t="shared" si="2"/>
        <v/>
      </c>
      <c r="C854" s="174" t="str">
        <f t="shared" si="3"/>
        <v/>
      </c>
      <c r="D854" s="175"/>
      <c r="E854" s="93" t="str">
        <f>IFERROR(__xludf.DUMMYFUNCTION("IF(D854&lt;&gt;"""",SPLIT(D854,"" 
""),)"),"")</f>
        <v/>
      </c>
    </row>
    <row r="855">
      <c r="A855" s="96" t="str">
        <f t="shared" si="1"/>
        <v/>
      </c>
      <c r="B855" s="96" t="str">
        <f t="shared" si="2"/>
        <v/>
      </c>
      <c r="C855" s="174" t="str">
        <f t="shared" si="3"/>
        <v/>
      </c>
      <c r="D855" s="175"/>
      <c r="E855" s="93" t="str">
        <f>IFERROR(__xludf.DUMMYFUNCTION("IF(D855&lt;&gt;"""",SPLIT(D855,"" 
""),)"),"")</f>
        <v/>
      </c>
    </row>
    <row r="856">
      <c r="A856" s="96" t="str">
        <f t="shared" si="1"/>
        <v/>
      </c>
      <c r="B856" s="96" t="str">
        <f t="shared" si="2"/>
        <v/>
      </c>
      <c r="C856" s="174" t="str">
        <f t="shared" si="3"/>
        <v/>
      </c>
      <c r="D856" s="175"/>
      <c r="E856" s="93" t="str">
        <f>IFERROR(__xludf.DUMMYFUNCTION("IF(D856&lt;&gt;"""",SPLIT(D856,"" 
""),)"),"")</f>
        <v/>
      </c>
    </row>
    <row r="857">
      <c r="A857" s="96" t="str">
        <f t="shared" si="1"/>
        <v/>
      </c>
      <c r="B857" s="96" t="str">
        <f t="shared" si="2"/>
        <v/>
      </c>
      <c r="C857" s="174" t="str">
        <f t="shared" si="3"/>
        <v/>
      </c>
      <c r="D857" s="175"/>
      <c r="E857" s="93" t="str">
        <f>IFERROR(__xludf.DUMMYFUNCTION("IF(D857&lt;&gt;"""",SPLIT(D857,"" 
""),)"),"")</f>
        <v/>
      </c>
    </row>
    <row r="858">
      <c r="A858" s="96" t="str">
        <f t="shared" si="1"/>
        <v/>
      </c>
      <c r="B858" s="96" t="str">
        <f t="shared" si="2"/>
        <v/>
      </c>
      <c r="C858" s="174" t="str">
        <f t="shared" si="3"/>
        <v/>
      </c>
      <c r="D858" s="175"/>
      <c r="E858" s="93" t="str">
        <f>IFERROR(__xludf.DUMMYFUNCTION("IF(D858&lt;&gt;"""",SPLIT(D858,"" 
""),)"),"")</f>
        <v/>
      </c>
    </row>
    <row r="859">
      <c r="A859" s="96" t="str">
        <f t="shared" si="1"/>
        <v/>
      </c>
      <c r="B859" s="96" t="str">
        <f t="shared" si="2"/>
        <v/>
      </c>
      <c r="C859" s="174" t="str">
        <f t="shared" si="3"/>
        <v/>
      </c>
      <c r="D859" s="175"/>
      <c r="E859" s="93" t="str">
        <f>IFERROR(__xludf.DUMMYFUNCTION("IF(D859&lt;&gt;"""",SPLIT(D859,"" 
""),)"),"")</f>
        <v/>
      </c>
    </row>
    <row r="860">
      <c r="A860" s="96" t="str">
        <f t="shared" si="1"/>
        <v/>
      </c>
      <c r="B860" s="96" t="str">
        <f t="shared" si="2"/>
        <v/>
      </c>
      <c r="C860" s="174" t="str">
        <f t="shared" si="3"/>
        <v/>
      </c>
      <c r="D860" s="175"/>
      <c r="E860" s="93" t="str">
        <f>IFERROR(__xludf.DUMMYFUNCTION("IF(D860&lt;&gt;"""",SPLIT(D860,"" 
""),)"),"")</f>
        <v/>
      </c>
    </row>
    <row r="861">
      <c r="A861" s="96" t="str">
        <f t="shared" si="1"/>
        <v/>
      </c>
      <c r="B861" s="96" t="str">
        <f t="shared" si="2"/>
        <v/>
      </c>
      <c r="C861" s="174" t="str">
        <f t="shared" si="3"/>
        <v/>
      </c>
      <c r="D861" s="175"/>
      <c r="E861" s="93" t="str">
        <f>IFERROR(__xludf.DUMMYFUNCTION("IF(D861&lt;&gt;"""",SPLIT(D861,"" 
""),)"),"")</f>
        <v/>
      </c>
    </row>
    <row r="862">
      <c r="A862" s="96" t="str">
        <f t="shared" si="1"/>
        <v/>
      </c>
      <c r="B862" s="96" t="str">
        <f t="shared" si="2"/>
        <v/>
      </c>
      <c r="C862" s="174" t="str">
        <f t="shared" si="3"/>
        <v/>
      </c>
      <c r="D862" s="175"/>
      <c r="E862" s="93" t="str">
        <f>IFERROR(__xludf.DUMMYFUNCTION("IF(D862&lt;&gt;"""",SPLIT(D862,"" 
""),)"),"")</f>
        <v/>
      </c>
    </row>
    <row r="863">
      <c r="A863" s="96" t="str">
        <f t="shared" si="1"/>
        <v/>
      </c>
      <c r="B863" s="96" t="str">
        <f t="shared" si="2"/>
        <v/>
      </c>
      <c r="C863" s="174" t="str">
        <f t="shared" si="3"/>
        <v/>
      </c>
      <c r="D863" s="175"/>
      <c r="E863" s="93" t="str">
        <f>IFERROR(__xludf.DUMMYFUNCTION("IF(D863&lt;&gt;"""",SPLIT(D863,"" 
""),)"),"")</f>
        <v/>
      </c>
    </row>
    <row r="864">
      <c r="A864" s="96" t="str">
        <f t="shared" si="1"/>
        <v/>
      </c>
      <c r="B864" s="96" t="str">
        <f t="shared" si="2"/>
        <v/>
      </c>
      <c r="C864" s="174" t="str">
        <f t="shared" si="3"/>
        <v/>
      </c>
      <c r="D864" s="175"/>
      <c r="E864" s="93" t="str">
        <f>IFERROR(__xludf.DUMMYFUNCTION("IF(D864&lt;&gt;"""",SPLIT(D864,"" 
""),)"),"")</f>
        <v/>
      </c>
    </row>
    <row r="865">
      <c r="A865" s="96" t="str">
        <f t="shared" si="1"/>
        <v/>
      </c>
      <c r="B865" s="96" t="str">
        <f t="shared" si="2"/>
        <v/>
      </c>
      <c r="C865" s="174" t="str">
        <f t="shared" si="3"/>
        <v/>
      </c>
      <c r="D865" s="175"/>
      <c r="E865" s="93" t="str">
        <f>IFERROR(__xludf.DUMMYFUNCTION("IF(D865&lt;&gt;"""",SPLIT(D865,"" 
""),)"),"")</f>
        <v/>
      </c>
    </row>
    <row r="866">
      <c r="A866" s="96" t="str">
        <f t="shared" si="1"/>
        <v/>
      </c>
      <c r="B866" s="96" t="str">
        <f t="shared" si="2"/>
        <v/>
      </c>
      <c r="C866" s="174" t="str">
        <f t="shared" si="3"/>
        <v/>
      </c>
      <c r="D866" s="175"/>
      <c r="E866" s="93" t="str">
        <f>IFERROR(__xludf.DUMMYFUNCTION("IF(D866&lt;&gt;"""",SPLIT(D866,"" 
""),)"),"")</f>
        <v/>
      </c>
    </row>
    <row r="867">
      <c r="A867" s="96" t="str">
        <f t="shared" si="1"/>
        <v/>
      </c>
      <c r="B867" s="96" t="str">
        <f t="shared" si="2"/>
        <v/>
      </c>
      <c r="C867" s="174" t="str">
        <f t="shared" si="3"/>
        <v/>
      </c>
      <c r="D867" s="175"/>
      <c r="E867" s="93" t="str">
        <f>IFERROR(__xludf.DUMMYFUNCTION("IF(D867&lt;&gt;"""",SPLIT(D867,"" 
""),)"),"")</f>
        <v/>
      </c>
    </row>
    <row r="868">
      <c r="A868" s="96" t="str">
        <f t="shared" si="1"/>
        <v/>
      </c>
      <c r="B868" s="96" t="str">
        <f t="shared" si="2"/>
        <v/>
      </c>
      <c r="C868" s="174" t="str">
        <f t="shared" si="3"/>
        <v/>
      </c>
      <c r="D868" s="175"/>
      <c r="E868" s="93" t="str">
        <f>IFERROR(__xludf.DUMMYFUNCTION("IF(D868&lt;&gt;"""",SPLIT(D868,"" 
""),)"),"")</f>
        <v/>
      </c>
    </row>
    <row r="869">
      <c r="A869" s="96" t="str">
        <f t="shared" si="1"/>
        <v/>
      </c>
      <c r="B869" s="96" t="str">
        <f t="shared" si="2"/>
        <v/>
      </c>
      <c r="C869" s="174" t="str">
        <f t="shared" si="3"/>
        <v/>
      </c>
      <c r="D869" s="175"/>
      <c r="E869" s="93" t="str">
        <f>IFERROR(__xludf.DUMMYFUNCTION("IF(D869&lt;&gt;"""",SPLIT(D869,"" 
""),)"),"")</f>
        <v/>
      </c>
    </row>
    <row r="870">
      <c r="A870" s="96" t="str">
        <f t="shared" si="1"/>
        <v/>
      </c>
      <c r="B870" s="96" t="str">
        <f t="shared" si="2"/>
        <v/>
      </c>
      <c r="C870" s="174" t="str">
        <f t="shared" si="3"/>
        <v/>
      </c>
      <c r="D870" s="175"/>
      <c r="E870" s="93" t="str">
        <f>IFERROR(__xludf.DUMMYFUNCTION("IF(D870&lt;&gt;"""",SPLIT(D870,"" 
""),)"),"")</f>
        <v/>
      </c>
    </row>
    <row r="871">
      <c r="A871" s="96" t="str">
        <f t="shared" si="1"/>
        <v/>
      </c>
      <c r="B871" s="96" t="str">
        <f t="shared" si="2"/>
        <v/>
      </c>
      <c r="C871" s="174" t="str">
        <f t="shared" si="3"/>
        <v/>
      </c>
      <c r="D871" s="175"/>
      <c r="E871" s="93" t="str">
        <f>IFERROR(__xludf.DUMMYFUNCTION("IF(D871&lt;&gt;"""",SPLIT(D871,"" 
""),)"),"")</f>
        <v/>
      </c>
    </row>
    <row r="872">
      <c r="A872" s="96" t="str">
        <f t="shared" si="1"/>
        <v/>
      </c>
      <c r="B872" s="96" t="str">
        <f t="shared" si="2"/>
        <v/>
      </c>
      <c r="C872" s="174" t="str">
        <f t="shared" si="3"/>
        <v/>
      </c>
      <c r="D872" s="175"/>
      <c r="E872" s="93" t="str">
        <f>IFERROR(__xludf.DUMMYFUNCTION("IF(D872&lt;&gt;"""",SPLIT(D872,"" 
""),)"),"")</f>
        <v/>
      </c>
    </row>
    <row r="873">
      <c r="A873" s="96" t="str">
        <f t="shared" si="1"/>
        <v/>
      </c>
      <c r="B873" s="96" t="str">
        <f t="shared" si="2"/>
        <v/>
      </c>
      <c r="C873" s="174" t="str">
        <f t="shared" si="3"/>
        <v/>
      </c>
      <c r="D873" s="175"/>
      <c r="E873" s="93" t="str">
        <f>IFERROR(__xludf.DUMMYFUNCTION("IF(D873&lt;&gt;"""",SPLIT(D873,"" 
""),)"),"")</f>
        <v/>
      </c>
    </row>
    <row r="874">
      <c r="A874" s="96" t="str">
        <f t="shared" si="1"/>
        <v/>
      </c>
      <c r="B874" s="96" t="str">
        <f t="shared" si="2"/>
        <v/>
      </c>
      <c r="C874" s="174" t="str">
        <f t="shared" si="3"/>
        <v/>
      </c>
      <c r="D874" s="175"/>
      <c r="E874" s="93" t="str">
        <f>IFERROR(__xludf.DUMMYFUNCTION("IF(D874&lt;&gt;"""",SPLIT(D874,"" 
""),)"),"")</f>
        <v/>
      </c>
    </row>
    <row r="875">
      <c r="A875" s="96" t="str">
        <f t="shared" si="1"/>
        <v/>
      </c>
      <c r="B875" s="96" t="str">
        <f t="shared" si="2"/>
        <v/>
      </c>
      <c r="C875" s="174" t="str">
        <f t="shared" si="3"/>
        <v/>
      </c>
      <c r="D875" s="175"/>
      <c r="E875" s="93" t="str">
        <f>IFERROR(__xludf.DUMMYFUNCTION("IF(D875&lt;&gt;"""",SPLIT(D875,"" 
""),)"),"")</f>
        <v/>
      </c>
    </row>
    <row r="876">
      <c r="A876" s="96" t="str">
        <f t="shared" si="1"/>
        <v/>
      </c>
      <c r="B876" s="96" t="str">
        <f t="shared" si="2"/>
        <v/>
      </c>
      <c r="C876" s="174" t="str">
        <f t="shared" si="3"/>
        <v/>
      </c>
      <c r="D876" s="175"/>
      <c r="E876" s="93" t="str">
        <f>IFERROR(__xludf.DUMMYFUNCTION("IF(D876&lt;&gt;"""",SPLIT(D876,"" 
""),)"),"")</f>
        <v/>
      </c>
    </row>
    <row r="877">
      <c r="A877" s="96" t="str">
        <f t="shared" si="1"/>
        <v/>
      </c>
      <c r="B877" s="96" t="str">
        <f t="shared" si="2"/>
        <v/>
      </c>
      <c r="C877" s="174" t="str">
        <f t="shared" si="3"/>
        <v/>
      </c>
      <c r="D877" s="175"/>
      <c r="E877" s="93" t="str">
        <f>IFERROR(__xludf.DUMMYFUNCTION("IF(D877&lt;&gt;"""",SPLIT(D877,"" 
""),)"),"")</f>
        <v/>
      </c>
    </row>
    <row r="878">
      <c r="A878" s="96" t="str">
        <f t="shared" si="1"/>
        <v/>
      </c>
      <c r="B878" s="96" t="str">
        <f t="shared" si="2"/>
        <v/>
      </c>
      <c r="C878" s="174" t="str">
        <f t="shared" si="3"/>
        <v/>
      </c>
      <c r="D878" s="175"/>
      <c r="E878" s="93" t="str">
        <f>IFERROR(__xludf.DUMMYFUNCTION("IF(D878&lt;&gt;"""",SPLIT(D878,"" 
""),)"),"")</f>
        <v/>
      </c>
    </row>
    <row r="879">
      <c r="A879" s="96" t="str">
        <f t="shared" si="1"/>
        <v/>
      </c>
      <c r="B879" s="96" t="str">
        <f t="shared" si="2"/>
        <v/>
      </c>
      <c r="C879" s="174" t="str">
        <f t="shared" si="3"/>
        <v/>
      </c>
      <c r="D879" s="175"/>
      <c r="E879" s="93" t="str">
        <f>IFERROR(__xludf.DUMMYFUNCTION("IF(D879&lt;&gt;"""",SPLIT(D879,"" 
""),)"),"")</f>
        <v/>
      </c>
    </row>
    <row r="880">
      <c r="A880" s="96" t="str">
        <f t="shared" si="1"/>
        <v/>
      </c>
      <c r="B880" s="96" t="str">
        <f t="shared" si="2"/>
        <v/>
      </c>
      <c r="C880" s="174" t="str">
        <f t="shared" si="3"/>
        <v/>
      </c>
      <c r="D880" s="175"/>
      <c r="E880" s="93" t="str">
        <f>IFERROR(__xludf.DUMMYFUNCTION("IF(D880&lt;&gt;"""",SPLIT(D880,"" 
""),)"),"")</f>
        <v/>
      </c>
    </row>
    <row r="881">
      <c r="A881" s="96" t="str">
        <f t="shared" si="1"/>
        <v/>
      </c>
      <c r="B881" s="96" t="str">
        <f t="shared" si="2"/>
        <v/>
      </c>
      <c r="C881" s="174" t="str">
        <f t="shared" si="3"/>
        <v/>
      </c>
      <c r="D881" s="175"/>
      <c r="E881" s="93" t="str">
        <f>IFERROR(__xludf.DUMMYFUNCTION("IF(D881&lt;&gt;"""",SPLIT(D881,"" 
""),)"),"")</f>
        <v/>
      </c>
    </row>
    <row r="882">
      <c r="A882" s="96" t="str">
        <f t="shared" si="1"/>
        <v/>
      </c>
      <c r="B882" s="96" t="str">
        <f t="shared" si="2"/>
        <v/>
      </c>
      <c r="C882" s="174" t="str">
        <f t="shared" si="3"/>
        <v/>
      </c>
      <c r="D882" s="175"/>
      <c r="E882" s="93" t="str">
        <f>IFERROR(__xludf.DUMMYFUNCTION("IF(D882&lt;&gt;"""",SPLIT(D882,"" 
""),)"),"")</f>
        <v/>
      </c>
    </row>
    <row r="883">
      <c r="A883" s="96" t="str">
        <f t="shared" si="1"/>
        <v/>
      </c>
      <c r="B883" s="96" t="str">
        <f t="shared" si="2"/>
        <v/>
      </c>
      <c r="C883" s="174" t="str">
        <f t="shared" si="3"/>
        <v/>
      </c>
      <c r="D883" s="175"/>
      <c r="E883" s="93" t="str">
        <f>IFERROR(__xludf.DUMMYFUNCTION("IF(D883&lt;&gt;"""",SPLIT(D883,"" 
""),)"),"")</f>
        <v/>
      </c>
    </row>
    <row r="884">
      <c r="A884" s="96" t="str">
        <f t="shared" si="1"/>
        <v/>
      </c>
      <c r="B884" s="96" t="str">
        <f t="shared" si="2"/>
        <v/>
      </c>
      <c r="C884" s="174" t="str">
        <f t="shared" si="3"/>
        <v/>
      </c>
      <c r="D884" s="175"/>
      <c r="E884" s="93" t="str">
        <f>IFERROR(__xludf.DUMMYFUNCTION("IF(D884&lt;&gt;"""",SPLIT(D884,"" 
""),)"),"")</f>
        <v/>
      </c>
    </row>
    <row r="885">
      <c r="A885" s="96" t="str">
        <f t="shared" si="1"/>
        <v/>
      </c>
      <c r="B885" s="96" t="str">
        <f t="shared" si="2"/>
        <v/>
      </c>
      <c r="C885" s="174" t="str">
        <f t="shared" si="3"/>
        <v/>
      </c>
      <c r="D885" s="175"/>
      <c r="E885" s="93" t="str">
        <f>IFERROR(__xludf.DUMMYFUNCTION("IF(D885&lt;&gt;"""",SPLIT(D885,"" 
""),)"),"")</f>
        <v/>
      </c>
    </row>
    <row r="886">
      <c r="A886" s="96" t="str">
        <f t="shared" si="1"/>
        <v/>
      </c>
      <c r="B886" s="96" t="str">
        <f t="shared" si="2"/>
        <v/>
      </c>
      <c r="C886" s="174" t="str">
        <f t="shared" si="3"/>
        <v/>
      </c>
      <c r="D886" s="175"/>
      <c r="E886" s="93" t="str">
        <f>IFERROR(__xludf.DUMMYFUNCTION("IF(D886&lt;&gt;"""",SPLIT(D886,"" 
""),)"),"")</f>
        <v/>
      </c>
    </row>
    <row r="887">
      <c r="A887" s="96" t="str">
        <f t="shared" si="1"/>
        <v/>
      </c>
      <c r="B887" s="96" t="str">
        <f t="shared" si="2"/>
        <v/>
      </c>
      <c r="C887" s="174" t="str">
        <f t="shared" si="3"/>
        <v/>
      </c>
      <c r="D887" s="175"/>
      <c r="E887" s="93" t="str">
        <f>IFERROR(__xludf.DUMMYFUNCTION("IF(D887&lt;&gt;"""",SPLIT(D887,"" 
""),)"),"")</f>
        <v/>
      </c>
    </row>
    <row r="888">
      <c r="A888" s="96" t="str">
        <f t="shared" si="1"/>
        <v/>
      </c>
      <c r="B888" s="96" t="str">
        <f t="shared" si="2"/>
        <v/>
      </c>
      <c r="C888" s="174" t="str">
        <f t="shared" si="3"/>
        <v/>
      </c>
      <c r="D888" s="175"/>
      <c r="E888" s="93" t="str">
        <f>IFERROR(__xludf.DUMMYFUNCTION("IF(D888&lt;&gt;"""",SPLIT(D888,"" 
""),)"),"")</f>
        <v/>
      </c>
    </row>
    <row r="889">
      <c r="A889" s="96" t="str">
        <f t="shared" si="1"/>
        <v/>
      </c>
      <c r="B889" s="96" t="str">
        <f t="shared" si="2"/>
        <v/>
      </c>
      <c r="C889" s="174" t="str">
        <f t="shared" si="3"/>
        <v/>
      </c>
      <c r="D889" s="175"/>
      <c r="E889" s="93" t="str">
        <f>IFERROR(__xludf.DUMMYFUNCTION("IF(D889&lt;&gt;"""",SPLIT(D889,"" 
""),)"),"")</f>
        <v/>
      </c>
    </row>
    <row r="890">
      <c r="A890" s="96" t="str">
        <f t="shared" si="1"/>
        <v/>
      </c>
      <c r="B890" s="96" t="str">
        <f t="shared" si="2"/>
        <v/>
      </c>
      <c r="C890" s="174" t="str">
        <f t="shared" si="3"/>
        <v/>
      </c>
      <c r="D890" s="175"/>
      <c r="E890" s="93" t="str">
        <f>IFERROR(__xludf.DUMMYFUNCTION("IF(D890&lt;&gt;"""",SPLIT(D890,"" 
""),)"),"")</f>
        <v/>
      </c>
    </row>
    <row r="891">
      <c r="A891" s="96" t="str">
        <f t="shared" si="1"/>
        <v/>
      </c>
      <c r="B891" s="96" t="str">
        <f t="shared" si="2"/>
        <v/>
      </c>
      <c r="C891" s="174" t="str">
        <f t="shared" si="3"/>
        <v/>
      </c>
      <c r="D891" s="175"/>
      <c r="E891" s="93" t="str">
        <f>IFERROR(__xludf.DUMMYFUNCTION("IF(D891&lt;&gt;"""",SPLIT(D891,"" 
""),)"),"")</f>
        <v/>
      </c>
    </row>
    <row r="892">
      <c r="A892" s="96" t="str">
        <f t="shared" si="1"/>
        <v/>
      </c>
      <c r="B892" s="96" t="str">
        <f t="shared" si="2"/>
        <v/>
      </c>
      <c r="C892" s="174" t="str">
        <f t="shared" si="3"/>
        <v/>
      </c>
      <c r="D892" s="175"/>
      <c r="E892" s="93" t="str">
        <f>IFERROR(__xludf.DUMMYFUNCTION("IF(D892&lt;&gt;"""",SPLIT(D892,"" 
""),)"),"")</f>
        <v/>
      </c>
    </row>
    <row r="893">
      <c r="A893" s="96" t="str">
        <f t="shared" si="1"/>
        <v/>
      </c>
      <c r="B893" s="96" t="str">
        <f t="shared" si="2"/>
        <v/>
      </c>
      <c r="C893" s="174" t="str">
        <f t="shared" si="3"/>
        <v/>
      </c>
      <c r="D893" s="175"/>
      <c r="E893" s="93" t="str">
        <f>IFERROR(__xludf.DUMMYFUNCTION("IF(D893&lt;&gt;"""",SPLIT(D893,"" 
""),)"),"")</f>
        <v/>
      </c>
    </row>
    <row r="894">
      <c r="A894" s="96" t="str">
        <f t="shared" si="1"/>
        <v/>
      </c>
      <c r="B894" s="96" t="str">
        <f t="shared" si="2"/>
        <v/>
      </c>
      <c r="C894" s="174" t="str">
        <f t="shared" si="3"/>
        <v/>
      </c>
      <c r="D894" s="175"/>
      <c r="E894" s="93" t="str">
        <f>IFERROR(__xludf.DUMMYFUNCTION("IF(D894&lt;&gt;"""",SPLIT(D894,"" 
""),)"),"")</f>
        <v/>
      </c>
    </row>
    <row r="895">
      <c r="A895" s="96" t="str">
        <f t="shared" si="1"/>
        <v/>
      </c>
      <c r="B895" s="96" t="str">
        <f t="shared" si="2"/>
        <v/>
      </c>
      <c r="C895" s="174" t="str">
        <f t="shared" si="3"/>
        <v/>
      </c>
      <c r="D895" s="175"/>
      <c r="E895" s="93" t="str">
        <f>IFERROR(__xludf.DUMMYFUNCTION("IF(D895&lt;&gt;"""",SPLIT(D895,"" 
""),)"),"")</f>
        <v/>
      </c>
    </row>
    <row r="896">
      <c r="A896" s="96" t="str">
        <f t="shared" si="1"/>
        <v/>
      </c>
      <c r="B896" s="96" t="str">
        <f t="shared" si="2"/>
        <v/>
      </c>
      <c r="C896" s="174" t="str">
        <f t="shared" si="3"/>
        <v/>
      </c>
      <c r="D896" s="175"/>
      <c r="E896" s="93" t="str">
        <f>IFERROR(__xludf.DUMMYFUNCTION("IF(D896&lt;&gt;"""",SPLIT(D896,"" 
""),)"),"")</f>
        <v/>
      </c>
    </row>
    <row r="897">
      <c r="A897" s="96" t="str">
        <f t="shared" si="1"/>
        <v/>
      </c>
      <c r="B897" s="96" t="str">
        <f t="shared" si="2"/>
        <v/>
      </c>
      <c r="C897" s="174" t="str">
        <f t="shared" si="3"/>
        <v/>
      </c>
      <c r="D897" s="175"/>
      <c r="E897" s="93" t="str">
        <f>IFERROR(__xludf.DUMMYFUNCTION("IF(D897&lt;&gt;"""",SPLIT(D897,"" 
""),)"),"")</f>
        <v/>
      </c>
    </row>
    <row r="898">
      <c r="A898" s="96" t="str">
        <f t="shared" si="1"/>
        <v/>
      </c>
      <c r="B898" s="96" t="str">
        <f t="shared" si="2"/>
        <v/>
      </c>
      <c r="C898" s="174" t="str">
        <f t="shared" si="3"/>
        <v/>
      </c>
      <c r="D898" s="175"/>
      <c r="E898" s="93" t="str">
        <f>IFERROR(__xludf.DUMMYFUNCTION("IF(D898&lt;&gt;"""",SPLIT(D898,"" 
""),)"),"")</f>
        <v/>
      </c>
    </row>
    <row r="899">
      <c r="A899" s="96" t="str">
        <f t="shared" si="1"/>
        <v/>
      </c>
      <c r="B899" s="96" t="str">
        <f t="shared" si="2"/>
        <v/>
      </c>
      <c r="C899" s="174" t="str">
        <f t="shared" si="3"/>
        <v/>
      </c>
      <c r="D899" s="175"/>
      <c r="E899" s="93" t="str">
        <f>IFERROR(__xludf.DUMMYFUNCTION("IF(D899&lt;&gt;"""",SPLIT(D899,"" 
""),)"),"")</f>
        <v/>
      </c>
    </row>
    <row r="900">
      <c r="A900" s="96" t="str">
        <f t="shared" si="1"/>
        <v/>
      </c>
      <c r="B900" s="96" t="str">
        <f t="shared" si="2"/>
        <v/>
      </c>
      <c r="C900" s="174" t="str">
        <f t="shared" si="3"/>
        <v/>
      </c>
      <c r="D900" s="175"/>
      <c r="E900" s="93" t="str">
        <f>IFERROR(__xludf.DUMMYFUNCTION("IF(D900&lt;&gt;"""",SPLIT(D900,"" 
""),)"),"")</f>
        <v/>
      </c>
    </row>
    <row r="901">
      <c r="A901" s="96" t="str">
        <f t="shared" si="1"/>
        <v/>
      </c>
      <c r="B901" s="96" t="str">
        <f t="shared" si="2"/>
        <v/>
      </c>
      <c r="C901" s="174" t="str">
        <f t="shared" si="3"/>
        <v/>
      </c>
      <c r="D901" s="175"/>
      <c r="E901" s="93" t="str">
        <f>IFERROR(__xludf.DUMMYFUNCTION("IF(D901&lt;&gt;"""",SPLIT(D901,"" 
""),)"),"")</f>
        <v/>
      </c>
    </row>
    <row r="902">
      <c r="A902" s="96" t="str">
        <f t="shared" si="1"/>
        <v/>
      </c>
      <c r="B902" s="96" t="str">
        <f t="shared" si="2"/>
        <v/>
      </c>
      <c r="C902" s="174" t="str">
        <f t="shared" si="3"/>
        <v/>
      </c>
      <c r="D902" s="175"/>
      <c r="E902" s="93" t="str">
        <f>IFERROR(__xludf.DUMMYFUNCTION("IF(D902&lt;&gt;"""",SPLIT(D902,"" 
""),)"),"")</f>
        <v/>
      </c>
    </row>
    <row r="903">
      <c r="A903" s="96" t="str">
        <f t="shared" si="1"/>
        <v/>
      </c>
      <c r="B903" s="96" t="str">
        <f t="shared" si="2"/>
        <v/>
      </c>
      <c r="C903" s="174" t="str">
        <f t="shared" si="3"/>
        <v/>
      </c>
      <c r="D903" s="175"/>
      <c r="E903" s="93" t="str">
        <f>IFERROR(__xludf.DUMMYFUNCTION("IF(D903&lt;&gt;"""",SPLIT(D903,"" 
""),)"),"")</f>
        <v/>
      </c>
    </row>
    <row r="904">
      <c r="A904" s="96" t="str">
        <f t="shared" si="1"/>
        <v/>
      </c>
      <c r="B904" s="96" t="str">
        <f t="shared" si="2"/>
        <v/>
      </c>
      <c r="C904" s="174" t="str">
        <f t="shared" si="3"/>
        <v/>
      </c>
      <c r="D904" s="175"/>
      <c r="E904" s="93" t="str">
        <f>IFERROR(__xludf.DUMMYFUNCTION("IF(D904&lt;&gt;"""",SPLIT(D904,"" 
""),)"),"")</f>
        <v/>
      </c>
    </row>
    <row r="905">
      <c r="A905" s="96" t="str">
        <f t="shared" si="1"/>
        <v/>
      </c>
      <c r="B905" s="96" t="str">
        <f t="shared" si="2"/>
        <v/>
      </c>
      <c r="C905" s="174" t="str">
        <f t="shared" si="3"/>
        <v/>
      </c>
      <c r="D905" s="175"/>
      <c r="E905" s="93" t="str">
        <f>IFERROR(__xludf.DUMMYFUNCTION("IF(D905&lt;&gt;"""",SPLIT(D905,"" 
""),)"),"")</f>
        <v/>
      </c>
    </row>
    <row r="906">
      <c r="A906" s="96" t="str">
        <f t="shared" si="1"/>
        <v/>
      </c>
      <c r="B906" s="96" t="str">
        <f t="shared" si="2"/>
        <v/>
      </c>
      <c r="C906" s="174" t="str">
        <f t="shared" si="3"/>
        <v/>
      </c>
      <c r="D906" s="175"/>
      <c r="E906" s="93" t="str">
        <f>IFERROR(__xludf.DUMMYFUNCTION("IF(D906&lt;&gt;"""",SPLIT(D906,"" 
""),)"),"")</f>
        <v/>
      </c>
    </row>
    <row r="907">
      <c r="A907" s="96" t="str">
        <f t="shared" si="1"/>
        <v/>
      </c>
      <c r="B907" s="96" t="str">
        <f t="shared" si="2"/>
        <v/>
      </c>
      <c r="C907" s="174" t="str">
        <f t="shared" si="3"/>
        <v/>
      </c>
      <c r="D907" s="175"/>
      <c r="E907" s="93" t="str">
        <f>IFERROR(__xludf.DUMMYFUNCTION("IF(D907&lt;&gt;"""",SPLIT(D907,"" 
""),)"),"")</f>
        <v/>
      </c>
    </row>
    <row r="908">
      <c r="A908" s="96" t="str">
        <f t="shared" si="1"/>
        <v/>
      </c>
      <c r="B908" s="96" t="str">
        <f t="shared" si="2"/>
        <v/>
      </c>
      <c r="C908" s="174" t="str">
        <f t="shared" si="3"/>
        <v/>
      </c>
      <c r="D908" s="175"/>
      <c r="E908" s="93" t="str">
        <f>IFERROR(__xludf.DUMMYFUNCTION("IF(D908&lt;&gt;"""",SPLIT(D908,"" 
""),)"),"")</f>
        <v/>
      </c>
    </row>
    <row r="909">
      <c r="A909" s="96" t="str">
        <f t="shared" si="1"/>
        <v/>
      </c>
      <c r="B909" s="96" t="str">
        <f t="shared" si="2"/>
        <v/>
      </c>
      <c r="C909" s="174" t="str">
        <f t="shared" si="3"/>
        <v/>
      </c>
      <c r="D909" s="175"/>
      <c r="E909" s="93" t="str">
        <f>IFERROR(__xludf.DUMMYFUNCTION("IF(D909&lt;&gt;"""",SPLIT(D909,"" 
""),)"),"")</f>
        <v/>
      </c>
    </row>
    <row r="910">
      <c r="A910" s="96" t="str">
        <f t="shared" si="1"/>
        <v/>
      </c>
      <c r="B910" s="96" t="str">
        <f t="shared" si="2"/>
        <v/>
      </c>
      <c r="C910" s="174" t="str">
        <f t="shared" si="3"/>
        <v/>
      </c>
      <c r="D910" s="175"/>
      <c r="E910" s="93" t="str">
        <f>IFERROR(__xludf.DUMMYFUNCTION("IF(D910&lt;&gt;"""",SPLIT(D910,"" 
""),)"),"")</f>
        <v/>
      </c>
    </row>
    <row r="911">
      <c r="A911" s="96" t="str">
        <f t="shared" si="1"/>
        <v/>
      </c>
      <c r="B911" s="96" t="str">
        <f t="shared" si="2"/>
        <v/>
      </c>
      <c r="C911" s="174" t="str">
        <f t="shared" si="3"/>
        <v/>
      </c>
      <c r="D911" s="175"/>
      <c r="E911" s="93" t="str">
        <f>IFERROR(__xludf.DUMMYFUNCTION("IF(D911&lt;&gt;"""",SPLIT(D911,"" 
""),)"),"")</f>
        <v/>
      </c>
    </row>
    <row r="912">
      <c r="A912" s="96" t="str">
        <f t="shared" si="1"/>
        <v/>
      </c>
      <c r="B912" s="96" t="str">
        <f t="shared" si="2"/>
        <v/>
      </c>
      <c r="C912" s="174" t="str">
        <f t="shared" si="3"/>
        <v/>
      </c>
      <c r="D912" s="175"/>
      <c r="E912" s="93" t="str">
        <f>IFERROR(__xludf.DUMMYFUNCTION("IF(D912&lt;&gt;"""",SPLIT(D912,"" 
""),)"),"")</f>
        <v/>
      </c>
    </row>
    <row r="913">
      <c r="A913" s="96" t="str">
        <f t="shared" si="1"/>
        <v/>
      </c>
      <c r="B913" s="96" t="str">
        <f t="shared" si="2"/>
        <v/>
      </c>
      <c r="C913" s="174" t="str">
        <f t="shared" si="3"/>
        <v/>
      </c>
      <c r="D913" s="175"/>
      <c r="E913" s="93" t="str">
        <f>IFERROR(__xludf.DUMMYFUNCTION("IF(D913&lt;&gt;"""",SPLIT(D913,"" 
""),)"),"")</f>
        <v/>
      </c>
    </row>
    <row r="914">
      <c r="A914" s="96" t="str">
        <f t="shared" si="1"/>
        <v/>
      </c>
      <c r="B914" s="96" t="str">
        <f t="shared" si="2"/>
        <v/>
      </c>
      <c r="C914" s="174" t="str">
        <f t="shared" si="3"/>
        <v/>
      </c>
      <c r="D914" s="175"/>
      <c r="E914" s="93" t="str">
        <f>IFERROR(__xludf.DUMMYFUNCTION("IF(D914&lt;&gt;"""",SPLIT(D914,"" 
""),)"),"")</f>
        <v/>
      </c>
    </row>
    <row r="915">
      <c r="A915" s="96" t="str">
        <f t="shared" si="1"/>
        <v/>
      </c>
      <c r="B915" s="96" t="str">
        <f t="shared" si="2"/>
        <v/>
      </c>
      <c r="C915" s="174" t="str">
        <f t="shared" si="3"/>
        <v/>
      </c>
      <c r="D915" s="175"/>
      <c r="E915" s="93" t="str">
        <f>IFERROR(__xludf.DUMMYFUNCTION("IF(D915&lt;&gt;"""",SPLIT(D915,"" 
""),)"),"")</f>
        <v/>
      </c>
    </row>
    <row r="916">
      <c r="A916" s="96" t="str">
        <f t="shared" si="1"/>
        <v/>
      </c>
      <c r="B916" s="96" t="str">
        <f t="shared" si="2"/>
        <v/>
      </c>
      <c r="C916" s="174" t="str">
        <f t="shared" si="3"/>
        <v/>
      </c>
      <c r="D916" s="175"/>
      <c r="E916" s="93" t="str">
        <f>IFERROR(__xludf.DUMMYFUNCTION("IF(D916&lt;&gt;"""",SPLIT(D916,"" 
""),)"),"")</f>
        <v/>
      </c>
    </row>
    <row r="917">
      <c r="A917" s="96" t="str">
        <f t="shared" si="1"/>
        <v/>
      </c>
      <c r="B917" s="96" t="str">
        <f t="shared" si="2"/>
        <v/>
      </c>
      <c r="C917" s="174" t="str">
        <f t="shared" si="3"/>
        <v/>
      </c>
      <c r="D917" s="175"/>
      <c r="E917" s="93" t="str">
        <f>IFERROR(__xludf.DUMMYFUNCTION("IF(D917&lt;&gt;"""",SPLIT(D917,"" 
""),)"),"")</f>
        <v/>
      </c>
    </row>
    <row r="918">
      <c r="A918" s="96" t="str">
        <f t="shared" si="1"/>
        <v/>
      </c>
      <c r="B918" s="96" t="str">
        <f t="shared" si="2"/>
        <v/>
      </c>
      <c r="C918" s="174" t="str">
        <f t="shared" si="3"/>
        <v/>
      </c>
      <c r="D918" s="175"/>
      <c r="E918" s="93" t="str">
        <f>IFERROR(__xludf.DUMMYFUNCTION("IF(D918&lt;&gt;"""",SPLIT(D918,"" 
""),)"),"")</f>
        <v/>
      </c>
    </row>
    <row r="919">
      <c r="A919" s="96" t="str">
        <f t="shared" si="1"/>
        <v/>
      </c>
      <c r="B919" s="96" t="str">
        <f t="shared" si="2"/>
        <v/>
      </c>
      <c r="C919" s="174" t="str">
        <f t="shared" si="3"/>
        <v/>
      </c>
      <c r="D919" s="175"/>
      <c r="E919" s="93" t="str">
        <f>IFERROR(__xludf.DUMMYFUNCTION("IF(D919&lt;&gt;"""",SPLIT(D919,"" 
""),)"),"")</f>
        <v/>
      </c>
    </row>
    <row r="920">
      <c r="A920" s="96" t="str">
        <f t="shared" si="1"/>
        <v/>
      </c>
      <c r="B920" s="96" t="str">
        <f t="shared" si="2"/>
        <v/>
      </c>
      <c r="C920" s="174" t="str">
        <f t="shared" si="3"/>
        <v/>
      </c>
      <c r="D920" s="175"/>
      <c r="E920" s="93" t="str">
        <f>IFERROR(__xludf.DUMMYFUNCTION("IF(D920&lt;&gt;"""",SPLIT(D920,"" 
""),)"),"")</f>
        <v/>
      </c>
    </row>
    <row r="921">
      <c r="A921" s="96" t="str">
        <f t="shared" si="1"/>
        <v/>
      </c>
      <c r="B921" s="96" t="str">
        <f t="shared" si="2"/>
        <v/>
      </c>
      <c r="C921" s="174" t="str">
        <f t="shared" si="3"/>
        <v/>
      </c>
      <c r="D921" s="175"/>
      <c r="E921" s="93" t="str">
        <f>IFERROR(__xludf.DUMMYFUNCTION("IF(D921&lt;&gt;"""",SPLIT(D921,"" 
""),)"),"")</f>
        <v/>
      </c>
    </row>
    <row r="922">
      <c r="A922" s="96" t="str">
        <f t="shared" si="1"/>
        <v/>
      </c>
      <c r="B922" s="96" t="str">
        <f t="shared" si="2"/>
        <v/>
      </c>
      <c r="C922" s="174" t="str">
        <f t="shared" si="3"/>
        <v/>
      </c>
      <c r="D922" s="175"/>
      <c r="E922" s="93" t="str">
        <f>IFERROR(__xludf.DUMMYFUNCTION("IF(D922&lt;&gt;"""",SPLIT(D922,"" 
""),)"),"")</f>
        <v/>
      </c>
    </row>
    <row r="923">
      <c r="A923" s="96" t="str">
        <f t="shared" si="1"/>
        <v/>
      </c>
      <c r="B923" s="96" t="str">
        <f t="shared" si="2"/>
        <v/>
      </c>
      <c r="C923" s="174" t="str">
        <f t="shared" si="3"/>
        <v/>
      </c>
      <c r="D923" s="175"/>
      <c r="E923" s="93" t="str">
        <f>IFERROR(__xludf.DUMMYFUNCTION("IF(D923&lt;&gt;"""",SPLIT(D923,"" 
""),)"),"")</f>
        <v/>
      </c>
    </row>
    <row r="924">
      <c r="A924" s="96" t="str">
        <f t="shared" si="1"/>
        <v/>
      </c>
      <c r="B924" s="96" t="str">
        <f t="shared" si="2"/>
        <v/>
      </c>
      <c r="C924" s="174" t="str">
        <f t="shared" si="3"/>
        <v/>
      </c>
      <c r="D924" s="175"/>
      <c r="E924" s="93" t="str">
        <f>IFERROR(__xludf.DUMMYFUNCTION("IF(D924&lt;&gt;"""",SPLIT(D924,"" 
""),)"),"")</f>
        <v/>
      </c>
    </row>
    <row r="925">
      <c r="A925" s="96" t="str">
        <f t="shared" si="1"/>
        <v/>
      </c>
      <c r="B925" s="96" t="str">
        <f t="shared" si="2"/>
        <v/>
      </c>
      <c r="C925" s="174" t="str">
        <f t="shared" si="3"/>
        <v/>
      </c>
      <c r="D925" s="175"/>
      <c r="E925" s="93" t="str">
        <f>IFERROR(__xludf.DUMMYFUNCTION("IF(D925&lt;&gt;"""",SPLIT(D925,"" 
""),)"),"")</f>
        <v/>
      </c>
    </row>
    <row r="926">
      <c r="A926" s="96" t="str">
        <f t="shared" si="1"/>
        <v/>
      </c>
      <c r="B926" s="96" t="str">
        <f t="shared" si="2"/>
        <v/>
      </c>
      <c r="C926" s="174" t="str">
        <f t="shared" si="3"/>
        <v/>
      </c>
      <c r="D926" s="175"/>
      <c r="E926" s="93" t="str">
        <f>IFERROR(__xludf.DUMMYFUNCTION("IF(D926&lt;&gt;"""",SPLIT(D926,"" 
""),)"),"")</f>
        <v/>
      </c>
    </row>
    <row r="927">
      <c r="A927" s="96" t="str">
        <f t="shared" si="1"/>
        <v/>
      </c>
      <c r="B927" s="96" t="str">
        <f t="shared" si="2"/>
        <v/>
      </c>
      <c r="C927" s="174" t="str">
        <f t="shared" si="3"/>
        <v/>
      </c>
      <c r="D927" s="175"/>
      <c r="E927" s="93" t="str">
        <f>IFERROR(__xludf.DUMMYFUNCTION("IF(D927&lt;&gt;"""",SPLIT(D927,"" 
""),)"),"")</f>
        <v/>
      </c>
    </row>
    <row r="928">
      <c r="A928" s="96" t="str">
        <f t="shared" si="1"/>
        <v/>
      </c>
      <c r="B928" s="96" t="str">
        <f t="shared" si="2"/>
        <v/>
      </c>
      <c r="C928" s="174" t="str">
        <f t="shared" si="3"/>
        <v/>
      </c>
      <c r="D928" s="175"/>
      <c r="E928" s="93" t="str">
        <f>IFERROR(__xludf.DUMMYFUNCTION("IF(D928&lt;&gt;"""",SPLIT(D928,"" 
""),)"),"")</f>
        <v/>
      </c>
    </row>
    <row r="929">
      <c r="A929" s="96" t="str">
        <f t="shared" si="1"/>
        <v/>
      </c>
      <c r="B929" s="96" t="str">
        <f t="shared" si="2"/>
        <v/>
      </c>
      <c r="C929" s="174" t="str">
        <f t="shared" si="3"/>
        <v/>
      </c>
      <c r="D929" s="175"/>
      <c r="E929" s="93" t="str">
        <f>IFERROR(__xludf.DUMMYFUNCTION("IF(D929&lt;&gt;"""",SPLIT(D929,"" 
""),)"),"")</f>
        <v/>
      </c>
    </row>
    <row r="930">
      <c r="A930" s="96" t="str">
        <f t="shared" si="1"/>
        <v/>
      </c>
      <c r="B930" s="96" t="str">
        <f t="shared" si="2"/>
        <v/>
      </c>
      <c r="C930" s="174" t="str">
        <f t="shared" si="3"/>
        <v/>
      </c>
      <c r="D930" s="175"/>
      <c r="E930" s="93" t="str">
        <f>IFERROR(__xludf.DUMMYFUNCTION("IF(D930&lt;&gt;"""",SPLIT(D930,"" 
""),)"),"")</f>
        <v/>
      </c>
    </row>
    <row r="931">
      <c r="A931" s="96" t="str">
        <f t="shared" si="1"/>
        <v/>
      </c>
      <c r="B931" s="96" t="str">
        <f t="shared" si="2"/>
        <v/>
      </c>
      <c r="C931" s="174" t="str">
        <f t="shared" si="3"/>
        <v/>
      </c>
      <c r="D931" s="175"/>
      <c r="E931" s="93" t="str">
        <f>IFERROR(__xludf.DUMMYFUNCTION("IF(D931&lt;&gt;"""",SPLIT(D931,"" 
""),)"),"")</f>
        <v/>
      </c>
    </row>
    <row r="932">
      <c r="A932" s="96" t="str">
        <f t="shared" si="1"/>
        <v/>
      </c>
      <c r="B932" s="96" t="str">
        <f t="shared" si="2"/>
        <v/>
      </c>
      <c r="C932" s="174" t="str">
        <f t="shared" si="3"/>
        <v/>
      </c>
      <c r="D932" s="175"/>
      <c r="E932" s="93" t="str">
        <f>IFERROR(__xludf.DUMMYFUNCTION("IF(D932&lt;&gt;"""",SPLIT(D932,"" 
""),)"),"")</f>
        <v/>
      </c>
    </row>
    <row r="933">
      <c r="A933" s="96" t="str">
        <f t="shared" si="1"/>
        <v/>
      </c>
      <c r="B933" s="96" t="str">
        <f t="shared" si="2"/>
        <v/>
      </c>
      <c r="C933" s="174" t="str">
        <f t="shared" si="3"/>
        <v/>
      </c>
      <c r="D933" s="175"/>
      <c r="E933" s="93" t="str">
        <f>IFERROR(__xludf.DUMMYFUNCTION("IF(D933&lt;&gt;"""",SPLIT(D933,"" 
""),)"),"")</f>
        <v/>
      </c>
    </row>
    <row r="934">
      <c r="A934" s="96" t="str">
        <f t="shared" si="1"/>
        <v/>
      </c>
      <c r="B934" s="96" t="str">
        <f t="shared" si="2"/>
        <v/>
      </c>
      <c r="C934" s="174" t="str">
        <f t="shared" si="3"/>
        <v/>
      </c>
      <c r="D934" s="175"/>
      <c r="E934" s="93" t="str">
        <f>IFERROR(__xludf.DUMMYFUNCTION("IF(D934&lt;&gt;"""",SPLIT(D934,"" 
""),)"),"")</f>
        <v/>
      </c>
    </row>
    <row r="935">
      <c r="A935" s="96" t="str">
        <f t="shared" si="1"/>
        <v/>
      </c>
      <c r="B935" s="96" t="str">
        <f t="shared" si="2"/>
        <v/>
      </c>
      <c r="C935" s="174" t="str">
        <f t="shared" si="3"/>
        <v/>
      </c>
      <c r="D935" s="175"/>
      <c r="E935" s="93" t="str">
        <f>IFERROR(__xludf.DUMMYFUNCTION("IF(D935&lt;&gt;"""",SPLIT(D935,"" 
""),)"),"")</f>
        <v/>
      </c>
    </row>
    <row r="936">
      <c r="A936" s="96" t="str">
        <f t="shared" si="1"/>
        <v/>
      </c>
      <c r="B936" s="96" t="str">
        <f t="shared" si="2"/>
        <v/>
      </c>
      <c r="C936" s="174" t="str">
        <f t="shared" si="3"/>
        <v/>
      </c>
      <c r="D936" s="175"/>
      <c r="E936" s="93" t="str">
        <f>IFERROR(__xludf.DUMMYFUNCTION("IF(D936&lt;&gt;"""",SPLIT(D936,"" 
""),)"),"")</f>
        <v/>
      </c>
    </row>
    <row r="937">
      <c r="A937" s="96" t="str">
        <f t="shared" si="1"/>
        <v/>
      </c>
      <c r="B937" s="96" t="str">
        <f t="shared" si="2"/>
        <v/>
      </c>
      <c r="C937" s="174" t="str">
        <f t="shared" si="3"/>
        <v/>
      </c>
      <c r="D937" s="175"/>
      <c r="E937" s="93" t="str">
        <f>IFERROR(__xludf.DUMMYFUNCTION("IF(D937&lt;&gt;"""",SPLIT(D937,"" 
""),)"),"")</f>
        <v/>
      </c>
    </row>
    <row r="938">
      <c r="A938" s="96" t="str">
        <f t="shared" si="1"/>
        <v/>
      </c>
      <c r="B938" s="96" t="str">
        <f t="shared" si="2"/>
        <v/>
      </c>
      <c r="C938" s="174" t="str">
        <f t="shared" si="3"/>
        <v/>
      </c>
      <c r="D938" s="175"/>
      <c r="E938" s="93" t="str">
        <f>IFERROR(__xludf.DUMMYFUNCTION("IF(D938&lt;&gt;"""",SPLIT(D938,"" 
""),)"),"")</f>
        <v/>
      </c>
    </row>
    <row r="939">
      <c r="A939" s="96" t="str">
        <f t="shared" si="1"/>
        <v/>
      </c>
      <c r="B939" s="96" t="str">
        <f t="shared" si="2"/>
        <v/>
      </c>
      <c r="C939" s="174" t="str">
        <f t="shared" si="3"/>
        <v/>
      </c>
      <c r="D939" s="175"/>
      <c r="E939" s="93" t="str">
        <f>IFERROR(__xludf.DUMMYFUNCTION("IF(D939&lt;&gt;"""",SPLIT(D939,"" 
""),)"),"")</f>
        <v/>
      </c>
    </row>
    <row r="940">
      <c r="A940" s="96" t="str">
        <f t="shared" si="1"/>
        <v/>
      </c>
      <c r="B940" s="96" t="str">
        <f t="shared" si="2"/>
        <v/>
      </c>
      <c r="C940" s="174" t="str">
        <f t="shared" si="3"/>
        <v/>
      </c>
      <c r="D940" s="175"/>
      <c r="E940" s="93" t="str">
        <f>IFERROR(__xludf.DUMMYFUNCTION("IF(D940&lt;&gt;"""",SPLIT(D940,"" 
""),)"),"")</f>
        <v/>
      </c>
    </row>
    <row r="941">
      <c r="A941" s="96" t="str">
        <f t="shared" si="1"/>
        <v/>
      </c>
      <c r="B941" s="96" t="str">
        <f t="shared" si="2"/>
        <v/>
      </c>
      <c r="C941" s="174" t="str">
        <f t="shared" si="3"/>
        <v/>
      </c>
      <c r="D941" s="175"/>
      <c r="E941" s="93" t="str">
        <f>IFERROR(__xludf.DUMMYFUNCTION("IF(D941&lt;&gt;"""",SPLIT(D941,"" 
""),)"),"")</f>
        <v/>
      </c>
    </row>
    <row r="942">
      <c r="A942" s="96" t="str">
        <f t="shared" si="1"/>
        <v/>
      </c>
      <c r="B942" s="96" t="str">
        <f t="shared" si="2"/>
        <v/>
      </c>
      <c r="C942" s="174" t="str">
        <f t="shared" si="3"/>
        <v/>
      </c>
      <c r="D942" s="175"/>
      <c r="E942" s="93" t="str">
        <f>IFERROR(__xludf.DUMMYFUNCTION("IF(D942&lt;&gt;"""",SPLIT(D942,"" 
""),)"),"")</f>
        <v/>
      </c>
    </row>
    <row r="943">
      <c r="A943" s="96" t="str">
        <f t="shared" si="1"/>
        <v/>
      </c>
      <c r="B943" s="96" t="str">
        <f t="shared" si="2"/>
        <v/>
      </c>
      <c r="C943" s="174" t="str">
        <f t="shared" si="3"/>
        <v/>
      </c>
      <c r="D943" s="175"/>
      <c r="E943" s="93" t="str">
        <f>IFERROR(__xludf.DUMMYFUNCTION("IF(D943&lt;&gt;"""",SPLIT(D943,"" 
""),)"),"")</f>
        <v/>
      </c>
    </row>
    <row r="944">
      <c r="A944" s="96" t="str">
        <f t="shared" si="1"/>
        <v/>
      </c>
      <c r="B944" s="96" t="str">
        <f t="shared" si="2"/>
        <v/>
      </c>
      <c r="C944" s="174" t="str">
        <f t="shared" si="3"/>
        <v/>
      </c>
      <c r="D944" s="175"/>
      <c r="E944" s="93" t="str">
        <f>IFERROR(__xludf.DUMMYFUNCTION("IF(D944&lt;&gt;"""",SPLIT(D944,"" 
""),)"),"")</f>
        <v/>
      </c>
    </row>
    <row r="945">
      <c r="A945" s="96" t="str">
        <f t="shared" si="1"/>
        <v/>
      </c>
      <c r="B945" s="96" t="str">
        <f t="shared" si="2"/>
        <v/>
      </c>
      <c r="C945" s="174" t="str">
        <f t="shared" si="3"/>
        <v/>
      </c>
      <c r="D945" s="175"/>
      <c r="E945" s="93" t="str">
        <f>IFERROR(__xludf.DUMMYFUNCTION("IF(D945&lt;&gt;"""",SPLIT(D945,"" 
""),)"),"")</f>
        <v/>
      </c>
    </row>
    <row r="946">
      <c r="A946" s="96" t="str">
        <f t="shared" si="1"/>
        <v/>
      </c>
      <c r="B946" s="96" t="str">
        <f t="shared" si="2"/>
        <v/>
      </c>
      <c r="C946" s="174" t="str">
        <f t="shared" si="3"/>
        <v/>
      </c>
      <c r="D946" s="175"/>
      <c r="E946" s="93" t="str">
        <f>IFERROR(__xludf.DUMMYFUNCTION("IF(D946&lt;&gt;"""",SPLIT(D946,"" 
""),)"),"")</f>
        <v/>
      </c>
    </row>
    <row r="947">
      <c r="A947" s="96" t="str">
        <f t="shared" si="1"/>
        <v/>
      </c>
      <c r="B947" s="96" t="str">
        <f t="shared" si="2"/>
        <v/>
      </c>
      <c r="C947" s="174" t="str">
        <f t="shared" si="3"/>
        <v/>
      </c>
      <c r="D947" s="175"/>
      <c r="E947" s="93" t="str">
        <f>IFERROR(__xludf.DUMMYFUNCTION("IF(D947&lt;&gt;"""",SPLIT(D947,"" 
""),)"),"")</f>
        <v/>
      </c>
    </row>
    <row r="948">
      <c r="A948" s="96" t="str">
        <f t="shared" si="1"/>
        <v/>
      </c>
      <c r="B948" s="96" t="str">
        <f t="shared" si="2"/>
        <v/>
      </c>
      <c r="C948" s="174" t="str">
        <f t="shared" si="3"/>
        <v/>
      </c>
      <c r="D948" s="175"/>
      <c r="E948" s="93" t="str">
        <f>IFERROR(__xludf.DUMMYFUNCTION("IF(D948&lt;&gt;"""",SPLIT(D948,"" 
""),)"),"")</f>
        <v/>
      </c>
    </row>
    <row r="949">
      <c r="A949" s="96" t="str">
        <f t="shared" si="1"/>
        <v/>
      </c>
      <c r="B949" s="96" t="str">
        <f t="shared" si="2"/>
        <v/>
      </c>
      <c r="C949" s="174" t="str">
        <f t="shared" si="3"/>
        <v/>
      </c>
      <c r="D949" s="175"/>
      <c r="E949" s="93" t="str">
        <f>IFERROR(__xludf.DUMMYFUNCTION("IF(D949&lt;&gt;"""",SPLIT(D949,"" 
""),)"),"")</f>
        <v/>
      </c>
    </row>
    <row r="950">
      <c r="A950" s="96" t="str">
        <f t="shared" si="1"/>
        <v/>
      </c>
      <c r="B950" s="96" t="str">
        <f t="shared" si="2"/>
        <v/>
      </c>
      <c r="C950" s="174" t="str">
        <f t="shared" si="3"/>
        <v/>
      </c>
      <c r="D950" s="175"/>
      <c r="E950" s="93" t="str">
        <f>IFERROR(__xludf.DUMMYFUNCTION("IF(D950&lt;&gt;"""",SPLIT(D950,"" 
""),)"),"")</f>
        <v/>
      </c>
    </row>
    <row r="951">
      <c r="A951" s="96" t="str">
        <f t="shared" si="1"/>
        <v/>
      </c>
      <c r="B951" s="96" t="str">
        <f t="shared" si="2"/>
        <v/>
      </c>
      <c r="C951" s="174" t="str">
        <f t="shared" si="3"/>
        <v/>
      </c>
      <c r="D951" s="175"/>
      <c r="E951" s="93" t="str">
        <f>IFERROR(__xludf.DUMMYFUNCTION("IF(D951&lt;&gt;"""",SPLIT(D951,"" 
""),)"),"")</f>
        <v/>
      </c>
    </row>
    <row r="952">
      <c r="A952" s="96" t="str">
        <f t="shared" si="1"/>
        <v/>
      </c>
      <c r="B952" s="96" t="str">
        <f t="shared" si="2"/>
        <v/>
      </c>
      <c r="C952" s="174" t="str">
        <f t="shared" si="3"/>
        <v/>
      </c>
      <c r="D952" s="175"/>
      <c r="E952" s="93" t="str">
        <f>IFERROR(__xludf.DUMMYFUNCTION("IF(D952&lt;&gt;"""",SPLIT(D952,"" 
""),)"),"")</f>
        <v/>
      </c>
    </row>
    <row r="953">
      <c r="A953" s="96" t="str">
        <f t="shared" si="1"/>
        <v/>
      </c>
      <c r="B953" s="96" t="str">
        <f t="shared" si="2"/>
        <v/>
      </c>
      <c r="C953" s="174" t="str">
        <f t="shared" si="3"/>
        <v/>
      </c>
      <c r="D953" s="175"/>
      <c r="E953" s="93" t="str">
        <f>IFERROR(__xludf.DUMMYFUNCTION("IF(D953&lt;&gt;"""",SPLIT(D953,"" 
""),)"),"")</f>
        <v/>
      </c>
    </row>
    <row r="954">
      <c r="A954" s="96" t="str">
        <f t="shared" si="1"/>
        <v/>
      </c>
      <c r="B954" s="96" t="str">
        <f t="shared" si="2"/>
        <v/>
      </c>
      <c r="C954" s="174" t="str">
        <f t="shared" si="3"/>
        <v/>
      </c>
      <c r="D954" s="175"/>
      <c r="E954" s="93" t="str">
        <f>IFERROR(__xludf.DUMMYFUNCTION("IF(D954&lt;&gt;"""",SPLIT(D954,"" 
""),)"),"")</f>
        <v/>
      </c>
    </row>
    <row r="955">
      <c r="A955" s="96" t="str">
        <f t="shared" si="1"/>
        <v/>
      </c>
      <c r="B955" s="96" t="str">
        <f t="shared" si="2"/>
        <v/>
      </c>
      <c r="C955" s="174" t="str">
        <f t="shared" si="3"/>
        <v/>
      </c>
      <c r="D955" s="175"/>
      <c r="E955" s="93" t="str">
        <f>IFERROR(__xludf.DUMMYFUNCTION("IF(D955&lt;&gt;"""",SPLIT(D955,"" 
""),)"),"")</f>
        <v/>
      </c>
    </row>
    <row r="956">
      <c r="A956" s="96" t="str">
        <f t="shared" si="1"/>
        <v/>
      </c>
      <c r="B956" s="96" t="str">
        <f t="shared" si="2"/>
        <v/>
      </c>
      <c r="C956" s="174" t="str">
        <f t="shared" si="3"/>
        <v/>
      </c>
      <c r="D956" s="175"/>
      <c r="E956" s="93" t="str">
        <f>IFERROR(__xludf.DUMMYFUNCTION("IF(D956&lt;&gt;"""",SPLIT(D956,"" 
""),)"),"")</f>
        <v/>
      </c>
    </row>
    <row r="957">
      <c r="A957" s="96" t="str">
        <f t="shared" si="1"/>
        <v/>
      </c>
      <c r="B957" s="96" t="str">
        <f t="shared" si="2"/>
        <v/>
      </c>
      <c r="C957" s="174" t="str">
        <f t="shared" si="3"/>
        <v/>
      </c>
      <c r="D957" s="175"/>
      <c r="E957" s="93" t="str">
        <f>IFERROR(__xludf.DUMMYFUNCTION("IF(D957&lt;&gt;"""",SPLIT(D957,"" 
""),)"),"")</f>
        <v/>
      </c>
    </row>
    <row r="958">
      <c r="A958" s="96" t="str">
        <f t="shared" si="1"/>
        <v/>
      </c>
      <c r="B958" s="96" t="str">
        <f t="shared" si="2"/>
        <v/>
      </c>
      <c r="C958" s="174" t="str">
        <f t="shared" si="3"/>
        <v/>
      </c>
      <c r="D958" s="175"/>
      <c r="E958" s="93" t="str">
        <f>IFERROR(__xludf.DUMMYFUNCTION("IF(D958&lt;&gt;"""",SPLIT(D958,"" 
""),)"),"")</f>
        <v/>
      </c>
    </row>
    <row r="959">
      <c r="A959" s="96" t="str">
        <f t="shared" si="1"/>
        <v/>
      </c>
      <c r="B959" s="96" t="str">
        <f t="shared" si="2"/>
        <v/>
      </c>
      <c r="C959" s="174" t="str">
        <f t="shared" si="3"/>
        <v/>
      </c>
      <c r="D959" s="175"/>
      <c r="E959" s="93" t="str">
        <f>IFERROR(__xludf.DUMMYFUNCTION("IF(D959&lt;&gt;"""",SPLIT(D959,"" 
""),)"),"")</f>
        <v/>
      </c>
    </row>
    <row r="960">
      <c r="A960" s="96" t="str">
        <f t="shared" si="1"/>
        <v/>
      </c>
      <c r="B960" s="96" t="str">
        <f t="shared" si="2"/>
        <v/>
      </c>
      <c r="C960" s="174" t="str">
        <f t="shared" si="3"/>
        <v/>
      </c>
      <c r="D960" s="175"/>
      <c r="E960" s="93" t="str">
        <f>IFERROR(__xludf.DUMMYFUNCTION("IF(D960&lt;&gt;"""",SPLIT(D960,"" 
""),)"),"")</f>
        <v/>
      </c>
    </row>
    <row r="961">
      <c r="A961" s="96" t="str">
        <f t="shared" si="1"/>
        <v/>
      </c>
      <c r="B961" s="96" t="str">
        <f t="shared" si="2"/>
        <v/>
      </c>
      <c r="C961" s="174" t="str">
        <f t="shared" si="3"/>
        <v/>
      </c>
      <c r="D961" s="175"/>
      <c r="E961" s="93" t="str">
        <f>IFERROR(__xludf.DUMMYFUNCTION("IF(D961&lt;&gt;"""",SPLIT(D961,"" 
""),)"),"")</f>
        <v/>
      </c>
    </row>
    <row r="962">
      <c r="A962" s="96" t="str">
        <f t="shared" si="1"/>
        <v/>
      </c>
      <c r="B962" s="96" t="str">
        <f t="shared" si="2"/>
        <v/>
      </c>
      <c r="C962" s="174" t="str">
        <f t="shared" si="3"/>
        <v/>
      </c>
      <c r="D962" s="175"/>
      <c r="E962" s="93" t="str">
        <f>IFERROR(__xludf.DUMMYFUNCTION("IF(D962&lt;&gt;"""",SPLIT(D962,"" 
""),)"),"")</f>
        <v/>
      </c>
    </row>
    <row r="963">
      <c r="A963" s="96" t="str">
        <f t="shared" si="1"/>
        <v/>
      </c>
      <c r="B963" s="96" t="str">
        <f t="shared" si="2"/>
        <v/>
      </c>
      <c r="C963" s="174" t="str">
        <f t="shared" si="3"/>
        <v/>
      </c>
      <c r="D963" s="175"/>
      <c r="E963" s="93" t="str">
        <f>IFERROR(__xludf.DUMMYFUNCTION("IF(D963&lt;&gt;"""",SPLIT(D963,"" 
""),)"),"")</f>
        <v/>
      </c>
    </row>
    <row r="964">
      <c r="A964" s="96" t="str">
        <f t="shared" si="1"/>
        <v/>
      </c>
      <c r="B964" s="96" t="str">
        <f t="shared" si="2"/>
        <v/>
      </c>
      <c r="C964" s="174" t="str">
        <f t="shared" si="3"/>
        <v/>
      </c>
      <c r="D964" s="175"/>
      <c r="E964" s="93" t="str">
        <f>IFERROR(__xludf.DUMMYFUNCTION("IF(D964&lt;&gt;"""",SPLIT(D964,"" 
""),)"),"")</f>
        <v/>
      </c>
    </row>
    <row r="965">
      <c r="A965" s="96" t="str">
        <f t="shared" si="1"/>
        <v/>
      </c>
      <c r="B965" s="96" t="str">
        <f t="shared" si="2"/>
        <v/>
      </c>
      <c r="C965" s="174" t="str">
        <f t="shared" si="3"/>
        <v/>
      </c>
      <c r="D965" s="175"/>
      <c r="E965" s="93" t="str">
        <f>IFERROR(__xludf.DUMMYFUNCTION("IF(D965&lt;&gt;"""",SPLIT(D965,"" 
""),)"),"")</f>
        <v/>
      </c>
    </row>
    <row r="966">
      <c r="A966" s="96" t="str">
        <f t="shared" si="1"/>
        <v/>
      </c>
      <c r="B966" s="96" t="str">
        <f t="shared" si="2"/>
        <v/>
      </c>
      <c r="C966" s="174" t="str">
        <f t="shared" si="3"/>
        <v/>
      </c>
      <c r="D966" s="175"/>
      <c r="E966" s="93" t="str">
        <f>IFERROR(__xludf.DUMMYFUNCTION("IF(D966&lt;&gt;"""",SPLIT(D966,"" 
""),)"),"")</f>
        <v/>
      </c>
    </row>
    <row r="967">
      <c r="A967" s="96" t="str">
        <f t="shared" si="1"/>
        <v/>
      </c>
      <c r="B967" s="96" t="str">
        <f t="shared" si="2"/>
        <v/>
      </c>
      <c r="C967" s="174" t="str">
        <f t="shared" si="3"/>
        <v/>
      </c>
      <c r="D967" s="175"/>
      <c r="E967" s="93" t="str">
        <f>IFERROR(__xludf.DUMMYFUNCTION("IF(D967&lt;&gt;"""",SPLIT(D967,"" 
""),)"),"")</f>
        <v/>
      </c>
    </row>
    <row r="968">
      <c r="A968" s="96" t="str">
        <f t="shared" si="1"/>
        <v/>
      </c>
      <c r="B968" s="96" t="str">
        <f t="shared" si="2"/>
        <v/>
      </c>
      <c r="C968" s="174" t="str">
        <f t="shared" si="3"/>
        <v/>
      </c>
      <c r="D968" s="175"/>
      <c r="E968" s="93" t="str">
        <f>IFERROR(__xludf.DUMMYFUNCTION("IF(D968&lt;&gt;"""",SPLIT(D968,"" 
""),)"),"")</f>
        <v/>
      </c>
    </row>
    <row r="969">
      <c r="A969" s="96" t="str">
        <f t="shared" si="1"/>
        <v/>
      </c>
      <c r="B969" s="96" t="str">
        <f t="shared" si="2"/>
        <v/>
      </c>
      <c r="C969" s="174" t="str">
        <f t="shared" si="3"/>
        <v/>
      </c>
      <c r="D969" s="175"/>
      <c r="E969" s="93" t="str">
        <f>IFERROR(__xludf.DUMMYFUNCTION("IF(D969&lt;&gt;"""",SPLIT(D969,"" 
""),)"),"")</f>
        <v/>
      </c>
    </row>
    <row r="970">
      <c r="A970" s="96" t="str">
        <f t="shared" si="1"/>
        <v/>
      </c>
      <c r="B970" s="96" t="str">
        <f t="shared" si="2"/>
        <v/>
      </c>
      <c r="C970" s="174" t="str">
        <f t="shared" si="3"/>
        <v/>
      </c>
      <c r="D970" s="175"/>
      <c r="E970" s="93" t="str">
        <f>IFERROR(__xludf.DUMMYFUNCTION("IF(D970&lt;&gt;"""",SPLIT(D970,"" 
""),)"),"")</f>
        <v/>
      </c>
    </row>
    <row r="971">
      <c r="A971" s="96" t="str">
        <f t="shared" si="1"/>
        <v/>
      </c>
      <c r="B971" s="96" t="str">
        <f t="shared" si="2"/>
        <v/>
      </c>
      <c r="C971" s="174" t="str">
        <f t="shared" si="3"/>
        <v/>
      </c>
      <c r="D971" s="175"/>
      <c r="E971" s="93" t="str">
        <f>IFERROR(__xludf.DUMMYFUNCTION("IF(D971&lt;&gt;"""",SPLIT(D971,"" 
""),)"),"")</f>
        <v/>
      </c>
    </row>
    <row r="972">
      <c r="A972" s="96" t="str">
        <f t="shared" si="1"/>
        <v/>
      </c>
      <c r="B972" s="96" t="str">
        <f t="shared" si="2"/>
        <v/>
      </c>
      <c r="C972" s="174" t="str">
        <f t="shared" si="3"/>
        <v/>
      </c>
      <c r="D972" s="175"/>
      <c r="E972" s="93" t="str">
        <f>IFERROR(__xludf.DUMMYFUNCTION("IF(D972&lt;&gt;"""",SPLIT(D972,"" 
""),)"),"")</f>
        <v/>
      </c>
    </row>
    <row r="973">
      <c r="A973" s="96" t="str">
        <f t="shared" si="1"/>
        <v/>
      </c>
      <c r="B973" s="96" t="str">
        <f t="shared" si="2"/>
        <v/>
      </c>
      <c r="C973" s="174" t="str">
        <f t="shared" si="3"/>
        <v/>
      </c>
      <c r="D973" s="175"/>
      <c r="E973" s="93" t="str">
        <f>IFERROR(__xludf.DUMMYFUNCTION("IF(D973&lt;&gt;"""",SPLIT(D973,"" 
""),)"),"")</f>
        <v/>
      </c>
    </row>
    <row r="974">
      <c r="A974" s="96" t="str">
        <f t="shared" si="1"/>
        <v/>
      </c>
      <c r="B974" s="96" t="str">
        <f t="shared" si="2"/>
        <v/>
      </c>
      <c r="C974" s="174" t="str">
        <f t="shared" si="3"/>
        <v/>
      </c>
      <c r="D974" s="175"/>
      <c r="E974" s="93" t="str">
        <f>IFERROR(__xludf.DUMMYFUNCTION("IF(D974&lt;&gt;"""",SPLIT(D974,"" 
""),)"),"")</f>
        <v/>
      </c>
    </row>
    <row r="975">
      <c r="A975" s="96" t="str">
        <f t="shared" si="1"/>
        <v/>
      </c>
      <c r="B975" s="96" t="str">
        <f t="shared" si="2"/>
        <v/>
      </c>
      <c r="C975" s="174" t="str">
        <f t="shared" si="3"/>
        <v/>
      </c>
      <c r="D975" s="175"/>
      <c r="E975" s="93" t="str">
        <f>IFERROR(__xludf.DUMMYFUNCTION("IF(D975&lt;&gt;"""",SPLIT(D975,"" 
""),)"),"")</f>
        <v/>
      </c>
    </row>
    <row r="976">
      <c r="A976" s="96" t="str">
        <f t="shared" si="1"/>
        <v/>
      </c>
      <c r="B976" s="96" t="str">
        <f t="shared" si="2"/>
        <v/>
      </c>
      <c r="C976" s="174" t="str">
        <f t="shared" si="3"/>
        <v/>
      </c>
      <c r="D976" s="175"/>
      <c r="E976" s="93" t="str">
        <f>IFERROR(__xludf.DUMMYFUNCTION("IF(D976&lt;&gt;"""",SPLIT(D976,"" 
""),)"),"")</f>
        <v/>
      </c>
    </row>
    <row r="977">
      <c r="A977" s="96" t="str">
        <f t="shared" si="1"/>
        <v/>
      </c>
      <c r="B977" s="96" t="str">
        <f t="shared" si="2"/>
        <v/>
      </c>
      <c r="C977" s="174" t="str">
        <f t="shared" si="3"/>
        <v/>
      </c>
      <c r="D977" s="175"/>
      <c r="E977" s="93" t="str">
        <f>IFERROR(__xludf.DUMMYFUNCTION("IF(D977&lt;&gt;"""",SPLIT(D977,"" 
""),)"),"")</f>
        <v/>
      </c>
    </row>
    <row r="978">
      <c r="A978" s="96" t="str">
        <f t="shared" si="1"/>
        <v/>
      </c>
      <c r="B978" s="96" t="str">
        <f t="shared" si="2"/>
        <v/>
      </c>
      <c r="C978" s="174" t="str">
        <f t="shared" si="3"/>
        <v/>
      </c>
      <c r="D978" s="175"/>
      <c r="E978" s="93" t="str">
        <f>IFERROR(__xludf.DUMMYFUNCTION("IF(D978&lt;&gt;"""",SPLIT(D978,"" 
""),)"),"")</f>
        <v/>
      </c>
    </row>
    <row r="979">
      <c r="A979" s="96" t="str">
        <f t="shared" si="1"/>
        <v/>
      </c>
      <c r="B979" s="96" t="str">
        <f t="shared" si="2"/>
        <v/>
      </c>
      <c r="C979" s="174" t="str">
        <f t="shared" si="3"/>
        <v/>
      </c>
      <c r="D979" s="175"/>
      <c r="E979" s="93" t="str">
        <f>IFERROR(__xludf.DUMMYFUNCTION("IF(D979&lt;&gt;"""",SPLIT(D979,"" 
""),)"),"")</f>
        <v/>
      </c>
    </row>
    <row r="980">
      <c r="A980" s="96" t="str">
        <f t="shared" si="1"/>
        <v/>
      </c>
      <c r="B980" s="96" t="str">
        <f t="shared" si="2"/>
        <v/>
      </c>
      <c r="C980" s="174" t="str">
        <f t="shared" si="3"/>
        <v/>
      </c>
      <c r="D980" s="175"/>
      <c r="E980" s="93" t="str">
        <f>IFERROR(__xludf.DUMMYFUNCTION("IF(D980&lt;&gt;"""",SPLIT(D980,"" 
""),)"),"")</f>
        <v/>
      </c>
    </row>
    <row r="981">
      <c r="A981" s="96" t="str">
        <f t="shared" si="1"/>
        <v/>
      </c>
      <c r="B981" s="96" t="str">
        <f t="shared" si="2"/>
        <v/>
      </c>
      <c r="C981" s="174" t="str">
        <f t="shared" si="3"/>
        <v/>
      </c>
      <c r="D981" s="175"/>
      <c r="E981" s="93" t="str">
        <f>IFERROR(__xludf.DUMMYFUNCTION("IF(D981&lt;&gt;"""",SPLIT(D981,"" 
""),)"),"")</f>
        <v/>
      </c>
    </row>
    <row r="982">
      <c r="A982" s="96" t="str">
        <f t="shared" si="1"/>
        <v/>
      </c>
      <c r="B982" s="96" t="str">
        <f t="shared" si="2"/>
        <v/>
      </c>
      <c r="C982" s="174" t="str">
        <f t="shared" si="3"/>
        <v/>
      </c>
      <c r="D982" s="175"/>
      <c r="E982" s="93" t="str">
        <f>IFERROR(__xludf.DUMMYFUNCTION("IF(D982&lt;&gt;"""",SPLIT(D982,"" 
""),)"),"")</f>
        <v/>
      </c>
    </row>
    <row r="983">
      <c r="A983" s="96" t="str">
        <f t="shared" si="1"/>
        <v/>
      </c>
      <c r="B983" s="96" t="str">
        <f t="shared" si="2"/>
        <v/>
      </c>
      <c r="C983" s="174" t="str">
        <f t="shared" si="3"/>
        <v/>
      </c>
      <c r="D983" s="175"/>
      <c r="E983" s="93" t="str">
        <f>IFERROR(__xludf.DUMMYFUNCTION("IF(D983&lt;&gt;"""",SPLIT(D983,"" 
""),)"),"")</f>
        <v/>
      </c>
    </row>
    <row r="984">
      <c r="A984" s="96" t="str">
        <f t="shared" si="1"/>
        <v/>
      </c>
      <c r="B984" s="96" t="str">
        <f t="shared" si="2"/>
        <v/>
      </c>
      <c r="C984" s="174" t="str">
        <f t="shared" si="3"/>
        <v/>
      </c>
      <c r="D984" s="175"/>
      <c r="E984" s="93" t="str">
        <f>IFERROR(__xludf.DUMMYFUNCTION("IF(D984&lt;&gt;"""",SPLIT(D984,"" 
""),)"),"")</f>
        <v/>
      </c>
    </row>
    <row r="985">
      <c r="A985" s="96" t="str">
        <f t="shared" si="1"/>
        <v/>
      </c>
      <c r="B985" s="96" t="str">
        <f t="shared" si="2"/>
        <v/>
      </c>
      <c r="C985" s="174" t="str">
        <f t="shared" si="3"/>
        <v/>
      </c>
      <c r="D985" s="175"/>
      <c r="E985" s="93" t="str">
        <f>IFERROR(__xludf.DUMMYFUNCTION("IF(D985&lt;&gt;"""",SPLIT(D985,"" 
""),)"),"")</f>
        <v/>
      </c>
    </row>
    <row r="986">
      <c r="A986" s="96" t="str">
        <f t="shared" si="1"/>
        <v/>
      </c>
      <c r="B986" s="96" t="str">
        <f t="shared" si="2"/>
        <v/>
      </c>
      <c r="C986" s="174" t="str">
        <f t="shared" si="3"/>
        <v/>
      </c>
      <c r="D986" s="175"/>
      <c r="E986" s="93" t="str">
        <f>IFERROR(__xludf.DUMMYFUNCTION("IF(D986&lt;&gt;"""",SPLIT(D986,"" 
""),)"),"")</f>
        <v/>
      </c>
    </row>
    <row r="987">
      <c r="A987" s="96" t="str">
        <f t="shared" si="1"/>
        <v/>
      </c>
      <c r="B987" s="96" t="str">
        <f t="shared" si="2"/>
        <v/>
      </c>
      <c r="C987" s="174" t="str">
        <f t="shared" si="3"/>
        <v/>
      </c>
      <c r="D987" s="175"/>
      <c r="E987" s="93" t="str">
        <f>IFERROR(__xludf.DUMMYFUNCTION("IF(D987&lt;&gt;"""",SPLIT(D987,"" 
""),)"),"")</f>
        <v/>
      </c>
    </row>
    <row r="988">
      <c r="A988" s="96" t="str">
        <f t="shared" si="1"/>
        <v/>
      </c>
      <c r="B988" s="96" t="str">
        <f t="shared" si="2"/>
        <v/>
      </c>
      <c r="C988" s="174" t="str">
        <f t="shared" si="3"/>
        <v/>
      </c>
      <c r="D988" s="175"/>
      <c r="E988" s="93" t="str">
        <f>IFERROR(__xludf.DUMMYFUNCTION("IF(D988&lt;&gt;"""",SPLIT(D988,"" 
""),)"),"")</f>
        <v/>
      </c>
    </row>
    <row r="989">
      <c r="A989" s="96" t="str">
        <f t="shared" si="1"/>
        <v/>
      </c>
      <c r="B989" s="96" t="str">
        <f t="shared" si="2"/>
        <v/>
      </c>
      <c r="C989" s="174" t="str">
        <f t="shared" si="3"/>
        <v/>
      </c>
      <c r="D989" s="175"/>
      <c r="E989" s="93" t="str">
        <f>IFERROR(__xludf.DUMMYFUNCTION("IF(D989&lt;&gt;"""",SPLIT(D989,"" 
""),)"),"")</f>
        <v/>
      </c>
    </row>
    <row r="990">
      <c r="A990" s="96" t="str">
        <f t="shared" si="1"/>
        <v/>
      </c>
      <c r="B990" s="96" t="str">
        <f t="shared" si="2"/>
        <v/>
      </c>
      <c r="C990" s="174" t="str">
        <f t="shared" si="3"/>
        <v/>
      </c>
      <c r="D990" s="175"/>
      <c r="E990" s="93" t="str">
        <f>IFERROR(__xludf.DUMMYFUNCTION("IF(D990&lt;&gt;"""",SPLIT(D990,"" 
""),)"),"")</f>
        <v/>
      </c>
    </row>
    <row r="991">
      <c r="A991" s="96" t="str">
        <f t="shared" si="1"/>
        <v/>
      </c>
      <c r="B991" s="96" t="str">
        <f t="shared" si="2"/>
        <v/>
      </c>
      <c r="C991" s="174" t="str">
        <f t="shared" si="3"/>
        <v/>
      </c>
      <c r="D991" s="175"/>
      <c r="E991" s="93" t="str">
        <f>IFERROR(__xludf.DUMMYFUNCTION("IF(D991&lt;&gt;"""",SPLIT(D991,"" 
""),)"),"")</f>
        <v/>
      </c>
    </row>
    <row r="992">
      <c r="A992" s="96" t="str">
        <f t="shared" si="1"/>
        <v/>
      </c>
      <c r="B992" s="96" t="str">
        <f t="shared" si="2"/>
        <v/>
      </c>
      <c r="C992" s="174" t="str">
        <f t="shared" si="3"/>
        <v/>
      </c>
      <c r="D992" s="175"/>
      <c r="E992" s="93" t="str">
        <f>IFERROR(__xludf.DUMMYFUNCTION("IF(D992&lt;&gt;"""",SPLIT(D992,"" 
""),)"),"")</f>
        <v/>
      </c>
    </row>
    <row r="993">
      <c r="A993" s="96" t="str">
        <f t="shared" si="1"/>
        <v/>
      </c>
      <c r="B993" s="96" t="str">
        <f t="shared" si="2"/>
        <v/>
      </c>
      <c r="C993" s="174" t="str">
        <f t="shared" si="3"/>
        <v/>
      </c>
      <c r="D993" s="175"/>
      <c r="E993" s="93" t="str">
        <f>IFERROR(__xludf.DUMMYFUNCTION("IF(D993&lt;&gt;"""",SPLIT(D993,"" 
""),)"),"")</f>
        <v/>
      </c>
    </row>
    <row r="994">
      <c r="A994" s="96" t="str">
        <f t="shared" si="1"/>
        <v/>
      </c>
      <c r="B994" s="96" t="str">
        <f t="shared" si="2"/>
        <v/>
      </c>
      <c r="C994" s="174" t="str">
        <f t="shared" si="3"/>
        <v/>
      </c>
      <c r="D994" s="175"/>
      <c r="E994" s="93" t="str">
        <f>IFERROR(__xludf.DUMMYFUNCTION("IF(D994&lt;&gt;"""",SPLIT(D994,"" 
""),)"),"")</f>
        <v/>
      </c>
    </row>
    <row r="995">
      <c r="A995" s="96" t="str">
        <f t="shared" si="1"/>
        <v/>
      </c>
      <c r="B995" s="96" t="str">
        <f t="shared" si="2"/>
        <v/>
      </c>
      <c r="C995" s="174" t="str">
        <f t="shared" si="3"/>
        <v/>
      </c>
      <c r="D995" s="175"/>
      <c r="E995" s="93" t="str">
        <f>IFERROR(__xludf.DUMMYFUNCTION("IF(D995&lt;&gt;"""",SPLIT(D995,"" 
""),)"),"")</f>
        <v/>
      </c>
    </row>
    <row r="996">
      <c r="A996" s="96" t="str">
        <f t="shared" si="1"/>
        <v/>
      </c>
      <c r="B996" s="96" t="str">
        <f t="shared" si="2"/>
        <v/>
      </c>
      <c r="C996" s="174" t="str">
        <f t="shared" si="3"/>
        <v/>
      </c>
      <c r="D996" s="175"/>
      <c r="E996" s="93" t="str">
        <f>IFERROR(__xludf.DUMMYFUNCTION("IF(D996&lt;&gt;"""",SPLIT(D996,"" 
""),)"),"")</f>
        <v/>
      </c>
    </row>
    <row r="997">
      <c r="A997" s="96" t="str">
        <f t="shared" si="1"/>
        <v/>
      </c>
      <c r="B997" s="96" t="str">
        <f t="shared" si="2"/>
        <v/>
      </c>
      <c r="C997" s="174" t="str">
        <f t="shared" si="3"/>
        <v/>
      </c>
      <c r="D997" s="175"/>
      <c r="E997" s="93" t="str">
        <f>IFERROR(__xludf.DUMMYFUNCTION("IF(D997&lt;&gt;"""",SPLIT(D997,"" 
""),)"),"")</f>
        <v/>
      </c>
    </row>
    <row r="998">
      <c r="A998" s="96" t="str">
        <f t="shared" si="1"/>
        <v/>
      </c>
      <c r="B998" s="96" t="str">
        <f t="shared" si="2"/>
        <v/>
      </c>
      <c r="C998" s="174" t="str">
        <f t="shared" si="3"/>
        <v/>
      </c>
      <c r="D998" s="175"/>
      <c r="E998" s="93" t="str">
        <f>IFERROR(__xludf.DUMMYFUNCTION("IF(D998&lt;&gt;"""",SPLIT(D998,"" 
""),)"),"")</f>
        <v/>
      </c>
    </row>
    <row r="999">
      <c r="A999" s="96" t="str">
        <f t="shared" si="1"/>
        <v/>
      </c>
      <c r="B999" s="96" t="str">
        <f t="shared" si="2"/>
        <v/>
      </c>
      <c r="C999" s="174" t="str">
        <f t="shared" si="3"/>
        <v/>
      </c>
      <c r="D999" s="175"/>
      <c r="E999" s="93" t="str">
        <f>IFERROR(__xludf.DUMMYFUNCTION("IF(D999&lt;&gt;"""",SPLIT(D999,"" 
""),)"),"")</f>
        <v/>
      </c>
    </row>
    <row r="1000">
      <c r="A1000" s="96" t="str">
        <f t="shared" si="1"/>
        <v/>
      </c>
      <c r="B1000" s="96" t="str">
        <f t="shared" si="2"/>
        <v/>
      </c>
      <c r="C1000" s="174" t="str">
        <f t="shared" si="3"/>
        <v/>
      </c>
      <c r="D1000" s="175"/>
      <c r="E1000" s="93" t="str">
        <f>IFERROR(__xludf.DUMMYFUNCTION("IF(D1000&lt;&gt;"""",SPLIT(D1000,"" 
""),)"),"")</f>
        <v/>
      </c>
    </row>
    <row r="1001">
      <c r="A1001" s="96" t="str">
        <f t="shared" si="1"/>
        <v/>
      </c>
      <c r="B1001" s="96" t="str">
        <f t="shared" si="2"/>
        <v/>
      </c>
      <c r="C1001" s="174" t="str">
        <f t="shared" si="3"/>
        <v/>
      </c>
      <c r="D1001" s="175"/>
      <c r="E1001" s="93" t="str">
        <f>IFERROR(__xludf.DUMMYFUNCTION("IF(D1001&lt;&gt;"""",SPLIT(D1001,"" 
""),)"),"")</f>
        <v/>
      </c>
    </row>
    <row r="1002">
      <c r="A1002" s="96" t="str">
        <f t="shared" si="1"/>
        <v/>
      </c>
      <c r="B1002" s="96" t="str">
        <f t="shared" si="2"/>
        <v/>
      </c>
      <c r="C1002" s="174" t="str">
        <f t="shared" si="3"/>
        <v/>
      </c>
      <c r="D1002" s="175"/>
      <c r="E1002" s="93" t="str">
        <f>IFERROR(__xludf.DUMMYFUNCTION("IF(D1002&lt;&gt;"""",SPLIT(D1002,"" 
""),)"),"")</f>
        <v/>
      </c>
    </row>
    <row r="1003">
      <c r="A1003" s="96" t="str">
        <f t="shared" si="1"/>
        <v/>
      </c>
      <c r="B1003" s="96" t="str">
        <f t="shared" si="2"/>
        <v/>
      </c>
      <c r="C1003" s="174" t="str">
        <f t="shared" si="3"/>
        <v/>
      </c>
      <c r="D1003" s="175"/>
      <c r="E1003" s="93" t="str">
        <f>IFERROR(__xludf.DUMMYFUNCTION("IF(D1003&lt;&gt;"""",SPLIT(D1003,"" 
""),)"),"")</f>
        <v/>
      </c>
    </row>
    <row r="1004">
      <c r="A1004" s="96" t="str">
        <f t="shared" si="1"/>
        <v/>
      </c>
      <c r="B1004" s="96" t="str">
        <f t="shared" si="2"/>
        <v/>
      </c>
      <c r="C1004" s="174" t="str">
        <f t="shared" si="3"/>
        <v/>
      </c>
      <c r="D1004" s="175"/>
      <c r="E1004" s="93" t="str">
        <f>IFERROR(__xludf.DUMMYFUNCTION("IF(D1004&lt;&gt;"""",SPLIT(D1004,"" 
""),)"),"")</f>
        <v/>
      </c>
    </row>
    <row r="1005">
      <c r="A1005" s="96" t="str">
        <f t="shared" si="1"/>
        <v/>
      </c>
      <c r="B1005" s="96" t="str">
        <f t="shared" si="2"/>
        <v/>
      </c>
      <c r="C1005" s="174" t="str">
        <f t="shared" si="3"/>
        <v/>
      </c>
      <c r="D1005" s="175"/>
      <c r="E1005" s="93" t="str">
        <f>IFERROR(__xludf.DUMMYFUNCTION("IF(D1005&lt;&gt;"""",SPLIT(D1005,"" 
""),)"),"")</f>
        <v/>
      </c>
    </row>
    <row r="1006">
      <c r="A1006" s="96" t="str">
        <f t="shared" si="1"/>
        <v/>
      </c>
      <c r="B1006" s="96" t="str">
        <f t="shared" si="2"/>
        <v/>
      </c>
      <c r="C1006" s="174" t="str">
        <f t="shared" si="3"/>
        <v/>
      </c>
      <c r="D1006" s="175"/>
      <c r="E1006" s="93" t="str">
        <f>IFERROR(__xludf.DUMMYFUNCTION("IF(D1006&lt;&gt;"""",SPLIT(D1006,"" 
""),)"),"")</f>
        <v/>
      </c>
    </row>
    <row r="1007">
      <c r="A1007" s="96" t="str">
        <f t="shared" si="1"/>
        <v/>
      </c>
      <c r="B1007" s="96" t="str">
        <f t="shared" si="2"/>
        <v/>
      </c>
      <c r="C1007" s="174" t="str">
        <f t="shared" si="3"/>
        <v/>
      </c>
      <c r="D1007" s="175"/>
      <c r="E1007" s="93" t="str">
        <f>IFERROR(__xludf.DUMMYFUNCTION("IF(D1007&lt;&gt;"""",SPLIT(D1007,"" 
""),)"),"")</f>
        <v/>
      </c>
    </row>
    <row r="1008">
      <c r="A1008" s="96" t="str">
        <f t="shared" si="1"/>
        <v/>
      </c>
      <c r="B1008" s="96" t="str">
        <f t="shared" si="2"/>
        <v/>
      </c>
      <c r="C1008" s="174" t="str">
        <f t="shared" si="3"/>
        <v/>
      </c>
      <c r="D1008" s="175"/>
      <c r="E1008" s="93" t="str">
        <f>IFERROR(__xludf.DUMMYFUNCTION("IF(D1008&lt;&gt;"""",SPLIT(D1008,"" 
""),)"),"")</f>
        <v/>
      </c>
    </row>
    <row r="1009">
      <c r="A1009" s="96" t="str">
        <f t="shared" si="1"/>
        <v/>
      </c>
      <c r="B1009" s="96" t="str">
        <f t="shared" si="2"/>
        <v/>
      </c>
      <c r="C1009" s="174" t="str">
        <f t="shared" si="3"/>
        <v/>
      </c>
      <c r="D1009" s="175"/>
      <c r="E1009" s="93" t="str">
        <f>IFERROR(__xludf.DUMMYFUNCTION("IF(D1009&lt;&gt;"""",SPLIT(D1009,"" 
""),)"),"")</f>
        <v/>
      </c>
    </row>
    <row r="1010">
      <c r="A1010" s="96" t="str">
        <f t="shared" si="1"/>
        <v/>
      </c>
      <c r="B1010" s="96" t="str">
        <f t="shared" si="2"/>
        <v/>
      </c>
      <c r="C1010" s="174" t="str">
        <f t="shared" si="3"/>
        <v/>
      </c>
      <c r="D1010" s="175"/>
      <c r="E1010" s="93" t="str">
        <f>IFERROR(__xludf.DUMMYFUNCTION("IF(D1010&lt;&gt;"""",SPLIT(D1010,"" 
""),)"),"")</f>
        <v/>
      </c>
    </row>
    <row r="1011">
      <c r="A1011" s="96" t="str">
        <f t="shared" si="1"/>
        <v/>
      </c>
      <c r="B1011" s="96" t="str">
        <f t="shared" si="2"/>
        <v/>
      </c>
      <c r="C1011" s="174" t="str">
        <f t="shared" si="3"/>
        <v/>
      </c>
      <c r="D1011" s="175"/>
      <c r="E1011" s="93" t="str">
        <f>IFERROR(__xludf.DUMMYFUNCTION("IF(D1011&lt;&gt;"""",SPLIT(D1011,"" 
""),)"),"")</f>
        <v/>
      </c>
    </row>
    <row r="1012">
      <c r="A1012" s="96" t="str">
        <f t="shared" si="1"/>
        <v/>
      </c>
      <c r="B1012" s="96" t="str">
        <f t="shared" si="2"/>
        <v/>
      </c>
      <c r="C1012" s="174" t="str">
        <f t="shared" si="3"/>
        <v/>
      </c>
      <c r="D1012" s="175"/>
      <c r="E1012" s="93" t="str">
        <f>IFERROR(__xludf.DUMMYFUNCTION("IF(D1012&lt;&gt;"""",SPLIT(D1012,"" 
""),)"),"")</f>
        <v/>
      </c>
    </row>
    <row r="1013">
      <c r="A1013" s="96" t="str">
        <f t="shared" si="1"/>
        <v/>
      </c>
      <c r="B1013" s="96" t="str">
        <f t="shared" si="2"/>
        <v/>
      </c>
      <c r="C1013" s="174" t="str">
        <f t="shared" si="3"/>
        <v/>
      </c>
      <c r="D1013" s="175"/>
      <c r="E1013" s="93" t="str">
        <f>IFERROR(__xludf.DUMMYFUNCTION("IF(D1013&lt;&gt;"""",SPLIT(D1013,"" 
""),)"),"")</f>
        <v/>
      </c>
    </row>
    <row r="1014">
      <c r="A1014" s="96" t="str">
        <f t="shared" si="1"/>
        <v/>
      </c>
      <c r="B1014" s="96" t="str">
        <f t="shared" si="2"/>
        <v/>
      </c>
      <c r="C1014" s="174" t="str">
        <f t="shared" si="3"/>
        <v/>
      </c>
      <c r="D1014" s="175"/>
      <c r="E1014" s="93" t="str">
        <f>IFERROR(__xludf.DUMMYFUNCTION("IF(D1014&lt;&gt;"""",SPLIT(D1014,"" 
""),)"),"")</f>
        <v/>
      </c>
    </row>
    <row r="1015">
      <c r="A1015" s="96" t="str">
        <f t="shared" si="1"/>
        <v/>
      </c>
      <c r="B1015" s="96" t="str">
        <f t="shared" si="2"/>
        <v/>
      </c>
      <c r="C1015" s="174" t="str">
        <f t="shared" si="3"/>
        <v/>
      </c>
      <c r="D1015" s="175"/>
      <c r="E1015" s="93" t="str">
        <f>IFERROR(__xludf.DUMMYFUNCTION("IF(D1015&lt;&gt;"""",SPLIT(D1015,"" 
""),)"),"")</f>
        <v/>
      </c>
    </row>
    <row r="1016">
      <c r="A1016" s="96" t="str">
        <f t="shared" si="1"/>
        <v/>
      </c>
      <c r="B1016" s="96" t="str">
        <f t="shared" si="2"/>
        <v/>
      </c>
      <c r="C1016" s="174" t="str">
        <f t="shared" si="3"/>
        <v/>
      </c>
      <c r="D1016" s="175"/>
      <c r="E1016" s="93" t="str">
        <f>IFERROR(__xludf.DUMMYFUNCTION("IF(D1016&lt;&gt;"""",SPLIT(D1016,"" 
""),)"),"")</f>
        <v/>
      </c>
    </row>
    <row r="1017">
      <c r="A1017" s="96" t="str">
        <f t="shared" si="1"/>
        <v/>
      </c>
      <c r="B1017" s="96" t="str">
        <f t="shared" si="2"/>
        <v/>
      </c>
      <c r="C1017" s="174" t="str">
        <f t="shared" si="3"/>
        <v/>
      </c>
      <c r="D1017" s="175"/>
      <c r="E1017" s="93" t="str">
        <f>IFERROR(__xludf.DUMMYFUNCTION("IF(D1017&lt;&gt;"""",SPLIT(D1017,"" 
""),)"),"")</f>
        <v/>
      </c>
    </row>
    <row r="1018">
      <c r="A1018" s="96" t="str">
        <f t="shared" si="1"/>
        <v/>
      </c>
      <c r="B1018" s="96" t="str">
        <f t="shared" si="2"/>
        <v/>
      </c>
      <c r="C1018" s="174" t="str">
        <f t="shared" si="3"/>
        <v/>
      </c>
      <c r="D1018" s="175"/>
      <c r="E1018" s="93" t="str">
        <f>IFERROR(__xludf.DUMMYFUNCTION("IF(D1018&lt;&gt;"""",SPLIT(D1018,"" 
""),)"),"")</f>
        <v/>
      </c>
    </row>
    <row r="1019">
      <c r="A1019" s="96" t="str">
        <f t="shared" si="1"/>
        <v/>
      </c>
      <c r="B1019" s="96" t="str">
        <f t="shared" si="2"/>
        <v/>
      </c>
      <c r="C1019" s="174" t="str">
        <f t="shared" si="3"/>
        <v/>
      </c>
      <c r="D1019" s="175"/>
      <c r="E1019" s="93" t="str">
        <f>IFERROR(__xludf.DUMMYFUNCTION("IF(D1019&lt;&gt;"""",SPLIT(D1019,"" 
""),)"),"")</f>
        <v/>
      </c>
    </row>
    <row r="1020">
      <c r="A1020" s="96" t="str">
        <f t="shared" si="1"/>
        <v/>
      </c>
      <c r="B1020" s="96" t="str">
        <f t="shared" si="2"/>
        <v/>
      </c>
      <c r="C1020" s="174" t="str">
        <f t="shared" si="3"/>
        <v/>
      </c>
      <c r="D1020" s="175"/>
      <c r="E1020" s="93" t="str">
        <f>IFERROR(__xludf.DUMMYFUNCTION("IF(D1020&lt;&gt;"""",SPLIT(D1020,"" 
""),)"),"")</f>
        <v/>
      </c>
    </row>
    <row r="1021">
      <c r="A1021" s="96" t="str">
        <f t="shared" si="1"/>
        <v/>
      </c>
      <c r="B1021" s="96" t="str">
        <f t="shared" si="2"/>
        <v/>
      </c>
      <c r="C1021" s="174" t="str">
        <f t="shared" si="3"/>
        <v/>
      </c>
      <c r="D1021" s="175"/>
      <c r="E1021" s="93" t="str">
        <f>IFERROR(__xludf.DUMMYFUNCTION("IF(D1021&lt;&gt;"""",SPLIT(D1021,"" 
""),)"),"")</f>
        <v/>
      </c>
    </row>
    <row r="1022">
      <c r="A1022" s="96" t="str">
        <f t="shared" si="1"/>
        <v/>
      </c>
      <c r="B1022" s="96" t="str">
        <f t="shared" si="2"/>
        <v/>
      </c>
      <c r="C1022" s="174" t="str">
        <f t="shared" si="3"/>
        <v/>
      </c>
      <c r="D1022" s="175"/>
      <c r="E1022" s="93" t="str">
        <f>IFERROR(__xludf.DUMMYFUNCTION("IF(D1022&lt;&gt;"""",SPLIT(D1022,"" 
""),)"),"")</f>
        <v/>
      </c>
    </row>
    <row r="1023">
      <c r="A1023" s="96" t="str">
        <f t="shared" si="1"/>
        <v/>
      </c>
      <c r="B1023" s="96" t="str">
        <f t="shared" si="2"/>
        <v/>
      </c>
      <c r="C1023" s="174" t="str">
        <f t="shared" si="3"/>
        <v/>
      </c>
      <c r="D1023" s="175"/>
      <c r="E1023" s="93" t="str">
        <f>IFERROR(__xludf.DUMMYFUNCTION("IF(D1023&lt;&gt;"""",SPLIT(D1023,"" 
""),)"),"")</f>
        <v/>
      </c>
    </row>
    <row r="1024">
      <c r="A1024" s="96" t="str">
        <f t="shared" si="1"/>
        <v/>
      </c>
      <c r="B1024" s="96" t="str">
        <f t="shared" si="2"/>
        <v/>
      </c>
      <c r="C1024" s="174" t="str">
        <f t="shared" si="3"/>
        <v/>
      </c>
      <c r="D1024" s="175"/>
      <c r="E1024" s="93" t="str">
        <f>IFERROR(__xludf.DUMMYFUNCTION("IF(D1024&lt;&gt;"""",SPLIT(D1024,"" 
""),)"),"")</f>
        <v/>
      </c>
    </row>
    <row r="1025">
      <c r="A1025" s="96" t="str">
        <f t="shared" si="1"/>
        <v/>
      </c>
      <c r="B1025" s="96" t="str">
        <f t="shared" si="2"/>
        <v/>
      </c>
      <c r="C1025" s="174" t="str">
        <f t="shared" si="3"/>
        <v/>
      </c>
      <c r="D1025" s="175"/>
      <c r="E1025" s="93" t="str">
        <f>IFERROR(__xludf.DUMMYFUNCTION("IF(D1025&lt;&gt;"""",SPLIT(D1025,"" 
""),)"),"")</f>
        <v/>
      </c>
    </row>
    <row r="1026">
      <c r="A1026" s="96" t="str">
        <f t="shared" si="1"/>
        <v/>
      </c>
      <c r="B1026" s="96" t="str">
        <f t="shared" si="2"/>
        <v/>
      </c>
      <c r="C1026" s="174" t="str">
        <f t="shared" si="3"/>
        <v/>
      </c>
      <c r="D1026" s="175"/>
      <c r="E1026" s="93" t="str">
        <f>IFERROR(__xludf.DUMMYFUNCTION("IF(D1026&lt;&gt;"""",SPLIT(D1026,"" 
""),)"),"")</f>
        <v/>
      </c>
    </row>
    <row r="1027">
      <c r="A1027" s="96" t="str">
        <f t="shared" si="1"/>
        <v/>
      </c>
      <c r="B1027" s="96" t="str">
        <f t="shared" si="2"/>
        <v/>
      </c>
      <c r="C1027" s="174" t="str">
        <f t="shared" si="3"/>
        <v/>
      </c>
      <c r="D1027" s="175"/>
      <c r="E1027" s="93" t="str">
        <f>IFERROR(__xludf.DUMMYFUNCTION("IF(D1027&lt;&gt;"""",SPLIT(D1027,"" 
""),)"),"")</f>
        <v/>
      </c>
    </row>
    <row r="1028">
      <c r="A1028" s="96" t="str">
        <f t="shared" si="1"/>
        <v/>
      </c>
      <c r="B1028" s="96" t="str">
        <f t="shared" si="2"/>
        <v/>
      </c>
      <c r="C1028" s="174" t="str">
        <f t="shared" si="3"/>
        <v/>
      </c>
      <c r="D1028" s="175"/>
      <c r="E1028" s="93" t="str">
        <f>IFERROR(__xludf.DUMMYFUNCTION("IF(D1028&lt;&gt;"""",SPLIT(D1028,"" 
""),)"),"")</f>
        <v/>
      </c>
    </row>
    <row r="1029">
      <c r="A1029" s="96" t="str">
        <f t="shared" si="1"/>
        <v/>
      </c>
      <c r="B1029" s="96" t="str">
        <f t="shared" si="2"/>
        <v/>
      </c>
      <c r="C1029" s="174" t="str">
        <f t="shared" si="3"/>
        <v/>
      </c>
      <c r="D1029" s="175"/>
      <c r="E1029" s="93" t="str">
        <f>IFERROR(__xludf.DUMMYFUNCTION("IF(D1029&lt;&gt;"""",SPLIT(D1029,"" 
""),)"),"")</f>
        <v/>
      </c>
    </row>
    <row r="1030">
      <c r="A1030" s="96" t="str">
        <f t="shared" si="1"/>
        <v/>
      </c>
      <c r="B1030" s="96" t="str">
        <f t="shared" si="2"/>
        <v/>
      </c>
      <c r="C1030" s="174" t="str">
        <f t="shared" si="3"/>
        <v/>
      </c>
      <c r="D1030" s="175"/>
      <c r="E1030" s="93" t="str">
        <f>IFERROR(__xludf.DUMMYFUNCTION("IF(D1030&lt;&gt;"""",SPLIT(D1030,"" 
""),)"),"")</f>
        <v/>
      </c>
    </row>
    <row r="1031">
      <c r="A1031" s="96" t="str">
        <f t="shared" si="1"/>
        <v/>
      </c>
      <c r="B1031" s="96" t="str">
        <f t="shared" si="2"/>
        <v/>
      </c>
      <c r="C1031" s="174" t="str">
        <f t="shared" si="3"/>
        <v/>
      </c>
      <c r="D1031" s="175"/>
      <c r="E1031" s="93" t="str">
        <f>IFERROR(__xludf.DUMMYFUNCTION("IF(D1031&lt;&gt;"""",SPLIT(D1031,"" 
""),)"),"")</f>
        <v/>
      </c>
    </row>
    <row r="1032">
      <c r="A1032" s="96" t="str">
        <f t="shared" si="1"/>
        <v/>
      </c>
      <c r="B1032" s="96" t="str">
        <f t="shared" si="2"/>
        <v/>
      </c>
      <c r="C1032" s="174" t="str">
        <f t="shared" si="3"/>
        <v/>
      </c>
      <c r="D1032" s="175"/>
      <c r="E1032" s="93" t="str">
        <f>IFERROR(__xludf.DUMMYFUNCTION("IF(D1032&lt;&gt;"""",SPLIT(D1032,"" 
""),)"),"")</f>
        <v/>
      </c>
    </row>
    <row r="1033">
      <c r="A1033" s="96" t="str">
        <f t="shared" si="1"/>
        <v/>
      </c>
      <c r="B1033" s="96" t="str">
        <f t="shared" si="2"/>
        <v/>
      </c>
      <c r="C1033" s="174" t="str">
        <f t="shared" si="3"/>
        <v/>
      </c>
      <c r="D1033" s="175"/>
      <c r="E1033" s="93" t="str">
        <f>IFERROR(__xludf.DUMMYFUNCTION("IF(D1033&lt;&gt;"""",SPLIT(D1033,"" 
""),)"),"")</f>
        <v/>
      </c>
    </row>
    <row r="1034">
      <c r="A1034" s="96" t="str">
        <f t="shared" si="1"/>
        <v/>
      </c>
      <c r="B1034" s="96" t="str">
        <f t="shared" si="2"/>
        <v/>
      </c>
      <c r="C1034" s="174" t="str">
        <f t="shared" si="3"/>
        <v/>
      </c>
      <c r="D1034" s="175"/>
      <c r="E1034" s="93" t="str">
        <f>IFERROR(__xludf.DUMMYFUNCTION("IF(D1034&lt;&gt;"""",SPLIT(D1034,"" 
""),)"),"")</f>
        <v/>
      </c>
    </row>
    <row r="1035">
      <c r="A1035" s="96" t="str">
        <f t="shared" si="1"/>
        <v/>
      </c>
      <c r="B1035" s="96" t="str">
        <f t="shared" si="2"/>
        <v/>
      </c>
      <c r="C1035" s="174" t="str">
        <f t="shared" si="3"/>
        <v/>
      </c>
      <c r="D1035" s="175"/>
      <c r="E1035" s="93" t="str">
        <f>IFERROR(__xludf.DUMMYFUNCTION("IF(D1035&lt;&gt;"""",SPLIT(D1035,"" 
""),)"),"")</f>
        <v/>
      </c>
    </row>
    <row r="1036">
      <c r="A1036" s="96" t="str">
        <f t="shared" si="1"/>
        <v/>
      </c>
      <c r="B1036" s="96" t="str">
        <f t="shared" si="2"/>
        <v/>
      </c>
      <c r="C1036" s="174" t="str">
        <f t="shared" si="3"/>
        <v/>
      </c>
      <c r="D1036" s="175"/>
      <c r="E1036" s="93" t="str">
        <f>IFERROR(__xludf.DUMMYFUNCTION("IF(D1036&lt;&gt;"""",SPLIT(D1036,"" 
""),)"),"")</f>
        <v/>
      </c>
    </row>
    <row r="1037">
      <c r="A1037" s="96" t="str">
        <f t="shared" si="1"/>
        <v/>
      </c>
      <c r="B1037" s="96" t="str">
        <f t="shared" si="2"/>
        <v/>
      </c>
      <c r="C1037" s="174" t="str">
        <f t="shared" si="3"/>
        <v/>
      </c>
      <c r="D1037" s="175"/>
      <c r="E1037" s="93" t="str">
        <f>IFERROR(__xludf.DUMMYFUNCTION("IF(D1037&lt;&gt;"""",SPLIT(D1037,"" 
""),)"),"")</f>
        <v/>
      </c>
    </row>
    <row r="1038">
      <c r="A1038" s="96" t="str">
        <f t="shared" si="1"/>
        <v/>
      </c>
      <c r="B1038" s="96" t="str">
        <f t="shared" si="2"/>
        <v/>
      </c>
      <c r="C1038" s="174" t="str">
        <f t="shared" si="3"/>
        <v/>
      </c>
      <c r="D1038" s="175"/>
      <c r="E1038" s="93" t="str">
        <f>IFERROR(__xludf.DUMMYFUNCTION("IF(D1038&lt;&gt;"""",SPLIT(D1038,"" 
""),)"),"")</f>
        <v/>
      </c>
    </row>
    <row r="1039">
      <c r="A1039" s="96" t="str">
        <f t="shared" si="1"/>
        <v/>
      </c>
      <c r="B1039" s="96" t="str">
        <f t="shared" si="2"/>
        <v/>
      </c>
      <c r="C1039" s="174" t="str">
        <f t="shared" si="3"/>
        <v/>
      </c>
      <c r="D1039" s="175"/>
      <c r="E1039" s="93" t="str">
        <f>IFERROR(__xludf.DUMMYFUNCTION("IF(D1039&lt;&gt;"""",SPLIT(D1039,"" 
""),)"),"")</f>
        <v/>
      </c>
    </row>
    <row r="1040">
      <c r="A1040" s="96" t="str">
        <f t="shared" si="1"/>
        <v/>
      </c>
      <c r="B1040" s="96" t="str">
        <f t="shared" si="2"/>
        <v/>
      </c>
      <c r="C1040" s="174" t="str">
        <f t="shared" si="3"/>
        <v/>
      </c>
      <c r="D1040" s="175"/>
      <c r="E1040" s="93" t="str">
        <f>IFERROR(__xludf.DUMMYFUNCTION("IF(D1040&lt;&gt;"""",SPLIT(D1040,"" 
""),)"),"")</f>
        <v/>
      </c>
    </row>
    <row r="1041">
      <c r="A1041" s="96" t="str">
        <f t="shared" si="1"/>
        <v/>
      </c>
      <c r="B1041" s="96" t="str">
        <f t="shared" si="2"/>
        <v/>
      </c>
      <c r="C1041" s="174" t="str">
        <f t="shared" si="3"/>
        <v/>
      </c>
      <c r="D1041" s="175"/>
      <c r="E1041" s="93" t="str">
        <f>IFERROR(__xludf.DUMMYFUNCTION("IF(D1041&lt;&gt;"""",SPLIT(D1041,"" 
""),)"),"")</f>
        <v/>
      </c>
    </row>
    <row r="1042">
      <c r="A1042" s="96" t="str">
        <f t="shared" si="1"/>
        <v/>
      </c>
      <c r="B1042" s="96" t="str">
        <f t="shared" si="2"/>
        <v/>
      </c>
      <c r="C1042" s="174" t="str">
        <f t="shared" si="3"/>
        <v/>
      </c>
      <c r="D1042" s="175"/>
      <c r="E1042" s="93" t="str">
        <f>IFERROR(__xludf.DUMMYFUNCTION("IF(D1042&lt;&gt;"""",SPLIT(D1042,"" 
""),)"),"")</f>
        <v/>
      </c>
    </row>
    <row r="1043">
      <c r="A1043" s="96" t="str">
        <f t="shared" si="1"/>
        <v/>
      </c>
      <c r="B1043" s="96" t="str">
        <f t="shared" si="2"/>
        <v/>
      </c>
      <c r="C1043" s="174" t="str">
        <f t="shared" si="3"/>
        <v/>
      </c>
      <c r="D1043" s="175"/>
      <c r="E1043" s="93" t="str">
        <f>IFERROR(__xludf.DUMMYFUNCTION("IF(D1043&lt;&gt;"""",SPLIT(D1043,"" 
""),)"),"")</f>
        <v/>
      </c>
    </row>
    <row r="1044">
      <c r="A1044" s="96" t="str">
        <f t="shared" si="1"/>
        <v/>
      </c>
      <c r="B1044" s="96" t="str">
        <f t="shared" si="2"/>
        <v/>
      </c>
      <c r="C1044" s="174" t="str">
        <f t="shared" si="3"/>
        <v/>
      </c>
      <c r="D1044" s="175"/>
      <c r="E1044" s="93" t="str">
        <f>IFERROR(__xludf.DUMMYFUNCTION("IF(D1044&lt;&gt;"""",SPLIT(D1044,"" 
""),)"),"")</f>
        <v/>
      </c>
    </row>
    <row r="1045">
      <c r="A1045" s="96" t="str">
        <f t="shared" si="1"/>
        <v/>
      </c>
      <c r="B1045" s="96" t="str">
        <f t="shared" si="2"/>
        <v/>
      </c>
      <c r="C1045" s="174" t="str">
        <f t="shared" si="3"/>
        <v/>
      </c>
      <c r="D1045" s="175"/>
      <c r="E1045" s="93" t="str">
        <f>IFERROR(__xludf.DUMMYFUNCTION("IF(D1045&lt;&gt;"""",SPLIT(D1045,"" 
""),)"),"")</f>
        <v/>
      </c>
    </row>
    <row r="1046">
      <c r="A1046" s="96" t="str">
        <f t="shared" si="1"/>
        <v/>
      </c>
      <c r="B1046" s="96" t="str">
        <f t="shared" si="2"/>
        <v/>
      </c>
      <c r="C1046" s="174" t="str">
        <f t="shared" si="3"/>
        <v/>
      </c>
      <c r="D1046" s="175"/>
      <c r="E1046" s="93" t="str">
        <f>IFERROR(__xludf.DUMMYFUNCTION("IF(D1046&lt;&gt;"""",SPLIT(D1046,"" 
""),)"),"")</f>
        <v/>
      </c>
    </row>
    <row r="1047">
      <c r="A1047" s="96" t="str">
        <f t="shared" si="1"/>
        <v/>
      </c>
      <c r="B1047" s="96" t="str">
        <f t="shared" si="2"/>
        <v/>
      </c>
      <c r="C1047" s="174" t="str">
        <f t="shared" si="3"/>
        <v/>
      </c>
      <c r="D1047" s="175"/>
      <c r="E1047" s="93" t="str">
        <f>IFERROR(__xludf.DUMMYFUNCTION("IF(D1047&lt;&gt;"""",SPLIT(D1047,"" 
""),)"),"")</f>
        <v/>
      </c>
    </row>
    <row r="1048">
      <c r="A1048" s="96" t="str">
        <f t="shared" si="1"/>
        <v/>
      </c>
      <c r="B1048" s="96" t="str">
        <f t="shared" si="2"/>
        <v/>
      </c>
      <c r="C1048" s="174" t="str">
        <f t="shared" si="3"/>
        <v/>
      </c>
      <c r="D1048" s="175"/>
      <c r="E1048" s="93" t="str">
        <f>IFERROR(__xludf.DUMMYFUNCTION("IF(D1048&lt;&gt;"""",SPLIT(D1048,"" 
""),)"),"")</f>
        <v/>
      </c>
    </row>
    <row r="1049">
      <c r="A1049" s="96" t="str">
        <f t="shared" si="1"/>
        <v/>
      </c>
      <c r="B1049" s="96" t="str">
        <f t="shared" si="2"/>
        <v/>
      </c>
      <c r="C1049" s="174" t="str">
        <f t="shared" si="3"/>
        <v/>
      </c>
      <c r="D1049" s="175"/>
      <c r="E1049" s="93" t="str">
        <f>IFERROR(__xludf.DUMMYFUNCTION("IF(D1049&lt;&gt;"""",SPLIT(D1049,"" 
""),)"),"")</f>
        <v/>
      </c>
    </row>
    <row r="1050">
      <c r="A1050" s="96" t="str">
        <f t="shared" si="1"/>
        <v/>
      </c>
      <c r="B1050" s="96" t="str">
        <f t="shared" si="2"/>
        <v/>
      </c>
      <c r="C1050" s="174" t="str">
        <f t="shared" si="3"/>
        <v/>
      </c>
      <c r="D1050" s="175"/>
      <c r="E1050" s="93" t="str">
        <f>IFERROR(__xludf.DUMMYFUNCTION("IF(D1050&lt;&gt;"""",SPLIT(D1050,"" 
""),)"),"")</f>
        <v/>
      </c>
    </row>
    <row r="1051">
      <c r="A1051" s="96" t="str">
        <f t="shared" si="1"/>
        <v/>
      </c>
      <c r="B1051" s="96" t="str">
        <f t="shared" si="2"/>
        <v/>
      </c>
      <c r="C1051" s="174" t="str">
        <f t="shared" si="3"/>
        <v/>
      </c>
      <c r="D1051" s="175"/>
      <c r="E1051" s="93" t="str">
        <f>IFERROR(__xludf.DUMMYFUNCTION("IF(D1051&lt;&gt;"""",SPLIT(D1051,"" 
""),)"),"")</f>
        <v/>
      </c>
    </row>
    <row r="1052">
      <c r="A1052" s="96" t="str">
        <f t="shared" si="1"/>
        <v/>
      </c>
      <c r="B1052" s="96" t="str">
        <f t="shared" si="2"/>
        <v/>
      </c>
      <c r="C1052" s="174" t="str">
        <f t="shared" si="3"/>
        <v/>
      </c>
      <c r="D1052" s="175"/>
      <c r="E1052" s="93" t="str">
        <f>IFERROR(__xludf.DUMMYFUNCTION("IF(D1052&lt;&gt;"""",SPLIT(D1052,"" 
""),)"),"")</f>
        <v/>
      </c>
    </row>
    <row r="1053">
      <c r="A1053" s="96" t="str">
        <f t="shared" si="1"/>
        <v/>
      </c>
      <c r="B1053" s="96" t="str">
        <f t="shared" si="2"/>
        <v/>
      </c>
      <c r="C1053" s="174" t="str">
        <f t="shared" si="3"/>
        <v/>
      </c>
      <c r="D1053" s="175"/>
      <c r="E1053" s="93" t="str">
        <f>IFERROR(__xludf.DUMMYFUNCTION("IF(D1053&lt;&gt;"""",SPLIT(D1053,"" 
""),)"),"")</f>
        <v/>
      </c>
    </row>
    <row r="1054">
      <c r="A1054" s="96" t="str">
        <f t="shared" si="1"/>
        <v/>
      </c>
      <c r="B1054" s="96" t="str">
        <f t="shared" si="2"/>
        <v/>
      </c>
      <c r="C1054" s="174" t="str">
        <f t="shared" si="3"/>
        <v/>
      </c>
      <c r="D1054" s="175"/>
      <c r="E1054" s="93" t="str">
        <f>IFERROR(__xludf.DUMMYFUNCTION("IF(D1054&lt;&gt;"""",SPLIT(D1054,"" 
""),)"),"")</f>
        <v/>
      </c>
    </row>
    <row r="1055">
      <c r="A1055" s="96" t="str">
        <f t="shared" si="1"/>
        <v/>
      </c>
      <c r="B1055" s="96" t="str">
        <f t="shared" si="2"/>
        <v/>
      </c>
      <c r="C1055" s="174" t="str">
        <f t="shared" si="3"/>
        <v/>
      </c>
      <c r="D1055" s="175"/>
      <c r="E1055" s="93" t="str">
        <f>IFERROR(__xludf.DUMMYFUNCTION("IF(D1055&lt;&gt;"""",SPLIT(D1055,"" 
""),)"),"")</f>
        <v/>
      </c>
    </row>
    <row r="1056">
      <c r="A1056" s="96" t="str">
        <f t="shared" si="1"/>
        <v/>
      </c>
      <c r="B1056" s="96" t="str">
        <f t="shared" si="2"/>
        <v/>
      </c>
      <c r="C1056" s="174" t="str">
        <f t="shared" si="3"/>
        <v/>
      </c>
      <c r="D1056" s="175"/>
      <c r="E1056" s="93" t="str">
        <f>IFERROR(__xludf.DUMMYFUNCTION("IF(D1056&lt;&gt;"""",SPLIT(D1056,"" 
""),)"),"")</f>
        <v/>
      </c>
    </row>
    <row r="1057">
      <c r="A1057" s="96" t="str">
        <f t="shared" si="1"/>
        <v/>
      </c>
      <c r="B1057" s="96" t="str">
        <f t="shared" si="2"/>
        <v/>
      </c>
      <c r="C1057" s="174" t="str">
        <f t="shared" si="3"/>
        <v/>
      </c>
      <c r="D1057" s="175"/>
      <c r="E1057" s="93" t="str">
        <f>IFERROR(__xludf.DUMMYFUNCTION("IF(D1057&lt;&gt;"""",SPLIT(D1057,"" 
""),)"),"")</f>
        <v/>
      </c>
    </row>
    <row r="1058">
      <c r="A1058" s="96" t="str">
        <f t="shared" si="1"/>
        <v/>
      </c>
      <c r="B1058" s="96" t="str">
        <f t="shared" si="2"/>
        <v/>
      </c>
      <c r="C1058" s="174" t="str">
        <f t="shared" si="3"/>
        <v/>
      </c>
      <c r="D1058" s="175"/>
      <c r="E1058" s="93" t="str">
        <f>IFERROR(__xludf.DUMMYFUNCTION("IF(D1058&lt;&gt;"""",SPLIT(D1058,"" 
""),)"),"")</f>
        <v/>
      </c>
    </row>
    <row r="1059">
      <c r="A1059" s="96" t="str">
        <f t="shared" si="1"/>
        <v/>
      </c>
      <c r="B1059" s="96" t="str">
        <f t="shared" si="2"/>
        <v/>
      </c>
      <c r="C1059" s="174" t="str">
        <f t="shared" si="3"/>
        <v/>
      </c>
      <c r="D1059" s="175"/>
      <c r="E1059" s="93" t="str">
        <f>IFERROR(__xludf.DUMMYFUNCTION("IF(D1059&lt;&gt;"""",SPLIT(D1059,"" 
""),)"),"")</f>
        <v/>
      </c>
    </row>
    <row r="1060">
      <c r="A1060" s="96" t="str">
        <f t="shared" si="1"/>
        <v/>
      </c>
      <c r="B1060" s="96" t="str">
        <f t="shared" si="2"/>
        <v/>
      </c>
      <c r="C1060" s="174" t="str">
        <f t="shared" si="3"/>
        <v/>
      </c>
      <c r="D1060" s="175"/>
      <c r="E1060" s="93" t="str">
        <f>IFERROR(__xludf.DUMMYFUNCTION("IF(D1060&lt;&gt;"""",SPLIT(D1060,"" 
""),)"),"")</f>
        <v/>
      </c>
    </row>
    <row r="1061">
      <c r="A1061" s="96" t="str">
        <f t="shared" si="1"/>
        <v/>
      </c>
      <c r="B1061" s="96" t="str">
        <f t="shared" si="2"/>
        <v/>
      </c>
      <c r="C1061" s="174" t="str">
        <f t="shared" si="3"/>
        <v/>
      </c>
      <c r="D1061" s="175"/>
      <c r="E1061" s="93" t="str">
        <f>IFERROR(__xludf.DUMMYFUNCTION("IF(D1061&lt;&gt;"""",SPLIT(D1061,"" 
""),)"),"")</f>
        <v/>
      </c>
    </row>
    <row r="1062">
      <c r="A1062" s="96" t="str">
        <f t="shared" si="1"/>
        <v/>
      </c>
      <c r="B1062" s="96" t="str">
        <f t="shared" si="2"/>
        <v/>
      </c>
      <c r="C1062" s="174" t="str">
        <f t="shared" si="3"/>
        <v/>
      </c>
      <c r="D1062" s="175"/>
      <c r="E1062" s="93" t="str">
        <f>IFERROR(__xludf.DUMMYFUNCTION("IF(D1062&lt;&gt;"""",SPLIT(D1062,"" 
""),)"),"")</f>
        <v/>
      </c>
    </row>
    <row r="1063">
      <c r="A1063" s="96" t="str">
        <f t="shared" si="1"/>
        <v/>
      </c>
      <c r="B1063" s="96" t="str">
        <f t="shared" si="2"/>
        <v/>
      </c>
      <c r="C1063" s="174" t="str">
        <f t="shared" si="3"/>
        <v/>
      </c>
      <c r="D1063" s="175"/>
      <c r="E1063" s="93" t="str">
        <f>IFERROR(__xludf.DUMMYFUNCTION("IF(D1063&lt;&gt;"""",SPLIT(D1063,"" 
""),)"),"")</f>
        <v/>
      </c>
    </row>
    <row r="1064">
      <c r="A1064" s="96" t="str">
        <f t="shared" si="1"/>
        <v/>
      </c>
      <c r="B1064" s="96" t="str">
        <f t="shared" si="2"/>
        <v/>
      </c>
      <c r="C1064" s="174" t="str">
        <f t="shared" si="3"/>
        <v/>
      </c>
      <c r="D1064" s="175"/>
      <c r="E1064" s="93" t="str">
        <f>IFERROR(__xludf.DUMMYFUNCTION("IF(D1064&lt;&gt;"""",SPLIT(D1064,"" 
""),)"),"")</f>
        <v/>
      </c>
    </row>
    <row r="1065">
      <c r="A1065" s="96" t="str">
        <f t="shared" si="1"/>
        <v/>
      </c>
      <c r="B1065" s="96" t="str">
        <f t="shared" si="2"/>
        <v/>
      </c>
      <c r="C1065" s="174" t="str">
        <f t="shared" si="3"/>
        <v/>
      </c>
      <c r="D1065" s="175"/>
      <c r="E1065" s="93" t="str">
        <f>IFERROR(__xludf.DUMMYFUNCTION("IF(D1065&lt;&gt;"""",SPLIT(D1065,"" 
""),)"),"")</f>
        <v/>
      </c>
    </row>
    <row r="1066">
      <c r="A1066" s="96" t="str">
        <f t="shared" si="1"/>
        <v/>
      </c>
      <c r="B1066" s="96" t="str">
        <f t="shared" si="2"/>
        <v/>
      </c>
      <c r="C1066" s="174" t="str">
        <f t="shared" si="3"/>
        <v/>
      </c>
      <c r="D1066" s="175"/>
      <c r="E1066" s="93" t="str">
        <f>IFERROR(__xludf.DUMMYFUNCTION("IF(D1066&lt;&gt;"""",SPLIT(D1066,"" 
""),)"),"")</f>
        <v/>
      </c>
    </row>
    <row r="1067">
      <c r="A1067" s="96" t="str">
        <f t="shared" si="1"/>
        <v/>
      </c>
      <c r="B1067" s="96" t="str">
        <f t="shared" si="2"/>
        <v/>
      </c>
      <c r="C1067" s="174" t="str">
        <f t="shared" si="3"/>
        <v/>
      </c>
      <c r="D1067" s="175"/>
      <c r="E1067" s="93" t="str">
        <f>IFERROR(__xludf.DUMMYFUNCTION("IF(D1067&lt;&gt;"""",SPLIT(D1067,"" 
""),)"),"")</f>
        <v/>
      </c>
    </row>
    <row r="1068">
      <c r="A1068" s="96" t="str">
        <f t="shared" si="1"/>
        <v/>
      </c>
      <c r="B1068" s="96" t="str">
        <f t="shared" si="2"/>
        <v/>
      </c>
      <c r="C1068" s="174" t="str">
        <f t="shared" si="3"/>
        <v/>
      </c>
      <c r="D1068" s="175"/>
      <c r="E1068" s="93" t="str">
        <f>IFERROR(__xludf.DUMMYFUNCTION("IF(D1068&lt;&gt;"""",SPLIT(D1068,"" 
""),)"),"")</f>
        <v/>
      </c>
    </row>
    <row r="1069">
      <c r="A1069" s="96" t="str">
        <f t="shared" si="1"/>
        <v/>
      </c>
      <c r="B1069" s="96" t="str">
        <f t="shared" si="2"/>
        <v/>
      </c>
      <c r="C1069" s="174" t="str">
        <f t="shared" si="3"/>
        <v/>
      </c>
      <c r="D1069" s="175"/>
      <c r="E1069" s="93" t="str">
        <f>IFERROR(__xludf.DUMMYFUNCTION("IF(D1069&lt;&gt;"""",SPLIT(D1069,"" 
""),)"),"")</f>
        <v/>
      </c>
    </row>
    <row r="1070">
      <c r="A1070" s="96" t="str">
        <f t="shared" si="1"/>
        <v/>
      </c>
      <c r="B1070" s="96" t="str">
        <f t="shared" si="2"/>
        <v/>
      </c>
      <c r="C1070" s="174" t="str">
        <f t="shared" si="3"/>
        <v/>
      </c>
      <c r="D1070" s="175"/>
      <c r="E1070" s="93" t="str">
        <f>IFERROR(__xludf.DUMMYFUNCTION("IF(D1070&lt;&gt;"""",SPLIT(D1070,"" 
""),)"),"")</f>
        <v/>
      </c>
    </row>
    <row r="1071">
      <c r="A1071" s="96" t="str">
        <f t="shared" si="1"/>
        <v/>
      </c>
      <c r="B1071" s="96" t="str">
        <f t="shared" si="2"/>
        <v/>
      </c>
      <c r="C1071" s="174" t="str">
        <f t="shared" si="3"/>
        <v/>
      </c>
      <c r="D1071" s="175"/>
      <c r="E1071" s="93" t="str">
        <f>IFERROR(__xludf.DUMMYFUNCTION("IF(D1071&lt;&gt;"""",SPLIT(D1071,"" 
""),)"),"")</f>
        <v/>
      </c>
    </row>
    <row r="1072">
      <c r="A1072" s="96" t="str">
        <f t="shared" si="1"/>
        <v/>
      </c>
      <c r="B1072" s="96" t="str">
        <f t="shared" si="2"/>
        <v/>
      </c>
      <c r="C1072" s="174" t="str">
        <f t="shared" si="3"/>
        <v/>
      </c>
      <c r="D1072" s="175"/>
      <c r="E1072" s="93" t="str">
        <f>IFERROR(__xludf.DUMMYFUNCTION("IF(D1072&lt;&gt;"""",SPLIT(D1072,"" 
""),)"),"")</f>
        <v/>
      </c>
    </row>
    <row r="1073">
      <c r="A1073" s="96" t="str">
        <f t="shared" si="1"/>
        <v/>
      </c>
      <c r="B1073" s="96" t="str">
        <f t="shared" si="2"/>
        <v/>
      </c>
      <c r="C1073" s="174" t="str">
        <f t="shared" si="3"/>
        <v/>
      </c>
      <c r="D1073" s="175"/>
      <c r="E1073" s="93" t="str">
        <f>IFERROR(__xludf.DUMMYFUNCTION("IF(D1073&lt;&gt;"""",SPLIT(D1073,"" 
""),)"),"")</f>
        <v/>
      </c>
    </row>
    <row r="1074">
      <c r="A1074" s="96" t="str">
        <f t="shared" si="1"/>
        <v/>
      </c>
      <c r="B1074" s="96" t="str">
        <f t="shared" si="2"/>
        <v/>
      </c>
      <c r="C1074" s="174" t="str">
        <f t="shared" si="3"/>
        <v/>
      </c>
      <c r="D1074" s="175"/>
      <c r="E1074" s="93" t="str">
        <f>IFERROR(__xludf.DUMMYFUNCTION("IF(D1074&lt;&gt;"""",SPLIT(D1074,"" 
""),)"),"")</f>
        <v/>
      </c>
    </row>
    <row r="1075">
      <c r="A1075" s="96" t="str">
        <f t="shared" si="1"/>
        <v/>
      </c>
      <c r="B1075" s="96" t="str">
        <f t="shared" si="2"/>
        <v/>
      </c>
      <c r="C1075" s="174" t="str">
        <f t="shared" si="3"/>
        <v/>
      </c>
      <c r="D1075" s="175"/>
      <c r="E1075" s="93" t="str">
        <f>IFERROR(__xludf.DUMMYFUNCTION("IF(D1075&lt;&gt;"""",SPLIT(D1075,"" 
""),)"),"")</f>
        <v/>
      </c>
    </row>
    <row r="1076">
      <c r="A1076" s="96" t="str">
        <f t="shared" si="1"/>
        <v/>
      </c>
      <c r="B1076" s="96" t="str">
        <f t="shared" si="2"/>
        <v/>
      </c>
      <c r="C1076" s="174" t="str">
        <f t="shared" si="3"/>
        <v/>
      </c>
      <c r="D1076" s="175"/>
      <c r="E1076" s="93" t="str">
        <f>IFERROR(__xludf.DUMMYFUNCTION("IF(D1076&lt;&gt;"""",SPLIT(D1076,"" 
""),)"),"")</f>
        <v/>
      </c>
    </row>
    <row r="1077">
      <c r="A1077" s="96" t="str">
        <f t="shared" si="1"/>
        <v/>
      </c>
      <c r="B1077" s="96" t="str">
        <f t="shared" si="2"/>
        <v/>
      </c>
      <c r="C1077" s="174" t="str">
        <f t="shared" si="3"/>
        <v/>
      </c>
      <c r="D1077" s="175"/>
      <c r="E1077" s="93" t="str">
        <f>IFERROR(__xludf.DUMMYFUNCTION("IF(D1077&lt;&gt;"""",SPLIT(D1077,"" 
""),)"),"")</f>
        <v/>
      </c>
    </row>
    <row r="1078">
      <c r="A1078" s="96" t="str">
        <f t="shared" si="1"/>
        <v/>
      </c>
      <c r="B1078" s="96" t="str">
        <f t="shared" si="2"/>
        <v/>
      </c>
      <c r="C1078" s="174" t="str">
        <f t="shared" si="3"/>
        <v/>
      </c>
      <c r="D1078" s="175"/>
      <c r="E1078" s="93" t="str">
        <f>IFERROR(__xludf.DUMMYFUNCTION("IF(D1078&lt;&gt;"""",SPLIT(D1078,"" 
""),)"),"")</f>
        <v/>
      </c>
    </row>
    <row r="1079">
      <c r="A1079" s="96" t="str">
        <f t="shared" si="1"/>
        <v/>
      </c>
      <c r="B1079" s="96" t="str">
        <f t="shared" si="2"/>
        <v/>
      </c>
      <c r="C1079" s="174" t="str">
        <f t="shared" si="3"/>
        <v/>
      </c>
      <c r="D1079" s="175"/>
      <c r="E1079" s="93" t="str">
        <f>IFERROR(__xludf.DUMMYFUNCTION("IF(D1079&lt;&gt;"""",SPLIT(D1079,"" 
""),)"),"")</f>
        <v/>
      </c>
    </row>
    <row r="1080">
      <c r="A1080" s="96" t="str">
        <f t="shared" si="1"/>
        <v/>
      </c>
      <c r="B1080" s="96" t="str">
        <f t="shared" si="2"/>
        <v/>
      </c>
      <c r="C1080" s="174" t="str">
        <f t="shared" si="3"/>
        <v/>
      </c>
      <c r="D1080" s="175"/>
      <c r="E1080" s="93" t="str">
        <f>IFERROR(__xludf.DUMMYFUNCTION("IF(D1080&lt;&gt;"""",SPLIT(D1080,"" 
""),)"),"")</f>
        <v/>
      </c>
    </row>
    <row r="1081">
      <c r="A1081" s="96" t="str">
        <f t="shared" si="1"/>
        <v/>
      </c>
      <c r="B1081" s="96" t="str">
        <f t="shared" si="2"/>
        <v/>
      </c>
      <c r="C1081" s="174" t="str">
        <f t="shared" si="3"/>
        <v/>
      </c>
      <c r="D1081" s="175"/>
      <c r="E1081" s="93" t="str">
        <f>IFERROR(__xludf.DUMMYFUNCTION("IF(D1081&lt;&gt;"""",SPLIT(D1081,"" 
""),)"),"")</f>
        <v/>
      </c>
    </row>
    <row r="1082">
      <c r="A1082" s="96" t="str">
        <f t="shared" si="1"/>
        <v/>
      </c>
      <c r="B1082" s="96" t="str">
        <f t="shared" si="2"/>
        <v/>
      </c>
      <c r="C1082" s="174" t="str">
        <f t="shared" si="3"/>
        <v/>
      </c>
      <c r="D1082" s="175"/>
      <c r="E1082" s="93" t="str">
        <f>IFERROR(__xludf.DUMMYFUNCTION("IF(D1082&lt;&gt;"""",SPLIT(D1082,"" 
""),)"),"")</f>
        <v/>
      </c>
    </row>
    <row r="1083">
      <c r="A1083" s="96" t="str">
        <f t="shared" si="1"/>
        <v/>
      </c>
      <c r="B1083" s="96" t="str">
        <f t="shared" si="2"/>
        <v/>
      </c>
      <c r="C1083" s="174" t="str">
        <f t="shared" si="3"/>
        <v/>
      </c>
      <c r="D1083" s="175"/>
      <c r="E1083" s="93" t="str">
        <f>IFERROR(__xludf.DUMMYFUNCTION("IF(D1083&lt;&gt;"""",SPLIT(D1083,"" 
""),)"),"")</f>
        <v/>
      </c>
    </row>
    <row r="1084">
      <c r="A1084" s="96" t="str">
        <f t="shared" si="1"/>
        <v/>
      </c>
      <c r="B1084" s="96" t="str">
        <f t="shared" si="2"/>
        <v/>
      </c>
      <c r="C1084" s="174" t="str">
        <f t="shared" si="3"/>
        <v/>
      </c>
      <c r="D1084" s="175"/>
      <c r="E1084" s="93" t="str">
        <f>IFERROR(__xludf.DUMMYFUNCTION("IF(D1084&lt;&gt;"""",SPLIT(D1084,"" 
""),)"),"")</f>
        <v/>
      </c>
    </row>
    <row r="1085">
      <c r="A1085" s="96" t="str">
        <f t="shared" si="1"/>
        <v/>
      </c>
      <c r="B1085" s="96" t="str">
        <f t="shared" si="2"/>
        <v/>
      </c>
      <c r="C1085" s="174" t="str">
        <f t="shared" si="3"/>
        <v/>
      </c>
      <c r="D1085" s="175"/>
      <c r="E1085" s="93" t="str">
        <f>IFERROR(__xludf.DUMMYFUNCTION("IF(D1085&lt;&gt;"""",SPLIT(D1085,"" 
""),)"),"")</f>
        <v/>
      </c>
    </row>
    <row r="1086">
      <c r="A1086" s="96" t="str">
        <f t="shared" si="1"/>
        <v/>
      </c>
      <c r="B1086" s="96" t="str">
        <f t="shared" si="2"/>
        <v/>
      </c>
      <c r="C1086" s="174" t="str">
        <f t="shared" si="3"/>
        <v/>
      </c>
      <c r="D1086" s="175"/>
      <c r="E1086" s="93" t="str">
        <f>IFERROR(__xludf.DUMMYFUNCTION("IF(D1086&lt;&gt;"""",SPLIT(D1086,"" 
""),)"),"")</f>
        <v/>
      </c>
    </row>
    <row r="1087">
      <c r="A1087" s="96" t="str">
        <f t="shared" si="1"/>
        <v/>
      </c>
      <c r="B1087" s="96" t="str">
        <f t="shared" si="2"/>
        <v/>
      </c>
      <c r="C1087" s="174" t="str">
        <f t="shared" si="3"/>
        <v/>
      </c>
      <c r="D1087" s="175"/>
      <c r="E1087" s="93" t="str">
        <f>IFERROR(__xludf.DUMMYFUNCTION("IF(D1087&lt;&gt;"""",SPLIT(D1087,"" 
""),)"),"")</f>
        <v/>
      </c>
    </row>
    <row r="1088">
      <c r="A1088" s="96" t="str">
        <f t="shared" si="1"/>
        <v/>
      </c>
      <c r="B1088" s="96" t="str">
        <f t="shared" si="2"/>
        <v/>
      </c>
      <c r="C1088" s="174" t="str">
        <f t="shared" si="3"/>
        <v/>
      </c>
      <c r="D1088" s="175"/>
      <c r="E1088" s="93" t="str">
        <f>IFERROR(__xludf.DUMMYFUNCTION("IF(D1088&lt;&gt;"""",SPLIT(D1088,"" 
""),)"),"")</f>
        <v/>
      </c>
    </row>
    <row r="1089">
      <c r="A1089" s="96" t="str">
        <f t="shared" si="1"/>
        <v/>
      </c>
      <c r="B1089" s="96" t="str">
        <f t="shared" si="2"/>
        <v/>
      </c>
      <c r="C1089" s="174" t="str">
        <f t="shared" si="3"/>
        <v/>
      </c>
      <c r="D1089" s="175"/>
      <c r="E1089" s="93" t="str">
        <f>IFERROR(__xludf.DUMMYFUNCTION("IF(D1089&lt;&gt;"""",SPLIT(D1089,"" 
""),)"),"")</f>
        <v/>
      </c>
    </row>
    <row r="1090">
      <c r="A1090" s="96" t="str">
        <f t="shared" si="1"/>
        <v/>
      </c>
      <c r="B1090" s="96" t="str">
        <f t="shared" si="2"/>
        <v/>
      </c>
      <c r="C1090" s="174" t="str">
        <f t="shared" si="3"/>
        <v/>
      </c>
      <c r="D1090" s="175"/>
      <c r="E1090" s="93" t="str">
        <f>IFERROR(__xludf.DUMMYFUNCTION("IF(D1090&lt;&gt;"""",SPLIT(D1090,"" 
""),)"),"")</f>
        <v/>
      </c>
    </row>
    <row r="1091">
      <c r="A1091" s="96" t="str">
        <f t="shared" si="1"/>
        <v/>
      </c>
      <c r="B1091" s="96" t="str">
        <f t="shared" si="2"/>
        <v/>
      </c>
      <c r="C1091" s="174" t="str">
        <f t="shared" si="3"/>
        <v/>
      </c>
      <c r="D1091" s="175"/>
      <c r="E1091" s="93" t="str">
        <f>IFERROR(__xludf.DUMMYFUNCTION("IF(D1091&lt;&gt;"""",SPLIT(D1091,"" 
""),)"),"")</f>
        <v/>
      </c>
    </row>
    <row r="1092">
      <c r="A1092" s="96" t="str">
        <f t="shared" si="1"/>
        <v/>
      </c>
      <c r="B1092" s="96" t="str">
        <f t="shared" si="2"/>
        <v/>
      </c>
      <c r="C1092" s="174" t="str">
        <f t="shared" si="3"/>
        <v/>
      </c>
      <c r="D1092" s="175"/>
      <c r="E1092" s="93" t="str">
        <f>IFERROR(__xludf.DUMMYFUNCTION("IF(D1092&lt;&gt;"""",SPLIT(D1092,"" 
""),)"),"")</f>
        <v/>
      </c>
    </row>
    <row r="1093">
      <c r="A1093" s="96" t="str">
        <f t="shared" si="1"/>
        <v/>
      </c>
      <c r="B1093" s="96" t="str">
        <f t="shared" si="2"/>
        <v/>
      </c>
      <c r="C1093" s="174" t="str">
        <f t="shared" si="3"/>
        <v/>
      </c>
      <c r="D1093" s="175"/>
      <c r="E1093" s="93" t="str">
        <f>IFERROR(__xludf.DUMMYFUNCTION("IF(D1093&lt;&gt;"""",SPLIT(D1093,"" 
""),)"),"")</f>
        <v/>
      </c>
    </row>
    <row r="1094">
      <c r="A1094" s="96" t="str">
        <f t="shared" si="1"/>
        <v/>
      </c>
      <c r="B1094" s="96" t="str">
        <f t="shared" si="2"/>
        <v/>
      </c>
      <c r="C1094" s="174" t="str">
        <f t="shared" si="3"/>
        <v/>
      </c>
      <c r="D1094" s="175"/>
      <c r="E1094" s="93" t="str">
        <f>IFERROR(__xludf.DUMMYFUNCTION("IF(D1094&lt;&gt;"""",SPLIT(D1094,"" 
""),)"),"")</f>
        <v/>
      </c>
    </row>
    <row r="1095">
      <c r="A1095" s="96" t="str">
        <f t="shared" si="1"/>
        <v/>
      </c>
      <c r="B1095" s="96" t="str">
        <f t="shared" si="2"/>
        <v/>
      </c>
      <c r="C1095" s="174" t="str">
        <f t="shared" si="3"/>
        <v/>
      </c>
      <c r="D1095" s="175"/>
      <c r="E1095" s="93" t="str">
        <f>IFERROR(__xludf.DUMMYFUNCTION("IF(D1095&lt;&gt;"""",SPLIT(D1095,"" 
""),)"),"")</f>
        <v/>
      </c>
    </row>
    <row r="1096">
      <c r="A1096" s="96" t="str">
        <f t="shared" si="1"/>
        <v/>
      </c>
      <c r="B1096" s="96" t="str">
        <f t="shared" si="2"/>
        <v/>
      </c>
      <c r="C1096" s="174" t="str">
        <f t="shared" si="3"/>
        <v/>
      </c>
      <c r="D1096" s="175"/>
      <c r="E1096" s="93" t="str">
        <f>IFERROR(__xludf.DUMMYFUNCTION("IF(D1096&lt;&gt;"""",SPLIT(D1096,"" 
""),)"),"")</f>
        <v/>
      </c>
    </row>
    <row r="1097">
      <c r="A1097" s="96" t="str">
        <f t="shared" si="1"/>
        <v/>
      </c>
      <c r="B1097" s="96" t="str">
        <f t="shared" si="2"/>
        <v/>
      </c>
      <c r="C1097" s="174" t="str">
        <f t="shared" si="3"/>
        <v/>
      </c>
      <c r="D1097" s="175"/>
      <c r="E1097" s="93" t="str">
        <f>IFERROR(__xludf.DUMMYFUNCTION("IF(D1097&lt;&gt;"""",SPLIT(D1097,"" 
""),)"),"")</f>
        <v/>
      </c>
    </row>
    <row r="1098">
      <c r="A1098" s="96" t="str">
        <f t="shared" si="1"/>
        <v/>
      </c>
      <c r="B1098" s="96" t="str">
        <f t="shared" si="2"/>
        <v/>
      </c>
      <c r="C1098" s="174" t="str">
        <f t="shared" si="3"/>
        <v/>
      </c>
      <c r="D1098" s="175"/>
      <c r="E1098" s="93" t="str">
        <f>IFERROR(__xludf.DUMMYFUNCTION("IF(D1098&lt;&gt;"""",SPLIT(D1098,"" 
""),)"),"")</f>
        <v/>
      </c>
    </row>
    <row r="1099">
      <c r="A1099" s="96" t="str">
        <f t="shared" si="1"/>
        <v/>
      </c>
      <c r="B1099" s="96" t="str">
        <f t="shared" si="2"/>
        <v/>
      </c>
      <c r="C1099" s="174" t="str">
        <f t="shared" si="3"/>
        <v/>
      </c>
      <c r="D1099" s="175"/>
      <c r="E1099" s="93" t="str">
        <f>IFERROR(__xludf.DUMMYFUNCTION("IF(D1099&lt;&gt;"""",SPLIT(D1099,"" 
""),)"),"")</f>
        <v/>
      </c>
    </row>
    <row r="1100">
      <c r="A1100" s="96" t="str">
        <f t="shared" si="1"/>
        <v/>
      </c>
      <c r="B1100" s="96" t="str">
        <f t="shared" si="2"/>
        <v/>
      </c>
      <c r="C1100" s="174" t="str">
        <f t="shared" si="3"/>
        <v/>
      </c>
      <c r="D1100" s="175"/>
      <c r="E1100" s="93" t="str">
        <f>IFERROR(__xludf.DUMMYFUNCTION("IF(D1100&lt;&gt;"""",SPLIT(D1100,"" 
""),)"),"")</f>
        <v/>
      </c>
    </row>
    <row r="1101">
      <c r="A1101" s="96" t="str">
        <f t="shared" si="1"/>
        <v/>
      </c>
      <c r="B1101" s="96" t="str">
        <f t="shared" si="2"/>
        <v/>
      </c>
      <c r="C1101" s="174" t="str">
        <f t="shared" si="3"/>
        <v/>
      </c>
      <c r="D1101" s="175"/>
      <c r="E1101" s="93" t="str">
        <f>IFERROR(__xludf.DUMMYFUNCTION("IF(D1101&lt;&gt;"""",SPLIT(D1101,"" 
""),)"),"")</f>
        <v/>
      </c>
    </row>
    <row r="1102">
      <c r="A1102" s="96" t="str">
        <f t="shared" si="1"/>
        <v/>
      </c>
      <c r="B1102" s="96" t="str">
        <f t="shared" si="2"/>
        <v/>
      </c>
      <c r="C1102" s="174" t="str">
        <f t="shared" si="3"/>
        <v/>
      </c>
      <c r="D1102" s="175"/>
      <c r="E1102" s="93" t="str">
        <f>IFERROR(__xludf.DUMMYFUNCTION("IF(D1102&lt;&gt;"""",SPLIT(D1102,"" 
""),)"),"")</f>
        <v/>
      </c>
    </row>
    <row r="1103">
      <c r="A1103" s="96" t="str">
        <f t="shared" si="1"/>
        <v/>
      </c>
      <c r="B1103" s="96" t="str">
        <f t="shared" si="2"/>
        <v/>
      </c>
      <c r="C1103" s="174" t="str">
        <f t="shared" si="3"/>
        <v/>
      </c>
      <c r="D1103" s="175"/>
      <c r="E1103" s="93" t="str">
        <f>IFERROR(__xludf.DUMMYFUNCTION("IF(D1103&lt;&gt;"""",SPLIT(D1103,"" 
""),)"),"")</f>
        <v/>
      </c>
    </row>
    <row r="1104">
      <c r="A1104" s="96" t="str">
        <f t="shared" si="1"/>
        <v/>
      </c>
      <c r="B1104" s="96" t="str">
        <f t="shared" si="2"/>
        <v/>
      </c>
      <c r="C1104" s="174" t="str">
        <f t="shared" si="3"/>
        <v/>
      </c>
      <c r="D1104" s="175"/>
      <c r="E1104" s="93" t="str">
        <f>IFERROR(__xludf.DUMMYFUNCTION("IF(D1104&lt;&gt;"""",SPLIT(D1104,"" 
""),)"),"")</f>
        <v/>
      </c>
    </row>
    <row r="1105">
      <c r="A1105" s="96" t="str">
        <f t="shared" si="1"/>
        <v/>
      </c>
      <c r="B1105" s="96" t="str">
        <f t="shared" si="2"/>
        <v/>
      </c>
      <c r="C1105" s="174" t="str">
        <f t="shared" si="3"/>
        <v/>
      </c>
      <c r="D1105" s="175"/>
      <c r="E1105" s="93" t="str">
        <f>IFERROR(__xludf.DUMMYFUNCTION("IF(D1105&lt;&gt;"""",SPLIT(D1105,"" 
""),)"),"")</f>
        <v/>
      </c>
    </row>
    <row r="1106">
      <c r="A1106" s="96" t="str">
        <f t="shared" si="1"/>
        <v/>
      </c>
      <c r="B1106" s="96" t="str">
        <f t="shared" si="2"/>
        <v/>
      </c>
      <c r="C1106" s="174" t="str">
        <f t="shared" si="3"/>
        <v/>
      </c>
      <c r="D1106" s="175"/>
      <c r="E1106" s="93" t="str">
        <f>IFERROR(__xludf.DUMMYFUNCTION("IF(D1106&lt;&gt;"""",SPLIT(D1106,"" 
""),)"),"")</f>
        <v/>
      </c>
    </row>
    <row r="1107">
      <c r="A1107" s="96" t="str">
        <f t="shared" si="1"/>
        <v/>
      </c>
      <c r="B1107" s="96" t="str">
        <f t="shared" si="2"/>
        <v/>
      </c>
      <c r="C1107" s="174" t="str">
        <f t="shared" si="3"/>
        <v/>
      </c>
      <c r="D1107" s="175"/>
      <c r="E1107" s="93" t="str">
        <f>IFERROR(__xludf.DUMMYFUNCTION("IF(D1107&lt;&gt;"""",SPLIT(D1107,"" 
""),)"),"")</f>
        <v/>
      </c>
    </row>
    <row r="1108">
      <c r="A1108" s="96" t="str">
        <f t="shared" si="1"/>
        <v/>
      </c>
      <c r="B1108" s="96" t="str">
        <f t="shared" si="2"/>
        <v/>
      </c>
      <c r="C1108" s="174" t="str">
        <f t="shared" si="3"/>
        <v/>
      </c>
      <c r="D1108" s="175"/>
      <c r="E1108" s="93" t="str">
        <f>IFERROR(__xludf.DUMMYFUNCTION("IF(D1108&lt;&gt;"""",SPLIT(D1108,"" 
""),)"),"")</f>
        <v/>
      </c>
    </row>
    <row r="1109">
      <c r="A1109" s="96" t="str">
        <f t="shared" si="1"/>
        <v/>
      </c>
      <c r="B1109" s="96" t="str">
        <f t="shared" si="2"/>
        <v/>
      </c>
      <c r="C1109" s="174" t="str">
        <f t="shared" si="3"/>
        <v/>
      </c>
      <c r="D1109" s="175"/>
      <c r="E1109" s="93" t="str">
        <f>IFERROR(__xludf.DUMMYFUNCTION("IF(D1109&lt;&gt;"""",SPLIT(D1109,"" 
""),)"),"")</f>
        <v/>
      </c>
    </row>
    <row r="1110">
      <c r="A1110" s="96" t="str">
        <f t="shared" si="1"/>
        <v/>
      </c>
      <c r="B1110" s="96" t="str">
        <f t="shared" si="2"/>
        <v/>
      </c>
      <c r="C1110" s="174" t="str">
        <f t="shared" si="3"/>
        <v/>
      </c>
      <c r="D1110" s="175"/>
      <c r="E1110" s="93" t="str">
        <f>IFERROR(__xludf.DUMMYFUNCTION("IF(D1110&lt;&gt;"""",SPLIT(D1110,"" 
""),)"),"")</f>
        <v/>
      </c>
    </row>
    <row r="1111">
      <c r="A1111" s="96" t="str">
        <f t="shared" si="1"/>
        <v/>
      </c>
      <c r="B1111" s="96" t="str">
        <f t="shared" si="2"/>
        <v/>
      </c>
      <c r="C1111" s="174" t="str">
        <f t="shared" si="3"/>
        <v/>
      </c>
      <c r="D1111" s="175"/>
      <c r="E1111" s="93" t="str">
        <f>IFERROR(__xludf.DUMMYFUNCTION("IF(D1111&lt;&gt;"""",SPLIT(D1111,"" 
""),)"),"")</f>
        <v/>
      </c>
    </row>
    <row r="1112">
      <c r="A1112" s="96" t="str">
        <f t="shared" si="1"/>
        <v/>
      </c>
      <c r="B1112" s="96" t="str">
        <f t="shared" si="2"/>
        <v/>
      </c>
      <c r="C1112" s="174" t="str">
        <f t="shared" si="3"/>
        <v/>
      </c>
      <c r="D1112" s="175"/>
      <c r="E1112" s="93" t="str">
        <f>IFERROR(__xludf.DUMMYFUNCTION("IF(D1112&lt;&gt;"""",SPLIT(D1112,"" 
""),)"),"")</f>
        <v/>
      </c>
    </row>
    <row r="1113">
      <c r="A1113" s="96" t="str">
        <f t="shared" si="1"/>
        <v/>
      </c>
      <c r="B1113" s="96" t="str">
        <f t="shared" si="2"/>
        <v/>
      </c>
      <c r="C1113" s="174" t="str">
        <f t="shared" si="3"/>
        <v/>
      </c>
      <c r="D1113" s="175"/>
      <c r="E1113" s="93" t="str">
        <f>IFERROR(__xludf.DUMMYFUNCTION("IF(D1113&lt;&gt;"""",SPLIT(D1113,"" 
""),)"),"")</f>
        <v/>
      </c>
    </row>
    <row r="1114">
      <c r="A1114" s="96" t="str">
        <f t="shared" si="1"/>
        <v/>
      </c>
      <c r="B1114" s="96" t="str">
        <f t="shared" si="2"/>
        <v/>
      </c>
      <c r="C1114" s="174" t="str">
        <f t="shared" si="3"/>
        <v/>
      </c>
      <c r="D1114" s="175"/>
      <c r="E1114" s="93" t="str">
        <f>IFERROR(__xludf.DUMMYFUNCTION("IF(D1114&lt;&gt;"""",SPLIT(D1114,"" 
""),)"),"")</f>
        <v/>
      </c>
    </row>
    <row r="1115">
      <c r="A1115" s="96" t="str">
        <f t="shared" si="1"/>
        <v/>
      </c>
      <c r="B1115" s="96" t="str">
        <f t="shared" si="2"/>
        <v/>
      </c>
      <c r="C1115" s="174" t="str">
        <f t="shared" si="3"/>
        <v/>
      </c>
      <c r="D1115" s="175"/>
      <c r="E1115" s="93" t="str">
        <f>IFERROR(__xludf.DUMMYFUNCTION("IF(D1115&lt;&gt;"""",SPLIT(D1115,"" 
""),)"),"")</f>
        <v/>
      </c>
    </row>
    <row r="1116">
      <c r="A1116" s="96" t="str">
        <f t="shared" si="1"/>
        <v/>
      </c>
      <c r="B1116" s="96" t="str">
        <f t="shared" si="2"/>
        <v/>
      </c>
      <c r="C1116" s="174" t="str">
        <f t="shared" si="3"/>
        <v/>
      </c>
      <c r="D1116" s="175"/>
      <c r="E1116" s="93" t="str">
        <f>IFERROR(__xludf.DUMMYFUNCTION("IF(D1116&lt;&gt;"""",SPLIT(D1116,"" 
""),)"),"")</f>
        <v/>
      </c>
    </row>
    <row r="1117">
      <c r="A1117" s="96" t="str">
        <f t="shared" si="1"/>
        <v/>
      </c>
      <c r="B1117" s="96" t="str">
        <f t="shared" si="2"/>
        <v/>
      </c>
      <c r="C1117" s="174" t="str">
        <f t="shared" si="3"/>
        <v/>
      </c>
      <c r="D1117" s="175"/>
      <c r="E1117" s="93" t="str">
        <f>IFERROR(__xludf.DUMMYFUNCTION("IF(D1117&lt;&gt;"""",SPLIT(D1117,"" 
""),)"),"")</f>
        <v/>
      </c>
    </row>
    <row r="1118">
      <c r="A1118" s="96" t="str">
        <f t="shared" si="1"/>
        <v/>
      </c>
      <c r="B1118" s="96" t="str">
        <f t="shared" si="2"/>
        <v/>
      </c>
      <c r="C1118" s="174" t="str">
        <f t="shared" si="3"/>
        <v/>
      </c>
      <c r="D1118" s="175"/>
      <c r="E1118" s="93" t="str">
        <f>IFERROR(__xludf.DUMMYFUNCTION("IF(D1118&lt;&gt;"""",SPLIT(D1118,"" 
""),)"),"")</f>
        <v/>
      </c>
    </row>
    <row r="1119">
      <c r="A1119" s="96" t="str">
        <f t="shared" si="1"/>
        <v/>
      </c>
      <c r="B1119" s="96" t="str">
        <f t="shared" si="2"/>
        <v/>
      </c>
      <c r="C1119" s="174" t="str">
        <f t="shared" si="3"/>
        <v/>
      </c>
      <c r="D1119" s="175"/>
      <c r="E1119" s="93" t="str">
        <f>IFERROR(__xludf.DUMMYFUNCTION("IF(D1119&lt;&gt;"""",SPLIT(D1119,"" 
""),)"),"")</f>
        <v/>
      </c>
    </row>
    <row r="1120">
      <c r="A1120" s="96" t="str">
        <f t="shared" si="1"/>
        <v/>
      </c>
      <c r="B1120" s="96" t="str">
        <f t="shared" si="2"/>
        <v/>
      </c>
      <c r="C1120" s="174" t="str">
        <f t="shared" si="3"/>
        <v/>
      </c>
      <c r="D1120" s="175"/>
      <c r="E1120" s="93" t="str">
        <f>IFERROR(__xludf.DUMMYFUNCTION("IF(D1120&lt;&gt;"""",SPLIT(D1120,"" 
""),)"),"")</f>
        <v/>
      </c>
    </row>
    <row r="1121">
      <c r="A1121" s="96" t="str">
        <f t="shared" si="1"/>
        <v/>
      </c>
      <c r="B1121" s="96" t="str">
        <f t="shared" si="2"/>
        <v/>
      </c>
      <c r="C1121" s="174" t="str">
        <f t="shared" si="3"/>
        <v/>
      </c>
      <c r="D1121" s="175"/>
      <c r="E1121" s="93" t="str">
        <f>IFERROR(__xludf.DUMMYFUNCTION("IF(D1121&lt;&gt;"""",SPLIT(D1121,"" 
""),)"),"")</f>
        <v/>
      </c>
    </row>
    <row r="1122">
      <c r="A1122" s="96" t="str">
        <f t="shared" si="1"/>
        <v/>
      </c>
      <c r="B1122" s="96" t="str">
        <f t="shared" si="2"/>
        <v/>
      </c>
      <c r="C1122" s="174" t="str">
        <f t="shared" si="3"/>
        <v/>
      </c>
      <c r="D1122" s="175"/>
      <c r="E1122" s="93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