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hant" sheetId="1" r:id="rId4"/>
    <sheet state="visible" name="Transactions" sheetId="2" r:id="rId5"/>
    <sheet state="visible" name="PaidTransactions" sheetId="3" r:id="rId6"/>
    <sheet state="visible" name="Check" sheetId="4" r:id="rId7"/>
    <sheet state="visible" name="Message" sheetId="5" r:id="rId8"/>
    <sheet state="visible" name="Token" sheetId="6" r:id="rId9"/>
    <sheet state="hidden" name="Pool" sheetId="7" r:id="rId10"/>
    <sheet state="visible" name="2" sheetId="8" r:id="rId11"/>
    <sheet state="visible" name="3" sheetId="9" r:id="rId12"/>
    <sheet state="visible" name="1" sheetId="10" r:id="rId13"/>
  </sheets>
  <definedNames>
    <definedName hidden="1" localSheetId="2" name="_xlnm._FilterDatabase">PaidTransactions!$A$1:$F$30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sharedStrings.xml><?xml version="1.0" encoding="utf-8"?>
<sst xmlns="http://schemas.openxmlformats.org/spreadsheetml/2006/main" count="127" uniqueCount="57">
  <si>
    <t>Not Paid</t>
  </si>
  <si>
    <t>Paid</t>
  </si>
  <si>
    <t>Last withdraw</t>
  </si>
  <si>
    <t>Next withdraw</t>
  </si>
  <si>
    <t>Date</t>
  </si>
  <si>
    <t>Amount</t>
  </si>
  <si>
    <t>Merchant</t>
  </si>
  <si>
    <t>Crypto</t>
  </si>
  <si>
    <t>Exchange</t>
  </si>
  <si>
    <t>Change rate</t>
  </si>
  <si>
    <t>agEUR</t>
  </si>
  <si>
    <t>UST</t>
  </si>
  <si>
    <t>Crypto Address</t>
  </si>
  <si>
    <t>Company</t>
  </si>
  <si>
    <t>Customer</t>
  </si>
  <si>
    <t>Status</t>
  </si>
  <si>
    <t>Time</t>
  </si>
  <si>
    <t>Duration</t>
  </si>
  <si>
    <t>/blockTime</t>
  </si>
  <si>
    <t>/txHash</t>
  </si>
  <si>
    <t>/status</t>
  </si>
  <si>
    <t>/includeSPLTransfer</t>
  </si>
  <si>
    <t>/confirmations</t>
  </si>
  <si>
    <t>/tokenTransfers/destination_owner</t>
  </si>
  <si>
    <t>/tokenTransfers/amount</t>
  </si>
  <si>
    <t>/tokenTransfers/token/address</t>
  </si>
  <si>
    <t>/tokenTransfers/token/decimals</t>
  </si>
  <si>
    <t>GZLPJYkR3diD8c8vpgb7sXHEH9sG1R9sWa3yPwaL9Peb</t>
  </si>
  <si>
    <t>Le pain d'Annette</t>
  </si>
  <si>
    <t>88r4F8tmgzxyxSoQFz5cWwTMAqtM8xB8pABfL4ikcJyx</t>
  </si>
  <si>
    <t>Nature et bulles</t>
  </si>
  <si>
    <t>Code</t>
  </si>
  <si>
    <t>Message</t>
  </si>
  <si>
    <t>Error : No transaction</t>
  </si>
  <si>
    <t>Error : Invalid transaction</t>
  </si>
  <si>
    <t>Error : Wrong merchant</t>
  </si>
  <si>
    <t>Error : Wrong token</t>
  </si>
  <si>
    <t>Warning : Transaction occured a long time ago</t>
  </si>
  <si>
    <t>Processing ...</t>
  </si>
  <si>
    <t>Symbol</t>
  </si>
  <si>
    <t>Address</t>
  </si>
  <si>
    <t>Exchange Rate</t>
  </si>
  <si>
    <t>CbNYA9n3927uXUukee2Hf4tm3xxkffJPPZvGazc2EAH1</t>
  </si>
  <si>
    <t>USDC</t>
  </si>
  <si>
    <t>EPjFWdd5AufqSSqeM2qN1xzybapC8G4wEGGkZwyTDt1v</t>
  </si>
  <si>
    <t>USDT</t>
  </si>
  <si>
    <t>Es9vMFrzaCERmJfrF4H2FYD4KCoNkY11McCe8BenwNYB</t>
  </si>
  <si>
    <t>EUR</t>
  </si>
  <si>
    <t>Currency</t>
  </si>
  <si>
    <t>Change Rate</t>
  </si>
  <si>
    <t>/total</t>
  </si>
  <si>
    <t>/data/changeAmount</t>
  </si>
  <si>
    <t>/data/decimals</t>
  </si>
  <si>
    <t>/data/symbol</t>
  </si>
  <si>
    <t>/data/blockTime</t>
  </si>
  <si>
    <t>/data/owner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</si>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</sst>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&quot;/&quot;mm&quot;/&quot;yyyy"/>
    <numFmt numFmtId="165" formatCode="#,##0.00[$ €]"/>
    <numFmt numFmtId="166" formatCode="dd&quot;/&quot;mm&quot;/&quot;yyyy&quot; &quot;hh&quot;:&quot;mm&quot;:&quot;ss"/>
    <numFmt numFmtId="167" formatCode="0.000"/>
    <numFmt numFmtId="168" formatCode="#,##0.00##\ [$€-1]"/>
    <numFmt numFmtId="169" formatCode="0.00000"/>
    <numFmt numFmtId="170" formatCode="m/d/yyyy h:mm:ss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2" fontId="1" numFmtId="167" xfId="0" applyAlignment="1" applyFont="1" applyNumberFormat="1">
      <alignment horizontal="center" readingOrder="0"/>
    </xf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4" fontId="4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1" fillId="5" fontId="1" numFmtId="0" xfId="0" applyAlignment="1" applyBorder="1" applyFill="1" applyFont="1">
      <alignment horizontal="center"/>
    </xf>
    <xf borderId="0" fillId="5" fontId="1" numFmtId="0" xfId="0" applyAlignment="1" applyFont="1">
      <alignment horizontal="center"/>
    </xf>
    <xf borderId="1" fillId="0" fontId="2" numFmtId="0" xfId="0" applyBorder="1" applyFont="1"/>
    <xf borderId="0" fillId="0" fontId="2" numFmtId="168" xfId="0" applyFont="1" applyNumberFormat="1"/>
    <xf borderId="0" fillId="0" fontId="2" numFmtId="166" xfId="0" applyFont="1" applyNumberFormat="1"/>
    <xf borderId="0" fillId="0" fontId="2" numFmtId="46" xfId="0" applyFont="1" applyNumberFormat="1"/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9" xfId="0" applyFont="1" applyNumberFormat="1"/>
    <xf borderId="0" fillId="0" fontId="2" numFmtId="170" xfId="0" applyFont="1" applyNumberFormat="1"/>
    <xf borderId="0" fillId="0" fontId="2" numFmtId="164" xfId="0" applyAlignment="1" applyFont="1" applyNumberFormat="1">
      <alignment readingOrder="0"/>
    </xf>
    <xf borderId="0" fillId="0" fontId="2" numFmtId="19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17.38"/>
    <col customWidth="1" min="3" max="3" width="13.5"/>
    <col customWidth="1" min="4" max="4" width="8.38"/>
    <col customWidth="1" min="5" max="5" width="8.25"/>
    <col customWidth="1" min="6" max="6" width="9.88"/>
    <col customWidth="1" min="7" max="8" width="10.13"/>
    <col customWidth="1" min="9" max="10" width="15.75"/>
    <col customWidth="1" hidden="1" min="11" max="11" width="21.75"/>
  </cols>
  <sheetData>
    <row r="1">
      <c r="A1" s="1" t="str">
        <f>IFERROR(__xludf.DUMMYFUNCTION("IMPORTRANGE(""https://docs.google.com/spreadsheets/d/1_3xkbHqUd8_WE7W39l9YM097EKIFRe_ZVYNR6he5J80/edit#gid=838843478"",""Merchant!A:F"")"),"Index")</f>
        <v>Index</v>
      </c>
      <c r="B1" s="1" t="str">
        <f>IFERROR(__xludf.DUMMYFUNCTION("""COMPUTED_VALUE"""),"Crypto Address")</f>
        <v>Crypto Address</v>
      </c>
      <c r="C1" s="1" t="str">
        <f>IFERROR(__xludf.DUMMYFUNCTION("""COMPUTED_VALUE"""),"Company")</f>
        <v>Company</v>
      </c>
      <c r="D1" s="1" t="str">
        <f>IFERROR(__xludf.DUMMYFUNCTION("""COMPUTED_VALUE"""),"Fiat Ratio")</f>
        <v>Fiat Ratio</v>
      </c>
      <c r="E1" s="1" t="str">
        <f>IFERROR(__xludf.DUMMYFUNCTION("""COMPUTED_VALUE"""),"Withdraw")</f>
        <v>Withdraw</v>
      </c>
      <c r="F1" s="1" t="str">
        <f>IFERROR(__xludf.DUMMYFUNCTION("""COMPUTED_VALUE"""),"Notification")</f>
        <v>Notification</v>
      </c>
      <c r="G1" s="2" t="s">
        <v>0</v>
      </c>
      <c r="H1" s="3" t="s">
        <v>1</v>
      </c>
      <c r="I1" s="4" t="s">
        <v>2</v>
      </c>
      <c r="J1" s="3" t="s">
        <v>3</v>
      </c>
      <c r="K1" s="3" t="str">
        <f>IFERROR(__xludf.DUMMYFUNCTION("IMPORTRANGE(""https://docs.google.com/spreadsheets/d/1_3xkbHqUd8_WE7W39l9YM097EKIFRe_ZVYNR6he5J80/edit#gid=838843478"",""Merchant!G:G"")"),"Email")</f>
        <v>Email</v>
      </c>
    </row>
    <row r="2">
      <c r="A2" s="5">
        <f>IFERROR(__xludf.DUMMYFUNCTION("""COMPUTED_VALUE"""),2.0)</f>
        <v>2</v>
      </c>
      <c r="B2" s="5" t="str">
        <f>IFERROR(__xludf.DUMMYFUNCTION("""COMPUTED_VALUE"""),"GZLPJYkR3diD8c8vpgb7sXHEH9sG1R9sWa3yPwaL9Peb")</f>
        <v>GZLPJYkR3diD8c8vpgb7sXHEH9sG1R9sWa3yPwaL9Peb</v>
      </c>
      <c r="C2" s="5" t="str">
        <f>IFERROR(__xludf.DUMMYFUNCTION("""COMPUTED_VALUE"""),"Le pain d'Annette")</f>
        <v>Le pain d'Annette</v>
      </c>
      <c r="D2" s="6">
        <f>IFERROR(__xludf.DUMMYFUNCTION("""COMPUTED_VALUE"""),1.0)</f>
        <v>1</v>
      </c>
      <c r="E2" s="5" t="str">
        <f>IFERROR(__xludf.DUMMYFUNCTION("""COMPUTED_VALUE"""),"Weekly")</f>
        <v>Weekly</v>
      </c>
      <c r="F2" s="5" t="str">
        <f>IFERROR(__xludf.DUMMYFUNCTION("""COMPUTED_VALUE"""),"No")</f>
        <v>No</v>
      </c>
      <c r="G2" s="7">
        <f>SUMIFS(Transactions!$B:$B,Transactions!$C:$C,$A2)</f>
        <v>0</v>
      </c>
      <c r="H2" s="8">
        <f>SUMIFS(PaidTransactions!$B:$B,PaidTransactions!$C:$C,$A2)</f>
        <v>155.09</v>
      </c>
      <c r="I2" s="9">
        <v>44717.83902084491</v>
      </c>
      <c r="J2" s="9">
        <f t="shared" ref="J2:J3" si="1">SWITCH($E2,"Monthly",DATE(YEAR(TODAY()),MONTH(TODAY())+1,1),"Weekly",TODAY()+7-WEEKDAY(TODAY(),2),"Daily",TODAY()) + TIME(20,0,0)</f>
        <v>44724.83333</v>
      </c>
      <c r="K2" s="9" t="str">
        <f>IFERROR(__xludf.DUMMYFUNCTION("""COMPUTED_VALUE"""),"lepaindannette@free.fr")</f>
        <v>lepaindannette@free.fr</v>
      </c>
    </row>
    <row r="3">
      <c r="A3" s="5">
        <f>IFERROR(__xludf.DUMMYFUNCTION("""COMPUTED_VALUE"""),3.0)</f>
        <v>3</v>
      </c>
      <c r="B3" s="5" t="str">
        <f>IFERROR(__xludf.DUMMYFUNCTION("""COMPUTED_VALUE"""),"88r4F8tmgzxyxSoQFz5cWwTMAqtM8xB8pABfL4ikcJyx")</f>
        <v>88r4F8tmgzxyxSoQFz5cWwTMAqtM8xB8pABfL4ikcJyx</v>
      </c>
      <c r="C3" s="5" t="str">
        <f>IFERROR(__xludf.DUMMYFUNCTION("""COMPUTED_VALUE"""),"Nature et bulles")</f>
        <v>Nature et bulles</v>
      </c>
      <c r="D3" s="6">
        <f>IFERROR(__xludf.DUMMYFUNCTION("""COMPUTED_VALUE"""),1.0)</f>
        <v>1</v>
      </c>
      <c r="E3" s="5" t="str">
        <f>IFERROR(__xludf.DUMMYFUNCTION("""COMPUTED_VALUE"""),"Weekly")</f>
        <v>Weekly</v>
      </c>
      <c r="F3" s="5" t="str">
        <f>IFERROR(__xludf.DUMMYFUNCTION("""COMPUTED_VALUE"""),"No")</f>
        <v>No</v>
      </c>
      <c r="G3" s="7">
        <f>SUMIFS(Transactions!$B:$B,Transactions!$C:$C,$A3)</f>
        <v>0</v>
      </c>
      <c r="H3" s="8">
        <f>SUMIFS(PaidTransactions!$B:$B,PaidTransactions!$C:$C,$A3)</f>
        <v>29</v>
      </c>
      <c r="I3" s="9">
        <v>44717.83902084491</v>
      </c>
      <c r="J3" s="9">
        <f t="shared" si="1"/>
        <v>44724.83333</v>
      </c>
      <c r="K3" s="9" t="str">
        <f>IFERROR(__xludf.DUMMYFUNCTION("""COMPUTED_VALUE"""),"contact@natureetbulles.com")</f>
        <v>contact@natureetbulles.com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1.0</v>
      </c>
      <c r="H1" s="13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</row>
    <row r="2">
      <c r="A2" s="26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#N/A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26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5" t="str">
        <f>(VLOOKUP($G$1,Merchant!$A:$J,9)-DATE(1970,1,1)-IF($G$6&lt;&gt;"",$G$6,0))*86400</f>
        <v>#N/A</v>
      </c>
    </row>
    <row r="4">
      <c r="A4" s="26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5" t="str">
        <f>(MAX(TODAY()+1,VLOOKUP($G$1,Merchant!$A:$J,10))-DATE(1970,1,1)-IF($G$6&lt;&gt;"",$G$6,0))*86400</f>
        <v>#N/A</v>
      </c>
    </row>
    <row r="5">
      <c r="A5" s="26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29">
        <f>(DATE(2022,6,6)-DATE(1970,1,1)-IF($G$6&lt;&gt;"",$G$6,0))*86400</f>
        <v>1654466400</v>
      </c>
    </row>
    <row r="6">
      <c r="A6" s="26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0">
        <f>TIME(2,0,0)</f>
        <v>0.08333333333</v>
      </c>
    </row>
    <row r="7">
      <c r="A7" s="26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 t="s">
        <v>56</v>
      </c>
    </row>
    <row r="8">
      <c r="A8" s="26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26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1">
        <f>TODAY()+TIME(7,0,0)</f>
        <v>44721.29167</v>
      </c>
    </row>
    <row r="10">
      <c r="A10" s="26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1">
        <f>TODAY()+TIME(20,0,0)</f>
        <v>44721.83333</v>
      </c>
    </row>
    <row r="11">
      <c r="A11" s="26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26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26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26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26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26"/>
    </row>
    <row r="16">
      <c r="A16" s="26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26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26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26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26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26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26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26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26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26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26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26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26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26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26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26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26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26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26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26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26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26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26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26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26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26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26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26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26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26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26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26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26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26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26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26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26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26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26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26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26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26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26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26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26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26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26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26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26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26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26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26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26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26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26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26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26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26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26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26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26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26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26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26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26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26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26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26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26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26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26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26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26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26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26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26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26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26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26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26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26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26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26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26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26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26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26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26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26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26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26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26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26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26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26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26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26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26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26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26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26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26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26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26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26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26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26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26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26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26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26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26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26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26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26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26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26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26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26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26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26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26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26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26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26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26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26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26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26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26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26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26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26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26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26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26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26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26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26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26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26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26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26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26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26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26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26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26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26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26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26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26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26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26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26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26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26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26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26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26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26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26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26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26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26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26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26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26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26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26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26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26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26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26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26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26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26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26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26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26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26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26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26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26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26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26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26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26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26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26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26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26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26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26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26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26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26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26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26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26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26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26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26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26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26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26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26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26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26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26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26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26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26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26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26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26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26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26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26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26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26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26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26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26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26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26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26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26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26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26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26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26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26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26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26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26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26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26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26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26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26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26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26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26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26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26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26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26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26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26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26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26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26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26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26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26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26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26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26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26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26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26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26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26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26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26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26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26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26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26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26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26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26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26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26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26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26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26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26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26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26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26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26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26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26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26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26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26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26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26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26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26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26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26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26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26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26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26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26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26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26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26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26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26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26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26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26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26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26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26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26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26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26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26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26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26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26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26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26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26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26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26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26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26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26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26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26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26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26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26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26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26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26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26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26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26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26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26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26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26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26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26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26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26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26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26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26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26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26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26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26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26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26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26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26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26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26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26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26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26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26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26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26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26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26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26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26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26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26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26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26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26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26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26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26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26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26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26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26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26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26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26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26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26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26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26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26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26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26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26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26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26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26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26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26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26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26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26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26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26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26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26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26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26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26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26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26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26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26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26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26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26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26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26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26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26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26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26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26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26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26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26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26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26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26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26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26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26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26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26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26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26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26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26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26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26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26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26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26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26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26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26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26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26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26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26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26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26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26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26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26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26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26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26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26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26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26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26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26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26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26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26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26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26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26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26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26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26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26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26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26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26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26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26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26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26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26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26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26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26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26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26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26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26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26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26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26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26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26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26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26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26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26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26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26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26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26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26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26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26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26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26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26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26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26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26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26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26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26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26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26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26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26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26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26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26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26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26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26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26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26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26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26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26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26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26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26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26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26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26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26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26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26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26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26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26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26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26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26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26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26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26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26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26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26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26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26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26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26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26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26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26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26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26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26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26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26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26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26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26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26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26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26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26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26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26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26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26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26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26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26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26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26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26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26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26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26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26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26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26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26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26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26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26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26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26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26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26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26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26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26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26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26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26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26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26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26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26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26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26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26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26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26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26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26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26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26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26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26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26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26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26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26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26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26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26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26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26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26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26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26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26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26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26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26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26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26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26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26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26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26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26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26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26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26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26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26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26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26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26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26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26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26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26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26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26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26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26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26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26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26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26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26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26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26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26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26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26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26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26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26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26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26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26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26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26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26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26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26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26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26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26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26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26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26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26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26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26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26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26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26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26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26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26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26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26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26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26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26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26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26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26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26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26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26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26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26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26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26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26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26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26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26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26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26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26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26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26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26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26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26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26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26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26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26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26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26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26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26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26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26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26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26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26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26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26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26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26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26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26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26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26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26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26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26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26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26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26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26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26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26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26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26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26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26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26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26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26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26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26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26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26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26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26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26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26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26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26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26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26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26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26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26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26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26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26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26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26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26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26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26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26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26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26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26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26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26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26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26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26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26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26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26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26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26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26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26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26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26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26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26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26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26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26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26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26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26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26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26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26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26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26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26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26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26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26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26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26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26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26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26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26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26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26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26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26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26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26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26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26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26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26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26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26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26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26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26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26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26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26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26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26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26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26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26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26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26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26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26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26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26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26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26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26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26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26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26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26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26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26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26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26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26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26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26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26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26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26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26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26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26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26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26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26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26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26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26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26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26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26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26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26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26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26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26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26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26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26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26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26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26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26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26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26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26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26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26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26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26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26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26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26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26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26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26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26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26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26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26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26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26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26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26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26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26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26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26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26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26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26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26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26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26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26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26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26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26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26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26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26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26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26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26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26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26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26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26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26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26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26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26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26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26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26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26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26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26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26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26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26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26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26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26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26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26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26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26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26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26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26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26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26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26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26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26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26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26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26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26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26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26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26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26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26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26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26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26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26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26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26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26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26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26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26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26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26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26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26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26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26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26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26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26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26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26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9"/>
      <c r="B2" s="11"/>
      <c r="C2" s="12"/>
      <c r="D2" s="13"/>
      <c r="E2" s="12"/>
      <c r="F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15">
        <v>44717.502233796295</v>
      </c>
      <c r="B2" s="11">
        <v>6.8</v>
      </c>
      <c r="C2" s="12">
        <v>2.0</v>
      </c>
      <c r="D2" s="13" t="s">
        <v>10</v>
      </c>
      <c r="E2" s="12">
        <v>6.8</v>
      </c>
      <c r="F2" s="14">
        <v>1.0</v>
      </c>
    </row>
    <row r="3">
      <c r="A3" s="15">
        <v>44715.41519675926</v>
      </c>
      <c r="B3" s="11">
        <v>4.2</v>
      </c>
      <c r="C3" s="12">
        <v>2.0</v>
      </c>
      <c r="D3" s="13" t="s">
        <v>10</v>
      </c>
      <c r="E3" s="12">
        <v>4.2</v>
      </c>
      <c r="F3" s="14">
        <v>1.0</v>
      </c>
    </row>
    <row r="4">
      <c r="A4" s="15">
        <v>44714.37049768519</v>
      </c>
      <c r="B4" s="11">
        <v>7.0</v>
      </c>
      <c r="C4" s="12">
        <v>2.0</v>
      </c>
      <c r="D4" s="13" t="s">
        <v>10</v>
      </c>
      <c r="E4" s="12">
        <v>7.0</v>
      </c>
      <c r="F4" s="14">
        <v>1.0</v>
      </c>
    </row>
    <row r="5">
      <c r="A5" s="15">
        <v>44710.43712962963</v>
      </c>
      <c r="B5" s="11">
        <v>7.4</v>
      </c>
      <c r="C5" s="12">
        <v>2.0</v>
      </c>
      <c r="D5" s="13" t="s">
        <v>10</v>
      </c>
      <c r="E5" s="12">
        <v>7.4</v>
      </c>
      <c r="F5" s="14">
        <v>1.0</v>
      </c>
    </row>
    <row r="6">
      <c r="A6" s="15">
        <v>44709.39883101852</v>
      </c>
      <c r="B6" s="11">
        <v>2.4</v>
      </c>
      <c r="C6" s="12">
        <v>2.0</v>
      </c>
      <c r="D6" s="13" t="s">
        <v>10</v>
      </c>
      <c r="E6" s="12">
        <v>2.4</v>
      </c>
      <c r="F6" s="14">
        <v>1.0</v>
      </c>
    </row>
    <row r="7">
      <c r="A7" s="15">
        <v>44702.52002314814</v>
      </c>
      <c r="B7" s="11">
        <v>3.0</v>
      </c>
      <c r="C7" s="12">
        <v>2.0</v>
      </c>
      <c r="D7" s="13" t="s">
        <v>10</v>
      </c>
      <c r="E7" s="12">
        <v>3.0</v>
      </c>
      <c r="F7" s="14">
        <v>1.0</v>
      </c>
    </row>
    <row r="8">
      <c r="A8" s="15">
        <v>44702.51729166666</v>
      </c>
      <c r="B8" s="11">
        <v>4.2</v>
      </c>
      <c r="C8" s="12">
        <v>2.0</v>
      </c>
      <c r="D8" s="13" t="s">
        <v>10</v>
      </c>
      <c r="E8" s="12">
        <v>4.2</v>
      </c>
      <c r="F8" s="14">
        <v>1.0</v>
      </c>
    </row>
    <row r="9">
      <c r="A9" s="15">
        <v>44700.53633101852</v>
      </c>
      <c r="B9" s="11">
        <v>4.5</v>
      </c>
      <c r="C9" s="12">
        <v>2.0</v>
      </c>
      <c r="D9" s="13" t="s">
        <v>10</v>
      </c>
      <c r="E9" s="12">
        <v>4.5</v>
      </c>
      <c r="F9" s="14">
        <v>1.0</v>
      </c>
    </row>
    <row r="10">
      <c r="A10" s="15">
        <v>44700.52228009259</v>
      </c>
      <c r="B10" s="11">
        <v>5.5</v>
      </c>
      <c r="C10" s="12">
        <v>2.0</v>
      </c>
      <c r="D10" s="13" t="s">
        <v>10</v>
      </c>
      <c r="E10" s="12">
        <v>5.5</v>
      </c>
      <c r="F10" s="14">
        <v>1.0</v>
      </c>
    </row>
    <row r="11">
      <c r="A11" s="15">
        <v>44695.55331018519</v>
      </c>
      <c r="B11" s="11">
        <v>5.4</v>
      </c>
      <c r="C11" s="12">
        <v>2.0</v>
      </c>
      <c r="D11" s="13" t="s">
        <v>10</v>
      </c>
      <c r="E11" s="12">
        <v>5.4</v>
      </c>
      <c r="F11" s="14">
        <v>1.0</v>
      </c>
    </row>
    <row r="12">
      <c r="A12" s="15">
        <v>44693.51792824074</v>
      </c>
      <c r="B12" s="11">
        <v>8.1</v>
      </c>
      <c r="C12" s="12">
        <v>2.0</v>
      </c>
      <c r="D12" s="13" t="s">
        <v>10</v>
      </c>
      <c r="E12" s="12">
        <v>8.1</v>
      </c>
      <c r="F12" s="14">
        <v>1.0</v>
      </c>
    </row>
    <row r="13">
      <c r="A13" s="15">
        <v>44691.72447916667</v>
      </c>
      <c r="B13" s="11">
        <v>12.0</v>
      </c>
      <c r="C13" s="12">
        <v>3.0</v>
      </c>
      <c r="D13" s="13" t="s">
        <v>10</v>
      </c>
      <c r="E13" s="12">
        <v>12.0</v>
      </c>
      <c r="F13" s="14">
        <v>1.0</v>
      </c>
    </row>
    <row r="14">
      <c r="A14" s="15">
        <v>44689.50938657408</v>
      </c>
      <c r="B14" s="11">
        <v>7.3</v>
      </c>
      <c r="C14" s="12">
        <v>2.0</v>
      </c>
      <c r="D14" s="13" t="s">
        <v>10</v>
      </c>
      <c r="E14" s="12">
        <v>7.3</v>
      </c>
      <c r="F14" s="14">
        <v>1.0</v>
      </c>
    </row>
    <row r="15">
      <c r="A15" s="15">
        <v>44688.54746527778</v>
      </c>
      <c r="B15" s="11">
        <v>3.0</v>
      </c>
      <c r="C15" s="12">
        <v>2.0</v>
      </c>
      <c r="D15" s="13" t="s">
        <v>10</v>
      </c>
      <c r="E15" s="12">
        <v>3.0</v>
      </c>
      <c r="F15" s="14">
        <v>1.0</v>
      </c>
    </row>
    <row r="16">
      <c r="A16" s="15">
        <v>44687.83658564815</v>
      </c>
      <c r="B16" s="11">
        <v>17.0</v>
      </c>
      <c r="C16" s="12">
        <v>3.0</v>
      </c>
      <c r="D16" s="13" t="s">
        <v>10</v>
      </c>
      <c r="E16" s="12">
        <v>17.0</v>
      </c>
      <c r="F16" s="14">
        <v>1.0</v>
      </c>
    </row>
    <row r="17">
      <c r="A17" s="15">
        <v>44687.533043981486</v>
      </c>
      <c r="B17" s="11">
        <v>6.6</v>
      </c>
      <c r="C17" s="12">
        <v>2.0</v>
      </c>
      <c r="D17" s="13" t="s">
        <v>10</v>
      </c>
      <c r="E17" s="12">
        <v>6.6</v>
      </c>
      <c r="F17" s="14">
        <v>1.0</v>
      </c>
    </row>
    <row r="18">
      <c r="A18" s="15">
        <v>44686.52086805555</v>
      </c>
      <c r="B18" s="11">
        <v>5.5</v>
      </c>
      <c r="C18" s="12">
        <v>2.0</v>
      </c>
      <c r="D18" s="13" t="s">
        <v>10</v>
      </c>
      <c r="E18" s="12">
        <v>5.5</v>
      </c>
      <c r="F18" s="14">
        <v>1.0</v>
      </c>
    </row>
    <row r="19">
      <c r="A19" s="15">
        <v>44686.46728009259</v>
      </c>
      <c r="B19" s="11">
        <v>7.1</v>
      </c>
      <c r="C19" s="12">
        <v>2.0</v>
      </c>
      <c r="D19" s="13" t="s">
        <v>10</v>
      </c>
      <c r="E19" s="12">
        <v>7.1</v>
      </c>
      <c r="F19" s="14">
        <v>1.0</v>
      </c>
    </row>
    <row r="20">
      <c r="A20" s="15">
        <v>44681.499131944445</v>
      </c>
      <c r="B20" s="11">
        <v>3.5</v>
      </c>
      <c r="C20" s="12">
        <v>2.0</v>
      </c>
      <c r="D20" s="13" t="s">
        <v>11</v>
      </c>
      <c r="E20" s="12">
        <v>3.69</v>
      </c>
      <c r="F20" s="14">
        <v>1.0542857142857143</v>
      </c>
    </row>
    <row r="21">
      <c r="A21" s="15">
        <v>44680.53349537037</v>
      </c>
      <c r="B21" s="11">
        <v>10.8</v>
      </c>
      <c r="C21" s="12">
        <v>2.0</v>
      </c>
      <c r="D21" s="13" t="s">
        <v>11</v>
      </c>
      <c r="E21" s="12">
        <v>11.41</v>
      </c>
      <c r="F21" s="14">
        <v>1.0564814814814814</v>
      </c>
    </row>
    <row r="22">
      <c r="A22" s="15">
        <v>44679.53175925926</v>
      </c>
      <c r="B22" s="11">
        <v>5.9</v>
      </c>
      <c r="C22" s="12">
        <v>2.0</v>
      </c>
      <c r="D22" s="13" t="s">
        <v>11</v>
      </c>
      <c r="E22" s="12">
        <v>6.2</v>
      </c>
      <c r="F22" s="14">
        <v>1.0508474576271185</v>
      </c>
    </row>
    <row r="23">
      <c r="A23" s="15">
        <v>44675.52208333333</v>
      </c>
      <c r="B23" s="11">
        <v>3.5</v>
      </c>
      <c r="C23" s="12">
        <v>2.0</v>
      </c>
      <c r="D23" s="13" t="s">
        <v>11</v>
      </c>
      <c r="E23" s="12">
        <v>3.78</v>
      </c>
      <c r="F23" s="14">
        <v>1.0799999999999998</v>
      </c>
    </row>
    <row r="24">
      <c r="A24" s="15">
        <v>44674.54173611111</v>
      </c>
      <c r="B24" s="11">
        <v>4.8</v>
      </c>
      <c r="C24" s="12">
        <v>2.0</v>
      </c>
      <c r="D24" s="13" t="s">
        <v>11</v>
      </c>
      <c r="E24" s="12">
        <v>5.18</v>
      </c>
      <c r="F24" s="14">
        <v>1.0791666666666666</v>
      </c>
    </row>
    <row r="25">
      <c r="A25" s="15">
        <v>44673.49886574074</v>
      </c>
      <c r="B25" s="11">
        <v>7.26</v>
      </c>
      <c r="C25" s="12">
        <v>2.0</v>
      </c>
      <c r="D25" s="13" t="s">
        <v>11</v>
      </c>
      <c r="E25" s="12">
        <v>7.84</v>
      </c>
      <c r="F25" s="14">
        <v>1.0798898071625345</v>
      </c>
    </row>
    <row r="26">
      <c r="A26" s="15">
        <v>44672.5059837963</v>
      </c>
      <c r="B26" s="11">
        <v>4.18</v>
      </c>
      <c r="C26" s="12">
        <v>2.0</v>
      </c>
      <c r="D26" s="13" t="s">
        <v>11</v>
      </c>
      <c r="E26" s="12">
        <v>4.56</v>
      </c>
      <c r="F26" s="14">
        <v>1.0909090909090908</v>
      </c>
    </row>
    <row r="27">
      <c r="A27" s="15">
        <v>44667.50069444445</v>
      </c>
      <c r="B27" s="11">
        <v>3.5</v>
      </c>
      <c r="C27" s="12">
        <v>2.0</v>
      </c>
      <c r="D27" s="13" t="s">
        <v>11</v>
      </c>
      <c r="E27" s="12">
        <v>3.78</v>
      </c>
      <c r="F27" s="14">
        <v>1.0799999999999998</v>
      </c>
    </row>
    <row r="28">
      <c r="A28" s="15">
        <v>44666.5360300926</v>
      </c>
      <c r="B28" s="11">
        <v>14.1</v>
      </c>
      <c r="C28" s="12">
        <v>2.0</v>
      </c>
      <c r="D28" s="13" t="s">
        <v>11</v>
      </c>
      <c r="E28" s="12">
        <v>15.24</v>
      </c>
      <c r="F28" s="14">
        <v>1.0808510638297872</v>
      </c>
    </row>
    <row r="29">
      <c r="A29" s="15">
        <v>44665.4934375</v>
      </c>
      <c r="B29" s="11">
        <v>6.55</v>
      </c>
      <c r="C29" s="12">
        <v>2.0</v>
      </c>
      <c r="D29" s="13" t="s">
        <v>11</v>
      </c>
      <c r="E29" s="12">
        <v>7.15</v>
      </c>
      <c r="F29" s="14">
        <v>1.0916030534351147</v>
      </c>
    </row>
    <row r="30">
      <c r="A30" s="15">
        <v>44660.524351851855</v>
      </c>
      <c r="B30" s="11">
        <v>3.0</v>
      </c>
      <c r="C30" s="12">
        <v>2.0</v>
      </c>
      <c r="D30" s="13" t="s">
        <v>11</v>
      </c>
      <c r="E30" s="12">
        <v>3.26</v>
      </c>
      <c r="F30" s="14">
        <v>1.0866666666666667</v>
      </c>
    </row>
  </sheetData>
  <autoFilter ref="$A$1:$F$30">
    <sortState ref="A1:F30">
      <sortCondition descending="1" ref="A1:A3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43.5"/>
    <col customWidth="1" min="3" max="3" width="13.5"/>
    <col customWidth="1" min="4" max="4" width="45.0"/>
    <col customWidth="1" min="5" max="5" width="17.88"/>
    <col customWidth="1" min="7" max="7" width="15.75"/>
    <col customWidth="1" min="8" max="8" width="12.63"/>
    <col customWidth="1" min="12" max="12" width="16.13"/>
  </cols>
  <sheetData>
    <row r="1">
      <c r="A1" s="1" t="str">
        <f>OFFSET(Merchant!$A:$C,0,0)</f>
        <v>Index</v>
      </c>
      <c r="B1" s="1" t="s">
        <v>12</v>
      </c>
      <c r="C1" s="1" t="s">
        <v>13</v>
      </c>
      <c r="D1" s="1" t="s">
        <v>14</v>
      </c>
      <c r="E1" s="2" t="s">
        <v>15</v>
      </c>
      <c r="F1" s="3" t="s">
        <v>5</v>
      </c>
      <c r="G1" s="3" t="s">
        <v>16</v>
      </c>
      <c r="H1" s="3" t="s">
        <v>17</v>
      </c>
      <c r="I1" s="16" t="s">
        <v>18</v>
      </c>
      <c r="J1" s="17" t="s">
        <v>19</v>
      </c>
      <c r="K1" s="18" t="s">
        <v>20</v>
      </c>
      <c r="L1" s="18" t="s">
        <v>21</v>
      </c>
      <c r="M1" s="19" t="s">
        <v>22</v>
      </c>
      <c r="N1" s="19" t="s">
        <v>23</v>
      </c>
      <c r="O1" s="20" t="s">
        <v>24</v>
      </c>
      <c r="P1" s="20" t="s">
        <v>25</v>
      </c>
      <c r="Q1" s="20" t="s">
        <v>26</v>
      </c>
    </row>
    <row r="2">
      <c r="A2" s="5">
        <v>2.0</v>
      </c>
      <c r="B2" s="5" t="s">
        <v>27</v>
      </c>
      <c r="C2" s="5" t="s">
        <v>28</v>
      </c>
      <c r="E2" s="21" t="str">
        <f>IF($I2="",VLOOKUP(2,Message!A:B,2,0),IF($L2="",VLOOKUP(3,Message!A:B,2,0),IF($N2&lt;&gt;$B2,VLOOKUP(4,Message!A:B,2,0),IF(IFERROR($F2,)="",VLOOKUP(5,Message!A:B,2,0),IF($H2&gt;TIME(0,3,0),VLOOKUP(6,Message!A:B,2,0),IF($M2,VLOOKUP(7,Message!A:B,2,0),$K2))))))</f>
        <v>Error : No transaction</v>
      </c>
      <c r="F2" s="22" t="str">
        <f>IF($P2&lt;&gt;"",VLOOKUP($P2,Token!B:C,2,0)*$O2/POW(10,$Q2),)</f>
        <v/>
      </c>
      <c r="G2" s="23" t="str">
        <f t="shared" ref="G2:G3" si="1">IF($I2&lt;&gt;"",$I2/86400+DATE(1970,1,1)+TIME(7,0,0),)</f>
        <v/>
      </c>
      <c r="H2" s="24" t="str">
        <f t="shared" ref="H2:H3" si="2">IF($G2&lt;&gt;"",NOW()-G2,)</f>
        <v/>
      </c>
      <c r="I2" s="21" t="str">
        <f t="shared" ref="I2:I3" si="3">IF($D2&lt;&gt;"",ImportJSON("https://public-api.solscan.io/account/transactions?account="&amp;$D2&amp;"&amp;limit=1",TEXTJOIN(",",1,$I$1:$L$1),"noHeaders"),)</f>
        <v/>
      </c>
      <c r="M2" s="21" t="str">
        <f t="shared" ref="M2:M3" si="4">IF(AND($K2="Success",$L2="true"),ImportJSON("https://public-api.solscan.io/transaction/"&amp;$J2&amp;" ",TEXTJOIN(",",1,$M$1:$Q$1),"noInherit,noHeaders"),)</f>
        <v/>
      </c>
    </row>
    <row r="3">
      <c r="A3" s="5">
        <v>3.0</v>
      </c>
      <c r="B3" s="5" t="s">
        <v>29</v>
      </c>
      <c r="C3" s="5" t="s">
        <v>30</v>
      </c>
      <c r="E3" s="21" t="str">
        <f>IF($I3="",VLOOKUP(2,Message!A:B,2,0),IF($L3="",VLOOKUP(3,Message!A:B,2,0),IF($N3&lt;&gt;$B3,VLOOKUP(4,Message!A:B,2,0),IF(IFERROR($F3,)="",VLOOKUP(5,Message!A:B,2,0),IF($H3&gt;TIME(0,3,0),VLOOKUP(6,Message!A:B,2,0),IF($M3,VLOOKUP(7,Message!A:B,2,0),$K3))))))</f>
        <v>Error : No transaction</v>
      </c>
      <c r="F3" s="22" t="str">
        <f>IF($P3&lt;&gt;"",VLOOKUP($P3,Token!B:C,2,0)*$O3/POW(10,$Q3),)</f>
        <v/>
      </c>
      <c r="G3" s="23" t="str">
        <f t="shared" si="1"/>
        <v/>
      </c>
      <c r="H3" s="24" t="str">
        <f t="shared" si="2"/>
        <v/>
      </c>
      <c r="I3" s="21" t="str">
        <f t="shared" si="3"/>
        <v/>
      </c>
      <c r="M3" s="21" t="str">
        <f t="shared" si="4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25"/>
  </cols>
  <sheetData>
    <row r="1">
      <c r="A1" s="1" t="s">
        <v>31</v>
      </c>
      <c r="B1" s="1" t="s">
        <v>32</v>
      </c>
    </row>
    <row r="2">
      <c r="A2" s="13">
        <f t="shared" ref="A2:A7" si="1">ROW()</f>
        <v>2</v>
      </c>
      <c r="B2" s="13" t="s">
        <v>33</v>
      </c>
    </row>
    <row r="3">
      <c r="A3" s="13">
        <f t="shared" si="1"/>
        <v>3</v>
      </c>
      <c r="B3" s="13" t="s">
        <v>34</v>
      </c>
    </row>
    <row r="4">
      <c r="A4" s="13">
        <f t="shared" si="1"/>
        <v>4</v>
      </c>
      <c r="B4" s="13" t="s">
        <v>35</v>
      </c>
    </row>
    <row r="5">
      <c r="A5" s="13">
        <f t="shared" si="1"/>
        <v>5</v>
      </c>
      <c r="B5" s="13" t="s">
        <v>36</v>
      </c>
    </row>
    <row r="6">
      <c r="A6" s="13">
        <f t="shared" si="1"/>
        <v>6</v>
      </c>
      <c r="B6" s="13" t="s">
        <v>37</v>
      </c>
    </row>
    <row r="7">
      <c r="A7" s="13">
        <f t="shared" si="1"/>
        <v>7</v>
      </c>
      <c r="B7" s="13" t="s">
        <v>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4.38"/>
  </cols>
  <sheetData>
    <row r="1">
      <c r="A1" s="1" t="s">
        <v>39</v>
      </c>
      <c r="B1" s="1" t="s">
        <v>40</v>
      </c>
      <c r="C1" s="1" t="s">
        <v>41</v>
      </c>
    </row>
    <row r="2">
      <c r="A2" s="13" t="s">
        <v>10</v>
      </c>
      <c r="B2" s="5" t="s">
        <v>42</v>
      </c>
      <c r="C2" s="11">
        <v>1.0</v>
      </c>
    </row>
    <row r="3">
      <c r="A3" s="13" t="s">
        <v>43</v>
      </c>
      <c r="B3" s="13" t="s">
        <v>44</v>
      </c>
      <c r="C3" s="22">
        <f>IFERROR(__xludf.DUMMYFUNCTION("ROUNDDOWN(1/IMPORTRANGE(""https://docs.google.com/spreadsheets/d/1enXnuwZExO92B5FxPB8s2Rhqlxl1p9nUY9tRaHtV1kI/edit#gid=1868458122"",""PriceCache!$B$2""),2)"),0.94)</f>
        <v>0.94</v>
      </c>
    </row>
    <row r="4">
      <c r="A4" s="13" t="s">
        <v>45</v>
      </c>
      <c r="B4" s="13" t="s">
        <v>46</v>
      </c>
      <c r="C4" s="22">
        <f>C3</f>
        <v>0.94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</cols>
  <sheetData>
    <row r="1">
      <c r="A1" s="1" t="s">
        <v>4</v>
      </c>
      <c r="B1" s="1" t="s">
        <v>47</v>
      </c>
      <c r="C1" s="1" t="s">
        <v>48</v>
      </c>
      <c r="D1" s="1" t="s">
        <v>5</v>
      </c>
      <c r="E1" s="1" t="s">
        <v>49</v>
      </c>
    </row>
    <row r="2">
      <c r="A2" s="1">
        <f>IFERROR(__xludf.DUMMYFUNCTION("IMPORTXML(""https://www.xe.com/en/currencyconverter/convert/?Amount=1000&amp;From=EUR&amp;To=USD"",""//p[@class='result__BigRate-sc-1bsijpp-1 iGrAod']"")/1000"),1.06303)</f>
        <v>1.06303</v>
      </c>
      <c r="B2" s="1">
        <f>SUM(OFFSET(B:B,ROW(),0))</f>
        <v>180</v>
      </c>
      <c r="C2" s="1"/>
      <c r="D2" s="1">
        <f>SUM(OFFSET(D:D,ROW(),0))</f>
        <v>-188.98734</v>
      </c>
      <c r="E2" s="1">
        <f>AVERAGE(OFFSET(E:E,ROW(),0))</f>
        <v>1.0299578</v>
      </c>
    </row>
    <row r="3">
      <c r="A3" s="15">
        <v>44691.71973379629</v>
      </c>
      <c r="B3" s="13">
        <v>45.0</v>
      </c>
      <c r="C3" s="13" t="s">
        <v>10</v>
      </c>
      <c r="D3" s="13">
        <v>-45.0</v>
      </c>
      <c r="E3" s="5">
        <f t="shared" ref="E3:E5" si="1">-D3/B3</f>
        <v>1</v>
      </c>
    </row>
    <row r="4">
      <c r="A4" s="15">
        <v>44687.69899305556</v>
      </c>
      <c r="B4" s="13">
        <v>35.0</v>
      </c>
      <c r="C4" s="13" t="s">
        <v>10</v>
      </c>
      <c r="D4" s="13">
        <v>-35.0</v>
      </c>
      <c r="E4" s="5">
        <f t="shared" si="1"/>
        <v>1</v>
      </c>
    </row>
    <row r="5">
      <c r="A5" s="15">
        <v>44657.928136574075</v>
      </c>
      <c r="B5" s="13">
        <v>100.0</v>
      </c>
      <c r="C5" s="13" t="s">
        <v>11</v>
      </c>
      <c r="D5" s="25">
        <v>-108.98734</v>
      </c>
      <c r="E5" s="5">
        <f t="shared" si="1"/>
        <v>1.0898734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2.0</v>
      </c>
      <c r="H1" s="13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</row>
    <row r="2">
      <c r="A2" s="26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GZLPJYkR3diD8c8vpgb7sXHEH9sG1R9sWa3yPwaL9Peb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26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27">
        <f>(VLOOKUP($G$1,Merchant!$A:$J,9)-DATE(1970,1,1)-IF($G$6&lt;&gt;"",$G$6,0))*86400</f>
        <v>1654452491</v>
      </c>
    </row>
    <row r="4">
      <c r="A4" s="26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28">
        <f>(MAX(TODAY()+1,VLOOKUP($G$1,Merchant!$A:$J,10))-DATE(1970,1,1)-IF($G$6&lt;&gt;"",$G$6,0))*86400</f>
        <v>1655056800</v>
      </c>
    </row>
    <row r="5">
      <c r="A5" s="26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29">
        <f>(DATE(2022,6,6)-DATE(1970,1,1)-IF($G$6&lt;&gt;"",$G$6,0))*86400</f>
        <v>1654466400</v>
      </c>
    </row>
    <row r="6">
      <c r="A6" s="26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0">
        <f>TIME(2,0,0)</f>
        <v>0.08333333333</v>
      </c>
    </row>
    <row r="7">
      <c r="A7" s="26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/>
    </row>
    <row r="8">
      <c r="A8" s="26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26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1">
        <f>TODAY()+TIME(7,0,0)</f>
        <v>44721.29167</v>
      </c>
    </row>
    <row r="10">
      <c r="A10" s="26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1">
        <f>TODAY()+TIME(20,0,0)</f>
        <v>44721.83333</v>
      </c>
    </row>
    <row r="11">
      <c r="A11" s="26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26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26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26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26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26"/>
    </row>
    <row r="16">
      <c r="A16" s="26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26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26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26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26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26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26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26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26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26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26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26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26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26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26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26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26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26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26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26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26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26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26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26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26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26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26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26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26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26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26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26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26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26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26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26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26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26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26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26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26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26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26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26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26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26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26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26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26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26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26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26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26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26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26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26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26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26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26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26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26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26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26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26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26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26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26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26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26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26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26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26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26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26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26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26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26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26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26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26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26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26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26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26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26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26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26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26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26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26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26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26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26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26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26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26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26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26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26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26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26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26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26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26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26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26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26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26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26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26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26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26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26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26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26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26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26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26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26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26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26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26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26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26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26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26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26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26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26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26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26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26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26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26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26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26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26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26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26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26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26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26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26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26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26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26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26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26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26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26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26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26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26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26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26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26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26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26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26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26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26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26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26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26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26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26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26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26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26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26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26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26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26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26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26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26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26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26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26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26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26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26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26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26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26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26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26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26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26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26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26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26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26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26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26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26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26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26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26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26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26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26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26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26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26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26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26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26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26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26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26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26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26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26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26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26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26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26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26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26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26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26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26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26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26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26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26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26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26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26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26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26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26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26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26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26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26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26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26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26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26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26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26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26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26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26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26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26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26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26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26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26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26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26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26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26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26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26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26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26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26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26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26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26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26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26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26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26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26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26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26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26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26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26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26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26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26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26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26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26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26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26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26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26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26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26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26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26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26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26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26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26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26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26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26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26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26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26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26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26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26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26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26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26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26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26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26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26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26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26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26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26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26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26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26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26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26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26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26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26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26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26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26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26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26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26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26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26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26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26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26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26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26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26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26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26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26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26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26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26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26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26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26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26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26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26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26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26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26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26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26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26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26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26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26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26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26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26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26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26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26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26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26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26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26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26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26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26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26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26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26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26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26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26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26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26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26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26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26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26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26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26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26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26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26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26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26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26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26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26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26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26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26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26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26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26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26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26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26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26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26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26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26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26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26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26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26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26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26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26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26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26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26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26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26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26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26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26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26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26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26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26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26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26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26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26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26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26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26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26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26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26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26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26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26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26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26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26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26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26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26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26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26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26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26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26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26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26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26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26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26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26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26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26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26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26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26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26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26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26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26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26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26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26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26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26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26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26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26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26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26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26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26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26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26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26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26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26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26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26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26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26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26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26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26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26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26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26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26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26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26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26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26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26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26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26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26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26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26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26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26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26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26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26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26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26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26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26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26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26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26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26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26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26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26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26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26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26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26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26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26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26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26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26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26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26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26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26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26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26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26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26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26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26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26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26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26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26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26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26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26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26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26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26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26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26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26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26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26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26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26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26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26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26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26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26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26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26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26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26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26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26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26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26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26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26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26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26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26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26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26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26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26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26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26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26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26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26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26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26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26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26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26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26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26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26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26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26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26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26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26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26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26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26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26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26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26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26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26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26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26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26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26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26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26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26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26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26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26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26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26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26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26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26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26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26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26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26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26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26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26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26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26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26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26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26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26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26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26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26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26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26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26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26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26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26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26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26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26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26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26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26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26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26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26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26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26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26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26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26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26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26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26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26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26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26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26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26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26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26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26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26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26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26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26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26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26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26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26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26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26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26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26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26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26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26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26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26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26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26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26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26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26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26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26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26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26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26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26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26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26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26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26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26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26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26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26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26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26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26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26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26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26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26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26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26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26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26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26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26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26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26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26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26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26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26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26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26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26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26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26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26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26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26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26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26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26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26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26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26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26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26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26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26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26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26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26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26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26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26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26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26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26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26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26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26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26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26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26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26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26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26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26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26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26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26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26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26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26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26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26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26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26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26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26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26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26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26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26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26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26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26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26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26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26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26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26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26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26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26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26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26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26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26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26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26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26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26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26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26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26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26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26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26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26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26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26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26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26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26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26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26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26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26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26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26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26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26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26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26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26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26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26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26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26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26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26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26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26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26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26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26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26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26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26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26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26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26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26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26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26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26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26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26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26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26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26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26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26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26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26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26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26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26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26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26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26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26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26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26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26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26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26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26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26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26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26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26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26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26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26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26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26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26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26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26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26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26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26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26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26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26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26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26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26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26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26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26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26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26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26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26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26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26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26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26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26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26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26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26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26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26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26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26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26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26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26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26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26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26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26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26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26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26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26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26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26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26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26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26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26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26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26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26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26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26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26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26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26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26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26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26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26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26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26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26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26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26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26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26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26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26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26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26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26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26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26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26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26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26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26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26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26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26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26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26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26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26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26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26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26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26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26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26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26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26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26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26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26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26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26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26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26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26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26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26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26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26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26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26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26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26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26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26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26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26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26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26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26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26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26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26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26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26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26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3.0</v>
      </c>
      <c r="H1" s="13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</row>
    <row r="2">
      <c r="A2" s="26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88r4F8tmgzxyxSoQFz5cWwTMAqtM8xB8pABfL4ikcJyx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26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27">
        <f>(VLOOKUP($G$1,Merchant!$A:$J,9)-DATE(1970,1,1)-IF($G$6&lt;&gt;"",$G$6,0))*86400</f>
        <v>1654452491</v>
      </c>
    </row>
    <row r="4">
      <c r="A4" s="26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28">
        <f>(MAX(TODAY()+1,VLOOKUP($G$1,Merchant!$A:$J,10))-DATE(1970,1,1)-IF($G$6&lt;&gt;"",$G$6,0))*86400</f>
        <v>1655056800</v>
      </c>
    </row>
    <row r="5">
      <c r="A5" s="26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29">
        <f>(DATE(2022,6,6)-DATE(1970,1,1)-IF($G$6&lt;&gt;"",$G$6,0))*86400</f>
        <v>1654466400</v>
      </c>
    </row>
    <row r="6">
      <c r="A6" s="26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0">
        <f>TIME(2,0,0)</f>
        <v>0.08333333333</v>
      </c>
    </row>
    <row r="7">
      <c r="A7" s="26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/>
    </row>
    <row r="8">
      <c r="A8" s="26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26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1">
        <f>TODAY()+TIME(7,0,0)</f>
        <v>44721.29167</v>
      </c>
    </row>
    <row r="10">
      <c r="A10" s="26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1">
        <f>TODAY()+TIME(20,0,0)</f>
        <v>44721.83333</v>
      </c>
    </row>
    <row r="11">
      <c r="A11" s="26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26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26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26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26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26"/>
    </row>
    <row r="16">
      <c r="A16" s="26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26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26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26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26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26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26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26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26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26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26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26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26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26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26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26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26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26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26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26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26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26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26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26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26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26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26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26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26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26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26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26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26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26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26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26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26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26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26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26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26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26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26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26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26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26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26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26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26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26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26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26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26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26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26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26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26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26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26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26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26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26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26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26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26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26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26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26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26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26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26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26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26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26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26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26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26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26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26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26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26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26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26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26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26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26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26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26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26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26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26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26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26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26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26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26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26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26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26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26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26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26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26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26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26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26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26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26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26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26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26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26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26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26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26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26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26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26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26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26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26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26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26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26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26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26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26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26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26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26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26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26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26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26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26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26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26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26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26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26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26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26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26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26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26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26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26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26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26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26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26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26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26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26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26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26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26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26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26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26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26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26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26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26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26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26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26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26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26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26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26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26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26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26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26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26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26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26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26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26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26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26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26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26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26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26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26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26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26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26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26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26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26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26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26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26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26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26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26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26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26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26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26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26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26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26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26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26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26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26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26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26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26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26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26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26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26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26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26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26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26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26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26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26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26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26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26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26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26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26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26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26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26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26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26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26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26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26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26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26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26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26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26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26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26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26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26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26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26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26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26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26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26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26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26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26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26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26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26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26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26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26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26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26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26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26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26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26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26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26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26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26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26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26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26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26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26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26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26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26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26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26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26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26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26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26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26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26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26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26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26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26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26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26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26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26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26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26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26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26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26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26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26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26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26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26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26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26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26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26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26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26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26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26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26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26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26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26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26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26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26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26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26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26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26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26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26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26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26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26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26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26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26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26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26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26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26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26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26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26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26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26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26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26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26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26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26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26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26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26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26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26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26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26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26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26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26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26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26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26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26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26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26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26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26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26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26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26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26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26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26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26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26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26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26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26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26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26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26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26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26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26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26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26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26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26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26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26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26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26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26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26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26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26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26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26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26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26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26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26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26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26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26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26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26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26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26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26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26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26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26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26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26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26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26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26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26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26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26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26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26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26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26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26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26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26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26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26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26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26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26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26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26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26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26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26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26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26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26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26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26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26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26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26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26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26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26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26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26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26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26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26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26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26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26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26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26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26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26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26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26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26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26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26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26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26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26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26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26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26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26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26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26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26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26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26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26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26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26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26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26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26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26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26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26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26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26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26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26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26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26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26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26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26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26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26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26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26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26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26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26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26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26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26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26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26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26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26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26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26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26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26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26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26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26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26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26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26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26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26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26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26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26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26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26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26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26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26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26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26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26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26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26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26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26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26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26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26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26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26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26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26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26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26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26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26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26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26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26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26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26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26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26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26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26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26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26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26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26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26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26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26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26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26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26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26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26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26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26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26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26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26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26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26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26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26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26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26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26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26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26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26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26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26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26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26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26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26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26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26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26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26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26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26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26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26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26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26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26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26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26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26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26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26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26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26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26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26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26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26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26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26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26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26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26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26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26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26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26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26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26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26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26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26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26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26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26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26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26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26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26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26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26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26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26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26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26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26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26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26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26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26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26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26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26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26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26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26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26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26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26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26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26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26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26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26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26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26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26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26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26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26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26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26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26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26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26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26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26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26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26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26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26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26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26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26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26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26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26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26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26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26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26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26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26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26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26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26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26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26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26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26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26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26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26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26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26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26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26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26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26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26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26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26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26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26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26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26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26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26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26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26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26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26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26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26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26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26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26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26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26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26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26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26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26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26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26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26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26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26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26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26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26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26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26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26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26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26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26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26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26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26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26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26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26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26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26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26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26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26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26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26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26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26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26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26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26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26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26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26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26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26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26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26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26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26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26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26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26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26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26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26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26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26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26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26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26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26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26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26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26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26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26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26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26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26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26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26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26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26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26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26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26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26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26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26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26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26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26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26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26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26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26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26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26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26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26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26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26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26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26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26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26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26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26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26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26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26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26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26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26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26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26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26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26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26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26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26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26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26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26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26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26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26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26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26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26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26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26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26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26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26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26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26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26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26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26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26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26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26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26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26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26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26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26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26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26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26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26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26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26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26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26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26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26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26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26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26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26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26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26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26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26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26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26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26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26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26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26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26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26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26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26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26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26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26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26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26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26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26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26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26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26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26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26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26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26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26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26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26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26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26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26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26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26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26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26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26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26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26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26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26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26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26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26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26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26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26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26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26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26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26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26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26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26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26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26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26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26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26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26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26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26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26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26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26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26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26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26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26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26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26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26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26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26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26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26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26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26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26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26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26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26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26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26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26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26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26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26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26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26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26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26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26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26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26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26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26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26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26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26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26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26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26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26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26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26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26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26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26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26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26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26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26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26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