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rchant" sheetId="1" r:id="rId4"/>
    <sheet state="visible" name="Transactions" sheetId="2" r:id="rId5"/>
    <sheet state="visible" name="PaidTransactions" sheetId="3" r:id="rId6"/>
    <sheet state="hidden" name="Check" sheetId="4" r:id="rId7"/>
    <sheet state="visible" name="Translation" sheetId="5" r:id="rId8"/>
    <sheet state="visible" name="Token" sheetId="6" r:id="rId9"/>
    <sheet state="hidden" name="Pool" sheetId="7" r:id="rId10"/>
    <sheet state="visible" name="1" sheetId="8" r:id="rId11"/>
    <sheet state="visible" name="2" sheetId="9" r:id="rId12"/>
    <sheet state="visible" name="3" sheetId="10" r:id="rId13"/>
    <sheet state="visible" name="4" sheetId="11" r:id="rId14"/>
  </sheets>
  <definedNames>
    <definedName hidden="1" localSheetId="2" name="_xlnm._FilterDatabase">PaidTransactions!$A$1:$F$78</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A8">
      <text>
        <t xml:space="preserve">DON'T MOVE THIS LINE</t>
      </text>
    </comment>
    <comment authorId="0" ref="A17">
      <text>
        <t xml:space="preserve">DON'T MOVE THIS LINE</t>
      </text>
    </comment>
  </commentList>
</comments>
</file>

<file path=xl/comments2.xml><?xml version="1.0" encoding="utf-8"?>
<comments xmlns:r="http://schemas.openxmlformats.org/officeDocument/2006/relationships" xmlns="http://schemas.openxmlformats.org/spreadsheetml/2006/main">
  <authors>
    <author/>
  </authors>
  <commentList>
    <comment authorId="0" ref="G1">
      <text>
        <t xml:space="preserve">Sheet name</t>
      </text>
    </comment>
    <comment authorId="0" ref="G2">
      <text>
        <t xml:space="preserve">Merchant crypto address</t>
      </text>
    </comment>
    <comment authorId="0" ref="G3">
      <text>
        <t xml:space="preserve">Start time (last withdraw)</t>
      </text>
    </comment>
    <comment authorId="0" ref="G4">
      <text>
        <t xml:space="preserve">End time (next withdraw)</t>
      </text>
    </comment>
    <comment authorId="0" ref="G5">
      <text>
        <t xml:space="preserve">Solana exceptionnal hour drifting starting timestamp</t>
      </text>
    </comment>
    <comment authorId="0" ref="G6">
      <text>
        <t xml:space="preserve">Whether Solscan request manage blocktime</t>
      </text>
    </comment>
    <comment authorId="0" ref="G7">
      <text>
        <t xml:space="preserve">/!\ UPDATE CELL, DON'T USE /!\</t>
      </text>
    </comment>
    <comment authorId="0" ref="G8">
      <text>
        <t xml:space="preserve">Indicates whether the Transactions sheet should be updated</t>
      </text>
    </comment>
    <comment authorId="0" ref="G9">
      <text>
        <t xml:space="preserve">Transaction search starting time</t>
      </text>
    </comment>
    <comment authorId="0" ref="G10">
      <text>
        <t xml:space="preserve">Transaction search starting time</t>
      </text>
    </comment>
    <comment authorId="0" ref="G11">
      <text>
        <t xml:space="preserve">Indicates whether to seach for transactions</t>
      </text>
    </comment>
  </commentList>
</comments>
</file>

<file path=xl/comments3.xml><?xml version="1.0" encoding="utf-8"?>
<comments xmlns:r="http://schemas.openxmlformats.org/officeDocument/2006/relationships" xmlns="http://schemas.openxmlformats.org/spreadsheetml/2006/main">
  <authors>
    <author/>
  </authors>
  <commentList>
    <comment authorId="0" ref="G1">
      <text>
        <t xml:space="preserve">Sheet name</t>
      </text>
    </comment>
    <comment authorId="0" ref="G2">
      <text>
        <t xml:space="preserve">Merchant crypto address</t>
      </text>
    </comment>
    <comment authorId="0" ref="G3">
      <text>
        <t xml:space="preserve">Start time (last withdraw)</t>
      </text>
    </comment>
    <comment authorId="0" ref="G4">
      <text>
        <t xml:space="preserve">End time (next withdraw)</t>
      </text>
    </comment>
    <comment authorId="0" ref="G5">
      <text>
        <t xml:space="preserve">Solana exceptionnal hour drifting starting timestamp</t>
      </text>
    </comment>
    <comment authorId="0" ref="G6">
      <text>
        <t xml:space="preserve">Whether Solscan request manage blocktime</t>
      </text>
    </comment>
    <comment authorId="0" ref="G7">
      <text>
        <t xml:space="preserve">/!\ UPDATE CELL, DON'T USE /!\</t>
      </text>
    </comment>
    <comment authorId="0" ref="G8">
      <text>
        <t xml:space="preserve">Indicates whether the Transactions sheet should be updated</t>
      </text>
    </comment>
    <comment authorId="0" ref="G9">
      <text>
        <t xml:space="preserve">Transaction search starting time</t>
      </text>
    </comment>
    <comment authorId="0" ref="G10">
      <text>
        <t xml:space="preserve">Transaction search starting time</t>
      </text>
    </comment>
    <comment authorId="0" ref="G11">
      <text>
        <t xml:space="preserve">Indicates whether to seach for transactions</t>
      </text>
    </comment>
  </commentList>
</comments>
</file>

<file path=xl/comments4.xml><?xml version="1.0" encoding="utf-8"?>
<comments xmlns:r="http://schemas.openxmlformats.org/officeDocument/2006/relationships" xmlns="http://schemas.openxmlformats.org/spreadsheetml/2006/main">
  <authors>
    <author/>
  </authors>
  <commentList>
    <comment authorId="0" ref="G1">
      <text>
        <t xml:space="preserve">Sheet name</t>
      </text>
    </comment>
    <comment authorId="0" ref="G2">
      <text>
        <t xml:space="preserve">Merchant crypto address</t>
      </text>
    </comment>
    <comment authorId="0" ref="G3">
      <text>
        <t xml:space="preserve">Start time (last withdraw)</t>
      </text>
    </comment>
    <comment authorId="0" ref="G4">
      <text>
        <t xml:space="preserve">End time (next withdraw)</t>
      </text>
    </comment>
    <comment authorId="0" ref="G5">
      <text>
        <t xml:space="preserve">Solana exceptionnal hour drifting starting timestamp</t>
      </text>
    </comment>
    <comment authorId="0" ref="G6">
      <text>
        <t xml:space="preserve">Whether Solscan request manage blocktime</t>
      </text>
    </comment>
    <comment authorId="0" ref="G7">
      <text>
        <t xml:space="preserve">/!\ UPDATE CELL, DON'T USE /!\</t>
      </text>
    </comment>
    <comment authorId="0" ref="G8">
      <text>
        <t xml:space="preserve">Indicates whether the Transactions sheet should be updated</t>
      </text>
    </comment>
    <comment authorId="0" ref="G9">
      <text>
        <t xml:space="preserve">Transaction search starting time</t>
      </text>
    </comment>
    <comment authorId="0" ref="G10">
      <text>
        <t xml:space="preserve">Transaction search starting time</t>
      </text>
    </comment>
    <comment authorId="0" ref="G11">
      <text>
        <t xml:space="preserve">Indicates whether to seach for transactions</t>
      </text>
    </comment>
  </commentList>
</comments>
</file>

<file path=xl/comments5.xml><?xml version="1.0" encoding="utf-8"?>
<comments xmlns:r="http://schemas.openxmlformats.org/officeDocument/2006/relationships" xmlns="http://schemas.openxmlformats.org/spreadsheetml/2006/main">
  <authors>
    <author/>
  </authors>
  <commentList>
    <comment authorId="0" ref="G1">
      <text>
        <t xml:space="preserve">Sheet name</t>
      </text>
    </comment>
    <comment authorId="0" ref="G2">
      <text>
        <t xml:space="preserve">Merchant crypto address</t>
      </text>
    </comment>
    <comment authorId="0" ref="G3">
      <text>
        <t xml:space="preserve">Start time (last withdraw)</t>
      </text>
    </comment>
    <comment authorId="0" ref="G4">
      <text>
        <t xml:space="preserve">End time (next withdraw)</t>
      </text>
    </comment>
    <comment authorId="0" ref="G5">
      <text>
        <t xml:space="preserve">Solana exceptionnal hour drifting starting timestamp</t>
      </text>
    </comment>
    <comment authorId="0" ref="G6">
      <text>
        <t xml:space="preserve">Whether Solscan request manage blocktime</t>
      </text>
    </comment>
    <comment authorId="0" ref="G7">
      <text>
        <t xml:space="preserve">/!\ UPDATE CELL, DON'T USE /!\</t>
      </text>
    </comment>
    <comment authorId="0" ref="G8">
      <text>
        <t xml:space="preserve">Indicates whether the Transactions sheet should be updated</t>
      </text>
    </comment>
    <comment authorId="0" ref="G9">
      <text>
        <t xml:space="preserve">Transaction search starting time</t>
      </text>
    </comment>
    <comment authorId="0" ref="G10">
      <text>
        <t xml:space="preserve">Transaction search starting time</t>
      </text>
    </comment>
    <comment authorId="0" ref="G11">
      <text>
        <t xml:space="preserve">Indicates whether to seach for transactions</t>
      </text>
    </comment>
  </commentList>
</comments>
</file>

<file path=xl/sharedStrings.xml><?xml version="1.0" encoding="utf-8"?>
<sst xmlns="http://schemas.openxmlformats.org/spreadsheetml/2006/main" count="248" uniqueCount="110">
  <si>
    <t>Not Paid</t>
  </si>
  <si>
    <t>Paid</t>
  </si>
  <si>
    <t>Last withdraw</t>
  </si>
  <si>
    <t>Next withdraw</t>
  </si>
  <si>
    <t>Date</t>
  </si>
  <si>
    <t>Amount</t>
  </si>
  <si>
    <t>Merchant</t>
  </si>
  <si>
    <t>Token</t>
  </si>
  <si>
    <t>Exchange</t>
  </si>
  <si>
    <t>Change rate</t>
  </si>
  <si>
    <t>agEUR</t>
  </si>
  <si>
    <t>UST</t>
  </si>
  <si>
    <t>address</t>
  </si>
  <si>
    <t>company</t>
  </si>
  <si>
    <t>Customer</t>
  </si>
  <si>
    <t>Status</t>
  </si>
  <si>
    <t>Time</t>
  </si>
  <si>
    <t>Duration</t>
  </si>
  <si>
    <t>/blockTime</t>
  </si>
  <si>
    <t>/txHash</t>
  </si>
  <si>
    <t>/status</t>
  </si>
  <si>
    <t>/includeSPLTransfer</t>
  </si>
  <si>
    <t>/confirmations</t>
  </si>
  <si>
    <t>/tokenTransfers/destination_owner</t>
  </si>
  <si>
    <t>/tokenTransfers/amount</t>
  </si>
  <si>
    <t>/tokenTransfers/token/address</t>
  </si>
  <si>
    <t>/tokenTransfers/token/decimals</t>
  </si>
  <si>
    <t>GZLPJYkR3diD8c8vpgb7sXHEH9sG1R9sWa3yPwaL9Peb</t>
  </si>
  <si>
    <t>Le pain d'Annette</t>
  </si>
  <si>
    <t>88r4F8tmgzxyxSoQFz5cWwTMAqtM8xB8pABfL4ikcJyx</t>
  </si>
  <si>
    <t>Nature &amp; bulles</t>
  </si>
  <si>
    <t>BNnncdQZ9YokyQJX8of4K2YGw3pvLt2SVkXK131E1nFy</t>
  </si>
  <si>
    <t>Bloopsy Couture</t>
  </si>
  <si>
    <t>English</t>
  </si>
  <si>
    <t>Français</t>
  </si>
  <si>
    <t>Deutsch</t>
  </si>
  <si>
    <t>Error: No transaction</t>
  </si>
  <si>
    <t>Erreur : Aucune transaction</t>
  </si>
  <si>
    <t>Fehler: Keine Transaktion</t>
  </si>
  <si>
    <t>Error: Invalid transaction</t>
  </si>
  <si>
    <t>Erreur : Transaction invalide</t>
  </si>
  <si>
    <t>Fehler: Ungültige Transaktion</t>
  </si>
  <si>
    <t>Error: Wrong merchant</t>
  </si>
  <si>
    <t>Erreur : Marchant différent</t>
  </si>
  <si>
    <t>Fehler: Falscher Händler</t>
  </si>
  <si>
    <t>Error: Wrong token</t>
  </si>
  <si>
    <t>Erreur : Crypto monnaie différente</t>
  </si>
  <si>
    <t>Fehler: Falsches Token</t>
  </si>
  <si>
    <t>Warning: Old transaction</t>
  </si>
  <si>
    <t>Attention : Ancienne transaction</t>
  </si>
  <si>
    <t>Warnung: alte Transaktion</t>
  </si>
  <si>
    <t>Processing...</t>
  </si>
  <si>
    <t>En cours ...</t>
  </si>
  <si>
    <t>Wird bearbeitet...</t>
  </si>
  <si>
    <t>How to</t>
  </si>
  <si>
    <t>Comment faire</t>
  </si>
  <si>
    <t>Wie man</t>
  </si>
  <si>
    <t>In your Solana wallet: &lt;li&gt;Choose &lt;i&gt;"agEUR"&lt;/i&gt; as the payment currency&lt;/li&gt;&lt;li&gt;Enter the amount to pay&lt;/li&gt;&lt;li&gt;Paste the merchant's address from your clipboard&lt;/li&gt;&lt;li&gt;Send payment to merchant&lt;/li&gt;</t>
  </si>
  <si>
    <t>Dans votre porte-monnaie Solana&lt;li&gt;Choisissez &lt;i&gt;"agEUR"&lt;/i&gt; comme monnaie de paiment&lt;/li&gt;&lt;li&gt;Entrez la somme à payer&lt;/li&gt;&lt;li&gt;Collez l'adresse du commerçant présente dans votre presse-papier&lt;/li&gt;&lt;li&gt;Envoyez le paiement au marchand&lt;/li&gt;</t>
  </si>
  <si>
    <t>In Ihrer Solana-Brieftasche: &lt;li&gt;Wählen Sie &lt;i&gt;"agEUR"&lt;/i&gt; als Zahlungswährung aus&lt;/li&gt;&lt;li&gt;Geben Sie den zu zahlenden Betrag ein&lt;/li&gt;&lt;li&gt;Fügen Sie die Adresse des Händlers in Ihre Zwischenablage ein&lt;/li&gt;&lt;li&gt;Senden Sie die Zahlung an Händler&lt;/li&gt;</t>
  </si>
  <si>
    <t>Copy the address of your Solana wallet from your wallet (this will be automatically taken into account to verify the payment)</t>
  </si>
  <si>
    <t>Copiez l'adresse de votre porte-monnaie Solana depuis votre porte-monnaie (elle sera ainsi automatiquement prise en compte pour vérifier le paiement)</t>
  </si>
  <si>
    <t>Sobald die Zahlung gesendet wurde, kopieren Sie die Adresse Ihrer Solana-Brieftasche aus Ihrer Brieftasche (diese wird automatisch berücksichtigt, um die Zahlung zu überprüfen)</t>
  </si>
  <si>
    <t>Open</t>
  </si>
  <si>
    <t>Ouvrir</t>
  </si>
  <si>
    <t>Offen</t>
  </si>
  <si>
    <t>Verify payment</t>
  </si>
  <si>
    <t>Vérifier le paiement</t>
  </si>
  <si>
    <t>Scheckzahlung</t>
  </si>
  <si>
    <t>Retry</t>
  </si>
  <si>
    <t>Réessayer</t>
  </si>
  <si>
    <t>Wiederholen</t>
  </si>
  <si>
    <t>Help</t>
  </si>
  <si>
    <t>Aide</t>
  </si>
  <si>
    <t>Hilfe</t>
  </si>
  <si>
    <t>($ ago)</t>
  </si>
  <si>
    <t>(il y a $)</t>
  </si>
  <si>
    <t>(vor $)</t>
  </si>
  <si>
    <t>You did not copy your Solana address!</t>
  </si>
  <si>
    <t>Vous n'avez pas copié votre adresse Solana !</t>
  </si>
  <si>
    <t>Sie haben Ihre Solana-Adresse nicht kopiert!</t>
  </si>
  <si>
    <t>Abort</t>
  </si>
  <si>
    <t>Abandonner</t>
  </si>
  <si>
    <t>Abbrechen</t>
  </si>
  <si>
    <t>Error: Your payment could not be verified. You can try again or pay another way. In the event that your payment has been made, we will issue a refund shortly.</t>
  </si>
  <si>
    <t>Erreur : Votre paiement n'a pas pu être vérifié. Vous pouvez essayer de nouveau ou bien payer par un autre moyen. Dans le cas où votre paiement aurait été effectué, nous allons procédé à un remboursement d'ici peu.</t>
  </si>
  <si>
    <t>Fehler: Ihre Zahlung konnte nicht verifiziert werden. Sie können es erneut versuchen oder auf andere Weise bezahlen. Für den Fall, dass Ihre Zahlung erfolgt ist, werden wir in Kürze eine Rückerstattung vornehmen.</t>
  </si>
  <si>
    <t>Unknown error</t>
  </si>
  <si>
    <t>Erreur inconnue</t>
  </si>
  <si>
    <t>Unbekannter Fehler</t>
  </si>
  <si>
    <t>Unknown step</t>
  </si>
  <si>
    <t>Etape inconnue</t>
  </si>
  <si>
    <t>Unbekannter Schritt</t>
  </si>
  <si>
    <t>Invalid / Empty payment status</t>
  </si>
  <si>
    <t>Status de paiement invalide / vide</t>
  </si>
  <si>
    <t>Ungültiger / leerer Zahlungsstatus</t>
  </si>
  <si>
    <t>Success</t>
  </si>
  <si>
    <t>Validé</t>
  </si>
  <si>
    <t>Erfolg</t>
  </si>
  <si>
    <t>,</t>
  </si>
  <si>
    <t xml:space="preserve"> </t>
  </si>
  <si>
    <t>.</t>
  </si>
  <si>
    <t>EUR</t>
  </si>
  <si>
    <t>Currency</t>
  </si>
  <si>
    <t>Change Rate</t>
  </si>
  <si>
    <t>/total</t>
  </si>
  <si>
    <t>/data/changeAmount</t>
  </si>
  <si>
    <t>/data/decimals</t>
  </si>
  <si>
    <t>/data/symbol</t>
  </si>
  <si>
    <t>/data/blockTime</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</si>
</sst>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dd&quot;/&quot;mm&quot;/&quot;yyyy"/>
    <numFmt numFmtId="165" formatCode="#,##0.00##\ [$€-1]"/>
    <numFmt numFmtId="166" formatCode="#,##0.00[$ €]"/>
    <numFmt numFmtId="167" formatCode="dd&quot;/&quot;mm&quot;/&quot;yyyy&quot; &quot;hh&quot;:&quot;mm&quot;:&quot;ss"/>
    <numFmt numFmtId="168" formatCode="0.000"/>
    <numFmt numFmtId="169" formatCode="0.00000"/>
    <numFmt numFmtId="170" formatCode="#,##0.00\ [$€-1]"/>
    <numFmt numFmtId="171" formatCode="M/d/yyyy"/>
  </numFmts>
  <fonts count="7">
    <font>
      <sz val="10.0"/>
      <color rgb="FF000000"/>
      <name val="Arial"/>
      <scheme val="minor"/>
    </font>
    <font>
      <b/>
      <color theme="1"/>
      <name val="Arial"/>
      <scheme val="minor"/>
    </font>
    <font>
      <color theme="1"/>
      <name val="Arial"/>
      <scheme val="minor"/>
    </font>
    <font>
      <color theme="1"/>
      <name val="Arial"/>
    </font>
    <font>
      <b/>
      <color rgb="FF000000"/>
      <name val="Arial"/>
    </font>
    <font>
      <b/>
      <i/>
      <color theme="1"/>
      <name val="Arial"/>
      <scheme val="minor"/>
    </font>
    <font>
      <b/>
      <i/>
      <color theme="1"/>
      <name val="Arial"/>
    </font>
  </fonts>
  <fills count="6">
    <fill>
      <patternFill patternType="none"/>
    </fill>
    <fill>
      <patternFill patternType="lightGray"/>
    </fill>
    <fill>
      <patternFill patternType="solid">
        <fgColor rgb="FFA4C2F4"/>
        <bgColor rgb="FFA4C2F4"/>
      </patternFill>
    </fill>
    <fill>
      <patternFill patternType="solid">
        <fgColor rgb="FFB6D7A8"/>
        <bgColor rgb="FFB6D7A8"/>
      </patternFill>
    </fill>
    <fill>
      <patternFill patternType="solid">
        <fgColor rgb="FFFF9900"/>
        <bgColor rgb="FFFF9900"/>
      </patternFill>
    </fill>
    <fill>
      <patternFill patternType="solid">
        <fgColor rgb="FFFFFF00"/>
        <bgColor rgb="FFFFFF00"/>
      </patternFill>
    </fill>
  </fills>
  <borders count="3">
    <border/>
    <border>
      <left style="thin">
        <color rgb="FF000000"/>
      </left>
    </border>
    <border>
      <bottom style="thin">
        <color rgb="FF000000"/>
      </bottom>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2" fontId="1" numFmtId="0" xfId="0" applyAlignment="1" applyFill="1" applyFont="1">
      <alignment horizontal="center" readingOrder="0"/>
    </xf>
    <xf borderId="1" fillId="3" fontId="1" numFmtId="0" xfId="0" applyAlignment="1" applyBorder="1" applyFill="1" applyFont="1">
      <alignment horizontal="center" readingOrder="0"/>
    </xf>
    <xf borderId="0" fillId="3" fontId="1" numFmtId="0" xfId="0" applyAlignment="1" applyFont="1">
      <alignment horizontal="center" readingOrder="0"/>
    </xf>
    <xf borderId="0" fillId="3" fontId="1" numFmtId="164" xfId="0" applyAlignment="1" applyFont="1" applyNumberFormat="1">
      <alignment horizontal="center" readingOrder="0"/>
    </xf>
    <xf borderId="0" fillId="0" fontId="2" numFmtId="0" xfId="0" applyFont="1"/>
    <xf borderId="0" fillId="0" fontId="2" numFmtId="165" xfId="0" applyAlignment="1" applyFont="1" applyNumberFormat="1">
      <alignment readingOrder="0"/>
    </xf>
    <xf borderId="1" fillId="0" fontId="2" numFmtId="166" xfId="0" applyAlignment="1" applyBorder="1" applyFont="1" applyNumberFormat="1">
      <alignment readingOrder="0"/>
    </xf>
    <xf borderId="0" fillId="0" fontId="2" numFmtId="166" xfId="0" applyAlignment="1" applyFont="1" applyNumberFormat="1">
      <alignment readingOrder="0"/>
    </xf>
    <xf borderId="0" fillId="0" fontId="2" numFmtId="167" xfId="0" applyAlignment="1" applyFont="1" applyNumberFormat="1">
      <alignment readingOrder="0"/>
    </xf>
    <xf borderId="0" fillId="0" fontId="2" numFmtId="9" xfId="0" applyAlignment="1" applyFont="1" applyNumberFormat="1">
      <alignment readingOrder="0"/>
    </xf>
    <xf borderId="0" fillId="2" fontId="1" numFmtId="168" xfId="0" applyAlignment="1" applyFont="1" applyNumberFormat="1">
      <alignment horizontal="center" readingOrder="0"/>
    </xf>
    <xf borderId="0" fillId="0" fontId="3" numFmtId="167" xfId="0" applyAlignment="1" applyFont="1" applyNumberFormat="1">
      <alignment horizontal="right" readingOrder="0" vertical="bottom"/>
    </xf>
    <xf borderId="0" fillId="0" fontId="2" numFmtId="0" xfId="0" applyAlignment="1" applyFont="1">
      <alignment readingOrder="0"/>
    </xf>
    <xf borderId="0" fillId="0" fontId="2" numFmtId="0" xfId="0" applyAlignment="1" applyFont="1">
      <alignment readingOrder="0"/>
    </xf>
    <xf borderId="0" fillId="0" fontId="2" numFmtId="169" xfId="0" applyAlignment="1" applyFont="1" applyNumberFormat="1">
      <alignment readingOrder="0"/>
    </xf>
    <xf borderId="0" fillId="4" fontId="4" numFmtId="0" xfId="0" applyAlignment="1" applyFill="1" applyFont="1">
      <alignment horizontal="center" readingOrder="0"/>
    </xf>
    <xf borderId="0" fillId="4" fontId="1" numFmtId="0" xfId="0" applyAlignment="1" applyFont="1">
      <alignment horizontal="center" readingOrder="0"/>
    </xf>
    <xf borderId="0" fillId="4" fontId="1" numFmtId="0" xfId="0" applyAlignment="1" applyFont="1">
      <alignment horizontal="center"/>
    </xf>
    <xf borderId="1" fillId="5" fontId="1" numFmtId="0" xfId="0" applyAlignment="1" applyBorder="1" applyFill="1" applyFont="1">
      <alignment horizontal="center"/>
    </xf>
    <xf borderId="0" fillId="5" fontId="1" numFmtId="0" xfId="0" applyAlignment="1" applyFont="1">
      <alignment horizontal="center"/>
    </xf>
    <xf borderId="1" fillId="0" fontId="2" numFmtId="0" xfId="0" applyBorder="1" applyFont="1"/>
    <xf borderId="0" fillId="0" fontId="2" numFmtId="165" xfId="0" applyFont="1" applyNumberFormat="1"/>
    <xf borderId="0" fillId="0" fontId="2" numFmtId="167" xfId="0" applyFont="1" applyNumberFormat="1"/>
    <xf borderId="0" fillId="0" fontId="2" numFmtId="46" xfId="0" applyFont="1" applyNumberFormat="1"/>
    <xf borderId="0" fillId="2" fontId="5" numFmtId="0" xfId="0" applyAlignment="1" applyFont="1">
      <alignment horizontal="center" readingOrder="0" shrinkToFit="0" wrapText="1"/>
    </xf>
    <xf borderId="0" fillId="2" fontId="6" numFmtId="0" xfId="0" applyAlignment="1" applyFont="1">
      <alignment horizontal="center" readingOrder="0" shrinkToFit="0" vertical="top" wrapText="1"/>
    </xf>
    <xf borderId="0" fillId="0" fontId="2" numFmtId="0" xfId="0" applyAlignment="1" applyFont="1">
      <alignment readingOrder="0" shrinkToFit="0" wrapText="1"/>
    </xf>
    <xf borderId="2" fillId="0" fontId="2" numFmtId="0" xfId="0" applyAlignment="1" applyBorder="1" applyFont="1">
      <alignment readingOrder="0" shrinkToFit="0" wrapText="1"/>
    </xf>
    <xf borderId="0" fillId="5" fontId="2" numFmtId="0" xfId="0" applyAlignment="1" applyFont="1">
      <alignment readingOrder="0" shrinkToFit="0" wrapText="1"/>
    </xf>
    <xf borderId="0" fillId="0" fontId="3" numFmtId="170" xfId="0" applyAlignment="1" applyFont="1" applyNumberFormat="1">
      <alignment horizontal="center" shrinkToFit="0" vertical="top" wrapText="1"/>
    </xf>
    <xf borderId="0" fillId="0" fontId="3" numFmtId="0" xfId="0" applyAlignment="1" applyFont="1">
      <alignment horizontal="center" readingOrder="0" shrinkToFit="0" vertical="top" wrapText="1"/>
    </xf>
    <xf borderId="0" fillId="2" fontId="1" numFmtId="171" xfId="0" applyAlignment="1" applyFont="1" applyNumberFormat="1">
      <alignment horizontal="center" readingOrder="0"/>
    </xf>
    <xf borderId="0" fillId="0" fontId="2" numFmtId="170" xfId="0" applyFont="1" applyNumberFormat="1"/>
    <xf borderId="0" fillId="0" fontId="2" numFmtId="0" xfId="0" applyFont="1"/>
    <xf borderId="0" fillId="0" fontId="2" numFmtId="167" xfId="0" applyAlignment="1" applyFont="1" applyNumberFormat="1">
      <alignment readingOrder="0"/>
    </xf>
    <xf borderId="0" fillId="0" fontId="2" numFmtId="164" xfId="0" applyAlignment="1" applyFont="1" applyNumberFormat="1">
      <alignment readingOrder="0"/>
    </xf>
    <xf borderId="0" fillId="0" fontId="2" numFmtId="19" xfId="0" applyAlignment="1" applyFont="1" applyNumberFormat="1">
      <alignment readingOrder="0"/>
    </xf>
    <xf borderId="0" fillId="0" fontId="2" numFmtId="21"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5.xml"/><Relationship Id="rId3"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8.xml"/><Relationship Id="rId3"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9.xml"/><Relationship Id="rId3" Type="http://schemas.openxmlformats.org/officeDocument/2006/relationships/vmlDrawing" Target="../drawings/vmlDrawing3.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10.xml"/><Relationship Id="rId3"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1.xml"/><Relationship Id="rId3"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25"/>
    <col customWidth="1" min="2" max="2" width="17.38"/>
    <col customWidth="1" min="3" max="3" width="13.5"/>
    <col customWidth="1" min="4" max="4" width="8.38"/>
    <col customWidth="1" min="5" max="5" width="11.63"/>
    <col customWidth="1" min="6" max="6" width="13.88"/>
    <col customWidth="1" min="7" max="7" width="9.88"/>
    <col customWidth="1" min="8" max="9" width="10.13"/>
    <col customWidth="1" min="10" max="11" width="15.75"/>
    <col customWidth="1" min="12" max="12" width="21.75"/>
  </cols>
  <sheetData>
    <row r="1">
      <c r="A1" s="1" t="str">
        <f>IFERROR(__xludf.DUMMYFUNCTION("IMPORTRANGE(""https://docs.google.com/spreadsheets/d/1_3xkbHqUd8_WE7W39l9YM097EKIFRe_ZVYNR6he5J80/edit#gid=838843478"",""Merchant!A:G"")"),"index")</f>
        <v>index</v>
      </c>
      <c r="B1" s="1" t="str">
        <f>IFERROR(__xludf.DUMMYFUNCTION("""COMPUTED_VALUE"""),"address")</f>
        <v>address</v>
      </c>
      <c r="C1" s="1" t="str">
        <f>IFERROR(__xludf.DUMMYFUNCTION("""COMPUTED_VALUE"""),"company")</f>
        <v>company</v>
      </c>
      <c r="D1" s="1" t="str">
        <f>IFERROR(__xludf.DUMMYFUNCTION("""COMPUTED_VALUE"""),"maxValue")</f>
        <v>maxValue</v>
      </c>
      <c r="E1" s="1" t="str">
        <f>IFERROR(__xludf.DUMMYFUNCTION("""COMPUTED_VALUE"""),"Fiat Withdraw")</f>
        <v>Fiat Withdraw</v>
      </c>
      <c r="F1" s="1" t="str">
        <f>IFERROR(__xludf.DUMMYFUNCTION("""COMPUTED_VALUE"""),"Withdraw Period")</f>
        <v>Withdraw Period</v>
      </c>
      <c r="G1" s="1" t="str">
        <f>IFERROR(__xludf.DUMMYFUNCTION("""COMPUTED_VALUE"""),"Notification")</f>
        <v>Notification</v>
      </c>
      <c r="H1" s="2" t="s">
        <v>0</v>
      </c>
      <c r="I1" s="3" t="s">
        <v>1</v>
      </c>
      <c r="J1" s="4" t="s">
        <v>2</v>
      </c>
      <c r="K1" s="3" t="s">
        <v>3</v>
      </c>
      <c r="L1" s="3" t="str">
        <f>IFERROR(__xludf.DUMMYFUNCTION("IMPORTRANGE(""https://docs.google.com/spreadsheets/d/1_3xkbHqUd8_WE7W39l9YM097EKIFRe_ZVYNR6he5J80/edit#gid=838843478"",""Merchant!H:H"")"),"Email")</f>
        <v>Email</v>
      </c>
    </row>
    <row r="2">
      <c r="A2" s="5">
        <f>IFERROR(__xludf.DUMMYFUNCTION("""COMPUTED_VALUE"""),2.0)</f>
        <v>2</v>
      </c>
      <c r="B2" s="5" t="str">
        <f>IFERROR(__xludf.DUMMYFUNCTION("""COMPUTED_VALUE"""),"GZLPJYkR3diD8c8vpgb7sXHEH9sG1R9sWa3yPwaL9Peb")</f>
        <v>GZLPJYkR3diD8c8vpgb7sXHEH9sG1R9sWa3yPwaL9Peb</v>
      </c>
      <c r="C2" s="5" t="str">
        <f>IFERROR(__xludf.DUMMYFUNCTION("""COMPUTED_VALUE"""),"Le pain d'Annette")</f>
        <v>Le pain d'Annette</v>
      </c>
      <c r="D2" s="6">
        <f>IFERROR(__xludf.DUMMYFUNCTION("""COMPUTED_VALUE"""),300.0)</f>
        <v>300</v>
      </c>
      <c r="E2" s="5" t="b">
        <f>IFERROR(__xludf.DUMMYFUNCTION("""COMPUTED_VALUE"""),TRUE)</f>
        <v>1</v>
      </c>
      <c r="F2" s="5" t="str">
        <f>IFERROR(__xludf.DUMMYFUNCTION("""COMPUTED_VALUE"""),"Weekly")</f>
        <v>Weekly</v>
      </c>
      <c r="G2" s="5" t="str">
        <f>IFERROR(__xludf.DUMMYFUNCTION("""COMPUTED_VALUE"""),"No")</f>
        <v>No</v>
      </c>
      <c r="H2" s="7">
        <f>IF($A2&lt;&gt;"",SUMIFS(Transactions!$B:$B,Transactions!$C:$C,$A2),)</f>
        <v>32</v>
      </c>
      <c r="I2" s="8">
        <f>IF($A2&lt;&gt;"",SUMIFS(PaidTransactions!$B:$B,PaidTransactions!$C:$C,$A2),)</f>
        <v>459.3</v>
      </c>
      <c r="J2" s="9">
        <v>44801.88205987269</v>
      </c>
      <c r="K2" s="9">
        <f t="shared" ref="K2:K99" si="1">IF($A2&lt;&gt;"",SWITCH($F2,"Monthly",DATE(YEAR(TODAY()),MONTH(TODAY())+1,1),"Weekly",TODAY()+7-WEEKDAY(TODAY(),2),"Daily",TODAY()) + TIME(21,0,0),)</f>
        <v>44808.875</v>
      </c>
      <c r="L2" s="9" t="str">
        <f>IFERROR(__xludf.DUMMYFUNCTION("""COMPUTED_VALUE"""),"lepaindannette@free.fr")</f>
        <v>lepaindannette@free.fr</v>
      </c>
    </row>
    <row r="3">
      <c r="A3" s="5">
        <f>IFERROR(__xludf.DUMMYFUNCTION("""COMPUTED_VALUE"""),3.0)</f>
        <v>3</v>
      </c>
      <c r="B3" s="5" t="str">
        <f>IFERROR(__xludf.DUMMYFUNCTION("""COMPUTED_VALUE"""),"88r4F8tmgzxyxSoQFz5cWwTMAqtM8xB8pABfL4ikcJyx")</f>
        <v>88r4F8tmgzxyxSoQFz5cWwTMAqtM8xB8pABfL4ikcJyx</v>
      </c>
      <c r="C3" s="5" t="str">
        <f>IFERROR(__xludf.DUMMYFUNCTION("""COMPUTED_VALUE"""),"Nature &amp; bulles")</f>
        <v>Nature &amp; bulles</v>
      </c>
      <c r="D3" s="6">
        <f>IFERROR(__xludf.DUMMYFUNCTION("""COMPUTED_VALUE"""),300.0)</f>
        <v>300</v>
      </c>
      <c r="E3" s="5" t="b">
        <f>IFERROR(__xludf.DUMMYFUNCTION("""COMPUTED_VALUE"""),TRUE)</f>
        <v>1</v>
      </c>
      <c r="F3" s="5" t="str">
        <f>IFERROR(__xludf.DUMMYFUNCTION("""COMPUTED_VALUE"""),"Weekly")</f>
        <v>Weekly</v>
      </c>
      <c r="G3" s="5" t="str">
        <f>IFERROR(__xludf.DUMMYFUNCTION("""COMPUTED_VALUE"""),"No")</f>
        <v>No</v>
      </c>
      <c r="H3" s="7">
        <f>IF($A3&lt;&gt;"",SUMIFS(Transactions!$B:$B,Transactions!$C:$C,$A3),)</f>
        <v>0</v>
      </c>
      <c r="I3" s="8">
        <f>IF($A3&lt;&gt;"",SUMIFS(PaidTransactions!$B:$B,PaidTransactions!$C:$C,$A3),)</f>
        <v>79</v>
      </c>
      <c r="J3" s="9">
        <v>44801.88205987269</v>
      </c>
      <c r="K3" s="9">
        <f t="shared" si="1"/>
        <v>44808.875</v>
      </c>
      <c r="L3" s="9" t="str">
        <f>IFERROR(__xludf.DUMMYFUNCTION("""COMPUTED_VALUE"""),"contact@natureetbulles.com")</f>
        <v>contact@natureetbulles.com</v>
      </c>
    </row>
    <row r="4">
      <c r="A4" s="5">
        <f>IFERROR(__xludf.DUMMYFUNCTION("""COMPUTED_VALUE"""),4.0)</f>
        <v>4</v>
      </c>
      <c r="B4" s="5" t="str">
        <f>IFERROR(__xludf.DUMMYFUNCTION("""COMPUTED_VALUE"""),"BNnncdQZ9YokyQJX8of4K2YGw3pvLt2SVkXK131E1nFy")</f>
        <v>BNnncdQZ9YokyQJX8of4K2YGw3pvLt2SVkXK131E1nFy</v>
      </c>
      <c r="C4" s="5" t="str">
        <f>IFERROR(__xludf.DUMMYFUNCTION("""COMPUTED_VALUE"""),"Bloopsy Couture")</f>
        <v>Bloopsy Couture</v>
      </c>
      <c r="D4" s="6">
        <f>IFERROR(__xludf.DUMMYFUNCTION("""COMPUTED_VALUE"""),300.0)</f>
        <v>300</v>
      </c>
      <c r="E4" s="5" t="b">
        <f>IFERROR(__xludf.DUMMYFUNCTION("""COMPUTED_VALUE"""),FALSE)</f>
        <v>0</v>
      </c>
      <c r="F4" s="5" t="str">
        <f>IFERROR(__xludf.DUMMYFUNCTION("""COMPUTED_VALUE"""),"Weekly")</f>
        <v>Weekly</v>
      </c>
      <c r="G4" s="5" t="str">
        <f>IFERROR(__xludf.DUMMYFUNCTION("""COMPUTED_VALUE"""),"No")</f>
        <v>No</v>
      </c>
      <c r="H4" s="7">
        <f>IF($A4&lt;&gt;"",SUMIFS(Transactions!$B:$B,Transactions!$C:$C,$A4),)</f>
        <v>30.8</v>
      </c>
      <c r="I4" s="8" t="str">
        <f>IF($A4&lt;&gt;"",SUMIFS(PaidTransactions!$B:$B,PaidTransactions!$C:$C,$A4),)</f>
        <v>#NUM!</v>
      </c>
      <c r="J4" s="9">
        <v>44801.88205987269</v>
      </c>
      <c r="K4" s="9">
        <f t="shared" si="1"/>
        <v>44808.875</v>
      </c>
      <c r="L4" s="9" t="str">
        <f>IFERROR(__xludf.DUMMYFUNCTION("""COMPUTED_VALUE"""),"isadeloenzien@gmail.com")</f>
        <v>isadeloenzien@gmail.com</v>
      </c>
    </row>
    <row r="5">
      <c r="D5" s="10"/>
      <c r="H5" s="7" t="str">
        <f>IF($A5&lt;&gt;"",SUMIFS(Transactions!$B:$B,Transactions!$C:$C,$A5),)</f>
        <v/>
      </c>
      <c r="I5" s="8" t="str">
        <f>IF($A5&lt;&gt;"",SUMIFS(PaidTransactions!$B:$B,PaidTransactions!$C:$C,$A5),)</f>
        <v/>
      </c>
      <c r="J5" s="9"/>
      <c r="K5" s="9" t="str">
        <f t="shared" si="1"/>
        <v/>
      </c>
      <c r="L5" s="9"/>
    </row>
    <row r="6">
      <c r="D6" s="10"/>
      <c r="H6" s="7" t="str">
        <f>IF($A6&lt;&gt;"",SUMIFS(Transactions!$B:$B,Transactions!$C:$C,$A6),)</f>
        <v/>
      </c>
      <c r="I6" s="8" t="str">
        <f>IF($A6&lt;&gt;"",SUMIFS(PaidTransactions!$B:$B,PaidTransactions!$C:$C,$A6),)</f>
        <v/>
      </c>
      <c r="J6" s="9"/>
      <c r="K6" s="9" t="str">
        <f t="shared" si="1"/>
        <v/>
      </c>
      <c r="L6" s="9"/>
    </row>
    <row r="7">
      <c r="D7" s="10"/>
      <c r="H7" s="7" t="str">
        <f>IF($A7&lt;&gt;"",SUMIFS(Transactions!$B:$B,Transactions!$C:$C,$A7),)</f>
        <v/>
      </c>
      <c r="I7" s="8" t="str">
        <f>IF($A7&lt;&gt;"",SUMIFS(PaidTransactions!$B:$B,PaidTransactions!$C:$C,$A7),)</f>
        <v/>
      </c>
      <c r="J7" s="9"/>
      <c r="K7" s="9" t="str">
        <f t="shared" si="1"/>
        <v/>
      </c>
      <c r="L7" s="9"/>
    </row>
    <row r="8">
      <c r="D8" s="10"/>
      <c r="H8" s="7" t="str">
        <f>IF($A8&lt;&gt;"",SUMIFS(Transactions!$B:$B,Transactions!$C:$C,$A8),)</f>
        <v/>
      </c>
      <c r="I8" s="8" t="str">
        <f>IF($A8&lt;&gt;"",SUMIFS(PaidTransactions!$B:$B,PaidTransactions!$C:$C,$A8),)</f>
        <v/>
      </c>
      <c r="J8" s="9"/>
      <c r="K8" s="9" t="str">
        <f t="shared" si="1"/>
        <v/>
      </c>
      <c r="L8" s="9"/>
    </row>
    <row r="9">
      <c r="D9" s="10"/>
      <c r="H9" s="7" t="str">
        <f>IF($A9&lt;&gt;"",SUMIFS(Transactions!$B:$B,Transactions!$C:$C,$A9),)</f>
        <v/>
      </c>
      <c r="I9" s="8" t="str">
        <f>IF($A9&lt;&gt;"",SUMIFS(PaidTransactions!$B:$B,PaidTransactions!$C:$C,$A9),)</f>
        <v/>
      </c>
      <c r="J9" s="9"/>
      <c r="K9" s="9" t="str">
        <f t="shared" si="1"/>
        <v/>
      </c>
      <c r="L9" s="9"/>
    </row>
    <row r="10">
      <c r="D10" s="10"/>
      <c r="H10" s="7" t="str">
        <f>IF($A10&lt;&gt;"",SUMIFS(Transactions!$B:$B,Transactions!$C:$C,$A10),)</f>
        <v/>
      </c>
      <c r="I10" s="8" t="str">
        <f>IF($A10&lt;&gt;"",SUMIFS(PaidTransactions!$B:$B,PaidTransactions!$C:$C,$A10),)</f>
        <v/>
      </c>
      <c r="J10" s="9"/>
      <c r="K10" s="9" t="str">
        <f t="shared" si="1"/>
        <v/>
      </c>
      <c r="L10" s="9"/>
    </row>
    <row r="11">
      <c r="D11" s="10"/>
      <c r="H11" s="7" t="str">
        <f>IF($A11&lt;&gt;"",SUMIFS(Transactions!$B:$B,Transactions!$C:$C,$A11),)</f>
        <v/>
      </c>
      <c r="I11" s="8" t="str">
        <f>IF($A11&lt;&gt;"",SUMIFS(PaidTransactions!$B:$B,PaidTransactions!$C:$C,$A11),)</f>
        <v/>
      </c>
      <c r="J11" s="9"/>
      <c r="K11" s="9" t="str">
        <f t="shared" si="1"/>
        <v/>
      </c>
      <c r="L11" s="9"/>
    </row>
    <row r="12">
      <c r="D12" s="10"/>
      <c r="H12" s="7" t="str">
        <f>IF($A12&lt;&gt;"",SUMIFS(Transactions!$B:$B,Transactions!$C:$C,$A12),)</f>
        <v/>
      </c>
      <c r="I12" s="8" t="str">
        <f>IF($A12&lt;&gt;"",SUMIFS(PaidTransactions!$B:$B,PaidTransactions!$C:$C,$A12),)</f>
        <v/>
      </c>
      <c r="J12" s="9"/>
      <c r="K12" s="9" t="str">
        <f t="shared" si="1"/>
        <v/>
      </c>
      <c r="L12" s="9"/>
    </row>
    <row r="13">
      <c r="D13" s="10"/>
      <c r="H13" s="7" t="str">
        <f>IF($A13&lt;&gt;"",SUMIFS(Transactions!$B:$B,Transactions!$C:$C,$A13),)</f>
        <v/>
      </c>
      <c r="I13" s="8" t="str">
        <f>IF($A13&lt;&gt;"",SUMIFS(PaidTransactions!$B:$B,PaidTransactions!$C:$C,$A13),)</f>
        <v/>
      </c>
      <c r="J13" s="9"/>
      <c r="K13" s="9" t="str">
        <f t="shared" si="1"/>
        <v/>
      </c>
      <c r="L13" s="9"/>
    </row>
    <row r="14">
      <c r="D14" s="10"/>
      <c r="H14" s="7" t="str">
        <f>IF($A14&lt;&gt;"",SUMIFS(Transactions!$B:$B,Transactions!$C:$C,$A14),)</f>
        <v/>
      </c>
      <c r="I14" s="8" t="str">
        <f>IF($A14&lt;&gt;"",SUMIFS(PaidTransactions!$B:$B,PaidTransactions!$C:$C,$A14),)</f>
        <v/>
      </c>
      <c r="J14" s="9"/>
      <c r="K14" s="9" t="str">
        <f t="shared" si="1"/>
        <v/>
      </c>
      <c r="L14" s="9"/>
    </row>
    <row r="15">
      <c r="D15" s="10"/>
      <c r="H15" s="7" t="str">
        <f>IF($A15&lt;&gt;"",SUMIFS(Transactions!$B:$B,Transactions!$C:$C,$A15),)</f>
        <v/>
      </c>
      <c r="I15" s="8" t="str">
        <f>IF($A15&lt;&gt;"",SUMIFS(PaidTransactions!$B:$B,PaidTransactions!$C:$C,$A15),)</f>
        <v/>
      </c>
      <c r="J15" s="9"/>
      <c r="K15" s="9" t="str">
        <f t="shared" si="1"/>
        <v/>
      </c>
      <c r="L15" s="9"/>
    </row>
    <row r="16">
      <c r="D16" s="10"/>
      <c r="H16" s="7" t="str">
        <f>IF($A16&lt;&gt;"",SUMIFS(Transactions!$B:$B,Transactions!$C:$C,$A16),)</f>
        <v/>
      </c>
      <c r="I16" s="8" t="str">
        <f>IF($A16&lt;&gt;"",SUMIFS(PaidTransactions!$B:$B,PaidTransactions!$C:$C,$A16),)</f>
        <v/>
      </c>
      <c r="J16" s="9"/>
      <c r="K16" s="9" t="str">
        <f t="shared" si="1"/>
        <v/>
      </c>
      <c r="L16" s="9"/>
    </row>
    <row r="17">
      <c r="D17" s="10"/>
      <c r="H17" s="7" t="str">
        <f>IF($A17&lt;&gt;"",SUMIFS(Transactions!$B:$B,Transactions!$C:$C,$A17),)</f>
        <v/>
      </c>
      <c r="I17" s="8" t="str">
        <f>IF($A17&lt;&gt;"",SUMIFS(PaidTransactions!$B:$B,PaidTransactions!$C:$C,$A17),)</f>
        <v/>
      </c>
      <c r="J17" s="9"/>
      <c r="K17" s="9" t="str">
        <f t="shared" si="1"/>
        <v/>
      </c>
      <c r="L17" s="9"/>
    </row>
    <row r="18">
      <c r="D18" s="10"/>
      <c r="H18" s="7" t="str">
        <f>IF($A18&lt;&gt;"",SUMIFS(Transactions!$B:$B,Transactions!$C:$C,$A18),)</f>
        <v/>
      </c>
      <c r="I18" s="8" t="str">
        <f>IF($A18&lt;&gt;"",SUMIFS(PaidTransactions!$B:$B,PaidTransactions!$C:$C,$A18),)</f>
        <v/>
      </c>
      <c r="J18" s="9"/>
      <c r="K18" s="9" t="str">
        <f t="shared" si="1"/>
        <v/>
      </c>
      <c r="L18" s="9"/>
    </row>
    <row r="19">
      <c r="D19" s="10"/>
      <c r="H19" s="7" t="str">
        <f>IF($A19&lt;&gt;"",SUMIFS(Transactions!$B:$B,Transactions!$C:$C,$A19),)</f>
        <v/>
      </c>
      <c r="I19" s="8" t="str">
        <f>IF($A19&lt;&gt;"",SUMIFS(PaidTransactions!$B:$B,PaidTransactions!$C:$C,$A19),)</f>
        <v/>
      </c>
      <c r="J19" s="9"/>
      <c r="K19" s="9" t="str">
        <f t="shared" si="1"/>
        <v/>
      </c>
      <c r="L19" s="9"/>
    </row>
    <row r="20">
      <c r="D20" s="10"/>
      <c r="H20" s="7" t="str">
        <f>IF($A20&lt;&gt;"",SUMIFS(Transactions!$B:$B,Transactions!$C:$C,$A20),)</f>
        <v/>
      </c>
      <c r="I20" s="8" t="str">
        <f>IF($A20&lt;&gt;"",SUMIFS(PaidTransactions!$B:$B,PaidTransactions!$C:$C,$A20),)</f>
        <v/>
      </c>
      <c r="J20" s="9"/>
      <c r="K20" s="9" t="str">
        <f t="shared" si="1"/>
        <v/>
      </c>
      <c r="L20" s="9"/>
    </row>
    <row r="21">
      <c r="D21" s="10"/>
      <c r="H21" s="7" t="str">
        <f>IF($A21&lt;&gt;"",SUMIFS(Transactions!$B:$B,Transactions!$C:$C,$A21),)</f>
        <v/>
      </c>
      <c r="I21" s="8" t="str">
        <f>IF($A21&lt;&gt;"",SUMIFS(PaidTransactions!$B:$B,PaidTransactions!$C:$C,$A21),)</f>
        <v/>
      </c>
      <c r="J21" s="9"/>
      <c r="K21" s="9" t="str">
        <f t="shared" si="1"/>
        <v/>
      </c>
      <c r="L21" s="9"/>
    </row>
    <row r="22">
      <c r="D22" s="10"/>
      <c r="H22" s="7" t="str">
        <f>IF($A22&lt;&gt;"",SUMIFS(Transactions!$B:$B,Transactions!$C:$C,$A22),)</f>
        <v/>
      </c>
      <c r="I22" s="8" t="str">
        <f>IF($A22&lt;&gt;"",SUMIFS(PaidTransactions!$B:$B,PaidTransactions!$C:$C,$A22),)</f>
        <v/>
      </c>
      <c r="J22" s="9"/>
      <c r="K22" s="9" t="str">
        <f t="shared" si="1"/>
        <v/>
      </c>
      <c r="L22" s="9"/>
    </row>
    <row r="23">
      <c r="D23" s="10"/>
      <c r="H23" s="7" t="str">
        <f>IF($A23&lt;&gt;"",SUMIFS(Transactions!$B:$B,Transactions!$C:$C,$A23),)</f>
        <v/>
      </c>
      <c r="I23" s="8" t="str">
        <f>IF($A23&lt;&gt;"",SUMIFS(PaidTransactions!$B:$B,PaidTransactions!$C:$C,$A23),)</f>
        <v/>
      </c>
      <c r="J23" s="9"/>
      <c r="K23" s="9" t="str">
        <f t="shared" si="1"/>
        <v/>
      </c>
      <c r="L23" s="9"/>
    </row>
    <row r="24">
      <c r="D24" s="10"/>
      <c r="H24" s="7" t="str">
        <f>IF($A24&lt;&gt;"",SUMIFS(Transactions!$B:$B,Transactions!$C:$C,$A24),)</f>
        <v/>
      </c>
      <c r="I24" s="8" t="str">
        <f>IF($A24&lt;&gt;"",SUMIFS(PaidTransactions!$B:$B,PaidTransactions!$C:$C,$A24),)</f>
        <v/>
      </c>
      <c r="J24" s="9"/>
      <c r="K24" s="9" t="str">
        <f t="shared" si="1"/>
        <v/>
      </c>
      <c r="L24" s="9"/>
    </row>
    <row r="25">
      <c r="D25" s="10"/>
      <c r="H25" s="7" t="str">
        <f>IF($A25&lt;&gt;"",SUMIFS(Transactions!$B:$B,Transactions!$C:$C,$A25),)</f>
        <v/>
      </c>
      <c r="I25" s="8" t="str">
        <f>IF($A25&lt;&gt;"",SUMIFS(PaidTransactions!$B:$B,PaidTransactions!$C:$C,$A25),)</f>
        <v/>
      </c>
      <c r="J25" s="9"/>
      <c r="K25" s="9" t="str">
        <f t="shared" si="1"/>
        <v/>
      </c>
      <c r="L25" s="9"/>
    </row>
    <row r="26">
      <c r="D26" s="10"/>
      <c r="H26" s="7" t="str">
        <f>IF($A26&lt;&gt;"",SUMIFS(Transactions!$B:$B,Transactions!$C:$C,$A26),)</f>
        <v/>
      </c>
      <c r="I26" s="8" t="str">
        <f>IF($A26&lt;&gt;"",SUMIFS(PaidTransactions!$B:$B,PaidTransactions!$C:$C,$A26),)</f>
        <v/>
      </c>
      <c r="J26" s="9"/>
      <c r="K26" s="9" t="str">
        <f t="shared" si="1"/>
        <v/>
      </c>
      <c r="L26" s="9"/>
    </row>
    <row r="27">
      <c r="D27" s="10"/>
      <c r="H27" s="7" t="str">
        <f>IF($A27&lt;&gt;"",SUMIFS(Transactions!$B:$B,Transactions!$C:$C,$A27),)</f>
        <v/>
      </c>
      <c r="I27" s="8" t="str">
        <f>IF($A27&lt;&gt;"",SUMIFS(PaidTransactions!$B:$B,PaidTransactions!$C:$C,$A27),)</f>
        <v/>
      </c>
      <c r="J27" s="9"/>
      <c r="K27" s="9" t="str">
        <f t="shared" si="1"/>
        <v/>
      </c>
      <c r="L27" s="9"/>
    </row>
    <row r="28">
      <c r="D28" s="10"/>
      <c r="H28" s="7" t="str">
        <f>IF($A28&lt;&gt;"",SUMIFS(Transactions!$B:$B,Transactions!$C:$C,$A28),)</f>
        <v/>
      </c>
      <c r="I28" s="8" t="str">
        <f>IF($A28&lt;&gt;"",SUMIFS(PaidTransactions!$B:$B,PaidTransactions!$C:$C,$A28),)</f>
        <v/>
      </c>
      <c r="J28" s="9"/>
      <c r="K28" s="9" t="str">
        <f t="shared" si="1"/>
        <v/>
      </c>
      <c r="L28" s="9"/>
    </row>
    <row r="29">
      <c r="D29" s="10"/>
      <c r="H29" s="7" t="str">
        <f>IF($A29&lt;&gt;"",SUMIFS(Transactions!$B:$B,Transactions!$C:$C,$A29),)</f>
        <v/>
      </c>
      <c r="I29" s="8" t="str">
        <f>IF($A29&lt;&gt;"",SUMIFS(PaidTransactions!$B:$B,PaidTransactions!$C:$C,$A29),)</f>
        <v/>
      </c>
      <c r="J29" s="9"/>
      <c r="K29" s="9" t="str">
        <f t="shared" si="1"/>
        <v/>
      </c>
      <c r="L29" s="9"/>
    </row>
    <row r="30">
      <c r="D30" s="10"/>
      <c r="H30" s="7" t="str">
        <f>IF($A30&lt;&gt;"",SUMIFS(Transactions!$B:$B,Transactions!$C:$C,$A30),)</f>
        <v/>
      </c>
      <c r="I30" s="8" t="str">
        <f>IF($A30&lt;&gt;"",SUMIFS(PaidTransactions!$B:$B,PaidTransactions!$C:$C,$A30),)</f>
        <v/>
      </c>
      <c r="J30" s="9"/>
      <c r="K30" s="9" t="str">
        <f t="shared" si="1"/>
        <v/>
      </c>
      <c r="L30" s="9"/>
    </row>
    <row r="31">
      <c r="D31" s="10"/>
      <c r="H31" s="7" t="str">
        <f>IF($A31&lt;&gt;"",SUMIFS(Transactions!$B:$B,Transactions!$C:$C,$A31),)</f>
        <v/>
      </c>
      <c r="I31" s="8" t="str">
        <f>IF($A31&lt;&gt;"",SUMIFS(PaidTransactions!$B:$B,PaidTransactions!$C:$C,$A31),)</f>
        <v/>
      </c>
      <c r="J31" s="9"/>
      <c r="K31" s="9" t="str">
        <f t="shared" si="1"/>
        <v/>
      </c>
      <c r="L31" s="9"/>
    </row>
    <row r="32">
      <c r="D32" s="10"/>
      <c r="H32" s="7" t="str">
        <f>IF($A32&lt;&gt;"",SUMIFS(Transactions!$B:$B,Transactions!$C:$C,$A32),)</f>
        <v/>
      </c>
      <c r="I32" s="8" t="str">
        <f>IF($A32&lt;&gt;"",SUMIFS(PaidTransactions!$B:$B,PaidTransactions!$C:$C,$A32),)</f>
        <v/>
      </c>
      <c r="J32" s="9"/>
      <c r="K32" s="9" t="str">
        <f t="shared" si="1"/>
        <v/>
      </c>
      <c r="L32" s="9"/>
    </row>
    <row r="33">
      <c r="D33" s="10"/>
      <c r="H33" s="7" t="str">
        <f>IF($A33&lt;&gt;"",SUMIFS(Transactions!$B:$B,Transactions!$C:$C,$A33),)</f>
        <v/>
      </c>
      <c r="I33" s="8" t="str">
        <f>IF($A33&lt;&gt;"",SUMIFS(PaidTransactions!$B:$B,PaidTransactions!$C:$C,$A33),)</f>
        <v/>
      </c>
      <c r="J33" s="9"/>
      <c r="K33" s="9" t="str">
        <f t="shared" si="1"/>
        <v/>
      </c>
      <c r="L33" s="9"/>
    </row>
    <row r="34">
      <c r="D34" s="10"/>
      <c r="H34" s="7" t="str">
        <f>IF($A34&lt;&gt;"",SUMIFS(Transactions!$B:$B,Transactions!$C:$C,$A34),)</f>
        <v/>
      </c>
      <c r="I34" s="8" t="str">
        <f>IF($A34&lt;&gt;"",SUMIFS(PaidTransactions!$B:$B,PaidTransactions!$C:$C,$A34),)</f>
        <v/>
      </c>
      <c r="J34" s="9"/>
      <c r="K34" s="9" t="str">
        <f t="shared" si="1"/>
        <v/>
      </c>
      <c r="L34" s="9"/>
    </row>
    <row r="35">
      <c r="D35" s="10"/>
      <c r="H35" s="7" t="str">
        <f>IF($A35&lt;&gt;"",SUMIFS(Transactions!$B:$B,Transactions!$C:$C,$A35),)</f>
        <v/>
      </c>
      <c r="I35" s="8" t="str">
        <f>IF($A35&lt;&gt;"",SUMIFS(PaidTransactions!$B:$B,PaidTransactions!$C:$C,$A35),)</f>
        <v/>
      </c>
      <c r="J35" s="9"/>
      <c r="K35" s="9" t="str">
        <f t="shared" si="1"/>
        <v/>
      </c>
      <c r="L35" s="9"/>
    </row>
    <row r="36">
      <c r="D36" s="10"/>
      <c r="H36" s="7" t="str">
        <f>IF($A36&lt;&gt;"",SUMIFS(Transactions!$B:$B,Transactions!$C:$C,$A36),)</f>
        <v/>
      </c>
      <c r="I36" s="8" t="str">
        <f>IF($A36&lt;&gt;"",SUMIFS(PaidTransactions!$B:$B,PaidTransactions!$C:$C,$A36),)</f>
        <v/>
      </c>
      <c r="J36" s="9"/>
      <c r="K36" s="9" t="str">
        <f t="shared" si="1"/>
        <v/>
      </c>
      <c r="L36" s="9"/>
    </row>
    <row r="37">
      <c r="D37" s="10"/>
      <c r="H37" s="7" t="str">
        <f>IF($A37&lt;&gt;"",SUMIFS(Transactions!$B:$B,Transactions!$C:$C,$A37),)</f>
        <v/>
      </c>
      <c r="I37" s="8" t="str">
        <f>IF($A37&lt;&gt;"",SUMIFS(PaidTransactions!$B:$B,PaidTransactions!$C:$C,$A37),)</f>
        <v/>
      </c>
      <c r="J37" s="9"/>
      <c r="K37" s="9" t="str">
        <f t="shared" si="1"/>
        <v/>
      </c>
      <c r="L37" s="9"/>
    </row>
    <row r="38">
      <c r="D38" s="10"/>
      <c r="H38" s="7" t="str">
        <f>IF($A38&lt;&gt;"",SUMIFS(Transactions!$B:$B,Transactions!$C:$C,$A38),)</f>
        <v/>
      </c>
      <c r="I38" s="8" t="str">
        <f>IF($A38&lt;&gt;"",SUMIFS(PaidTransactions!$B:$B,PaidTransactions!$C:$C,$A38),)</f>
        <v/>
      </c>
      <c r="J38" s="9"/>
      <c r="K38" s="9" t="str">
        <f t="shared" si="1"/>
        <v/>
      </c>
      <c r="L38" s="9"/>
    </row>
    <row r="39">
      <c r="D39" s="10"/>
      <c r="H39" s="7" t="str">
        <f>IF($A39&lt;&gt;"",SUMIFS(Transactions!$B:$B,Transactions!$C:$C,$A39),)</f>
        <v/>
      </c>
      <c r="I39" s="8" t="str">
        <f>IF($A39&lt;&gt;"",SUMIFS(PaidTransactions!$B:$B,PaidTransactions!$C:$C,$A39),)</f>
        <v/>
      </c>
      <c r="J39" s="9"/>
      <c r="K39" s="9" t="str">
        <f t="shared" si="1"/>
        <v/>
      </c>
      <c r="L39" s="9"/>
    </row>
    <row r="40">
      <c r="D40" s="10"/>
      <c r="H40" s="7" t="str">
        <f>IF($A40&lt;&gt;"",SUMIFS(Transactions!$B:$B,Transactions!$C:$C,$A40),)</f>
        <v/>
      </c>
      <c r="I40" s="8" t="str">
        <f>IF($A40&lt;&gt;"",SUMIFS(PaidTransactions!$B:$B,PaidTransactions!$C:$C,$A40),)</f>
        <v/>
      </c>
      <c r="J40" s="9"/>
      <c r="K40" s="9" t="str">
        <f t="shared" si="1"/>
        <v/>
      </c>
      <c r="L40" s="9"/>
    </row>
    <row r="41">
      <c r="D41" s="10"/>
      <c r="H41" s="7" t="str">
        <f>IF($A41&lt;&gt;"",SUMIFS(Transactions!$B:$B,Transactions!$C:$C,$A41),)</f>
        <v/>
      </c>
      <c r="I41" s="8" t="str">
        <f>IF($A41&lt;&gt;"",SUMIFS(PaidTransactions!$B:$B,PaidTransactions!$C:$C,$A41),)</f>
        <v/>
      </c>
      <c r="J41" s="9"/>
      <c r="K41" s="9" t="str">
        <f t="shared" si="1"/>
        <v/>
      </c>
      <c r="L41" s="9"/>
    </row>
    <row r="42">
      <c r="D42" s="10"/>
      <c r="H42" s="7" t="str">
        <f>IF($A42&lt;&gt;"",SUMIFS(Transactions!$B:$B,Transactions!$C:$C,$A42),)</f>
        <v/>
      </c>
      <c r="I42" s="8" t="str">
        <f>IF($A42&lt;&gt;"",SUMIFS(PaidTransactions!$B:$B,PaidTransactions!$C:$C,$A42),)</f>
        <v/>
      </c>
      <c r="J42" s="9"/>
      <c r="K42" s="9" t="str">
        <f t="shared" si="1"/>
        <v/>
      </c>
      <c r="L42" s="9"/>
    </row>
    <row r="43">
      <c r="D43" s="10"/>
      <c r="H43" s="7" t="str">
        <f>IF($A43&lt;&gt;"",SUMIFS(Transactions!$B:$B,Transactions!$C:$C,$A43),)</f>
        <v/>
      </c>
      <c r="I43" s="8" t="str">
        <f>IF($A43&lt;&gt;"",SUMIFS(PaidTransactions!$B:$B,PaidTransactions!$C:$C,$A43),)</f>
        <v/>
      </c>
      <c r="J43" s="9"/>
      <c r="K43" s="9" t="str">
        <f t="shared" si="1"/>
        <v/>
      </c>
      <c r="L43" s="9"/>
    </row>
    <row r="44">
      <c r="D44" s="10"/>
      <c r="H44" s="7" t="str">
        <f>IF($A44&lt;&gt;"",SUMIFS(Transactions!$B:$B,Transactions!$C:$C,$A44),)</f>
        <v/>
      </c>
      <c r="I44" s="8" t="str">
        <f>IF($A44&lt;&gt;"",SUMIFS(PaidTransactions!$B:$B,PaidTransactions!$C:$C,$A44),)</f>
        <v/>
      </c>
      <c r="J44" s="9"/>
      <c r="K44" s="9" t="str">
        <f t="shared" si="1"/>
        <v/>
      </c>
      <c r="L44" s="9"/>
    </row>
    <row r="45">
      <c r="D45" s="10"/>
      <c r="H45" s="7" t="str">
        <f>IF($A45&lt;&gt;"",SUMIFS(Transactions!$B:$B,Transactions!$C:$C,$A45),)</f>
        <v/>
      </c>
      <c r="I45" s="8" t="str">
        <f>IF($A45&lt;&gt;"",SUMIFS(PaidTransactions!$B:$B,PaidTransactions!$C:$C,$A45),)</f>
        <v/>
      </c>
      <c r="J45" s="9"/>
      <c r="K45" s="9" t="str">
        <f t="shared" si="1"/>
        <v/>
      </c>
      <c r="L45" s="9"/>
    </row>
    <row r="46">
      <c r="D46" s="10"/>
      <c r="H46" s="7" t="str">
        <f>IF($A46&lt;&gt;"",SUMIFS(Transactions!$B:$B,Transactions!$C:$C,$A46),)</f>
        <v/>
      </c>
      <c r="I46" s="8" t="str">
        <f>IF($A46&lt;&gt;"",SUMIFS(PaidTransactions!$B:$B,PaidTransactions!$C:$C,$A46),)</f>
        <v/>
      </c>
      <c r="J46" s="9"/>
      <c r="K46" s="9" t="str">
        <f t="shared" si="1"/>
        <v/>
      </c>
      <c r="L46" s="9"/>
    </row>
    <row r="47">
      <c r="D47" s="10"/>
      <c r="H47" s="7" t="str">
        <f>IF($A47&lt;&gt;"",SUMIFS(Transactions!$B:$B,Transactions!$C:$C,$A47),)</f>
        <v/>
      </c>
      <c r="I47" s="8" t="str">
        <f>IF($A47&lt;&gt;"",SUMIFS(PaidTransactions!$B:$B,PaidTransactions!$C:$C,$A47),)</f>
        <v/>
      </c>
      <c r="J47" s="9"/>
      <c r="K47" s="9" t="str">
        <f t="shared" si="1"/>
        <v/>
      </c>
      <c r="L47" s="9"/>
    </row>
    <row r="48">
      <c r="D48" s="10"/>
      <c r="H48" s="7" t="str">
        <f>IF($A48&lt;&gt;"",SUMIFS(Transactions!$B:$B,Transactions!$C:$C,$A48),)</f>
        <v/>
      </c>
      <c r="I48" s="8" t="str">
        <f>IF($A48&lt;&gt;"",SUMIFS(PaidTransactions!$B:$B,PaidTransactions!$C:$C,$A48),)</f>
        <v/>
      </c>
      <c r="J48" s="9"/>
      <c r="K48" s="9" t="str">
        <f t="shared" si="1"/>
        <v/>
      </c>
      <c r="L48" s="9"/>
    </row>
    <row r="49">
      <c r="D49" s="10"/>
      <c r="H49" s="7" t="str">
        <f>IF($A49&lt;&gt;"",SUMIFS(Transactions!$B:$B,Transactions!$C:$C,$A49),)</f>
        <v/>
      </c>
      <c r="I49" s="8" t="str">
        <f>IF($A49&lt;&gt;"",SUMIFS(PaidTransactions!$B:$B,PaidTransactions!$C:$C,$A49),)</f>
        <v/>
      </c>
      <c r="J49" s="9"/>
      <c r="K49" s="9" t="str">
        <f t="shared" si="1"/>
        <v/>
      </c>
      <c r="L49" s="9"/>
    </row>
    <row r="50">
      <c r="D50" s="10"/>
      <c r="H50" s="7" t="str">
        <f>IF($A50&lt;&gt;"",SUMIFS(Transactions!$B:$B,Transactions!$C:$C,$A50),)</f>
        <v/>
      </c>
      <c r="I50" s="8" t="str">
        <f>IF($A50&lt;&gt;"",SUMIFS(PaidTransactions!$B:$B,PaidTransactions!$C:$C,$A50),)</f>
        <v/>
      </c>
      <c r="J50" s="9"/>
      <c r="K50" s="9" t="str">
        <f t="shared" si="1"/>
        <v/>
      </c>
      <c r="L50" s="9"/>
    </row>
    <row r="51">
      <c r="D51" s="10"/>
      <c r="H51" s="7" t="str">
        <f>IF($A51&lt;&gt;"",SUMIFS(Transactions!$B:$B,Transactions!$C:$C,$A51),)</f>
        <v/>
      </c>
      <c r="I51" s="8" t="str">
        <f>IF($A51&lt;&gt;"",SUMIFS(PaidTransactions!$B:$B,PaidTransactions!$C:$C,$A51),)</f>
        <v/>
      </c>
      <c r="J51" s="9"/>
      <c r="K51" s="9" t="str">
        <f t="shared" si="1"/>
        <v/>
      </c>
      <c r="L51" s="9"/>
    </row>
    <row r="52">
      <c r="D52" s="10"/>
      <c r="H52" s="7" t="str">
        <f>IF($A52&lt;&gt;"",SUMIFS(Transactions!$B:$B,Transactions!$C:$C,$A52),)</f>
        <v/>
      </c>
      <c r="I52" s="8" t="str">
        <f>IF($A52&lt;&gt;"",SUMIFS(PaidTransactions!$B:$B,PaidTransactions!$C:$C,$A52),)</f>
        <v/>
      </c>
      <c r="J52" s="9"/>
      <c r="K52" s="9" t="str">
        <f t="shared" si="1"/>
        <v/>
      </c>
      <c r="L52" s="9"/>
    </row>
    <row r="53">
      <c r="D53" s="10"/>
      <c r="H53" s="7" t="str">
        <f>IF($A53&lt;&gt;"",SUMIFS(Transactions!$B:$B,Transactions!$C:$C,$A53),)</f>
        <v/>
      </c>
      <c r="I53" s="8" t="str">
        <f>IF($A53&lt;&gt;"",SUMIFS(PaidTransactions!$B:$B,PaidTransactions!$C:$C,$A53),)</f>
        <v/>
      </c>
      <c r="J53" s="9"/>
      <c r="K53" s="9" t="str">
        <f t="shared" si="1"/>
        <v/>
      </c>
      <c r="L53" s="9"/>
    </row>
    <row r="54">
      <c r="D54" s="10"/>
      <c r="H54" s="7" t="str">
        <f>IF($A54&lt;&gt;"",SUMIFS(Transactions!$B:$B,Transactions!$C:$C,$A54),)</f>
        <v/>
      </c>
      <c r="I54" s="8" t="str">
        <f>IF($A54&lt;&gt;"",SUMIFS(PaidTransactions!$B:$B,PaidTransactions!$C:$C,$A54),)</f>
        <v/>
      </c>
      <c r="J54" s="9"/>
      <c r="K54" s="9" t="str">
        <f t="shared" si="1"/>
        <v/>
      </c>
      <c r="L54" s="9"/>
    </row>
    <row r="55">
      <c r="D55" s="10"/>
      <c r="H55" s="7" t="str">
        <f>IF($A55&lt;&gt;"",SUMIFS(Transactions!$B:$B,Transactions!$C:$C,$A55),)</f>
        <v/>
      </c>
      <c r="I55" s="8" t="str">
        <f>IF($A55&lt;&gt;"",SUMIFS(PaidTransactions!$B:$B,PaidTransactions!$C:$C,$A55),)</f>
        <v/>
      </c>
      <c r="J55" s="9"/>
      <c r="K55" s="9" t="str">
        <f t="shared" si="1"/>
        <v/>
      </c>
      <c r="L55" s="9"/>
    </row>
    <row r="56">
      <c r="D56" s="10"/>
      <c r="H56" s="7" t="str">
        <f>IF($A56&lt;&gt;"",SUMIFS(Transactions!$B:$B,Transactions!$C:$C,$A56),)</f>
        <v/>
      </c>
      <c r="I56" s="8" t="str">
        <f>IF($A56&lt;&gt;"",SUMIFS(PaidTransactions!$B:$B,PaidTransactions!$C:$C,$A56),)</f>
        <v/>
      </c>
      <c r="J56" s="9"/>
      <c r="K56" s="9" t="str">
        <f t="shared" si="1"/>
        <v/>
      </c>
      <c r="L56" s="9"/>
    </row>
    <row r="57">
      <c r="D57" s="10"/>
      <c r="H57" s="7" t="str">
        <f>IF($A57&lt;&gt;"",SUMIFS(Transactions!$B:$B,Transactions!$C:$C,$A57),)</f>
        <v/>
      </c>
      <c r="I57" s="8" t="str">
        <f>IF($A57&lt;&gt;"",SUMIFS(PaidTransactions!$B:$B,PaidTransactions!$C:$C,$A57),)</f>
        <v/>
      </c>
      <c r="J57" s="9"/>
      <c r="K57" s="9" t="str">
        <f t="shared" si="1"/>
        <v/>
      </c>
      <c r="L57" s="9"/>
    </row>
    <row r="58">
      <c r="D58" s="10"/>
      <c r="H58" s="7" t="str">
        <f>IF($A58&lt;&gt;"",SUMIFS(Transactions!$B:$B,Transactions!$C:$C,$A58),)</f>
        <v/>
      </c>
      <c r="I58" s="8" t="str">
        <f>IF($A58&lt;&gt;"",SUMIFS(PaidTransactions!$B:$B,PaidTransactions!$C:$C,$A58),)</f>
        <v/>
      </c>
      <c r="J58" s="9"/>
      <c r="K58" s="9" t="str">
        <f t="shared" si="1"/>
        <v/>
      </c>
      <c r="L58" s="9"/>
    </row>
    <row r="59">
      <c r="D59" s="10"/>
      <c r="H59" s="7" t="str">
        <f>IF($A59&lt;&gt;"",SUMIFS(Transactions!$B:$B,Transactions!$C:$C,$A59),)</f>
        <v/>
      </c>
      <c r="I59" s="8" t="str">
        <f>IF($A59&lt;&gt;"",SUMIFS(PaidTransactions!$B:$B,PaidTransactions!$C:$C,$A59),)</f>
        <v/>
      </c>
      <c r="J59" s="9"/>
      <c r="K59" s="9" t="str">
        <f t="shared" si="1"/>
        <v/>
      </c>
      <c r="L59" s="9"/>
    </row>
    <row r="60">
      <c r="D60" s="10"/>
      <c r="H60" s="7" t="str">
        <f>IF($A60&lt;&gt;"",SUMIFS(Transactions!$B:$B,Transactions!$C:$C,$A60),)</f>
        <v/>
      </c>
      <c r="I60" s="8" t="str">
        <f>IF($A60&lt;&gt;"",SUMIFS(PaidTransactions!$B:$B,PaidTransactions!$C:$C,$A60),)</f>
        <v/>
      </c>
      <c r="J60" s="9"/>
      <c r="K60" s="9" t="str">
        <f t="shared" si="1"/>
        <v/>
      </c>
      <c r="L60" s="9"/>
    </row>
    <row r="61">
      <c r="D61" s="10"/>
      <c r="H61" s="7" t="str">
        <f>IF($A61&lt;&gt;"",SUMIFS(Transactions!$B:$B,Transactions!$C:$C,$A61),)</f>
        <v/>
      </c>
      <c r="I61" s="8" t="str">
        <f>IF($A61&lt;&gt;"",SUMIFS(PaidTransactions!$B:$B,PaidTransactions!$C:$C,$A61),)</f>
        <v/>
      </c>
      <c r="J61" s="9"/>
      <c r="K61" s="9" t="str">
        <f t="shared" si="1"/>
        <v/>
      </c>
      <c r="L61" s="9"/>
    </row>
    <row r="62">
      <c r="D62" s="10"/>
      <c r="H62" s="7" t="str">
        <f>IF($A62&lt;&gt;"",SUMIFS(Transactions!$B:$B,Transactions!$C:$C,$A62),)</f>
        <v/>
      </c>
      <c r="I62" s="8" t="str">
        <f>IF($A62&lt;&gt;"",SUMIFS(PaidTransactions!$B:$B,PaidTransactions!$C:$C,$A62),)</f>
        <v/>
      </c>
      <c r="J62" s="9"/>
      <c r="K62" s="9" t="str">
        <f t="shared" si="1"/>
        <v/>
      </c>
      <c r="L62" s="9"/>
    </row>
    <row r="63">
      <c r="D63" s="10"/>
      <c r="H63" s="7" t="str">
        <f>IF($A63&lt;&gt;"",SUMIFS(Transactions!$B:$B,Transactions!$C:$C,$A63),)</f>
        <v/>
      </c>
      <c r="I63" s="8" t="str">
        <f>IF($A63&lt;&gt;"",SUMIFS(PaidTransactions!$B:$B,PaidTransactions!$C:$C,$A63),)</f>
        <v/>
      </c>
      <c r="J63" s="9"/>
      <c r="K63" s="9" t="str">
        <f t="shared" si="1"/>
        <v/>
      </c>
      <c r="L63" s="9"/>
    </row>
    <row r="64">
      <c r="D64" s="10"/>
      <c r="H64" s="7" t="str">
        <f>IF($A64&lt;&gt;"",SUMIFS(Transactions!$B:$B,Transactions!$C:$C,$A64),)</f>
        <v/>
      </c>
      <c r="I64" s="8" t="str">
        <f>IF($A64&lt;&gt;"",SUMIFS(PaidTransactions!$B:$B,PaidTransactions!$C:$C,$A64),)</f>
        <v/>
      </c>
      <c r="J64" s="9"/>
      <c r="K64" s="9" t="str">
        <f t="shared" si="1"/>
        <v/>
      </c>
      <c r="L64" s="9"/>
    </row>
    <row r="65">
      <c r="D65" s="10"/>
      <c r="H65" s="7" t="str">
        <f>IF($A65&lt;&gt;"",SUMIFS(Transactions!$B:$B,Transactions!$C:$C,$A65),)</f>
        <v/>
      </c>
      <c r="I65" s="8" t="str">
        <f>IF($A65&lt;&gt;"",SUMIFS(PaidTransactions!$B:$B,PaidTransactions!$C:$C,$A65),)</f>
        <v/>
      </c>
      <c r="J65" s="9"/>
      <c r="K65" s="9" t="str">
        <f t="shared" si="1"/>
        <v/>
      </c>
      <c r="L65" s="9"/>
    </row>
    <row r="66">
      <c r="D66" s="10"/>
      <c r="H66" s="7" t="str">
        <f>IF($A66&lt;&gt;"",SUMIFS(Transactions!$B:$B,Transactions!$C:$C,$A66),)</f>
        <v/>
      </c>
      <c r="I66" s="8" t="str">
        <f>IF($A66&lt;&gt;"",SUMIFS(PaidTransactions!$B:$B,PaidTransactions!$C:$C,$A66),)</f>
        <v/>
      </c>
      <c r="J66" s="9"/>
      <c r="K66" s="9" t="str">
        <f t="shared" si="1"/>
        <v/>
      </c>
      <c r="L66" s="9"/>
    </row>
    <row r="67">
      <c r="D67" s="10"/>
      <c r="H67" s="7" t="str">
        <f>IF($A67&lt;&gt;"",SUMIFS(Transactions!$B:$B,Transactions!$C:$C,$A67),)</f>
        <v/>
      </c>
      <c r="I67" s="8" t="str">
        <f>IF($A67&lt;&gt;"",SUMIFS(PaidTransactions!$B:$B,PaidTransactions!$C:$C,$A67),)</f>
        <v/>
      </c>
      <c r="J67" s="9"/>
      <c r="K67" s="9" t="str">
        <f t="shared" si="1"/>
        <v/>
      </c>
      <c r="L67" s="9"/>
    </row>
    <row r="68">
      <c r="D68" s="10"/>
      <c r="H68" s="7" t="str">
        <f>IF($A68&lt;&gt;"",SUMIFS(Transactions!$B:$B,Transactions!$C:$C,$A68),)</f>
        <v/>
      </c>
      <c r="I68" s="8" t="str">
        <f>IF($A68&lt;&gt;"",SUMIFS(PaidTransactions!$B:$B,PaidTransactions!$C:$C,$A68),)</f>
        <v/>
      </c>
      <c r="J68" s="9"/>
      <c r="K68" s="9" t="str">
        <f t="shared" si="1"/>
        <v/>
      </c>
      <c r="L68" s="9"/>
    </row>
    <row r="69">
      <c r="D69" s="10"/>
      <c r="H69" s="7" t="str">
        <f>IF($A69&lt;&gt;"",SUMIFS(Transactions!$B:$B,Transactions!$C:$C,$A69),)</f>
        <v/>
      </c>
      <c r="I69" s="8" t="str">
        <f>IF($A69&lt;&gt;"",SUMIFS(PaidTransactions!$B:$B,PaidTransactions!$C:$C,$A69),)</f>
        <v/>
      </c>
      <c r="J69" s="9"/>
      <c r="K69" s="9" t="str">
        <f t="shared" si="1"/>
        <v/>
      </c>
      <c r="L69" s="9"/>
    </row>
    <row r="70">
      <c r="D70" s="10"/>
      <c r="H70" s="7" t="str">
        <f>IF($A70&lt;&gt;"",SUMIFS(Transactions!$B:$B,Transactions!$C:$C,$A70),)</f>
        <v/>
      </c>
      <c r="I70" s="8" t="str">
        <f>IF($A70&lt;&gt;"",SUMIFS(PaidTransactions!$B:$B,PaidTransactions!$C:$C,$A70),)</f>
        <v/>
      </c>
      <c r="J70" s="9"/>
      <c r="K70" s="9" t="str">
        <f t="shared" si="1"/>
        <v/>
      </c>
      <c r="L70" s="9"/>
    </row>
    <row r="71">
      <c r="D71" s="10"/>
      <c r="H71" s="7" t="str">
        <f>IF($A71&lt;&gt;"",SUMIFS(Transactions!$B:$B,Transactions!$C:$C,$A71),)</f>
        <v/>
      </c>
      <c r="I71" s="8" t="str">
        <f>IF($A71&lt;&gt;"",SUMIFS(PaidTransactions!$B:$B,PaidTransactions!$C:$C,$A71),)</f>
        <v/>
      </c>
      <c r="J71" s="9"/>
      <c r="K71" s="9" t="str">
        <f t="shared" si="1"/>
        <v/>
      </c>
      <c r="L71" s="9"/>
    </row>
    <row r="72">
      <c r="D72" s="10"/>
      <c r="H72" s="7" t="str">
        <f>IF($A72&lt;&gt;"",SUMIFS(Transactions!$B:$B,Transactions!$C:$C,$A72),)</f>
        <v/>
      </c>
      <c r="I72" s="8" t="str">
        <f>IF($A72&lt;&gt;"",SUMIFS(PaidTransactions!$B:$B,PaidTransactions!$C:$C,$A72),)</f>
        <v/>
      </c>
      <c r="J72" s="9"/>
      <c r="K72" s="9" t="str">
        <f t="shared" si="1"/>
        <v/>
      </c>
      <c r="L72" s="9"/>
    </row>
    <row r="73">
      <c r="D73" s="10"/>
      <c r="H73" s="7" t="str">
        <f>IF($A73&lt;&gt;"",SUMIFS(Transactions!$B:$B,Transactions!$C:$C,$A73),)</f>
        <v/>
      </c>
      <c r="I73" s="8" t="str">
        <f>IF($A73&lt;&gt;"",SUMIFS(PaidTransactions!$B:$B,PaidTransactions!$C:$C,$A73),)</f>
        <v/>
      </c>
      <c r="J73" s="9"/>
      <c r="K73" s="9" t="str">
        <f t="shared" si="1"/>
        <v/>
      </c>
      <c r="L73" s="9"/>
    </row>
    <row r="74">
      <c r="D74" s="10"/>
      <c r="H74" s="7" t="str">
        <f>IF($A74&lt;&gt;"",SUMIFS(Transactions!$B:$B,Transactions!$C:$C,$A74),)</f>
        <v/>
      </c>
      <c r="I74" s="8" t="str">
        <f>IF($A74&lt;&gt;"",SUMIFS(PaidTransactions!$B:$B,PaidTransactions!$C:$C,$A74),)</f>
        <v/>
      </c>
      <c r="J74" s="9"/>
      <c r="K74" s="9" t="str">
        <f t="shared" si="1"/>
        <v/>
      </c>
      <c r="L74" s="9"/>
    </row>
    <row r="75">
      <c r="D75" s="10"/>
      <c r="H75" s="7" t="str">
        <f>IF($A75&lt;&gt;"",SUMIFS(Transactions!$B:$B,Transactions!$C:$C,$A75),)</f>
        <v/>
      </c>
      <c r="I75" s="8" t="str">
        <f>IF($A75&lt;&gt;"",SUMIFS(PaidTransactions!$B:$B,PaidTransactions!$C:$C,$A75),)</f>
        <v/>
      </c>
      <c r="J75" s="9"/>
      <c r="K75" s="9" t="str">
        <f t="shared" si="1"/>
        <v/>
      </c>
      <c r="L75" s="9"/>
    </row>
    <row r="76">
      <c r="D76" s="10"/>
      <c r="H76" s="7" t="str">
        <f>IF($A76&lt;&gt;"",SUMIFS(Transactions!$B:$B,Transactions!$C:$C,$A76),)</f>
        <v/>
      </c>
      <c r="I76" s="8" t="str">
        <f>IF($A76&lt;&gt;"",SUMIFS(PaidTransactions!$B:$B,PaidTransactions!$C:$C,$A76),)</f>
        <v/>
      </c>
      <c r="J76" s="9"/>
      <c r="K76" s="9" t="str">
        <f t="shared" si="1"/>
        <v/>
      </c>
      <c r="L76" s="9"/>
    </row>
    <row r="77">
      <c r="D77" s="10"/>
      <c r="H77" s="7" t="str">
        <f>IF($A77&lt;&gt;"",SUMIFS(Transactions!$B:$B,Transactions!$C:$C,$A77),)</f>
        <v/>
      </c>
      <c r="I77" s="8" t="str">
        <f>IF($A77&lt;&gt;"",SUMIFS(PaidTransactions!$B:$B,PaidTransactions!$C:$C,$A77),)</f>
        <v/>
      </c>
      <c r="J77" s="9"/>
      <c r="K77" s="9" t="str">
        <f t="shared" si="1"/>
        <v/>
      </c>
      <c r="L77" s="9"/>
    </row>
    <row r="78">
      <c r="D78" s="10"/>
      <c r="H78" s="7" t="str">
        <f>IF($A78&lt;&gt;"",SUMIFS(Transactions!$B:$B,Transactions!$C:$C,$A78),)</f>
        <v/>
      </c>
      <c r="I78" s="8" t="str">
        <f>IF($A78&lt;&gt;"",SUMIFS(PaidTransactions!$B:$B,PaidTransactions!$C:$C,$A78),)</f>
        <v/>
      </c>
      <c r="J78" s="9"/>
      <c r="K78" s="9" t="str">
        <f t="shared" si="1"/>
        <v/>
      </c>
      <c r="L78" s="9"/>
    </row>
    <row r="79">
      <c r="D79" s="10"/>
      <c r="H79" s="7" t="str">
        <f>IF($A79&lt;&gt;"",SUMIFS(Transactions!$B:$B,Transactions!$C:$C,$A79),)</f>
        <v/>
      </c>
      <c r="I79" s="8" t="str">
        <f>IF($A79&lt;&gt;"",SUMIFS(PaidTransactions!$B:$B,PaidTransactions!$C:$C,$A79),)</f>
        <v/>
      </c>
      <c r="J79" s="9"/>
      <c r="K79" s="9" t="str">
        <f t="shared" si="1"/>
        <v/>
      </c>
      <c r="L79" s="9"/>
    </row>
    <row r="80">
      <c r="D80" s="10"/>
      <c r="H80" s="7" t="str">
        <f>IF($A80&lt;&gt;"",SUMIFS(Transactions!$B:$B,Transactions!$C:$C,$A80),)</f>
        <v/>
      </c>
      <c r="I80" s="8" t="str">
        <f>IF($A80&lt;&gt;"",SUMIFS(PaidTransactions!$B:$B,PaidTransactions!$C:$C,$A80),)</f>
        <v/>
      </c>
      <c r="J80" s="9"/>
      <c r="K80" s="9" t="str">
        <f t="shared" si="1"/>
        <v/>
      </c>
      <c r="L80" s="9"/>
    </row>
    <row r="81">
      <c r="D81" s="10"/>
      <c r="H81" s="7" t="str">
        <f>IF($A81&lt;&gt;"",SUMIFS(Transactions!$B:$B,Transactions!$C:$C,$A81),)</f>
        <v/>
      </c>
      <c r="I81" s="8" t="str">
        <f>IF($A81&lt;&gt;"",SUMIFS(PaidTransactions!$B:$B,PaidTransactions!$C:$C,$A81),)</f>
        <v/>
      </c>
      <c r="J81" s="9"/>
      <c r="K81" s="9" t="str">
        <f t="shared" si="1"/>
        <v/>
      </c>
      <c r="L81" s="9"/>
    </row>
    <row r="82">
      <c r="D82" s="10"/>
      <c r="H82" s="7" t="str">
        <f>IF($A82&lt;&gt;"",SUMIFS(Transactions!$B:$B,Transactions!$C:$C,$A82),)</f>
        <v/>
      </c>
      <c r="I82" s="8" t="str">
        <f>IF($A82&lt;&gt;"",SUMIFS(PaidTransactions!$B:$B,PaidTransactions!$C:$C,$A82),)</f>
        <v/>
      </c>
      <c r="J82" s="9"/>
      <c r="K82" s="9" t="str">
        <f t="shared" si="1"/>
        <v/>
      </c>
      <c r="L82" s="9"/>
    </row>
    <row r="83">
      <c r="D83" s="10"/>
      <c r="H83" s="7" t="str">
        <f>IF($A83&lt;&gt;"",SUMIFS(Transactions!$B:$B,Transactions!$C:$C,$A83),)</f>
        <v/>
      </c>
      <c r="I83" s="8" t="str">
        <f>IF($A83&lt;&gt;"",SUMIFS(PaidTransactions!$B:$B,PaidTransactions!$C:$C,$A83),)</f>
        <v/>
      </c>
      <c r="J83" s="9"/>
      <c r="K83" s="9" t="str">
        <f t="shared" si="1"/>
        <v/>
      </c>
      <c r="L83" s="9"/>
    </row>
    <row r="84">
      <c r="D84" s="10"/>
      <c r="H84" s="7" t="str">
        <f>IF($A84&lt;&gt;"",SUMIFS(Transactions!$B:$B,Transactions!$C:$C,$A84),)</f>
        <v/>
      </c>
      <c r="I84" s="8" t="str">
        <f>IF($A84&lt;&gt;"",SUMIFS(PaidTransactions!$B:$B,PaidTransactions!$C:$C,$A84),)</f>
        <v/>
      </c>
      <c r="J84" s="9"/>
      <c r="K84" s="9" t="str">
        <f t="shared" si="1"/>
        <v/>
      </c>
      <c r="L84" s="9"/>
    </row>
    <row r="85">
      <c r="D85" s="10"/>
      <c r="H85" s="7" t="str">
        <f>IF($A85&lt;&gt;"",SUMIFS(Transactions!$B:$B,Transactions!$C:$C,$A85),)</f>
        <v/>
      </c>
      <c r="I85" s="8" t="str">
        <f>IF($A85&lt;&gt;"",SUMIFS(PaidTransactions!$B:$B,PaidTransactions!$C:$C,$A85),)</f>
        <v/>
      </c>
      <c r="J85" s="9"/>
      <c r="K85" s="9" t="str">
        <f t="shared" si="1"/>
        <v/>
      </c>
      <c r="L85" s="9"/>
    </row>
    <row r="86">
      <c r="D86" s="10"/>
      <c r="H86" s="7" t="str">
        <f>IF($A86&lt;&gt;"",SUMIFS(Transactions!$B:$B,Transactions!$C:$C,$A86),)</f>
        <v/>
      </c>
      <c r="I86" s="8" t="str">
        <f>IF($A86&lt;&gt;"",SUMIFS(PaidTransactions!$B:$B,PaidTransactions!$C:$C,$A86),)</f>
        <v/>
      </c>
      <c r="J86" s="9"/>
      <c r="K86" s="9" t="str">
        <f t="shared" si="1"/>
        <v/>
      </c>
      <c r="L86" s="9"/>
    </row>
    <row r="87">
      <c r="D87" s="10"/>
      <c r="H87" s="7" t="str">
        <f>IF($A87&lt;&gt;"",SUMIFS(Transactions!$B:$B,Transactions!$C:$C,$A87),)</f>
        <v/>
      </c>
      <c r="I87" s="8" t="str">
        <f>IF($A87&lt;&gt;"",SUMIFS(PaidTransactions!$B:$B,PaidTransactions!$C:$C,$A87),)</f>
        <v/>
      </c>
      <c r="J87" s="9"/>
      <c r="K87" s="9" t="str">
        <f t="shared" si="1"/>
        <v/>
      </c>
      <c r="L87" s="9"/>
    </row>
    <row r="88">
      <c r="D88" s="10"/>
      <c r="H88" s="7" t="str">
        <f>IF($A88&lt;&gt;"",SUMIFS(Transactions!$B:$B,Transactions!$C:$C,$A88),)</f>
        <v/>
      </c>
      <c r="I88" s="8" t="str">
        <f>IF($A88&lt;&gt;"",SUMIFS(PaidTransactions!$B:$B,PaidTransactions!$C:$C,$A88),)</f>
        <v/>
      </c>
      <c r="J88" s="9"/>
      <c r="K88" s="9" t="str">
        <f t="shared" si="1"/>
        <v/>
      </c>
      <c r="L88" s="9"/>
    </row>
    <row r="89">
      <c r="D89" s="10"/>
      <c r="H89" s="7" t="str">
        <f>IF($A89&lt;&gt;"",SUMIFS(Transactions!$B:$B,Transactions!$C:$C,$A89),)</f>
        <v/>
      </c>
      <c r="I89" s="8" t="str">
        <f>IF($A89&lt;&gt;"",SUMIFS(PaidTransactions!$B:$B,PaidTransactions!$C:$C,$A89),)</f>
        <v/>
      </c>
      <c r="J89" s="9"/>
      <c r="K89" s="9" t="str">
        <f t="shared" si="1"/>
        <v/>
      </c>
      <c r="L89" s="9"/>
    </row>
    <row r="90">
      <c r="D90" s="10"/>
      <c r="H90" s="7" t="str">
        <f>IF($A90&lt;&gt;"",SUMIFS(Transactions!$B:$B,Transactions!$C:$C,$A90),)</f>
        <v/>
      </c>
      <c r="I90" s="8" t="str">
        <f>IF($A90&lt;&gt;"",SUMIFS(PaidTransactions!$B:$B,PaidTransactions!$C:$C,$A90),)</f>
        <v/>
      </c>
      <c r="J90" s="9"/>
      <c r="K90" s="9" t="str">
        <f t="shared" si="1"/>
        <v/>
      </c>
      <c r="L90" s="9"/>
    </row>
    <row r="91">
      <c r="D91" s="10"/>
      <c r="H91" s="7" t="str">
        <f>IF($A91&lt;&gt;"",SUMIFS(Transactions!$B:$B,Transactions!$C:$C,$A91),)</f>
        <v/>
      </c>
      <c r="I91" s="8" t="str">
        <f>IF($A91&lt;&gt;"",SUMIFS(PaidTransactions!$B:$B,PaidTransactions!$C:$C,$A91),)</f>
        <v/>
      </c>
      <c r="J91" s="9"/>
      <c r="K91" s="9" t="str">
        <f t="shared" si="1"/>
        <v/>
      </c>
      <c r="L91" s="9"/>
    </row>
    <row r="92">
      <c r="D92" s="10"/>
      <c r="H92" s="7" t="str">
        <f>IF($A92&lt;&gt;"",SUMIFS(Transactions!$B:$B,Transactions!$C:$C,$A92),)</f>
        <v/>
      </c>
      <c r="I92" s="8" t="str">
        <f>IF($A92&lt;&gt;"",SUMIFS(PaidTransactions!$B:$B,PaidTransactions!$C:$C,$A92),)</f>
        <v/>
      </c>
      <c r="J92" s="9"/>
      <c r="K92" s="9" t="str">
        <f t="shared" si="1"/>
        <v/>
      </c>
      <c r="L92" s="9"/>
    </row>
    <row r="93">
      <c r="D93" s="10"/>
      <c r="H93" s="7" t="str">
        <f>IF($A93&lt;&gt;"",SUMIFS(Transactions!$B:$B,Transactions!$C:$C,$A93),)</f>
        <v/>
      </c>
      <c r="I93" s="8" t="str">
        <f>IF($A93&lt;&gt;"",SUMIFS(PaidTransactions!$B:$B,PaidTransactions!$C:$C,$A93),)</f>
        <v/>
      </c>
      <c r="J93" s="9"/>
      <c r="K93" s="9" t="str">
        <f t="shared" si="1"/>
        <v/>
      </c>
      <c r="L93" s="9"/>
    </row>
    <row r="94">
      <c r="D94" s="10"/>
      <c r="H94" s="7" t="str">
        <f>IF($A94&lt;&gt;"",SUMIFS(Transactions!$B:$B,Transactions!$C:$C,$A94),)</f>
        <v/>
      </c>
      <c r="I94" s="8" t="str">
        <f>IF($A94&lt;&gt;"",SUMIFS(PaidTransactions!$B:$B,PaidTransactions!$C:$C,$A94),)</f>
        <v/>
      </c>
      <c r="J94" s="9"/>
      <c r="K94" s="9" t="str">
        <f t="shared" si="1"/>
        <v/>
      </c>
      <c r="L94" s="9"/>
    </row>
    <row r="95">
      <c r="D95" s="10"/>
      <c r="H95" s="7" t="str">
        <f>IF($A95&lt;&gt;"",SUMIFS(Transactions!$B:$B,Transactions!$C:$C,$A95),)</f>
        <v/>
      </c>
      <c r="I95" s="8" t="str">
        <f>IF($A95&lt;&gt;"",SUMIFS(PaidTransactions!$B:$B,PaidTransactions!$C:$C,$A95),)</f>
        <v/>
      </c>
      <c r="J95" s="9"/>
      <c r="K95" s="9" t="str">
        <f t="shared" si="1"/>
        <v/>
      </c>
      <c r="L95" s="9"/>
    </row>
    <row r="96">
      <c r="D96" s="10"/>
      <c r="H96" s="7" t="str">
        <f>IF($A96&lt;&gt;"",SUMIFS(Transactions!$B:$B,Transactions!$C:$C,$A96),)</f>
        <v/>
      </c>
      <c r="I96" s="8" t="str">
        <f>IF($A96&lt;&gt;"",SUMIFS(PaidTransactions!$B:$B,PaidTransactions!$C:$C,$A96),)</f>
        <v/>
      </c>
      <c r="J96" s="9"/>
      <c r="K96" s="9" t="str">
        <f t="shared" si="1"/>
        <v/>
      </c>
      <c r="L96" s="9"/>
    </row>
    <row r="97">
      <c r="D97" s="10"/>
      <c r="H97" s="7" t="str">
        <f>IF($A97&lt;&gt;"",SUMIFS(Transactions!$B:$B,Transactions!$C:$C,$A97),)</f>
        <v/>
      </c>
      <c r="I97" s="8" t="str">
        <f>IF($A97&lt;&gt;"",SUMIFS(PaidTransactions!$B:$B,PaidTransactions!$C:$C,$A97),)</f>
        <v/>
      </c>
      <c r="J97" s="9"/>
      <c r="K97" s="9" t="str">
        <f t="shared" si="1"/>
        <v/>
      </c>
      <c r="L97" s="9"/>
    </row>
    <row r="98">
      <c r="D98" s="10"/>
      <c r="H98" s="7" t="str">
        <f>IF($A98&lt;&gt;"",SUMIFS(Transactions!$B:$B,Transactions!$C:$C,$A98),)</f>
        <v/>
      </c>
      <c r="I98" s="8" t="str">
        <f>IF($A98&lt;&gt;"",SUMIFS(PaidTransactions!$B:$B,PaidTransactions!$C:$C,$A98),)</f>
        <v/>
      </c>
      <c r="J98" s="9"/>
      <c r="K98" s="9" t="str">
        <f t="shared" si="1"/>
        <v/>
      </c>
      <c r="L98" s="9"/>
    </row>
    <row r="99">
      <c r="D99" s="10"/>
      <c r="H99" s="7" t="str">
        <f>IF($A99&lt;&gt;"",SUMIFS(Transactions!$B:$B,Transactions!$C:$C,$A99),)</f>
        <v/>
      </c>
      <c r="I99" s="8" t="str">
        <f>IF($A99&lt;&gt;"",SUMIFS(PaidTransactions!$B:$B,PaidTransactions!$C:$C,$A99),)</f>
        <v/>
      </c>
      <c r="J99" s="9"/>
      <c r="K99" s="9" t="str">
        <f t="shared" si="1"/>
        <v/>
      </c>
      <c r="L99"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75"/>
    <col customWidth="1" min="6" max="6" width="12.75"/>
  </cols>
  <sheetData>
    <row r="1">
      <c r="A1" s="1" t="s">
        <v>4</v>
      </c>
      <c r="B1" s="1" t="s">
        <v>5</v>
      </c>
      <c r="C1" s="1" t="s">
        <v>6</v>
      </c>
      <c r="D1" s="1" t="s">
        <v>7</v>
      </c>
      <c r="E1" s="1" t="s">
        <v>8</v>
      </c>
      <c r="F1" s="11" t="s">
        <v>9</v>
      </c>
    </row>
    <row r="2">
      <c r="A2" s="12">
        <v>44805.423067129625</v>
      </c>
      <c r="B2" s="6">
        <v>9.0</v>
      </c>
      <c r="C2" s="13">
        <v>2.0</v>
      </c>
      <c r="D2" s="14" t="s">
        <v>10</v>
      </c>
      <c r="E2" s="13">
        <v>9.0</v>
      </c>
      <c r="F2" s="15">
        <v>1.0</v>
      </c>
    </row>
    <row r="3">
      <c r="A3" s="12">
        <v>44805.423043981486</v>
      </c>
      <c r="B3" s="6">
        <v>9.0</v>
      </c>
      <c r="C3" s="13">
        <v>2.0</v>
      </c>
      <c r="D3" s="14" t="s">
        <v>10</v>
      </c>
      <c r="E3" s="13">
        <v>9.0</v>
      </c>
      <c r="F3" s="15">
        <v>1.0</v>
      </c>
    </row>
    <row r="4">
      <c r="A4" s="12">
        <v>44805.41063657407</v>
      </c>
      <c r="B4" s="6">
        <v>7.0</v>
      </c>
      <c r="C4" s="13">
        <v>2.0</v>
      </c>
      <c r="D4" s="14" t="s">
        <v>10</v>
      </c>
      <c r="E4" s="13">
        <v>7.0</v>
      </c>
      <c r="F4" s="15">
        <v>1.0</v>
      </c>
    </row>
    <row r="5">
      <c r="A5" s="12">
        <v>44805.41043981482</v>
      </c>
      <c r="B5" s="6">
        <v>7.0</v>
      </c>
      <c r="C5" s="13">
        <v>2.0</v>
      </c>
      <c r="D5" s="14" t="s">
        <v>10</v>
      </c>
      <c r="E5" s="13">
        <v>7.0</v>
      </c>
      <c r="F5" s="15">
        <v>1.0</v>
      </c>
    </row>
    <row r="6">
      <c r="A6" s="12">
        <v>44806.750625</v>
      </c>
      <c r="B6" s="6">
        <v>20.0</v>
      </c>
      <c r="C6" s="13">
        <v>4.0</v>
      </c>
      <c r="D6" s="14" t="s">
        <v>10</v>
      </c>
      <c r="E6" s="13">
        <v>20.0</v>
      </c>
      <c r="F6" s="15">
        <v>1.0</v>
      </c>
    </row>
    <row r="7">
      <c r="A7" s="12">
        <v>44803.38685185185</v>
      </c>
      <c r="B7" s="6">
        <v>10.8</v>
      </c>
      <c r="C7" s="13">
        <v>4.0</v>
      </c>
      <c r="D7" s="14" t="s">
        <v>10</v>
      </c>
      <c r="E7" s="13">
        <v>10.8</v>
      </c>
      <c r="F7" s="15">
        <v>1.0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75"/>
    <col customWidth="1" min="6" max="6" width="12.75"/>
  </cols>
  <sheetData>
    <row r="1">
      <c r="A1" s="1" t="s">
        <v>4</v>
      </c>
      <c r="B1" s="1" t="s">
        <v>5</v>
      </c>
      <c r="C1" s="1" t="s">
        <v>6</v>
      </c>
      <c r="D1" s="1" t="s">
        <v>7</v>
      </c>
      <c r="E1" s="1" t="s">
        <v>8</v>
      </c>
      <c r="F1" s="11" t="s">
        <v>9</v>
      </c>
    </row>
    <row r="2">
      <c r="A2" s="12">
        <v>44797.31664351852</v>
      </c>
      <c r="B2" s="6">
        <v>10.8</v>
      </c>
      <c r="C2" s="13">
        <v>2.0</v>
      </c>
      <c r="D2" s="14" t="s">
        <v>10</v>
      </c>
      <c r="E2" s="14">
        <v>10.8</v>
      </c>
      <c r="F2" s="15">
        <v>1.0</v>
      </c>
    </row>
    <row r="3">
      <c r="A3" s="12">
        <v>44795.77930555555</v>
      </c>
      <c r="B3" s="6" t="e">
        <v>#NUM!</v>
      </c>
      <c r="C3" s="13">
        <v>4.0</v>
      </c>
      <c r="D3" s="14" t="s">
        <v>10</v>
      </c>
      <c r="E3" s="14" t="e">
        <v>#NUM!</v>
      </c>
      <c r="F3" s="15">
        <v>1.0</v>
      </c>
    </row>
    <row r="4">
      <c r="A4" s="12">
        <v>44793.337488425925</v>
      </c>
      <c r="B4" s="6">
        <v>21.8</v>
      </c>
      <c r="C4" s="13">
        <v>2.0</v>
      </c>
      <c r="D4" s="14" t="s">
        <v>10</v>
      </c>
      <c r="E4" s="13">
        <v>21.8</v>
      </c>
      <c r="F4" s="15">
        <v>1.0</v>
      </c>
    </row>
    <row r="5">
      <c r="A5" s="12">
        <v>44792.415231481486</v>
      </c>
      <c r="B5" s="6">
        <v>1.3</v>
      </c>
      <c r="C5" s="13">
        <v>2.0</v>
      </c>
      <c r="D5" s="14" t="s">
        <v>10</v>
      </c>
      <c r="E5" s="13">
        <v>1.3</v>
      </c>
      <c r="F5" s="15">
        <v>1.0</v>
      </c>
    </row>
    <row r="6">
      <c r="A6" s="12">
        <v>44792.34773148148</v>
      </c>
      <c r="B6" s="6">
        <v>4.6</v>
      </c>
      <c r="C6" s="13">
        <v>2.0</v>
      </c>
      <c r="D6" s="14" t="s">
        <v>10</v>
      </c>
      <c r="E6" s="13">
        <v>4.6</v>
      </c>
      <c r="F6" s="15">
        <v>1.0</v>
      </c>
    </row>
    <row r="7">
      <c r="A7" s="12">
        <v>44791.44578703704</v>
      </c>
      <c r="B7" s="6">
        <v>11.0</v>
      </c>
      <c r="C7" s="13">
        <v>2.0</v>
      </c>
      <c r="D7" s="14" t="s">
        <v>10</v>
      </c>
      <c r="E7" s="13">
        <v>11.0</v>
      </c>
      <c r="F7" s="15">
        <v>1.0</v>
      </c>
    </row>
    <row r="8">
      <c r="A8" s="12">
        <v>44793.337488425925</v>
      </c>
      <c r="B8" s="6">
        <v>21.8</v>
      </c>
      <c r="C8" s="13">
        <v>2.0</v>
      </c>
      <c r="D8" s="14" t="s">
        <v>10</v>
      </c>
      <c r="E8" s="13">
        <v>21.8</v>
      </c>
      <c r="F8" s="15">
        <v>1.0</v>
      </c>
    </row>
    <row r="9">
      <c r="A9" s="12">
        <v>44792.415231481486</v>
      </c>
      <c r="B9" s="6">
        <v>1.3</v>
      </c>
      <c r="C9" s="13">
        <v>2.0</v>
      </c>
      <c r="D9" s="14" t="s">
        <v>10</v>
      </c>
      <c r="E9" s="13">
        <v>1.3</v>
      </c>
      <c r="F9" s="15">
        <v>1.0</v>
      </c>
    </row>
    <row r="10">
      <c r="A10" s="12">
        <v>44792.34773148148</v>
      </c>
      <c r="B10" s="6">
        <v>4.6</v>
      </c>
      <c r="C10" s="13">
        <v>2.0</v>
      </c>
      <c r="D10" s="14" t="s">
        <v>10</v>
      </c>
      <c r="E10" s="13">
        <v>4.6</v>
      </c>
      <c r="F10" s="15">
        <v>1.0</v>
      </c>
    </row>
    <row r="11">
      <c r="A11" s="12">
        <v>44791.44578703704</v>
      </c>
      <c r="B11" s="6">
        <v>11.0</v>
      </c>
      <c r="C11" s="13">
        <v>2.0</v>
      </c>
      <c r="D11" s="14" t="s">
        <v>10</v>
      </c>
      <c r="E11" s="13">
        <v>11.0</v>
      </c>
      <c r="F11" s="15">
        <v>1.0</v>
      </c>
    </row>
    <row r="12">
      <c r="A12" s="12">
        <v>44780.95482638889</v>
      </c>
      <c r="B12" s="6">
        <v>0.5</v>
      </c>
      <c r="C12" s="13">
        <v>4.0</v>
      </c>
      <c r="D12" s="14" t="s">
        <v>10</v>
      </c>
      <c r="E12" s="13">
        <v>0.5</v>
      </c>
      <c r="F12" s="15">
        <v>1.0</v>
      </c>
    </row>
    <row r="13">
      <c r="A13" s="12">
        <v>44780.82545138889</v>
      </c>
      <c r="B13" s="6">
        <v>30.0</v>
      </c>
      <c r="C13" s="13">
        <v>4.0</v>
      </c>
      <c r="D13" s="14" t="s">
        <v>10</v>
      </c>
      <c r="E13" s="13">
        <v>30.0</v>
      </c>
      <c r="F13" s="15">
        <v>1.0</v>
      </c>
    </row>
    <row r="14">
      <c r="A14" s="12">
        <v>44780.40914351852</v>
      </c>
      <c r="B14" s="6">
        <v>23.0</v>
      </c>
      <c r="C14" s="13">
        <v>4.0</v>
      </c>
      <c r="D14" s="14" t="s">
        <v>10</v>
      </c>
      <c r="E14" s="13">
        <v>23.0</v>
      </c>
      <c r="F14" s="15">
        <v>1.0</v>
      </c>
    </row>
    <row r="15">
      <c r="A15" s="12">
        <v>44779.6037037037</v>
      </c>
      <c r="B15" s="6">
        <v>20.0</v>
      </c>
      <c r="C15" s="13">
        <v>4.0</v>
      </c>
      <c r="D15" s="14" t="s">
        <v>10</v>
      </c>
      <c r="E15" s="13">
        <v>20.0</v>
      </c>
      <c r="F15" s="15">
        <v>1.0</v>
      </c>
    </row>
    <row r="16">
      <c r="A16" s="12">
        <v>44774.71737268519</v>
      </c>
      <c r="B16" s="6">
        <v>13.1</v>
      </c>
      <c r="C16" s="13">
        <v>4.0</v>
      </c>
      <c r="D16" s="14" t="s">
        <v>10</v>
      </c>
      <c r="E16" s="13">
        <v>13.1</v>
      </c>
      <c r="F16" s="15">
        <v>1.0</v>
      </c>
    </row>
    <row r="17">
      <c r="A17" s="12">
        <v>44773.210752314815</v>
      </c>
      <c r="B17" s="6">
        <v>13.0</v>
      </c>
      <c r="C17" s="13">
        <v>2.0</v>
      </c>
      <c r="D17" s="14" t="s">
        <v>10</v>
      </c>
      <c r="E17" s="13">
        <v>13.0</v>
      </c>
      <c r="F17" s="15">
        <v>1.0</v>
      </c>
    </row>
    <row r="18">
      <c r="A18" s="12">
        <v>44772.436215277776</v>
      </c>
      <c r="B18" s="6">
        <v>18.0</v>
      </c>
      <c r="C18" s="13">
        <v>2.0</v>
      </c>
      <c r="D18" s="14" t="s">
        <v>10</v>
      </c>
      <c r="E18" s="13">
        <v>18.0</v>
      </c>
      <c r="F18" s="15">
        <v>1.0</v>
      </c>
    </row>
    <row r="19">
      <c r="A19" s="12">
        <v>44771.43690972222</v>
      </c>
      <c r="B19" s="6">
        <v>3.0</v>
      </c>
      <c r="C19" s="13">
        <v>2.0</v>
      </c>
      <c r="D19" s="14" t="s">
        <v>10</v>
      </c>
      <c r="E19" s="13">
        <v>3.0</v>
      </c>
      <c r="F19" s="15">
        <v>1.0</v>
      </c>
    </row>
    <row r="20">
      <c r="A20" s="12">
        <v>44770.31542824074</v>
      </c>
      <c r="B20" s="6">
        <v>3.5</v>
      </c>
      <c r="C20" s="13">
        <v>2.0</v>
      </c>
      <c r="D20" s="14" t="s">
        <v>10</v>
      </c>
      <c r="E20" s="13">
        <v>3.5</v>
      </c>
      <c r="F20" s="15">
        <v>1.0</v>
      </c>
    </row>
    <row r="21">
      <c r="A21" s="12">
        <v>44769.443298611106</v>
      </c>
      <c r="B21" s="6">
        <v>10.8</v>
      </c>
      <c r="C21" s="13">
        <v>2.0</v>
      </c>
      <c r="D21" s="14" t="s">
        <v>10</v>
      </c>
      <c r="E21" s="13">
        <v>10.8</v>
      </c>
      <c r="F21" s="15">
        <v>1.0</v>
      </c>
    </row>
    <row r="22">
      <c r="A22" s="12">
        <v>44767.358206018514</v>
      </c>
      <c r="B22" s="6">
        <v>3.5</v>
      </c>
      <c r="C22" s="13">
        <v>2.0</v>
      </c>
      <c r="D22" s="14" t="s">
        <v>10</v>
      </c>
      <c r="E22" s="13">
        <v>3.5</v>
      </c>
      <c r="F22" s="15">
        <v>1.0</v>
      </c>
    </row>
    <row r="23">
      <c r="A23" s="12">
        <v>44766.891793981486</v>
      </c>
      <c r="B23" s="6">
        <v>19.2</v>
      </c>
      <c r="C23" s="13">
        <v>4.0</v>
      </c>
      <c r="D23" s="14" t="s">
        <v>10</v>
      </c>
      <c r="E23" s="13">
        <v>19.2</v>
      </c>
      <c r="F23" s="15">
        <v>1.0</v>
      </c>
    </row>
    <row r="24">
      <c r="A24" s="12">
        <v>44766.54278935185</v>
      </c>
      <c r="B24" s="6">
        <v>16.2</v>
      </c>
      <c r="C24" s="13">
        <v>2.0</v>
      </c>
      <c r="D24" s="14" t="s">
        <v>10</v>
      </c>
      <c r="E24" s="13">
        <v>16.2</v>
      </c>
      <c r="F24" s="15">
        <v>1.0</v>
      </c>
    </row>
    <row r="25">
      <c r="A25" s="12">
        <v>44764.484548611115</v>
      </c>
      <c r="B25" s="6">
        <v>3.0</v>
      </c>
      <c r="C25" s="13">
        <v>2.0</v>
      </c>
      <c r="D25" s="14" t="s">
        <v>10</v>
      </c>
      <c r="E25" s="13">
        <v>3.0</v>
      </c>
      <c r="F25" s="15">
        <v>1.0</v>
      </c>
    </row>
    <row r="26">
      <c r="A26" s="12">
        <v>44759.537986111114</v>
      </c>
      <c r="B26" s="6">
        <v>15.0</v>
      </c>
      <c r="C26" s="13">
        <v>2.0</v>
      </c>
      <c r="D26" s="14" t="s">
        <v>10</v>
      </c>
      <c r="E26" s="13">
        <v>15.0</v>
      </c>
      <c r="F26" s="15">
        <v>1.0</v>
      </c>
    </row>
    <row r="27">
      <c r="A27" s="12">
        <v>44758.51163194445</v>
      </c>
      <c r="B27" s="6">
        <v>8.19999999</v>
      </c>
      <c r="C27" s="13">
        <v>2.0</v>
      </c>
      <c r="D27" s="14" t="s">
        <v>10</v>
      </c>
      <c r="E27" s="13">
        <v>8.19999999</v>
      </c>
      <c r="F27" s="15">
        <v>1.0</v>
      </c>
    </row>
    <row r="28">
      <c r="A28" s="12">
        <v>44756.403715277775</v>
      </c>
      <c r="B28" s="6">
        <v>7.05</v>
      </c>
      <c r="C28" s="13">
        <v>2.0</v>
      </c>
      <c r="D28" s="14" t="s">
        <v>10</v>
      </c>
      <c r="E28" s="13">
        <v>7.05</v>
      </c>
      <c r="F28" s="15">
        <v>1.0</v>
      </c>
    </row>
    <row r="29">
      <c r="A29" s="12">
        <v>44755.44262731481</v>
      </c>
      <c r="B29" s="6">
        <v>3.5</v>
      </c>
      <c r="C29" s="13">
        <v>2.0</v>
      </c>
      <c r="D29" s="14" t="s">
        <v>10</v>
      </c>
      <c r="E29" s="13">
        <v>3.5</v>
      </c>
      <c r="F29" s="15">
        <v>1.0</v>
      </c>
    </row>
    <row r="30">
      <c r="A30" s="12">
        <v>44751.4221875</v>
      </c>
      <c r="B30" s="6">
        <v>11.0</v>
      </c>
      <c r="C30" s="13">
        <v>2.0</v>
      </c>
      <c r="D30" s="14" t="s">
        <v>10</v>
      </c>
      <c r="E30" s="13">
        <v>11.0</v>
      </c>
      <c r="F30" s="15">
        <v>1.0</v>
      </c>
    </row>
    <row r="31">
      <c r="A31" s="12">
        <v>44749.50597222222</v>
      </c>
      <c r="B31" s="6">
        <v>5.8</v>
      </c>
      <c r="C31" s="13">
        <v>2.0</v>
      </c>
      <c r="D31" s="14" t="s">
        <v>10</v>
      </c>
      <c r="E31" s="13">
        <v>5.8</v>
      </c>
      <c r="F31" s="15">
        <v>1.0</v>
      </c>
    </row>
    <row r="32">
      <c r="A32" s="12">
        <v>44748.50372685185</v>
      </c>
      <c r="B32" s="6">
        <v>9.19999999</v>
      </c>
      <c r="C32" s="13">
        <v>2.0</v>
      </c>
      <c r="D32" s="14" t="s">
        <v>10</v>
      </c>
      <c r="E32" s="13">
        <v>9.19999999</v>
      </c>
      <c r="F32" s="15">
        <v>1.0</v>
      </c>
    </row>
    <row r="33">
      <c r="A33" s="12">
        <v>44744.52138888889</v>
      </c>
      <c r="B33" s="6">
        <v>7.2</v>
      </c>
      <c r="C33" s="13">
        <v>2.0</v>
      </c>
      <c r="D33" s="14" t="s">
        <v>10</v>
      </c>
      <c r="E33" s="13">
        <v>7.2</v>
      </c>
      <c r="F33" s="15">
        <v>1.0</v>
      </c>
    </row>
    <row r="34">
      <c r="A34" s="12">
        <v>44743.52328703704</v>
      </c>
      <c r="B34" s="6">
        <v>6.6</v>
      </c>
      <c r="C34" s="13">
        <v>2.0</v>
      </c>
      <c r="D34" s="14" t="s">
        <v>10</v>
      </c>
      <c r="E34" s="13">
        <v>6.6</v>
      </c>
      <c r="F34" s="15">
        <v>1.0</v>
      </c>
    </row>
    <row r="35">
      <c r="A35" s="12">
        <v>44742.34605324074</v>
      </c>
      <c r="B35" s="6">
        <v>8.3</v>
      </c>
      <c r="C35" s="13">
        <v>2.0</v>
      </c>
      <c r="D35" s="14" t="s">
        <v>10</v>
      </c>
      <c r="E35" s="13">
        <v>8.3</v>
      </c>
      <c r="F35" s="15">
        <v>1.0</v>
      </c>
    </row>
    <row r="36">
      <c r="A36" s="12">
        <v>44738.518958333334</v>
      </c>
      <c r="B36" s="6">
        <v>12.35</v>
      </c>
      <c r="C36" s="13">
        <v>2.0</v>
      </c>
      <c r="D36" s="14" t="s">
        <v>10</v>
      </c>
      <c r="E36" s="13">
        <v>12.35</v>
      </c>
      <c r="F36" s="15">
        <v>1.0</v>
      </c>
    </row>
    <row r="37">
      <c r="A37" s="12">
        <v>44737.52877314815</v>
      </c>
      <c r="B37" s="6">
        <v>1.0</v>
      </c>
      <c r="C37" s="13">
        <v>2.0</v>
      </c>
      <c r="D37" s="14" t="s">
        <v>10</v>
      </c>
      <c r="E37" s="13">
        <v>1.0</v>
      </c>
      <c r="F37" s="15">
        <v>1.0</v>
      </c>
    </row>
    <row r="38">
      <c r="A38" s="12">
        <v>44737.52638888889</v>
      </c>
      <c r="B38" s="6">
        <v>2.5</v>
      </c>
      <c r="C38" s="13">
        <v>2.0</v>
      </c>
      <c r="D38" s="14" t="s">
        <v>10</v>
      </c>
      <c r="E38" s="13">
        <v>2.5</v>
      </c>
      <c r="F38" s="15">
        <v>1.0</v>
      </c>
    </row>
    <row r="39">
      <c r="A39" s="12">
        <v>44736.544641203705</v>
      </c>
      <c r="B39" s="6">
        <v>4.2</v>
      </c>
      <c r="C39" s="13">
        <v>2.0</v>
      </c>
      <c r="D39" s="14" t="s">
        <v>10</v>
      </c>
      <c r="E39" s="13">
        <v>4.2</v>
      </c>
      <c r="F39" s="15">
        <v>1.0</v>
      </c>
    </row>
    <row r="40">
      <c r="A40" s="12">
        <v>44735.491168981476</v>
      </c>
      <c r="B40" s="6">
        <v>4.66</v>
      </c>
      <c r="C40" s="13">
        <v>2.0</v>
      </c>
      <c r="D40" s="14" t="s">
        <v>10</v>
      </c>
      <c r="E40" s="13">
        <v>4.66</v>
      </c>
      <c r="F40" s="15">
        <v>1.0</v>
      </c>
    </row>
    <row r="41">
      <c r="A41" s="12">
        <v>44735.48849537037</v>
      </c>
      <c r="B41" s="6">
        <v>6.35</v>
      </c>
      <c r="C41" s="13">
        <v>2.0</v>
      </c>
      <c r="D41" s="14" t="s">
        <v>10</v>
      </c>
      <c r="E41" s="13">
        <v>6.35</v>
      </c>
      <c r="F41" s="15">
        <v>1.0</v>
      </c>
    </row>
    <row r="42">
      <c r="A42" s="12">
        <v>44736.848773148144</v>
      </c>
      <c r="B42" s="6">
        <v>50.0</v>
      </c>
      <c r="C42" s="13">
        <v>3.0</v>
      </c>
      <c r="D42" s="14" t="s">
        <v>10</v>
      </c>
      <c r="E42" s="13">
        <v>50.0</v>
      </c>
      <c r="F42" s="15">
        <v>1.0</v>
      </c>
    </row>
    <row r="43">
      <c r="A43" s="12">
        <v>44730.55094907407</v>
      </c>
      <c r="B43" s="6">
        <v>4.6</v>
      </c>
      <c r="C43" s="13">
        <v>2.0</v>
      </c>
      <c r="D43" s="14" t="s">
        <v>10</v>
      </c>
      <c r="E43" s="13">
        <v>4.59999999</v>
      </c>
      <c r="F43" s="15">
        <v>1.0</v>
      </c>
    </row>
    <row r="44">
      <c r="A44" s="12">
        <v>44729.54216435185</v>
      </c>
      <c r="B44" s="6">
        <v>4.75</v>
      </c>
      <c r="C44" s="13">
        <v>2.0</v>
      </c>
      <c r="D44" s="14" t="s">
        <v>10</v>
      </c>
      <c r="E44" s="13">
        <v>4.75</v>
      </c>
      <c r="F44" s="15">
        <v>1.0</v>
      </c>
    </row>
    <row r="45">
      <c r="A45" s="12">
        <v>44728.519432870366</v>
      </c>
      <c r="B45" s="6">
        <v>5.35</v>
      </c>
      <c r="C45" s="13">
        <v>2.0</v>
      </c>
      <c r="D45" s="14" t="s">
        <v>10</v>
      </c>
      <c r="E45" s="13">
        <v>5.34999999</v>
      </c>
      <c r="F45" s="15">
        <v>1.0</v>
      </c>
    </row>
    <row r="46">
      <c r="A46" s="12">
        <v>44724.4509837963</v>
      </c>
      <c r="B46" s="6">
        <v>3.8</v>
      </c>
      <c r="C46" s="13">
        <v>2.0</v>
      </c>
      <c r="D46" s="14" t="s">
        <v>10</v>
      </c>
      <c r="E46" s="13">
        <v>3.8</v>
      </c>
      <c r="F46" s="15">
        <v>1.0</v>
      </c>
    </row>
    <row r="47">
      <c r="A47" s="12">
        <v>44723.58341435185</v>
      </c>
      <c r="B47" s="6">
        <v>3.0</v>
      </c>
      <c r="C47" s="13">
        <v>2.0</v>
      </c>
      <c r="D47" s="14" t="s">
        <v>10</v>
      </c>
      <c r="E47" s="13">
        <v>3.0</v>
      </c>
      <c r="F47" s="15">
        <v>1.0</v>
      </c>
    </row>
    <row r="48">
      <c r="A48" s="12">
        <v>44722.54498842593</v>
      </c>
      <c r="B48" s="6">
        <v>3.0</v>
      </c>
      <c r="C48" s="13">
        <v>2.0</v>
      </c>
      <c r="D48" s="14" t="s">
        <v>10</v>
      </c>
      <c r="E48" s="13">
        <v>3.0</v>
      </c>
      <c r="F48" s="15">
        <v>1.0</v>
      </c>
    </row>
    <row r="49">
      <c r="A49" s="12">
        <v>44721.54378472222</v>
      </c>
      <c r="B49" s="6">
        <v>7.6</v>
      </c>
      <c r="C49" s="13">
        <v>2.0</v>
      </c>
      <c r="D49" s="14" t="s">
        <v>10</v>
      </c>
      <c r="E49" s="13">
        <v>7.6</v>
      </c>
      <c r="F49" s="15">
        <v>1.0</v>
      </c>
    </row>
    <row r="50">
      <c r="A50" s="12">
        <v>44717.502233796295</v>
      </c>
      <c r="B50" s="6">
        <v>6.8</v>
      </c>
      <c r="C50" s="13">
        <v>2.0</v>
      </c>
      <c r="D50" s="14" t="s">
        <v>10</v>
      </c>
      <c r="E50" s="13">
        <v>6.8</v>
      </c>
      <c r="F50" s="15">
        <v>1.0</v>
      </c>
    </row>
    <row r="51">
      <c r="A51" s="12">
        <v>44715.41519675926</v>
      </c>
      <c r="B51" s="6">
        <v>4.2</v>
      </c>
      <c r="C51" s="13">
        <v>2.0</v>
      </c>
      <c r="D51" s="14" t="s">
        <v>10</v>
      </c>
      <c r="E51" s="13">
        <v>4.2</v>
      </c>
      <c r="F51" s="15">
        <v>1.0</v>
      </c>
    </row>
    <row r="52">
      <c r="A52" s="12">
        <v>44714.37049768519</v>
      </c>
      <c r="B52" s="6">
        <v>7.0</v>
      </c>
      <c r="C52" s="13">
        <v>2.0</v>
      </c>
      <c r="D52" s="14" t="s">
        <v>10</v>
      </c>
      <c r="E52" s="13">
        <v>7.0</v>
      </c>
      <c r="F52" s="15">
        <v>1.0</v>
      </c>
    </row>
    <row r="53">
      <c r="A53" s="12">
        <v>44710.43712962963</v>
      </c>
      <c r="B53" s="6">
        <v>7.4</v>
      </c>
      <c r="C53" s="13">
        <v>2.0</v>
      </c>
      <c r="D53" s="14" t="s">
        <v>10</v>
      </c>
      <c r="E53" s="13">
        <v>7.4</v>
      </c>
      <c r="F53" s="15">
        <v>1.0</v>
      </c>
    </row>
    <row r="54">
      <c r="A54" s="12">
        <v>44709.39883101852</v>
      </c>
      <c r="B54" s="6">
        <v>2.4</v>
      </c>
      <c r="C54" s="13">
        <v>2.0</v>
      </c>
      <c r="D54" s="14" t="s">
        <v>10</v>
      </c>
      <c r="E54" s="13">
        <v>2.4</v>
      </c>
      <c r="F54" s="15">
        <v>1.0</v>
      </c>
    </row>
    <row r="55">
      <c r="A55" s="12">
        <v>44702.52002314814</v>
      </c>
      <c r="B55" s="6">
        <v>3.0</v>
      </c>
      <c r="C55" s="13">
        <v>2.0</v>
      </c>
      <c r="D55" s="14" t="s">
        <v>10</v>
      </c>
      <c r="E55" s="13">
        <v>3.0</v>
      </c>
      <c r="F55" s="15">
        <v>1.0</v>
      </c>
    </row>
    <row r="56">
      <c r="A56" s="12">
        <v>44702.51729166666</v>
      </c>
      <c r="B56" s="6">
        <v>4.2</v>
      </c>
      <c r="C56" s="13">
        <v>2.0</v>
      </c>
      <c r="D56" s="14" t="s">
        <v>10</v>
      </c>
      <c r="E56" s="13">
        <v>4.2</v>
      </c>
      <c r="F56" s="15">
        <v>1.0</v>
      </c>
    </row>
    <row r="57">
      <c r="A57" s="12">
        <v>44700.53633101852</v>
      </c>
      <c r="B57" s="6">
        <v>4.5</v>
      </c>
      <c r="C57" s="13">
        <v>2.0</v>
      </c>
      <c r="D57" s="14" t="s">
        <v>10</v>
      </c>
      <c r="E57" s="13">
        <v>4.5</v>
      </c>
      <c r="F57" s="15">
        <v>1.0</v>
      </c>
    </row>
    <row r="58">
      <c r="A58" s="12">
        <v>44700.52228009259</v>
      </c>
      <c r="B58" s="6">
        <v>5.5</v>
      </c>
      <c r="C58" s="13">
        <v>2.0</v>
      </c>
      <c r="D58" s="14" t="s">
        <v>10</v>
      </c>
      <c r="E58" s="13">
        <v>5.5</v>
      </c>
      <c r="F58" s="15">
        <v>1.0</v>
      </c>
    </row>
    <row r="59">
      <c r="A59" s="12">
        <v>44695.55331018519</v>
      </c>
      <c r="B59" s="6">
        <v>5.4</v>
      </c>
      <c r="C59" s="13">
        <v>2.0</v>
      </c>
      <c r="D59" s="14" t="s">
        <v>10</v>
      </c>
      <c r="E59" s="13">
        <v>5.4</v>
      </c>
      <c r="F59" s="15">
        <v>1.0</v>
      </c>
    </row>
    <row r="60">
      <c r="A60" s="12">
        <v>44693.51792824074</v>
      </c>
      <c r="B60" s="6">
        <v>8.1</v>
      </c>
      <c r="C60" s="13">
        <v>2.0</v>
      </c>
      <c r="D60" s="14" t="s">
        <v>10</v>
      </c>
      <c r="E60" s="13">
        <v>8.1</v>
      </c>
      <c r="F60" s="15">
        <v>1.0</v>
      </c>
    </row>
    <row r="61">
      <c r="A61" s="12">
        <v>44691.72447916667</v>
      </c>
      <c r="B61" s="6">
        <v>12.0</v>
      </c>
      <c r="C61" s="13">
        <v>3.0</v>
      </c>
      <c r="D61" s="14" t="s">
        <v>10</v>
      </c>
      <c r="E61" s="13">
        <v>12.0</v>
      </c>
      <c r="F61" s="15">
        <v>1.0</v>
      </c>
    </row>
    <row r="62">
      <c r="A62" s="12">
        <v>44689.50938657408</v>
      </c>
      <c r="B62" s="6">
        <v>7.3</v>
      </c>
      <c r="C62" s="13">
        <v>2.0</v>
      </c>
      <c r="D62" s="14" t="s">
        <v>10</v>
      </c>
      <c r="E62" s="13">
        <v>7.3</v>
      </c>
      <c r="F62" s="15">
        <v>1.0</v>
      </c>
    </row>
    <row r="63">
      <c r="A63" s="12">
        <v>44688.54746527778</v>
      </c>
      <c r="B63" s="6">
        <v>3.0</v>
      </c>
      <c r="C63" s="13">
        <v>2.0</v>
      </c>
      <c r="D63" s="14" t="s">
        <v>10</v>
      </c>
      <c r="E63" s="13">
        <v>3.0</v>
      </c>
      <c r="F63" s="15">
        <v>1.0</v>
      </c>
    </row>
    <row r="64">
      <c r="A64" s="12">
        <v>44687.83658564815</v>
      </c>
      <c r="B64" s="6">
        <v>17.0</v>
      </c>
      <c r="C64" s="13">
        <v>3.0</v>
      </c>
      <c r="D64" s="14" t="s">
        <v>10</v>
      </c>
      <c r="E64" s="13">
        <v>17.0</v>
      </c>
      <c r="F64" s="15">
        <v>1.0</v>
      </c>
    </row>
    <row r="65">
      <c r="A65" s="12">
        <v>44687.533043981486</v>
      </c>
      <c r="B65" s="6">
        <v>6.6</v>
      </c>
      <c r="C65" s="13">
        <v>2.0</v>
      </c>
      <c r="D65" s="14" t="s">
        <v>10</v>
      </c>
      <c r="E65" s="13">
        <v>6.6</v>
      </c>
      <c r="F65" s="15">
        <v>1.0</v>
      </c>
    </row>
    <row r="66">
      <c r="A66" s="12">
        <v>44686.52086805555</v>
      </c>
      <c r="B66" s="6">
        <v>5.5</v>
      </c>
      <c r="C66" s="13">
        <v>2.0</v>
      </c>
      <c r="D66" s="14" t="s">
        <v>10</v>
      </c>
      <c r="E66" s="13">
        <v>5.5</v>
      </c>
      <c r="F66" s="15">
        <v>1.0</v>
      </c>
    </row>
    <row r="67">
      <c r="A67" s="12">
        <v>44686.46728009259</v>
      </c>
      <c r="B67" s="6">
        <v>7.1</v>
      </c>
      <c r="C67" s="13">
        <v>2.0</v>
      </c>
      <c r="D67" s="14" t="s">
        <v>10</v>
      </c>
      <c r="E67" s="13">
        <v>7.1</v>
      </c>
      <c r="F67" s="15">
        <v>1.0</v>
      </c>
    </row>
    <row r="68">
      <c r="A68" s="12">
        <v>44681.499131944445</v>
      </c>
      <c r="B68" s="6">
        <v>3.5</v>
      </c>
      <c r="C68" s="13">
        <v>2.0</v>
      </c>
      <c r="D68" s="14" t="s">
        <v>11</v>
      </c>
      <c r="E68" s="13">
        <v>3.69</v>
      </c>
      <c r="F68" s="15">
        <v>1.0542857142857143</v>
      </c>
    </row>
    <row r="69">
      <c r="A69" s="12">
        <v>44680.53349537037</v>
      </c>
      <c r="B69" s="6">
        <v>10.8</v>
      </c>
      <c r="C69" s="13">
        <v>2.0</v>
      </c>
      <c r="D69" s="14" t="s">
        <v>11</v>
      </c>
      <c r="E69" s="13">
        <v>11.41</v>
      </c>
      <c r="F69" s="15">
        <v>1.0564814814814814</v>
      </c>
    </row>
    <row r="70">
      <c r="A70" s="12">
        <v>44679.53175925926</v>
      </c>
      <c r="B70" s="6">
        <v>5.9</v>
      </c>
      <c r="C70" s="13">
        <v>2.0</v>
      </c>
      <c r="D70" s="14" t="s">
        <v>11</v>
      </c>
      <c r="E70" s="13">
        <v>6.2</v>
      </c>
      <c r="F70" s="15">
        <v>1.0508474576271185</v>
      </c>
    </row>
    <row r="71">
      <c r="A71" s="12">
        <v>44675.52208333333</v>
      </c>
      <c r="B71" s="6">
        <v>3.5</v>
      </c>
      <c r="C71" s="13">
        <v>2.0</v>
      </c>
      <c r="D71" s="14" t="s">
        <v>11</v>
      </c>
      <c r="E71" s="13">
        <v>3.78</v>
      </c>
      <c r="F71" s="15">
        <v>1.0799999999999998</v>
      </c>
    </row>
    <row r="72">
      <c r="A72" s="12">
        <v>44674.54173611111</v>
      </c>
      <c r="B72" s="6">
        <v>4.8</v>
      </c>
      <c r="C72" s="13">
        <v>2.0</v>
      </c>
      <c r="D72" s="14" t="s">
        <v>11</v>
      </c>
      <c r="E72" s="13">
        <v>5.18</v>
      </c>
      <c r="F72" s="15">
        <v>1.0791666666666666</v>
      </c>
    </row>
    <row r="73">
      <c r="A73" s="12">
        <v>44673.49886574074</v>
      </c>
      <c r="B73" s="6">
        <v>7.26</v>
      </c>
      <c r="C73" s="13">
        <v>2.0</v>
      </c>
      <c r="D73" s="14" t="s">
        <v>11</v>
      </c>
      <c r="E73" s="13">
        <v>7.84</v>
      </c>
      <c r="F73" s="15">
        <v>1.0798898071625345</v>
      </c>
    </row>
    <row r="74">
      <c r="A74" s="12">
        <v>44672.5059837963</v>
      </c>
      <c r="B74" s="6">
        <v>4.18</v>
      </c>
      <c r="C74" s="13">
        <v>2.0</v>
      </c>
      <c r="D74" s="14" t="s">
        <v>11</v>
      </c>
      <c r="E74" s="13">
        <v>4.56</v>
      </c>
      <c r="F74" s="15">
        <v>1.0909090909090908</v>
      </c>
    </row>
    <row r="75">
      <c r="A75" s="12">
        <v>44667.50069444445</v>
      </c>
      <c r="B75" s="6">
        <v>3.5</v>
      </c>
      <c r="C75" s="13">
        <v>2.0</v>
      </c>
      <c r="D75" s="14" t="s">
        <v>11</v>
      </c>
      <c r="E75" s="13">
        <v>3.78</v>
      </c>
      <c r="F75" s="15">
        <v>1.0799999999999998</v>
      </c>
    </row>
    <row r="76">
      <c r="A76" s="12">
        <v>44666.5360300926</v>
      </c>
      <c r="B76" s="6">
        <v>14.1</v>
      </c>
      <c r="C76" s="13">
        <v>2.0</v>
      </c>
      <c r="D76" s="14" t="s">
        <v>11</v>
      </c>
      <c r="E76" s="13">
        <v>15.24</v>
      </c>
      <c r="F76" s="15">
        <v>1.0808510638297872</v>
      </c>
    </row>
    <row r="77">
      <c r="A77" s="12">
        <v>44665.4934375</v>
      </c>
      <c r="B77" s="6">
        <v>6.55</v>
      </c>
      <c r="C77" s="13">
        <v>2.0</v>
      </c>
      <c r="D77" s="14" t="s">
        <v>11</v>
      </c>
      <c r="E77" s="13">
        <v>7.15</v>
      </c>
      <c r="F77" s="15">
        <v>1.0916030534351147</v>
      </c>
    </row>
    <row r="78">
      <c r="A78" s="12">
        <v>44660.524351851855</v>
      </c>
      <c r="B78" s="6">
        <v>3.0</v>
      </c>
      <c r="C78" s="13">
        <v>2.0</v>
      </c>
      <c r="D78" s="14" t="s">
        <v>11</v>
      </c>
      <c r="E78" s="13">
        <v>3.26</v>
      </c>
      <c r="F78" s="15">
        <v>1.0866666666666667</v>
      </c>
    </row>
  </sheetData>
  <autoFilter ref="$A$1:$F$78">
    <sortState ref="A1:F78">
      <sortCondition descending="1" ref="A1:A78"/>
    </sortState>
  </autoFil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25"/>
    <col customWidth="1" min="2" max="2" width="43.5"/>
    <col customWidth="1" min="3" max="3" width="13.5"/>
    <col customWidth="1" min="4" max="4" width="45.0"/>
    <col customWidth="1" min="5" max="5" width="17.88"/>
    <col customWidth="1" min="7" max="7" width="15.75"/>
    <col customWidth="1" min="8" max="8" width="12.63"/>
    <col customWidth="1" min="12" max="12" width="16.13"/>
  </cols>
  <sheetData>
    <row r="1">
      <c r="A1" s="1" t="str">
        <f>OFFSET(Merchant!$A:$C,0,0)</f>
        <v>index</v>
      </c>
      <c r="B1" s="1" t="s">
        <v>12</v>
      </c>
      <c r="C1" s="1" t="s">
        <v>13</v>
      </c>
      <c r="D1" s="1" t="s">
        <v>14</v>
      </c>
      <c r="E1" s="2" t="s">
        <v>15</v>
      </c>
      <c r="F1" s="3" t="s">
        <v>5</v>
      </c>
      <c r="G1" s="3" t="s">
        <v>16</v>
      </c>
      <c r="H1" s="3" t="s">
        <v>17</v>
      </c>
      <c r="I1" s="16" t="s">
        <v>18</v>
      </c>
      <c r="J1" s="17" t="s">
        <v>19</v>
      </c>
      <c r="K1" s="18" t="s">
        <v>20</v>
      </c>
      <c r="L1" s="18" t="s">
        <v>21</v>
      </c>
      <c r="M1" s="19" t="s">
        <v>22</v>
      </c>
      <c r="N1" s="19" t="s">
        <v>23</v>
      </c>
      <c r="O1" s="20" t="s">
        <v>24</v>
      </c>
      <c r="P1" s="20" t="s">
        <v>25</v>
      </c>
      <c r="Q1" s="20" t="s">
        <v>26</v>
      </c>
    </row>
    <row r="2">
      <c r="A2" s="5">
        <v>2.0</v>
      </c>
      <c r="B2" s="5" t="s">
        <v>27</v>
      </c>
      <c r="C2" s="5" t="s">
        <v>28</v>
      </c>
      <c r="D2" s="14"/>
      <c r="E2" s="21" t="str">
        <f>IFERROR(IF($A2="",,IF($I2="",Translation!$A$2,IF($L2="",Translation!$A$3,IF($N2&lt;&gt;$B2,Translation!$A$4,IF(IFERROR($F2,)="",Translation!$A$5,IF($H2&gt;TIME(0,5,0),Translation!$A$6,IF($M2,Translation!$A$7,$K2))))))),Translation!$A$7)</f>
        <v>Error: No transaction</v>
      </c>
      <c r="F2" s="22" t="str">
        <f>IF($P2&lt;&gt;"",VLOOKUP($P2,Token!B:B,2,0)*$O2/POW(10,$Q2),)</f>
        <v/>
      </c>
      <c r="G2" s="23" t="str">
        <f t="shared" ref="G2:G3" si="1">IF($I2&lt;&gt;"",$I2/86400+DATE(1970,1,1)+TIME(2,0,0),)</f>
        <v/>
      </c>
      <c r="H2" s="24" t="str">
        <f t="shared" ref="H2:H3" si="2">IF($G2&lt;&gt;"",NOW()-G2,)</f>
        <v/>
      </c>
      <c r="I2" s="21" t="str">
        <f t="shared" ref="I2:I3" si="3">IF($D2&lt;&gt;"",ImportJSON("https://public-api.solscan.io/account/transactions?account="&amp;$D2&amp;"&amp;limit=1",TEXTJOIN(",",1,$I$1:$L$1),"noHeaders"),)</f>
        <v/>
      </c>
      <c r="M2" s="21" t="str">
        <f t="shared" ref="M2:M3" si="4">IF(AND($K2="Success",$L2="true"),ImportJSON("https://public-api.solscan.io/transaction/"&amp;$J2&amp;" ",TEXTJOIN(",",1,$M$1:$Q$1),"noInherit,noHeaders"),)</f>
        <v/>
      </c>
    </row>
    <row r="3">
      <c r="A3" s="5">
        <v>3.0</v>
      </c>
      <c r="B3" s="5" t="s">
        <v>29</v>
      </c>
      <c r="C3" s="5" t="s">
        <v>30</v>
      </c>
      <c r="D3" s="14"/>
      <c r="E3" s="21" t="str">
        <f>IFERROR(IF($A3="",,IF($I3="",Translation!$A$2,IF($L3="",Translation!$A$3,IF($N3&lt;&gt;$B3,Translation!$A$4,IF(IFERROR($F3,)="",Translation!$A$5,IF($H3&gt;TIME(0,5,0),Translation!$A$6,IF($M3,Translation!$A$7,$K3))))))),Translation!$A$7)</f>
        <v>Error: No transaction</v>
      </c>
      <c r="F3" s="22" t="str">
        <f>IF($P3&lt;&gt;"",VLOOKUP($P3,Token!B:B,2,0)*$O3/POW(10,$Q3),)</f>
        <v/>
      </c>
      <c r="G3" s="23" t="str">
        <f t="shared" si="1"/>
        <v/>
      </c>
      <c r="H3" s="24" t="str">
        <f t="shared" si="2"/>
        <v/>
      </c>
      <c r="I3" s="21" t="str">
        <f t="shared" si="3"/>
        <v/>
      </c>
      <c r="M3" s="21" t="str">
        <f t="shared" si="4"/>
        <v/>
      </c>
    </row>
    <row r="4">
      <c r="A4" s="5">
        <v>4.0</v>
      </c>
      <c r="B4" s="5" t="s">
        <v>31</v>
      </c>
      <c r="C4" s="5" t="s">
        <v>32</v>
      </c>
      <c r="E4" s="21" t="str">
        <f>IFERROR(IF($A4="",,IF($I4="",Translation!$A$2,IF($L4="",Translation!$A$3,IF($N4&lt;&gt;$B4,Translation!$A$4,IF(IFERROR($F4,)="",Translation!$A$5,IF($H4&gt;TIME(0,5,0),Translation!$A$6,IF($M4,Translation!$A$7,$K4))))))),Translation!$A$7)</f>
        <v>Error: No transaction</v>
      </c>
      <c r="F4" s="22"/>
      <c r="G4" s="23"/>
      <c r="H4" s="24"/>
    </row>
    <row r="5">
      <c r="A5" s="5"/>
      <c r="B5" s="5"/>
      <c r="C5" s="5"/>
      <c r="D5" s="14"/>
      <c r="E5" s="21" t="str">
        <f>IFERROR(IF($A5="",,IF($I5="",Translation!$A$2,IF($L5="",Translation!$A$3,IF($N5&lt;&gt;$B5,Translation!$A$4,IF(IFERROR($F5,)="",Translation!$A$5,IF($H5&gt;TIME(0,5,0),Translation!$A$6,IF($M5,Translation!$A$7,$K5))))))),Translation!$A$7)</f>
        <v/>
      </c>
      <c r="F5" s="22"/>
      <c r="G5" s="23"/>
      <c r="H5" s="24"/>
    </row>
    <row r="6">
      <c r="A6" s="5"/>
      <c r="B6" s="5"/>
      <c r="C6" s="5"/>
      <c r="D6" s="14"/>
      <c r="E6" s="21" t="str">
        <f>IFERROR(IF($A6="",,IF($I6="",Translation!$A$2,IF($L6="",Translation!$A$3,IF($N6&lt;&gt;$B6,Translation!$A$4,IF(IFERROR($F6,)="",Translation!$A$5,IF($H6&gt;TIME(0,5,0),Translation!$A$6,IF($M6,Translation!$A$7,$K6))))))),Translation!$A$7)</f>
        <v/>
      </c>
      <c r="F6" s="22"/>
      <c r="G6" s="23"/>
      <c r="H6" s="24"/>
    </row>
    <row r="7">
      <c r="A7" s="5"/>
      <c r="B7" s="5"/>
      <c r="C7" s="5"/>
      <c r="D7" s="14"/>
      <c r="E7" s="21" t="str">
        <f>IFERROR(IF($A7="",,IF($I7="",Translation!$A$2,IF($L7="",Translation!$A$3,IF($N7&lt;&gt;$B7,Translation!$A$4,IF(IFERROR($F7,)="",Translation!$A$5,IF($H7&gt;TIME(0,5,0),Translation!$A$6,IF($M7,Translation!$A$7,$K7))))))),Translation!$A$7)</f>
        <v/>
      </c>
      <c r="F7" s="22"/>
      <c r="G7" s="23"/>
      <c r="H7" s="24"/>
    </row>
    <row r="8">
      <c r="A8" s="5"/>
      <c r="B8" s="5"/>
      <c r="C8" s="5"/>
      <c r="D8" s="14"/>
      <c r="E8" s="21" t="str">
        <f>IFERROR(IF($A8="",,IF($I8="",Translation!$A$2,IF($L8="",Translation!$A$3,IF($N8&lt;&gt;$B8,Translation!$A$4,IF(IFERROR($F8,)="",Translation!$A$5,IF($H8&gt;TIME(0,5,0),Translation!$A$6,IF($M8,Translation!$A$7,$K8))))))),Translation!$A$7)</f>
        <v/>
      </c>
      <c r="F8" s="22"/>
      <c r="G8" s="23"/>
      <c r="H8" s="24"/>
    </row>
    <row r="9">
      <c r="A9" s="5"/>
      <c r="B9" s="5"/>
      <c r="C9" s="5"/>
      <c r="D9" s="14"/>
      <c r="E9" s="21" t="str">
        <f>IFERROR(IF($A9="",,IF($I9="",Translation!$A$2,IF($L9="",Translation!$A$3,IF($N9&lt;&gt;$B9,Translation!$A$4,IF(IFERROR($F9,)="",Translation!$A$5,IF($H9&gt;TIME(0,5,0),Translation!$A$6,IF($M9,Translation!$A$7,$K9))))))),Translation!$A$7)</f>
        <v/>
      </c>
      <c r="F9" s="22"/>
      <c r="G9" s="23"/>
      <c r="H9" s="24"/>
    </row>
    <row r="10">
      <c r="A10" s="5"/>
      <c r="B10" s="5"/>
      <c r="C10" s="5"/>
      <c r="D10" s="14"/>
      <c r="E10" s="21" t="str">
        <f>IFERROR(IF($A10="",,IF($I10="",Translation!$A$2,IF($L10="",Translation!$A$3,IF($N10&lt;&gt;$B10,Translation!$A$4,IF(IFERROR($F10,)="",Translation!$A$5,IF($H10&gt;TIME(0,5,0),Translation!$A$6,IF($M10,Translation!$A$7,$K10))))))),Translation!$A$7)</f>
        <v/>
      </c>
      <c r="F10" s="22"/>
      <c r="G10" s="23"/>
      <c r="H10" s="24"/>
    </row>
    <row r="11">
      <c r="A11" s="5"/>
      <c r="B11" s="5"/>
      <c r="C11" s="5"/>
      <c r="D11" s="14"/>
      <c r="E11" s="21" t="str">
        <f>IFERROR(IF($A11="",,IF($I11="",Translation!$A$2,IF($L11="",Translation!$A$3,IF($N11&lt;&gt;$B11,Translation!$A$4,IF(IFERROR($F11,)="",Translation!$A$5,IF($H11&gt;TIME(0,5,0),Translation!$A$6,IF($M11,Translation!$A$7,$K11))))))),Translation!$A$7)</f>
        <v/>
      </c>
      <c r="F11" s="22"/>
      <c r="G11" s="23"/>
      <c r="H11" s="24"/>
    </row>
    <row r="12">
      <c r="A12" s="5"/>
      <c r="B12" s="5"/>
      <c r="C12" s="5"/>
      <c r="D12" s="14"/>
      <c r="E12" s="21" t="str">
        <f>IFERROR(IF($A12="",,IF($I12="",Translation!$A$2,IF($L12="",Translation!$A$3,IF($N12&lt;&gt;$B12,Translation!$A$4,IF(IFERROR($F12,)="",Translation!$A$5,IF($H12&gt;TIME(0,5,0),Translation!$A$6,IF($M12,Translation!$A$7,$K12))))))),Translation!$A$7)</f>
        <v/>
      </c>
      <c r="F12" s="22"/>
      <c r="G12" s="23"/>
      <c r="H12" s="24"/>
    </row>
    <row r="13">
      <c r="A13" s="5"/>
      <c r="B13" s="5"/>
      <c r="C13" s="5"/>
      <c r="D13" s="14"/>
      <c r="E13" s="21" t="str">
        <f>IFERROR(IF($A13="",,IF($I13="",Translation!$A$2,IF($L13="",Translation!$A$3,IF($N13&lt;&gt;$B13,Translation!$A$4,IF(IFERROR($F13,)="",Translation!$A$5,IF($H13&gt;TIME(0,5,0),Translation!$A$6,IF($M13,Translation!$A$7,$K13))))))),Translation!$A$7)</f>
        <v/>
      </c>
      <c r="F13" s="22"/>
      <c r="G13" s="23"/>
      <c r="H13" s="24"/>
    </row>
    <row r="14">
      <c r="A14" s="5"/>
      <c r="B14" s="5"/>
      <c r="C14" s="5"/>
      <c r="D14" s="14"/>
      <c r="E14" s="21" t="str">
        <f>IFERROR(IF($A14="",,IF($I14="",Translation!$A$2,IF($L14="",Translation!$A$3,IF($N14&lt;&gt;$B14,Translation!$A$4,IF(IFERROR($F14,)="",Translation!$A$5,IF($H14&gt;TIME(0,5,0),Translation!$A$6,IF($M14,Translation!$A$7,$K14))))))),Translation!$A$7)</f>
        <v/>
      </c>
      <c r="F14" s="22"/>
      <c r="G14" s="23"/>
      <c r="H14" s="24"/>
    </row>
    <row r="15">
      <c r="A15" s="5"/>
      <c r="B15" s="5"/>
      <c r="C15" s="5"/>
      <c r="D15" s="14"/>
      <c r="E15" s="21" t="str">
        <f>IFERROR(IF($A15="",,IF($I15="",Translation!$A$2,IF($L15="",Translation!$A$3,IF($N15&lt;&gt;$B15,Translation!$A$4,IF(IFERROR($F15,)="",Translation!$A$5,IF($H15&gt;TIME(0,5,0),Translation!$A$6,IF($M15,Translation!$A$7,$K15))))))),Translation!$A$7)</f>
        <v/>
      </c>
      <c r="F15" s="22"/>
      <c r="G15" s="23"/>
      <c r="H15" s="24"/>
    </row>
    <row r="16">
      <c r="A16" s="5"/>
      <c r="B16" s="5"/>
      <c r="C16" s="5"/>
      <c r="D16" s="14"/>
      <c r="E16" s="21" t="str">
        <f>IFERROR(IF($A16="",,IF($I16="",Translation!$A$2,IF($L16="",Translation!$A$3,IF($N16&lt;&gt;$B16,Translation!$A$4,IF(IFERROR($F16,)="",Translation!$A$5,IF($H16&gt;TIME(0,5,0),Translation!$A$6,IF($M16,Translation!$A$7,$K16))))))),Translation!$A$7)</f>
        <v/>
      </c>
      <c r="F16" s="22"/>
      <c r="G16" s="23"/>
      <c r="H16" s="24"/>
    </row>
    <row r="17">
      <c r="A17" s="5"/>
      <c r="B17" s="5"/>
      <c r="C17" s="5"/>
      <c r="D17" s="14"/>
      <c r="E17" s="21" t="str">
        <f>IFERROR(IF($A17="",,IF($I17="",Translation!$A$2,IF($L17="",Translation!$A$3,IF($N17&lt;&gt;$B17,Translation!$A$4,IF(IFERROR($F17,)="",Translation!$A$5,IF($H17&gt;TIME(0,5,0),Translation!$A$6,IF($M17,Translation!$A$7,$K17))))))),Translation!$A$7)</f>
        <v/>
      </c>
      <c r="F17" s="22"/>
      <c r="G17" s="23"/>
      <c r="H17" s="24"/>
    </row>
    <row r="18">
      <c r="A18" s="5"/>
      <c r="B18" s="5"/>
      <c r="C18" s="5"/>
      <c r="D18" s="14"/>
      <c r="E18" s="21" t="str">
        <f>IFERROR(IF($A18="",,IF($I18="",Translation!$A$2,IF($L18="",Translation!$A$3,IF($N18&lt;&gt;$B18,Translation!$A$4,IF(IFERROR($F18,)="",Translation!$A$5,IF($H18&gt;TIME(0,5,0),Translation!$A$6,IF($M18,Translation!$A$7,$K18))))))),Translation!$A$7)</f>
        <v/>
      </c>
      <c r="F18" s="22"/>
      <c r="G18" s="23"/>
      <c r="H18" s="24"/>
    </row>
    <row r="19">
      <c r="A19" s="5"/>
      <c r="B19" s="5"/>
      <c r="C19" s="5"/>
      <c r="D19" s="14"/>
      <c r="E19" s="21" t="str">
        <f>IFERROR(IF($A19="",,IF($I19="",Translation!$A$2,IF($L19="",Translation!$A$3,IF($N19&lt;&gt;$B19,Translation!$A$4,IF(IFERROR($F19,)="",Translation!$A$5,IF($H19&gt;TIME(0,5,0),Translation!$A$6,IF($M19,Translation!$A$7,$K19))))))),Translation!$A$7)</f>
        <v/>
      </c>
      <c r="F19" s="22"/>
      <c r="G19" s="23"/>
      <c r="H19" s="24"/>
    </row>
    <row r="20">
      <c r="A20" s="5"/>
      <c r="B20" s="5"/>
      <c r="C20" s="5"/>
      <c r="D20" s="14"/>
      <c r="E20" s="21" t="str">
        <f>IFERROR(IF($A20="",,IF($I20="",Translation!$A$2,IF($L20="",Translation!$A$3,IF($N20&lt;&gt;$B20,Translation!$A$4,IF(IFERROR($F20,)="",Translation!$A$5,IF($H20&gt;TIME(0,5,0),Translation!$A$6,IF($M20,Translation!$A$7,$K20))))))),Translation!$A$7)</f>
        <v/>
      </c>
      <c r="F20" s="22"/>
      <c r="G20" s="23"/>
      <c r="H20" s="24"/>
    </row>
    <row r="21">
      <c r="A21" s="5"/>
      <c r="B21" s="5"/>
      <c r="C21" s="5"/>
      <c r="D21" s="14"/>
      <c r="E21" s="21" t="str">
        <f>IFERROR(IF($A21="",,IF($I21="",Translation!$A$2,IF($L21="",Translation!$A$3,IF($N21&lt;&gt;$B21,Translation!$A$4,IF(IFERROR($F21,)="",Translation!$A$5,IF($H21&gt;TIME(0,5,0),Translation!$A$6,IF($M21,Translation!$A$7,$K21))))))),Translation!$A$7)</f>
        <v/>
      </c>
      <c r="F21" s="22"/>
      <c r="G21" s="23"/>
      <c r="H21" s="24"/>
    </row>
    <row r="22">
      <c r="A22" s="5"/>
      <c r="B22" s="5"/>
      <c r="C22" s="5"/>
      <c r="D22" s="14"/>
      <c r="E22" s="21" t="str">
        <f>IFERROR(IF($A22="",,IF($I22="",Translation!$A$2,IF($L22="",Translation!$A$3,IF($N22&lt;&gt;$B22,Translation!$A$4,IF(IFERROR($F22,)="",Translation!$A$5,IF($H22&gt;TIME(0,5,0),Translation!$A$6,IF($M22,Translation!$A$7,$K22))))))),Translation!$A$7)</f>
        <v/>
      </c>
      <c r="F22" s="22"/>
      <c r="G22" s="23"/>
      <c r="H22" s="24"/>
    </row>
    <row r="23">
      <c r="A23" s="5"/>
      <c r="B23" s="5"/>
      <c r="C23" s="5"/>
      <c r="D23" s="14"/>
      <c r="E23" s="21" t="str">
        <f>IFERROR(IF($A23="",,IF($I23="",Translation!$A$2,IF($L23="",Translation!$A$3,IF($N23&lt;&gt;$B23,Translation!$A$4,IF(IFERROR($F23,)="",Translation!$A$5,IF($H23&gt;TIME(0,5,0),Translation!$A$6,IF($M23,Translation!$A$7,$K23))))))),Translation!$A$7)</f>
        <v/>
      </c>
      <c r="F23" s="22"/>
      <c r="G23" s="23"/>
      <c r="H23" s="24"/>
    </row>
    <row r="24">
      <c r="A24" s="5"/>
      <c r="B24" s="5"/>
      <c r="C24" s="5"/>
      <c r="D24" s="14"/>
      <c r="E24" s="21" t="str">
        <f>IFERROR(IF($A24="",,IF($I24="",Translation!$A$2,IF($L24="",Translation!$A$3,IF($N24&lt;&gt;$B24,Translation!$A$4,IF(IFERROR($F24,)="",Translation!$A$5,IF($H24&gt;TIME(0,5,0),Translation!$A$6,IF($M24,Translation!$A$7,$K24))))))),Translation!$A$7)</f>
        <v/>
      </c>
      <c r="F24" s="22"/>
      <c r="G24" s="23"/>
      <c r="H24" s="24"/>
    </row>
    <row r="25">
      <c r="A25" s="5"/>
      <c r="B25" s="5"/>
      <c r="C25" s="5"/>
      <c r="D25" s="14"/>
      <c r="E25" s="21" t="str">
        <f>IFERROR(IF($A25="",,IF($I25="",Translation!$A$2,IF($L25="",Translation!$A$3,IF($N25&lt;&gt;$B25,Translation!$A$4,IF(IFERROR($F25,)="",Translation!$A$5,IF($H25&gt;TIME(0,5,0),Translation!$A$6,IF($M25,Translation!$A$7,$K25))))))),Translation!$A$7)</f>
        <v/>
      </c>
      <c r="F25" s="22"/>
      <c r="G25" s="23"/>
      <c r="H25" s="24"/>
    </row>
    <row r="26">
      <c r="A26" s="5"/>
      <c r="B26" s="5"/>
      <c r="C26" s="5"/>
      <c r="D26" s="14"/>
      <c r="E26" s="21" t="str">
        <f>IFERROR(IF($A26="",,IF($I26="",Translation!$A$2,IF($L26="",Translation!$A$3,IF($N26&lt;&gt;$B26,Translation!$A$4,IF(IFERROR($F26,)="",Translation!$A$5,IF($H26&gt;TIME(0,5,0),Translation!$A$6,IF($M26,Translation!$A$7,$K26))))))),Translation!$A$7)</f>
        <v/>
      </c>
      <c r="F26" s="22"/>
      <c r="G26" s="23"/>
      <c r="H26" s="24"/>
    </row>
    <row r="27">
      <c r="A27" s="5"/>
      <c r="B27" s="5"/>
      <c r="C27" s="5"/>
      <c r="D27" s="14"/>
      <c r="E27" s="21" t="str">
        <f>IFERROR(IF($A27="",,IF($I27="",Translation!$A$2,IF($L27="",Translation!$A$3,IF($N27&lt;&gt;$B27,Translation!$A$4,IF(IFERROR($F27,)="",Translation!$A$5,IF($H27&gt;TIME(0,5,0),Translation!$A$6,IF($M27,Translation!$A$7,$K27))))))),Translation!$A$7)</f>
        <v/>
      </c>
      <c r="F27" s="22"/>
      <c r="G27" s="23"/>
      <c r="H27" s="24"/>
    </row>
    <row r="28">
      <c r="A28" s="5"/>
      <c r="B28" s="5"/>
      <c r="C28" s="5"/>
      <c r="D28" s="14"/>
      <c r="E28" s="21" t="str">
        <f>IFERROR(IF($A28="",,IF($I28="",Translation!$A$2,IF($L28="",Translation!$A$3,IF($N28&lt;&gt;$B28,Translation!$A$4,IF(IFERROR($F28,)="",Translation!$A$5,IF($H28&gt;TIME(0,5,0),Translation!$A$6,IF($M28,Translation!$A$7,$K28))))))),Translation!$A$7)</f>
        <v/>
      </c>
      <c r="F28" s="22"/>
      <c r="G28" s="23"/>
      <c r="H28" s="24"/>
    </row>
    <row r="29">
      <c r="A29" s="5"/>
      <c r="B29" s="5"/>
      <c r="C29" s="5"/>
      <c r="D29" s="14"/>
      <c r="E29" s="21" t="str">
        <f>IFERROR(IF($A29="",,IF($I29="",Translation!$A$2,IF($L29="",Translation!$A$3,IF($N29&lt;&gt;$B29,Translation!$A$4,IF(IFERROR($F29,)="",Translation!$A$5,IF($H29&gt;TIME(0,5,0),Translation!$A$6,IF($M29,Translation!$A$7,$K29))))))),Translation!$A$7)</f>
        <v/>
      </c>
      <c r="F29" s="22"/>
      <c r="G29" s="23"/>
      <c r="H29" s="24"/>
    </row>
    <row r="30">
      <c r="A30" s="5"/>
      <c r="B30" s="5"/>
      <c r="C30" s="5"/>
      <c r="D30" s="14"/>
      <c r="E30" s="21" t="str">
        <f>IFERROR(IF($A30="",,IF($I30="",Translation!$A$2,IF($L30="",Translation!$A$3,IF($N30&lt;&gt;$B30,Translation!$A$4,IF(IFERROR($F30,)="",Translation!$A$5,IF($H30&gt;TIME(0,5,0),Translation!$A$6,IF($M30,Translation!$A$7,$K30))))))),Translation!$A$7)</f>
        <v/>
      </c>
      <c r="F30" s="22"/>
      <c r="G30" s="23"/>
      <c r="H30" s="24"/>
    </row>
    <row r="31">
      <c r="A31" s="5"/>
      <c r="B31" s="5"/>
      <c r="C31" s="5"/>
      <c r="D31" s="14"/>
      <c r="E31" s="21" t="str">
        <f>IFERROR(IF($A31="",,IF($I31="",Translation!$A$2,IF($L31="",Translation!$A$3,IF($N31&lt;&gt;$B31,Translation!$A$4,IF(IFERROR($F31,)="",Translation!$A$5,IF($H31&gt;TIME(0,5,0),Translation!$A$6,IF($M31,Translation!$A$7,$K31))))))),Translation!$A$7)</f>
        <v/>
      </c>
      <c r="F31" s="22"/>
      <c r="G31" s="23"/>
      <c r="H31" s="24"/>
    </row>
    <row r="32">
      <c r="A32" s="5"/>
      <c r="B32" s="5"/>
      <c r="C32" s="5"/>
      <c r="D32" s="14"/>
      <c r="E32" s="21" t="str">
        <f>IFERROR(IF($A32="",,IF($I32="",Translation!$A$2,IF($L32="",Translation!$A$3,IF($N32&lt;&gt;$B32,Translation!$A$4,IF(IFERROR($F32,)="",Translation!$A$5,IF($H32&gt;TIME(0,5,0),Translation!$A$6,IF($M32,Translation!$A$7,$K32))))))),Translation!$A$7)</f>
        <v/>
      </c>
      <c r="F32" s="22"/>
      <c r="G32" s="23"/>
      <c r="H32" s="24"/>
    </row>
    <row r="33">
      <c r="A33" s="5"/>
      <c r="B33" s="5"/>
      <c r="C33" s="5"/>
      <c r="D33" s="14"/>
      <c r="E33" s="21" t="str">
        <f>IFERROR(IF($A33="",,IF($I33="",Translation!$A$2,IF($L33="",Translation!$A$3,IF($N33&lt;&gt;$B33,Translation!$A$4,IF(IFERROR($F33,)="",Translation!$A$5,IF($H33&gt;TIME(0,5,0),Translation!$A$6,IF($M33,Translation!$A$7,$K33))))))),Translation!$A$7)</f>
        <v/>
      </c>
      <c r="F33" s="22"/>
      <c r="G33" s="23"/>
      <c r="H33" s="24"/>
    </row>
    <row r="34">
      <c r="A34" s="5"/>
      <c r="B34" s="5"/>
      <c r="C34" s="5"/>
      <c r="D34" s="14"/>
      <c r="E34" s="21" t="str">
        <f>IFERROR(IF($A34="",,IF($I34="",Translation!$A$2,IF($L34="",Translation!$A$3,IF($N34&lt;&gt;$B34,Translation!$A$4,IF(IFERROR($F34,)="",Translation!$A$5,IF($H34&gt;TIME(0,5,0),Translation!$A$6,IF($M34,Translation!$A$7,$K34))))))),Translation!$A$7)</f>
        <v/>
      </c>
      <c r="F34" s="22"/>
      <c r="G34" s="23"/>
      <c r="H34" s="24"/>
    </row>
    <row r="35">
      <c r="A35" s="5"/>
      <c r="B35" s="5"/>
      <c r="C35" s="5"/>
      <c r="D35" s="14"/>
      <c r="E35" s="21" t="str">
        <f>IFERROR(IF($A35="",,IF($I35="",Translation!$A$2,IF($L35="",Translation!$A$3,IF($N35&lt;&gt;$B35,Translation!$A$4,IF(IFERROR($F35,)="",Translation!$A$5,IF($H35&gt;TIME(0,5,0),Translation!$A$6,IF($M35,Translation!$A$7,$K35))))))),Translation!$A$7)</f>
        <v/>
      </c>
      <c r="F35" s="22"/>
      <c r="G35" s="23"/>
      <c r="H35" s="24"/>
    </row>
    <row r="36">
      <c r="A36" s="5"/>
      <c r="B36" s="5"/>
      <c r="C36" s="5"/>
      <c r="D36" s="14"/>
      <c r="E36" s="21" t="str">
        <f>IFERROR(IF($A36="",,IF($I36="",Translation!$A$2,IF($L36="",Translation!$A$3,IF($N36&lt;&gt;$B36,Translation!$A$4,IF(IFERROR($F36,)="",Translation!$A$5,IF($H36&gt;TIME(0,5,0),Translation!$A$6,IF($M36,Translation!$A$7,$K36))))))),Translation!$A$7)</f>
        <v/>
      </c>
      <c r="F36" s="22"/>
      <c r="G36" s="23"/>
      <c r="H36" s="24"/>
    </row>
    <row r="37">
      <c r="A37" s="5"/>
      <c r="B37" s="5"/>
      <c r="C37" s="5"/>
      <c r="D37" s="14"/>
      <c r="E37" s="21" t="str">
        <f>IFERROR(IF($A37="",,IF($I37="",Translation!$A$2,IF($L37="",Translation!$A$3,IF($N37&lt;&gt;$B37,Translation!$A$4,IF(IFERROR($F37,)="",Translation!$A$5,IF($H37&gt;TIME(0,5,0),Translation!$A$6,IF($M37,Translation!$A$7,$K37))))))),Translation!$A$7)</f>
        <v/>
      </c>
      <c r="F37" s="22"/>
      <c r="G37" s="23"/>
      <c r="H37" s="24"/>
    </row>
    <row r="38">
      <c r="A38" s="5"/>
      <c r="B38" s="5"/>
      <c r="C38" s="5"/>
      <c r="D38" s="14"/>
      <c r="E38" s="21" t="str">
        <f>IFERROR(IF($A38="",,IF($I38="",Translation!$A$2,IF($L38="",Translation!$A$3,IF($N38&lt;&gt;$B38,Translation!$A$4,IF(IFERROR($F38,)="",Translation!$A$5,IF($H38&gt;TIME(0,5,0),Translation!$A$6,IF($M38,Translation!$A$7,$K38))))))),Translation!$A$7)</f>
        <v/>
      </c>
      <c r="F38" s="22"/>
      <c r="G38" s="23"/>
      <c r="H38" s="24"/>
    </row>
    <row r="39">
      <c r="A39" s="5"/>
      <c r="B39" s="5"/>
      <c r="C39" s="5"/>
      <c r="D39" s="14"/>
      <c r="E39" s="21" t="str">
        <f>IFERROR(IF($A39="",,IF($I39="",Translation!$A$2,IF($L39="",Translation!$A$3,IF($N39&lt;&gt;$B39,Translation!$A$4,IF(IFERROR($F39,)="",Translation!$A$5,IF($H39&gt;TIME(0,5,0),Translation!$A$6,IF($M39,Translation!$A$7,$K39))))))),Translation!$A$7)</f>
        <v/>
      </c>
      <c r="F39" s="22"/>
      <c r="G39" s="23"/>
      <c r="H39" s="24"/>
    </row>
    <row r="40">
      <c r="A40" s="5"/>
      <c r="B40" s="5"/>
      <c r="C40" s="5"/>
      <c r="D40" s="14"/>
      <c r="E40" s="21" t="str">
        <f>IFERROR(IF($A40="",,IF($I40="",Translation!$A$2,IF($L40="",Translation!$A$3,IF($N40&lt;&gt;$B40,Translation!$A$4,IF(IFERROR($F40,)="",Translation!$A$5,IF($H40&gt;TIME(0,5,0),Translation!$A$6,IF($M40,Translation!$A$7,$K40))))))),Translation!$A$7)</f>
        <v/>
      </c>
      <c r="F40" s="22"/>
      <c r="G40" s="23"/>
      <c r="H40" s="24"/>
    </row>
    <row r="41">
      <c r="A41" s="5"/>
      <c r="B41" s="5"/>
      <c r="C41" s="5"/>
      <c r="D41" s="14"/>
      <c r="E41" s="21" t="str">
        <f>IFERROR(IF($A41="",,IF($I41="",Translation!$A$2,IF($L41="",Translation!$A$3,IF($N41&lt;&gt;$B41,Translation!$A$4,IF(IFERROR($F41,)="",Translation!$A$5,IF($H41&gt;TIME(0,5,0),Translation!$A$6,IF($M41,Translation!$A$7,$K41))))))),Translation!$A$7)</f>
        <v/>
      </c>
      <c r="F41" s="22"/>
      <c r="G41" s="23"/>
      <c r="H41" s="24"/>
    </row>
    <row r="42">
      <c r="A42" s="5"/>
      <c r="B42" s="5"/>
      <c r="C42" s="5"/>
      <c r="D42" s="14"/>
      <c r="E42" s="21" t="str">
        <f>IFERROR(IF($A42="",,IF($I42="",Translation!$A$2,IF($L42="",Translation!$A$3,IF($N42&lt;&gt;$B42,Translation!$A$4,IF(IFERROR($F42,)="",Translation!$A$5,IF($H42&gt;TIME(0,5,0),Translation!$A$6,IF($M42,Translation!$A$7,$K42))))))),Translation!$A$7)</f>
        <v/>
      </c>
      <c r="F42" s="22"/>
      <c r="G42" s="23"/>
      <c r="H42" s="24"/>
    </row>
    <row r="43">
      <c r="A43" s="5"/>
      <c r="B43" s="5"/>
      <c r="C43" s="5"/>
      <c r="D43" s="14"/>
      <c r="E43" s="21" t="str">
        <f>IFERROR(IF($A43="",,IF($I43="",Translation!$A$2,IF($L43="",Translation!$A$3,IF($N43&lt;&gt;$B43,Translation!$A$4,IF(IFERROR($F43,)="",Translation!$A$5,IF($H43&gt;TIME(0,5,0),Translation!$A$6,IF($M43,Translation!$A$7,$K43))))))),Translation!$A$7)</f>
        <v/>
      </c>
      <c r="F43" s="22"/>
      <c r="G43" s="23"/>
      <c r="H43" s="24"/>
    </row>
    <row r="44">
      <c r="A44" s="5"/>
      <c r="B44" s="5"/>
      <c r="C44" s="5"/>
      <c r="D44" s="14"/>
      <c r="E44" s="21" t="str">
        <f>IFERROR(IF($A44="",,IF($I44="",Translation!$A$2,IF($L44="",Translation!$A$3,IF($N44&lt;&gt;$B44,Translation!$A$4,IF(IFERROR($F44,)="",Translation!$A$5,IF($H44&gt;TIME(0,5,0),Translation!$A$6,IF($M44,Translation!$A$7,$K44))))))),Translation!$A$7)</f>
        <v/>
      </c>
      <c r="F44" s="22"/>
      <c r="G44" s="23"/>
      <c r="H44" s="24"/>
    </row>
    <row r="45">
      <c r="A45" s="5"/>
      <c r="B45" s="5"/>
      <c r="C45" s="5"/>
      <c r="D45" s="14"/>
      <c r="E45" s="21" t="str">
        <f>IFERROR(IF($A45="",,IF($I45="",Translation!$A$2,IF($L45="",Translation!$A$3,IF($N45&lt;&gt;$B45,Translation!$A$4,IF(IFERROR($F45,)="",Translation!$A$5,IF($H45&gt;TIME(0,5,0),Translation!$A$6,IF($M45,Translation!$A$7,$K45))))))),Translation!$A$7)</f>
        <v/>
      </c>
      <c r="F45" s="22"/>
      <c r="G45" s="23"/>
      <c r="H45" s="24"/>
    </row>
    <row r="46">
      <c r="A46" s="5"/>
      <c r="B46" s="5"/>
      <c r="C46" s="5"/>
      <c r="D46" s="14"/>
      <c r="E46" s="21" t="str">
        <f>IFERROR(IF($A46="",,IF($I46="",Translation!$A$2,IF($L46="",Translation!$A$3,IF($N46&lt;&gt;$B46,Translation!$A$4,IF(IFERROR($F46,)="",Translation!$A$5,IF($H46&gt;TIME(0,5,0),Translation!$A$6,IF($M46,Translation!$A$7,$K46))))))),Translation!$A$7)</f>
        <v/>
      </c>
      <c r="F46" s="22"/>
      <c r="G46" s="23"/>
      <c r="H46" s="24"/>
    </row>
    <row r="47">
      <c r="A47" s="5"/>
      <c r="B47" s="5"/>
      <c r="C47" s="5"/>
      <c r="D47" s="14"/>
      <c r="E47" s="21" t="str">
        <f>IFERROR(IF($A47="",,IF($I47="",Translation!$A$2,IF($L47="",Translation!$A$3,IF($N47&lt;&gt;$B47,Translation!$A$4,IF(IFERROR($F47,)="",Translation!$A$5,IF($H47&gt;TIME(0,5,0),Translation!$A$6,IF($M47,Translation!$A$7,$K47))))))),Translation!$A$7)</f>
        <v/>
      </c>
      <c r="F47" s="22"/>
      <c r="G47" s="23"/>
      <c r="H47" s="24"/>
    </row>
    <row r="48">
      <c r="A48" s="5"/>
      <c r="B48" s="5"/>
      <c r="C48" s="5"/>
      <c r="D48" s="14"/>
      <c r="E48" s="21" t="str">
        <f>IFERROR(IF($A48="",,IF($I48="",Translation!$A$2,IF($L48="",Translation!$A$3,IF($N48&lt;&gt;$B48,Translation!$A$4,IF(IFERROR($F48,)="",Translation!$A$5,IF($H48&gt;TIME(0,5,0),Translation!$A$6,IF($M48,Translation!$A$7,$K48))))))),Translation!$A$7)</f>
        <v/>
      </c>
      <c r="F48" s="22"/>
      <c r="G48" s="23"/>
      <c r="H48" s="24"/>
    </row>
    <row r="49">
      <c r="A49" s="5"/>
      <c r="B49" s="5"/>
      <c r="C49" s="5"/>
      <c r="D49" s="14"/>
      <c r="E49" s="21" t="str">
        <f>IFERROR(IF($A49="",,IF($I49="",Translation!$A$2,IF($L49="",Translation!$A$3,IF($N49&lt;&gt;$B49,Translation!$A$4,IF(IFERROR($F49,)="",Translation!$A$5,IF($H49&gt;TIME(0,5,0),Translation!$A$6,IF($M49,Translation!$A$7,$K49))))))),Translation!$A$7)</f>
        <v/>
      </c>
      <c r="F49" s="22"/>
      <c r="G49" s="23"/>
      <c r="H49" s="24"/>
    </row>
    <row r="50">
      <c r="A50" s="5"/>
      <c r="B50" s="5"/>
      <c r="C50" s="5"/>
      <c r="D50" s="14"/>
      <c r="E50" s="21" t="str">
        <f>IFERROR(IF($A50="",,IF($I50="",Translation!$A$2,IF($L50="",Translation!$A$3,IF($N50&lt;&gt;$B50,Translation!$A$4,IF(IFERROR($F50,)="",Translation!$A$5,IF($H50&gt;TIME(0,5,0),Translation!$A$6,IF($M50,Translation!$A$7,$K50))))))),Translation!$A$7)</f>
        <v/>
      </c>
      <c r="F50" s="22"/>
      <c r="G50" s="23"/>
      <c r="H50" s="24"/>
    </row>
    <row r="51">
      <c r="A51" s="5"/>
      <c r="B51" s="5"/>
      <c r="C51" s="5"/>
      <c r="D51" s="14"/>
      <c r="E51" s="21" t="str">
        <f>IFERROR(IF($A51="",,IF($I51="",Translation!$A$2,IF($L51="",Translation!$A$3,IF($N51&lt;&gt;$B51,Translation!$A$4,IF(IFERROR($F51,)="",Translation!$A$5,IF($H51&gt;TIME(0,5,0),Translation!$A$6,IF($M51,Translation!$A$7,$K51))))))),Translation!$A$7)</f>
        <v/>
      </c>
      <c r="F51" s="22"/>
      <c r="G51" s="23"/>
      <c r="H51" s="24"/>
    </row>
    <row r="52">
      <c r="A52" s="5"/>
      <c r="B52" s="5"/>
      <c r="C52" s="5"/>
      <c r="D52" s="14"/>
      <c r="E52" s="21" t="str">
        <f>IFERROR(IF($A52="",,IF($I52="",Translation!$A$2,IF($L52="",Translation!$A$3,IF($N52&lt;&gt;$B52,Translation!$A$4,IF(IFERROR($F52,)="",Translation!$A$5,IF($H52&gt;TIME(0,5,0),Translation!$A$6,IF($M52,Translation!$A$7,$K52))))))),Translation!$A$7)</f>
        <v/>
      </c>
      <c r="F52" s="22"/>
      <c r="G52" s="23"/>
      <c r="H52" s="24"/>
    </row>
    <row r="53">
      <c r="A53" s="5"/>
      <c r="B53" s="5"/>
      <c r="C53" s="5"/>
      <c r="D53" s="14"/>
      <c r="E53" s="21" t="str">
        <f>IFERROR(IF($A53="",,IF($I53="",Translation!$A$2,IF($L53="",Translation!$A$3,IF($N53&lt;&gt;$B53,Translation!$A$4,IF(IFERROR($F53,)="",Translation!$A$5,IF($H53&gt;TIME(0,5,0),Translation!$A$6,IF($M53,Translation!$A$7,$K53))))))),Translation!$A$7)</f>
        <v/>
      </c>
      <c r="F53" s="22"/>
      <c r="G53" s="23"/>
      <c r="H53" s="24"/>
    </row>
    <row r="54">
      <c r="A54" s="5"/>
      <c r="B54" s="5"/>
      <c r="C54" s="5"/>
      <c r="D54" s="14"/>
      <c r="E54" s="21" t="str">
        <f>IFERROR(IF($A54="",,IF($I54="",Translation!$A$2,IF($L54="",Translation!$A$3,IF($N54&lt;&gt;$B54,Translation!$A$4,IF(IFERROR($F54,)="",Translation!$A$5,IF($H54&gt;TIME(0,5,0),Translation!$A$6,IF($M54,Translation!$A$7,$K54))))))),Translation!$A$7)</f>
        <v/>
      </c>
      <c r="F54" s="22"/>
      <c r="G54" s="23"/>
      <c r="H54" s="24"/>
    </row>
    <row r="55">
      <c r="A55" s="5"/>
      <c r="B55" s="5"/>
      <c r="C55" s="5"/>
      <c r="D55" s="14"/>
      <c r="E55" s="21" t="str">
        <f>IFERROR(IF($A55="",,IF($I55="",Translation!$A$2,IF($L55="",Translation!$A$3,IF($N55&lt;&gt;$B55,Translation!$A$4,IF(IFERROR($F55,)="",Translation!$A$5,IF($H55&gt;TIME(0,5,0),Translation!$A$6,IF($M55,Translation!$A$7,$K55))))))),Translation!$A$7)</f>
        <v/>
      </c>
      <c r="F55" s="22"/>
      <c r="G55" s="23"/>
      <c r="H55" s="24"/>
    </row>
    <row r="56">
      <c r="A56" s="5"/>
      <c r="B56" s="5"/>
      <c r="C56" s="5"/>
      <c r="D56" s="14"/>
      <c r="E56" s="21" t="str">
        <f>IFERROR(IF($A56="",,IF($I56="",Translation!$A$2,IF($L56="",Translation!$A$3,IF($N56&lt;&gt;$B56,Translation!$A$4,IF(IFERROR($F56,)="",Translation!$A$5,IF($H56&gt;TIME(0,5,0),Translation!$A$6,IF($M56,Translation!$A$7,$K56))))))),Translation!$A$7)</f>
        <v/>
      </c>
      <c r="F56" s="22"/>
      <c r="G56" s="23"/>
      <c r="H56" s="24"/>
    </row>
    <row r="57">
      <c r="A57" s="5"/>
      <c r="B57" s="5"/>
      <c r="C57" s="5"/>
      <c r="D57" s="14"/>
      <c r="E57" s="21" t="str">
        <f>IFERROR(IF($A57="",,IF($I57="",Translation!$A$2,IF($L57="",Translation!$A$3,IF($N57&lt;&gt;$B57,Translation!$A$4,IF(IFERROR($F57,)="",Translation!$A$5,IF($H57&gt;TIME(0,5,0),Translation!$A$6,IF($M57,Translation!$A$7,$K57))))))),Translation!$A$7)</f>
        <v/>
      </c>
      <c r="F57" s="22"/>
      <c r="G57" s="23"/>
      <c r="H57" s="24"/>
    </row>
    <row r="58">
      <c r="A58" s="5"/>
      <c r="B58" s="5"/>
      <c r="C58" s="5"/>
      <c r="D58" s="14"/>
      <c r="E58" s="21" t="str">
        <f>IFERROR(IF($A58="",,IF($I58="",Translation!$A$2,IF($L58="",Translation!$A$3,IF($N58&lt;&gt;$B58,Translation!$A$4,IF(IFERROR($F58,)="",Translation!$A$5,IF($H58&gt;TIME(0,5,0),Translation!$A$6,IF($M58,Translation!$A$7,$K58))))))),Translation!$A$7)</f>
        <v/>
      </c>
      <c r="F58" s="22"/>
      <c r="G58" s="23"/>
      <c r="H58" s="24"/>
    </row>
    <row r="59">
      <c r="A59" s="5"/>
      <c r="B59" s="5"/>
      <c r="C59" s="5"/>
      <c r="D59" s="14"/>
      <c r="E59" s="21" t="str">
        <f>IFERROR(IF($A59="",,IF($I59="",Translation!$A$2,IF($L59="",Translation!$A$3,IF($N59&lt;&gt;$B59,Translation!$A$4,IF(IFERROR($F59,)="",Translation!$A$5,IF($H59&gt;TIME(0,5,0),Translation!$A$6,IF($M59,Translation!$A$7,$K59))))))),Translation!$A$7)</f>
        <v/>
      </c>
      <c r="F59" s="22"/>
      <c r="G59" s="23"/>
      <c r="H59" s="24"/>
    </row>
    <row r="60">
      <c r="A60" s="5"/>
      <c r="B60" s="5"/>
      <c r="C60" s="5"/>
      <c r="D60" s="14"/>
      <c r="E60" s="21" t="str">
        <f>IFERROR(IF($A60="",,IF($I60="",Translation!$A$2,IF($L60="",Translation!$A$3,IF($N60&lt;&gt;$B60,Translation!$A$4,IF(IFERROR($F60,)="",Translation!$A$5,IF($H60&gt;TIME(0,5,0),Translation!$A$6,IF($M60,Translation!$A$7,$K60))))))),Translation!$A$7)</f>
        <v/>
      </c>
      <c r="F60" s="22"/>
      <c r="G60" s="23"/>
      <c r="H60" s="24"/>
    </row>
    <row r="61">
      <c r="A61" s="5"/>
      <c r="B61" s="5"/>
      <c r="C61" s="5"/>
      <c r="D61" s="14"/>
      <c r="E61" s="21" t="str">
        <f>IFERROR(IF($A61="",,IF($I61="",Translation!$A$2,IF($L61="",Translation!$A$3,IF($N61&lt;&gt;$B61,Translation!$A$4,IF(IFERROR($F61,)="",Translation!$A$5,IF($H61&gt;TIME(0,5,0),Translation!$A$6,IF($M61,Translation!$A$7,$K61))))))),Translation!$A$7)</f>
        <v/>
      </c>
      <c r="F61" s="22"/>
      <c r="G61" s="23"/>
      <c r="H61" s="24"/>
    </row>
    <row r="62">
      <c r="A62" s="5"/>
      <c r="B62" s="5"/>
      <c r="C62" s="5"/>
      <c r="D62" s="14"/>
      <c r="E62" s="21" t="str">
        <f>IFERROR(IF($A62="",,IF($I62="",Translation!$A$2,IF($L62="",Translation!$A$3,IF($N62&lt;&gt;$B62,Translation!$A$4,IF(IFERROR($F62,)="",Translation!$A$5,IF($H62&gt;TIME(0,5,0),Translation!$A$6,IF($M62,Translation!$A$7,$K62))))))),Translation!$A$7)</f>
        <v/>
      </c>
      <c r="F62" s="22"/>
      <c r="G62" s="23"/>
      <c r="H62" s="24"/>
    </row>
    <row r="63">
      <c r="A63" s="5"/>
      <c r="B63" s="5"/>
      <c r="C63" s="5"/>
      <c r="D63" s="14"/>
      <c r="E63" s="21" t="str">
        <f>IFERROR(IF($A63="",,IF($I63="",Translation!$A$2,IF($L63="",Translation!$A$3,IF($N63&lt;&gt;$B63,Translation!$A$4,IF(IFERROR($F63,)="",Translation!$A$5,IF($H63&gt;TIME(0,5,0),Translation!$A$6,IF($M63,Translation!$A$7,$K63))))))),Translation!$A$7)</f>
        <v/>
      </c>
      <c r="F63" s="22"/>
      <c r="G63" s="23"/>
      <c r="H63" s="24"/>
    </row>
    <row r="64">
      <c r="A64" s="5"/>
      <c r="B64" s="5"/>
      <c r="C64" s="5"/>
      <c r="D64" s="14"/>
      <c r="E64" s="21" t="str">
        <f>IFERROR(IF($A64="",,IF($I64="",Translation!$A$2,IF($L64="",Translation!$A$3,IF($N64&lt;&gt;$B64,Translation!$A$4,IF(IFERROR($F64,)="",Translation!$A$5,IF($H64&gt;TIME(0,5,0),Translation!$A$6,IF($M64,Translation!$A$7,$K64))))))),Translation!$A$7)</f>
        <v/>
      </c>
      <c r="F64" s="22"/>
      <c r="G64" s="23"/>
      <c r="H64" s="24"/>
    </row>
    <row r="65">
      <c r="A65" s="5"/>
      <c r="B65" s="5"/>
      <c r="C65" s="5"/>
      <c r="D65" s="14"/>
      <c r="E65" s="21" t="str">
        <f>IFERROR(IF($A65="",,IF($I65="",Translation!$A$2,IF($L65="",Translation!$A$3,IF($N65&lt;&gt;$B65,Translation!$A$4,IF(IFERROR($F65,)="",Translation!$A$5,IF($H65&gt;TIME(0,5,0),Translation!$A$6,IF($M65,Translation!$A$7,$K65))))))),Translation!$A$7)</f>
        <v/>
      </c>
      <c r="F65" s="22"/>
      <c r="G65" s="23"/>
      <c r="H65" s="24"/>
    </row>
    <row r="66">
      <c r="A66" s="5"/>
      <c r="B66" s="5"/>
      <c r="C66" s="5"/>
      <c r="D66" s="14"/>
      <c r="E66" s="21" t="str">
        <f>IFERROR(IF($A66="",,IF($I66="",Translation!$A$2,IF($L66="",Translation!$A$3,IF($N66&lt;&gt;$B66,Translation!$A$4,IF(IFERROR($F66,)="",Translation!$A$5,IF($H66&gt;TIME(0,5,0),Translation!$A$6,IF($M66,Translation!$A$7,$K66))))))),Translation!$A$7)</f>
        <v/>
      </c>
      <c r="F66" s="22"/>
      <c r="G66" s="23"/>
      <c r="H66" s="24"/>
    </row>
    <row r="67">
      <c r="A67" s="5"/>
      <c r="B67" s="5"/>
      <c r="C67" s="5"/>
      <c r="D67" s="14"/>
      <c r="E67" s="21" t="str">
        <f>IFERROR(IF($A67="",,IF($I67="",Translation!$A$2,IF($L67="",Translation!$A$3,IF($N67&lt;&gt;$B67,Translation!$A$4,IF(IFERROR($F67,)="",Translation!$A$5,IF($H67&gt;TIME(0,5,0),Translation!$A$6,IF($M67,Translation!$A$7,$K67))))))),Translation!$A$7)</f>
        <v/>
      </c>
      <c r="F67" s="22"/>
      <c r="G67" s="23"/>
      <c r="H67" s="24"/>
    </row>
    <row r="68">
      <c r="A68" s="5"/>
      <c r="B68" s="5"/>
      <c r="C68" s="5"/>
      <c r="D68" s="14"/>
      <c r="E68" s="21" t="str">
        <f>IFERROR(IF($A68="",,IF($I68="",Translation!$A$2,IF($L68="",Translation!$A$3,IF($N68&lt;&gt;$B68,Translation!$A$4,IF(IFERROR($F68,)="",Translation!$A$5,IF($H68&gt;TIME(0,5,0),Translation!$A$6,IF($M68,Translation!$A$7,$K68))))))),Translation!$A$7)</f>
        <v/>
      </c>
      <c r="F68" s="22"/>
      <c r="G68" s="23"/>
      <c r="H68" s="24"/>
    </row>
    <row r="69">
      <c r="A69" s="5"/>
      <c r="B69" s="5"/>
      <c r="C69" s="5"/>
      <c r="D69" s="14"/>
      <c r="E69" s="21" t="str">
        <f>IFERROR(IF($A69="",,IF($I69="",Translation!$A$2,IF($L69="",Translation!$A$3,IF($N69&lt;&gt;$B69,Translation!$A$4,IF(IFERROR($F69,)="",Translation!$A$5,IF($H69&gt;TIME(0,5,0),Translation!$A$6,IF($M69,Translation!$A$7,$K69))))))),Translation!$A$7)</f>
        <v/>
      </c>
      <c r="F69" s="22"/>
      <c r="G69" s="23"/>
      <c r="H69" s="24"/>
    </row>
    <row r="70">
      <c r="A70" s="5"/>
      <c r="B70" s="5"/>
      <c r="C70" s="5"/>
      <c r="D70" s="14"/>
      <c r="E70" s="21" t="str">
        <f>IFERROR(IF($A70="",,IF($I70="",Translation!$A$2,IF($L70="",Translation!$A$3,IF($N70&lt;&gt;$B70,Translation!$A$4,IF(IFERROR($F70,)="",Translation!$A$5,IF($H70&gt;TIME(0,5,0),Translation!$A$6,IF($M70,Translation!$A$7,$K70))))))),Translation!$A$7)</f>
        <v/>
      </c>
      <c r="F70" s="22"/>
      <c r="G70" s="23"/>
      <c r="H70" s="24"/>
    </row>
    <row r="71">
      <c r="A71" s="5"/>
      <c r="B71" s="5"/>
      <c r="C71" s="5"/>
      <c r="D71" s="14"/>
      <c r="E71" s="21" t="str">
        <f>IFERROR(IF($A71="",,IF($I71="",Translation!$A$2,IF($L71="",Translation!$A$3,IF($N71&lt;&gt;$B71,Translation!$A$4,IF(IFERROR($F71,)="",Translation!$A$5,IF($H71&gt;TIME(0,5,0),Translation!$A$6,IF($M71,Translation!$A$7,$K71))))))),Translation!$A$7)</f>
        <v/>
      </c>
      <c r="F71" s="22"/>
      <c r="G71" s="23"/>
      <c r="H71" s="24"/>
    </row>
    <row r="72">
      <c r="A72" s="5"/>
      <c r="B72" s="5"/>
      <c r="C72" s="5"/>
      <c r="D72" s="14"/>
      <c r="E72" s="21" t="str">
        <f>IFERROR(IF($A72="",,IF($I72="",Translation!$A$2,IF($L72="",Translation!$A$3,IF($N72&lt;&gt;$B72,Translation!$A$4,IF(IFERROR($F72,)="",Translation!$A$5,IF($H72&gt;TIME(0,5,0),Translation!$A$6,IF($M72,Translation!$A$7,$K72))))))),Translation!$A$7)</f>
        <v/>
      </c>
      <c r="F72" s="22"/>
      <c r="G72" s="23"/>
      <c r="H72" s="24"/>
    </row>
    <row r="73">
      <c r="A73" s="5"/>
      <c r="B73" s="5"/>
      <c r="C73" s="5"/>
      <c r="D73" s="14"/>
      <c r="E73" s="21" t="str">
        <f>IFERROR(IF($A73="",,IF($I73="",Translation!$A$2,IF($L73="",Translation!$A$3,IF($N73&lt;&gt;$B73,Translation!$A$4,IF(IFERROR($F73,)="",Translation!$A$5,IF($H73&gt;TIME(0,5,0),Translation!$A$6,IF($M73,Translation!$A$7,$K73))))))),Translation!$A$7)</f>
        <v/>
      </c>
      <c r="F73" s="22"/>
      <c r="G73" s="23"/>
      <c r="H73" s="24"/>
    </row>
    <row r="74">
      <c r="A74" s="5"/>
      <c r="B74" s="5"/>
      <c r="C74" s="5"/>
      <c r="D74" s="14"/>
      <c r="E74" s="21" t="str">
        <f>IFERROR(IF($A74="",,IF($I74="",Translation!$A$2,IF($L74="",Translation!$A$3,IF($N74&lt;&gt;$B74,Translation!$A$4,IF(IFERROR($F74,)="",Translation!$A$5,IF($H74&gt;TIME(0,5,0),Translation!$A$6,IF($M74,Translation!$A$7,$K74))))))),Translation!$A$7)</f>
        <v/>
      </c>
      <c r="F74" s="22"/>
      <c r="G74" s="23"/>
      <c r="H74" s="24"/>
    </row>
    <row r="75">
      <c r="A75" s="5"/>
      <c r="B75" s="5"/>
      <c r="C75" s="5"/>
      <c r="D75" s="14"/>
      <c r="E75" s="21" t="str">
        <f>IFERROR(IF($A75="",,IF($I75="",Translation!$A$2,IF($L75="",Translation!$A$3,IF($N75&lt;&gt;$B75,Translation!$A$4,IF(IFERROR($F75,)="",Translation!$A$5,IF($H75&gt;TIME(0,5,0),Translation!$A$6,IF($M75,Translation!$A$7,$K75))))))),Translation!$A$7)</f>
        <v/>
      </c>
      <c r="F75" s="22"/>
      <c r="G75" s="23"/>
      <c r="H75" s="24"/>
    </row>
    <row r="76">
      <c r="A76" s="5"/>
      <c r="B76" s="5"/>
      <c r="C76" s="5"/>
      <c r="D76" s="14"/>
      <c r="E76" s="21" t="str">
        <f>IFERROR(IF($A76="",,IF($I76="",Translation!$A$2,IF($L76="",Translation!$A$3,IF($N76&lt;&gt;$B76,Translation!$A$4,IF(IFERROR($F76,)="",Translation!$A$5,IF($H76&gt;TIME(0,5,0),Translation!$A$6,IF($M76,Translation!$A$7,$K76))))))),Translation!$A$7)</f>
        <v/>
      </c>
      <c r="F76" s="22"/>
      <c r="G76" s="23"/>
      <c r="H76" s="24"/>
    </row>
    <row r="77">
      <c r="A77" s="5"/>
      <c r="B77" s="5"/>
      <c r="C77" s="5"/>
      <c r="D77" s="14"/>
      <c r="E77" s="21" t="str">
        <f>IFERROR(IF($A77="",,IF($I77="",Translation!$A$2,IF($L77="",Translation!$A$3,IF($N77&lt;&gt;$B77,Translation!$A$4,IF(IFERROR($F77,)="",Translation!$A$5,IF($H77&gt;TIME(0,5,0),Translation!$A$6,IF($M77,Translation!$A$7,$K77))))))),Translation!$A$7)</f>
        <v/>
      </c>
      <c r="F77" s="22"/>
      <c r="G77" s="23"/>
      <c r="H77" s="24"/>
    </row>
    <row r="78">
      <c r="A78" s="5"/>
      <c r="B78" s="5"/>
      <c r="C78" s="5"/>
      <c r="D78" s="14"/>
      <c r="E78" s="21" t="str">
        <f>IFERROR(IF($A78="",,IF($I78="",Translation!$A$2,IF($L78="",Translation!$A$3,IF($N78&lt;&gt;$B78,Translation!$A$4,IF(IFERROR($F78,)="",Translation!$A$5,IF($H78&gt;TIME(0,5,0),Translation!$A$6,IF($M78,Translation!$A$7,$K78))))))),Translation!$A$7)</f>
        <v/>
      </c>
      <c r="F78" s="22"/>
      <c r="G78" s="23"/>
      <c r="H78" s="24"/>
    </row>
    <row r="79">
      <c r="A79" s="5"/>
      <c r="B79" s="5"/>
      <c r="C79" s="5"/>
      <c r="D79" s="14"/>
      <c r="E79" s="21" t="str">
        <f>IFERROR(IF($A79="",,IF($I79="",Translation!$A$2,IF($L79="",Translation!$A$3,IF($N79&lt;&gt;$B79,Translation!$A$4,IF(IFERROR($F79,)="",Translation!$A$5,IF($H79&gt;TIME(0,5,0),Translation!$A$6,IF($M79,Translation!$A$7,$K79))))))),Translation!$A$7)</f>
        <v/>
      </c>
      <c r="F79" s="22"/>
      <c r="G79" s="23"/>
      <c r="H79" s="24"/>
    </row>
    <row r="80">
      <c r="A80" s="5"/>
      <c r="B80" s="5"/>
      <c r="C80" s="5"/>
      <c r="D80" s="14"/>
      <c r="E80" s="21" t="str">
        <f>IFERROR(IF($A80="",,IF($I80="",Translation!$A$2,IF($L80="",Translation!$A$3,IF($N80&lt;&gt;$B80,Translation!$A$4,IF(IFERROR($F80,)="",Translation!$A$5,IF($H80&gt;TIME(0,5,0),Translation!$A$6,IF($M80,Translation!$A$7,$K80))))))),Translation!$A$7)</f>
        <v/>
      </c>
      <c r="F80" s="22"/>
      <c r="G80" s="23"/>
      <c r="H80" s="24"/>
    </row>
    <row r="81">
      <c r="A81" s="5"/>
      <c r="B81" s="5"/>
      <c r="C81" s="5"/>
      <c r="D81" s="14"/>
      <c r="E81" s="21" t="str">
        <f>IFERROR(IF($A81="",,IF($I81="",Translation!$A$2,IF($L81="",Translation!$A$3,IF($N81&lt;&gt;$B81,Translation!$A$4,IF(IFERROR($F81,)="",Translation!$A$5,IF($H81&gt;TIME(0,5,0),Translation!$A$6,IF($M81,Translation!$A$7,$K81))))))),Translation!$A$7)</f>
        <v/>
      </c>
      <c r="F81" s="22"/>
      <c r="G81" s="23"/>
      <c r="H81" s="24"/>
    </row>
    <row r="82">
      <c r="A82" s="5"/>
      <c r="B82" s="5"/>
      <c r="C82" s="5"/>
      <c r="D82" s="14"/>
      <c r="E82" s="21" t="str">
        <f>IFERROR(IF($A82="",,IF($I82="",Translation!$A$2,IF($L82="",Translation!$A$3,IF($N82&lt;&gt;$B82,Translation!$A$4,IF(IFERROR($F82,)="",Translation!$A$5,IF($H82&gt;TIME(0,5,0),Translation!$A$6,IF($M82,Translation!$A$7,$K82))))))),Translation!$A$7)</f>
        <v/>
      </c>
      <c r="F82" s="22"/>
      <c r="G82" s="23"/>
      <c r="H82" s="24"/>
    </row>
    <row r="83">
      <c r="A83" s="5"/>
      <c r="B83" s="5"/>
      <c r="C83" s="5"/>
      <c r="D83" s="14"/>
      <c r="E83" s="21" t="str">
        <f>IFERROR(IF($A83="",,IF($I83="",Translation!$A$2,IF($L83="",Translation!$A$3,IF($N83&lt;&gt;$B83,Translation!$A$4,IF(IFERROR($F83,)="",Translation!$A$5,IF($H83&gt;TIME(0,5,0),Translation!$A$6,IF($M83,Translation!$A$7,$K83))))))),Translation!$A$7)</f>
        <v/>
      </c>
      <c r="F83" s="22"/>
      <c r="G83" s="23"/>
      <c r="H83" s="24"/>
    </row>
    <row r="84">
      <c r="A84" s="5"/>
      <c r="B84" s="5"/>
      <c r="C84" s="5"/>
      <c r="D84" s="14"/>
      <c r="E84" s="21" t="str">
        <f>IFERROR(IF($A84="",,IF($I84="",Translation!$A$2,IF($L84="",Translation!$A$3,IF($N84&lt;&gt;$B84,Translation!$A$4,IF(IFERROR($F84,)="",Translation!$A$5,IF($H84&gt;TIME(0,5,0),Translation!$A$6,IF($M84,Translation!$A$7,$K84))))))),Translation!$A$7)</f>
        <v/>
      </c>
      <c r="F84" s="22"/>
      <c r="G84" s="23"/>
      <c r="H84" s="24"/>
    </row>
    <row r="85">
      <c r="A85" s="5"/>
      <c r="B85" s="5"/>
      <c r="C85" s="5"/>
      <c r="D85" s="14"/>
      <c r="E85" s="21" t="str">
        <f>IFERROR(IF($A85="",,IF($I85="",Translation!$A$2,IF($L85="",Translation!$A$3,IF($N85&lt;&gt;$B85,Translation!$A$4,IF(IFERROR($F85,)="",Translation!$A$5,IF($H85&gt;TIME(0,5,0),Translation!$A$6,IF($M85,Translation!$A$7,$K85))))))),Translation!$A$7)</f>
        <v/>
      </c>
      <c r="F85" s="22"/>
      <c r="G85" s="23"/>
      <c r="H85" s="24"/>
    </row>
    <row r="86">
      <c r="A86" s="5"/>
      <c r="B86" s="5"/>
      <c r="C86" s="5"/>
      <c r="D86" s="14"/>
      <c r="E86" s="21" t="str">
        <f>IFERROR(IF($A86="",,IF($I86="",Translation!$A$2,IF($L86="",Translation!$A$3,IF($N86&lt;&gt;$B86,Translation!$A$4,IF(IFERROR($F86,)="",Translation!$A$5,IF($H86&gt;TIME(0,5,0),Translation!$A$6,IF($M86,Translation!$A$7,$K86))))))),Translation!$A$7)</f>
        <v/>
      </c>
      <c r="F86" s="22"/>
      <c r="G86" s="23"/>
      <c r="H86" s="24"/>
    </row>
    <row r="87">
      <c r="A87" s="5"/>
      <c r="B87" s="5"/>
      <c r="C87" s="5"/>
      <c r="D87" s="14"/>
      <c r="E87" s="21" t="str">
        <f>IFERROR(IF($A87="",,IF($I87="",Translation!$A$2,IF($L87="",Translation!$A$3,IF($N87&lt;&gt;$B87,Translation!$A$4,IF(IFERROR($F87,)="",Translation!$A$5,IF($H87&gt;TIME(0,5,0),Translation!$A$6,IF($M87,Translation!$A$7,$K87))))))),Translation!$A$7)</f>
        <v/>
      </c>
      <c r="F87" s="22"/>
      <c r="G87" s="23"/>
      <c r="H87" s="24"/>
    </row>
    <row r="88">
      <c r="A88" s="5"/>
      <c r="B88" s="5"/>
      <c r="C88" s="5"/>
      <c r="D88" s="14"/>
      <c r="E88" s="21" t="str">
        <f>IFERROR(IF($A88="",,IF($I88="",Translation!$A$2,IF($L88="",Translation!$A$3,IF($N88&lt;&gt;$B88,Translation!$A$4,IF(IFERROR($F88,)="",Translation!$A$5,IF($H88&gt;TIME(0,5,0),Translation!$A$6,IF($M88,Translation!$A$7,$K88))))))),Translation!$A$7)</f>
        <v/>
      </c>
      <c r="F88" s="22"/>
      <c r="G88" s="23"/>
      <c r="H88" s="24"/>
    </row>
    <row r="89">
      <c r="A89" s="5"/>
      <c r="B89" s="5"/>
      <c r="C89" s="5"/>
      <c r="D89" s="14"/>
      <c r="E89" s="21" t="str">
        <f>IFERROR(IF($A89="",,IF($I89="",Translation!$A$2,IF($L89="",Translation!$A$3,IF($N89&lt;&gt;$B89,Translation!$A$4,IF(IFERROR($F89,)="",Translation!$A$5,IF($H89&gt;TIME(0,5,0),Translation!$A$6,IF($M89,Translation!$A$7,$K89))))))),Translation!$A$7)</f>
        <v/>
      </c>
      <c r="F89" s="22"/>
      <c r="G89" s="23"/>
      <c r="H89" s="24"/>
    </row>
    <row r="90">
      <c r="A90" s="5"/>
      <c r="B90" s="5"/>
      <c r="C90" s="5"/>
      <c r="D90" s="14"/>
      <c r="E90" s="21" t="str">
        <f>IFERROR(IF($A90="",,IF($I90="",Translation!$A$2,IF($L90="",Translation!$A$3,IF($N90&lt;&gt;$B90,Translation!$A$4,IF(IFERROR($F90,)="",Translation!$A$5,IF($H90&gt;TIME(0,5,0),Translation!$A$6,IF($M90,Translation!$A$7,$K90))))))),Translation!$A$7)</f>
        <v/>
      </c>
      <c r="F90" s="22"/>
      <c r="G90" s="23"/>
      <c r="H90" s="24"/>
    </row>
    <row r="91">
      <c r="A91" s="5"/>
      <c r="B91" s="5"/>
      <c r="C91" s="5"/>
      <c r="D91" s="14"/>
      <c r="E91" s="21" t="str">
        <f>IFERROR(IF($A91="",,IF($I91="",Translation!$A$2,IF($L91="",Translation!$A$3,IF($N91&lt;&gt;$B91,Translation!$A$4,IF(IFERROR($F91,)="",Translation!$A$5,IF($H91&gt;TIME(0,5,0),Translation!$A$6,IF($M91,Translation!$A$7,$K91))))))),Translation!$A$7)</f>
        <v/>
      </c>
      <c r="F91" s="22"/>
      <c r="G91" s="23"/>
      <c r="H91" s="24"/>
    </row>
    <row r="92">
      <c r="A92" s="5"/>
      <c r="B92" s="5"/>
      <c r="C92" s="5"/>
      <c r="D92" s="14"/>
      <c r="E92" s="21" t="str">
        <f>IFERROR(IF($A92="",,IF($I92="",Translation!$A$2,IF($L92="",Translation!$A$3,IF($N92&lt;&gt;$B92,Translation!$A$4,IF(IFERROR($F92,)="",Translation!$A$5,IF($H92&gt;TIME(0,5,0),Translation!$A$6,IF($M92,Translation!$A$7,$K92))))))),Translation!$A$7)</f>
        <v/>
      </c>
      <c r="F92" s="22"/>
      <c r="G92" s="23"/>
      <c r="H92" s="24"/>
    </row>
    <row r="93">
      <c r="A93" s="5"/>
      <c r="B93" s="5"/>
      <c r="C93" s="5"/>
      <c r="D93" s="14"/>
      <c r="E93" s="21" t="str">
        <f>IFERROR(IF($A93="",,IF($I93="",Translation!$A$2,IF($L93="",Translation!$A$3,IF($N93&lt;&gt;$B93,Translation!$A$4,IF(IFERROR($F93,)="",Translation!$A$5,IF($H93&gt;TIME(0,5,0),Translation!$A$6,IF($M93,Translation!$A$7,$K93))))))),Translation!$A$7)</f>
        <v/>
      </c>
      <c r="F93" s="22"/>
      <c r="G93" s="23"/>
      <c r="H93" s="24"/>
    </row>
    <row r="94">
      <c r="A94" s="5"/>
      <c r="B94" s="5"/>
      <c r="C94" s="5"/>
      <c r="D94" s="14"/>
      <c r="E94" s="21" t="str">
        <f>IFERROR(IF($A94="",,IF($I94="",Translation!$A$2,IF($L94="",Translation!$A$3,IF($N94&lt;&gt;$B94,Translation!$A$4,IF(IFERROR($F94,)="",Translation!$A$5,IF($H94&gt;TIME(0,5,0),Translation!$A$6,IF($M94,Translation!$A$7,$K94))))))),Translation!$A$7)</f>
        <v/>
      </c>
      <c r="F94" s="22"/>
      <c r="G94" s="23"/>
      <c r="H94" s="24"/>
    </row>
    <row r="95">
      <c r="A95" s="5"/>
      <c r="B95" s="5"/>
      <c r="C95" s="5"/>
      <c r="D95" s="14"/>
      <c r="E95" s="21" t="str">
        <f>IFERROR(IF($A95="",,IF($I95="",Translation!$A$2,IF($L95="",Translation!$A$3,IF($N95&lt;&gt;$B95,Translation!$A$4,IF(IFERROR($F95,)="",Translation!$A$5,IF($H95&gt;TIME(0,5,0),Translation!$A$6,IF($M95,Translation!$A$7,$K95))))))),Translation!$A$7)</f>
        <v/>
      </c>
      <c r="F95" s="22"/>
      <c r="G95" s="23"/>
      <c r="H95" s="24"/>
    </row>
    <row r="96">
      <c r="A96" s="5"/>
      <c r="B96" s="5"/>
      <c r="C96" s="5"/>
      <c r="D96" s="14"/>
      <c r="E96" s="21" t="str">
        <f>IFERROR(IF($A96="",,IF($I96="",Translation!$A$2,IF($L96="",Translation!$A$3,IF($N96&lt;&gt;$B96,Translation!$A$4,IF(IFERROR($F96,)="",Translation!$A$5,IF($H96&gt;TIME(0,5,0),Translation!$A$6,IF($M96,Translation!$A$7,$K96))))))),Translation!$A$7)</f>
        <v/>
      </c>
      <c r="F96" s="22"/>
      <c r="G96" s="23"/>
      <c r="H96" s="24"/>
    </row>
    <row r="97">
      <c r="A97" s="5"/>
      <c r="B97" s="5"/>
      <c r="C97" s="5"/>
      <c r="D97" s="14"/>
      <c r="E97" s="21" t="str">
        <f>IFERROR(IF($A97="",,IF($I97="",Translation!$A$2,IF($L97="",Translation!$A$3,IF($N97&lt;&gt;$B97,Translation!$A$4,IF(IFERROR($F97,)="",Translation!$A$5,IF($H97&gt;TIME(0,5,0),Translation!$A$6,IF($M97,Translation!$A$7,$K97))))))),Translation!$A$7)</f>
        <v/>
      </c>
      <c r="F97" s="22"/>
      <c r="G97" s="23"/>
      <c r="H97" s="24"/>
    </row>
    <row r="98">
      <c r="A98" s="5"/>
      <c r="B98" s="5"/>
      <c r="C98" s="5"/>
      <c r="D98" s="14"/>
      <c r="E98" s="21" t="str">
        <f>IFERROR(IF($A98="",,IF($I98="",Translation!$A$2,IF($L98="",Translation!$A$3,IF($N98&lt;&gt;$B98,Translation!$A$4,IF(IFERROR($F98,)="",Translation!$A$5,IF($H98&gt;TIME(0,5,0),Translation!$A$6,IF($M98,Translation!$A$7,$K98))))))),Translation!$A$7)</f>
        <v/>
      </c>
      <c r="F98" s="22"/>
      <c r="G98" s="23"/>
      <c r="H98" s="24"/>
    </row>
    <row r="99">
      <c r="A99" s="5"/>
      <c r="B99" s="5"/>
      <c r="C99" s="5"/>
      <c r="D99" s="14"/>
      <c r="E99" s="21" t="str">
        <f>IFERROR(IF($A99="",,IF($I99="",Translation!$A$2,IF($L99="",Translation!$A$3,IF($N99&lt;&gt;$B99,Translation!$A$4,IF(IFERROR($F99,)="",Translation!$A$5,IF($H99&gt;TIME(0,5,0),Translation!$A$6,IF($M99,Translation!$A$7,$K99))))))),Translation!$A$7)</f>
        <v/>
      </c>
      <c r="F99" s="22"/>
      <c r="G99" s="23"/>
      <c r="H99" s="24"/>
    </row>
    <row r="100">
      <c r="D100" s="14"/>
      <c r="E100" s="21" t="str">
        <f>IFERROR(IF($A100="",,IF($I100="",Translation!$A$2,IF($L100="",Translation!$A$3,IF($N100&lt;&gt;$B100,Translation!$A$4,IF(IFERROR($F100,)="",Translation!$A$5,IF($H100&gt;TIME(0,5,0),Translation!$A$6,IF($M100,Translation!$A$7,$K100))))))),Translation!$A$7)</f>
        <v/>
      </c>
      <c r="F100" s="22"/>
      <c r="G100" s="23"/>
      <c r="H100" s="24"/>
    </row>
    <row r="101">
      <c r="D101" s="14"/>
      <c r="E101" s="21" t="str">
        <f>IFERROR(IF($A101="",,IF($I101="",Translation!$A$2,IF($L101="",Translation!$A$3,IF($N101&lt;&gt;$B101,Translation!$A$4,IF(IFERROR($F101,)="",Translation!$A$5,IF($H101&gt;TIME(0,5,0),Translation!$A$6,IF($M101,Translation!$A$7,$K101))))))),Translation!$A$7)</f>
        <v/>
      </c>
      <c r="F101" s="22"/>
      <c r="G101" s="23"/>
      <c r="H101" s="24"/>
    </row>
    <row r="102">
      <c r="D102" s="14"/>
      <c r="E102" s="21" t="str">
        <f>IFERROR(IF($A102="",,IF($I102="",Translation!$A$2,IF($L102="",Translation!$A$3,IF($N102&lt;&gt;$B102,Translation!$A$4,IF(IFERROR($F102,)="",Translation!$A$5,IF($H102&gt;TIME(0,5,0),Translation!$A$6,IF($M102,Translation!$A$7,$K102))))))),Translation!$A$7)</f>
        <v/>
      </c>
      <c r="F102" s="22"/>
      <c r="G102" s="23"/>
      <c r="H102" s="24"/>
    </row>
    <row r="103">
      <c r="D103" s="14"/>
      <c r="E103" s="21" t="str">
        <f>IFERROR(IF($A103="",,IF($I103="",Translation!$A$2,IF($L103="",Translation!$A$3,IF($N103&lt;&gt;$B103,Translation!$A$4,IF(IFERROR($F103,)="",Translation!$A$5,IF($H103&gt;TIME(0,5,0),Translation!$A$6,IF($M103,Translation!$A$7,$K103))))))),Translation!$A$7)</f>
        <v/>
      </c>
      <c r="F103" s="22"/>
      <c r="G103" s="23"/>
      <c r="H103" s="24"/>
    </row>
    <row r="104">
      <c r="D104" s="14"/>
      <c r="E104" s="21" t="str">
        <f>IFERROR(IF($A104="",,IF($I104="",Translation!$A$2,IF($L104="",Translation!$A$3,IF($N104&lt;&gt;$B104,Translation!$A$4,IF(IFERROR($F104,)="",Translation!$A$5,IF($H104&gt;TIME(0,5,0),Translation!$A$6,IF($M104,Translation!$A$7,$K104))))))),Translation!$A$7)</f>
        <v/>
      </c>
      <c r="F104" s="22"/>
      <c r="G104" s="23"/>
      <c r="H104" s="24"/>
    </row>
    <row r="105">
      <c r="D105" s="14"/>
      <c r="E105" s="21" t="str">
        <f>IFERROR(IF($A105="",,IF($I105="",Translation!$A$2,IF($L105="",Translation!$A$3,IF($N105&lt;&gt;$B105,Translation!$A$4,IF(IFERROR($F105,)="",Translation!$A$5,IF($H105&gt;TIME(0,5,0),Translation!$A$6,IF($M105,Translation!$A$7,$K105))))))),Translation!$A$7)</f>
        <v/>
      </c>
      <c r="F105" s="22"/>
      <c r="G105" s="23"/>
      <c r="H105" s="24"/>
    </row>
    <row r="106">
      <c r="D106" s="14"/>
      <c r="E106" s="21" t="str">
        <f>IFERROR(IF($A106="",,IF($I106="",Translation!$A$2,IF($L106="",Translation!$A$3,IF($N106&lt;&gt;$B106,Translation!$A$4,IF(IFERROR($F106,)="",Translation!$A$5,IF($H106&gt;TIME(0,5,0),Translation!$A$6,IF($M106,Translation!$A$7,$K106))))))),Translation!$A$7)</f>
        <v/>
      </c>
      <c r="F106" s="22"/>
      <c r="G106" s="23"/>
      <c r="H106" s="24"/>
    </row>
    <row r="107">
      <c r="D107" s="14"/>
      <c r="E107" s="21" t="str">
        <f>IFERROR(IF($A107="",,IF($I107="",Translation!$A$2,IF($L107="",Translation!$A$3,IF($N107&lt;&gt;$B107,Translation!$A$4,IF(IFERROR($F107,)="",Translation!$A$5,IF($H107&gt;TIME(0,5,0),Translation!$A$6,IF($M107,Translation!$A$7,$K107))))))),Translation!$A$7)</f>
        <v/>
      </c>
      <c r="F107" s="22"/>
      <c r="G107" s="23"/>
      <c r="H107" s="24"/>
    </row>
    <row r="108">
      <c r="D108" s="14"/>
      <c r="E108" s="21" t="str">
        <f>IFERROR(IF($A108="",,IF($I108="",Translation!$A$2,IF($L108="",Translation!$A$3,IF($N108&lt;&gt;$B108,Translation!$A$4,IF(IFERROR($F108,)="",Translation!$A$5,IF($H108&gt;TIME(0,5,0),Translation!$A$6,IF($M108,Translation!$A$7,$K108))))))),Translation!$A$7)</f>
        <v/>
      </c>
      <c r="F108" s="22"/>
      <c r="G108" s="23"/>
      <c r="H108" s="24"/>
    </row>
    <row r="109">
      <c r="D109" s="14"/>
      <c r="E109" s="21" t="str">
        <f>IFERROR(IF($A109="",,IF($I109="",Translation!$A$2,IF($L109="",Translation!$A$3,IF($N109&lt;&gt;$B109,Translation!$A$4,IF(IFERROR($F109,)="",Translation!$A$5,IF($H109&gt;TIME(0,5,0),Translation!$A$6,IF($M109,Translation!$A$7,$K109))))))),Translation!$A$7)</f>
        <v/>
      </c>
      <c r="F109" s="22"/>
      <c r="G109" s="23"/>
      <c r="H109" s="24"/>
    </row>
    <row r="110">
      <c r="D110" s="14"/>
      <c r="E110" s="21" t="str">
        <f>IFERROR(IF($A110="",,IF($I110="",Translation!$A$2,IF($L110="",Translation!$A$3,IF($N110&lt;&gt;$B110,Translation!$A$4,IF(IFERROR($F110,)="",Translation!$A$5,IF($H110&gt;TIME(0,5,0),Translation!$A$6,IF($M110,Translation!$A$7,$K110))))))),Translation!$A$7)</f>
        <v/>
      </c>
      <c r="F110" s="22"/>
      <c r="G110" s="23"/>
      <c r="H110" s="24"/>
    </row>
    <row r="111">
      <c r="D111" s="14"/>
      <c r="E111" s="21" t="str">
        <f>IFERROR(IF($A111="",,IF($I111="",Translation!$A$2,IF($L111="",Translation!$A$3,IF($N111&lt;&gt;$B111,Translation!$A$4,IF(IFERROR($F111,)="",Translation!$A$5,IF($H111&gt;TIME(0,5,0),Translation!$A$6,IF($M111,Translation!$A$7,$K111))))))),Translation!$A$7)</f>
        <v/>
      </c>
      <c r="F111" s="22"/>
      <c r="G111" s="23"/>
      <c r="H111" s="24"/>
    </row>
    <row r="112">
      <c r="D112" s="14"/>
      <c r="E112" s="21" t="str">
        <f>IFERROR(IF($A112="",,IF($I112="",Translation!$A$2,IF($L112="",Translation!$A$3,IF($N112&lt;&gt;$B112,Translation!$A$4,IF(IFERROR($F112,)="",Translation!$A$5,IF($H112&gt;TIME(0,5,0),Translation!$A$6,IF($M112,Translation!$A$7,$K112))))))),Translation!$A$7)</f>
        <v/>
      </c>
      <c r="F112" s="22"/>
      <c r="G112" s="23"/>
      <c r="H112" s="24"/>
    </row>
    <row r="113">
      <c r="D113" s="14"/>
      <c r="E113" s="21" t="str">
        <f>IFERROR(IF($A113="",,IF($I113="",Translation!$A$2,IF($L113="",Translation!$A$3,IF($N113&lt;&gt;$B113,Translation!$A$4,IF(IFERROR($F113,)="",Translation!$A$5,IF($H113&gt;TIME(0,5,0),Translation!$A$6,IF($M113,Translation!$A$7,$K113))))))),Translation!$A$7)</f>
        <v/>
      </c>
      <c r="F113" s="22"/>
      <c r="G113" s="23"/>
      <c r="H113" s="24"/>
    </row>
    <row r="114">
      <c r="D114" s="14"/>
      <c r="E114" s="21" t="str">
        <f>IFERROR(IF($A114="",,IF($I114="",Translation!$A$2,IF($L114="",Translation!$A$3,IF($N114&lt;&gt;$B114,Translation!$A$4,IF(IFERROR($F114,)="",Translation!$A$5,IF($H114&gt;TIME(0,5,0),Translation!$A$6,IF($M114,Translation!$A$7,$K114))))))),Translation!$A$7)</f>
        <v/>
      </c>
      <c r="F114" s="22"/>
      <c r="G114" s="23"/>
      <c r="H114" s="24"/>
    </row>
    <row r="115">
      <c r="D115" s="14"/>
      <c r="E115" s="21" t="str">
        <f>IFERROR(IF($A115="",,IF($I115="",Translation!$A$2,IF($L115="",Translation!$A$3,IF($N115&lt;&gt;$B115,Translation!$A$4,IF(IFERROR($F115,)="",Translation!$A$5,IF($H115&gt;TIME(0,5,0),Translation!$A$6,IF($M115,Translation!$A$7,$K115))))))),Translation!$A$7)</f>
        <v/>
      </c>
      <c r="F115" s="22"/>
      <c r="G115" s="23"/>
      <c r="H115" s="24"/>
    </row>
    <row r="116">
      <c r="D116" s="14"/>
      <c r="E116" s="21" t="str">
        <f>IFERROR(IF($A116="",,IF($I116="",Translation!$A$2,IF($L116="",Translation!$A$3,IF($N116&lt;&gt;$B116,Translation!$A$4,IF(IFERROR($F116,)="",Translation!$A$5,IF($H116&gt;TIME(0,5,0),Translation!$A$6,IF($M116,Translation!$A$7,$K116))))))),Translation!$A$7)</f>
        <v/>
      </c>
      <c r="F116" s="22"/>
      <c r="G116" s="23"/>
      <c r="H116" s="24"/>
    </row>
    <row r="117">
      <c r="D117" s="14"/>
      <c r="E117" s="21" t="str">
        <f>IFERROR(IF($A117="",,IF($I117="",Translation!$A$2,IF($L117="",Translation!$A$3,IF($N117&lt;&gt;$B117,Translation!$A$4,IF(IFERROR($F117,)="",Translation!$A$5,IF($H117&gt;TIME(0,5,0),Translation!$A$6,IF($M117,Translation!$A$7,$K117))))))),Translation!$A$7)</f>
        <v/>
      </c>
      <c r="F117" s="22"/>
      <c r="G117" s="23"/>
      <c r="H117" s="24"/>
    </row>
    <row r="118">
      <c r="D118" s="14"/>
      <c r="E118" s="21" t="str">
        <f>IFERROR(IF($A118="",,IF($I118="",Translation!$A$2,IF($L118="",Translation!$A$3,IF($N118&lt;&gt;$B118,Translation!$A$4,IF(IFERROR($F118,)="",Translation!$A$5,IF($H118&gt;TIME(0,5,0),Translation!$A$6,IF($M118,Translation!$A$7,$K118))))))),Translation!$A$7)</f>
        <v/>
      </c>
      <c r="F118" s="22"/>
      <c r="G118" s="23"/>
      <c r="H118" s="24"/>
    </row>
    <row r="119">
      <c r="D119" s="14"/>
      <c r="E119" s="21" t="str">
        <f>IFERROR(IF($A119="",,IF($I119="",Translation!$A$2,IF($L119="",Translation!$A$3,IF($N119&lt;&gt;$B119,Translation!$A$4,IF(IFERROR($F119,)="",Translation!$A$5,IF($H119&gt;TIME(0,5,0),Translation!$A$6,IF($M119,Translation!$A$7,$K119))))))),Translation!$A$7)</f>
        <v/>
      </c>
      <c r="F119" s="22"/>
      <c r="G119" s="23"/>
      <c r="H119" s="24"/>
    </row>
    <row r="120">
      <c r="D120" s="14"/>
      <c r="E120" s="21" t="str">
        <f>IFERROR(IF($A120="",,IF($I120="",Translation!$A$2,IF($L120="",Translation!$A$3,IF($N120&lt;&gt;$B120,Translation!$A$4,IF(IFERROR($F120,)="",Translation!$A$5,IF($H120&gt;TIME(0,5,0),Translation!$A$6,IF($M120,Translation!$A$7,$K120))))))),Translation!$A$7)</f>
        <v/>
      </c>
      <c r="F120" s="22"/>
      <c r="G120" s="23"/>
      <c r="H120" s="24"/>
    </row>
    <row r="121">
      <c r="D121" s="14"/>
      <c r="E121" s="21" t="str">
        <f>IFERROR(IF($A121="",,IF($I121="",Translation!$A$2,IF($L121="",Translation!$A$3,IF($N121&lt;&gt;$B121,Translation!$A$4,IF(IFERROR($F121,)="",Translation!$A$5,IF($H121&gt;TIME(0,5,0),Translation!$A$6,IF($M121,Translation!$A$7,$K121))))))),Translation!$A$7)</f>
        <v/>
      </c>
      <c r="F121" s="22"/>
      <c r="G121" s="23"/>
      <c r="H121" s="24"/>
    </row>
    <row r="122">
      <c r="D122" s="14"/>
      <c r="E122" s="21" t="str">
        <f>IFERROR(IF($A122="",,IF($I122="",Translation!$A$2,IF($L122="",Translation!$A$3,IF($N122&lt;&gt;$B122,Translation!$A$4,IF(IFERROR($F122,)="",Translation!$A$5,IF($H122&gt;TIME(0,5,0),Translation!$A$6,IF($M122,Translation!$A$7,$K122))))))),Translation!$A$7)</f>
        <v/>
      </c>
      <c r="F122" s="22"/>
      <c r="G122" s="23"/>
      <c r="H122" s="24"/>
    </row>
    <row r="123">
      <c r="D123" s="14"/>
      <c r="E123" s="21" t="str">
        <f>IFERROR(IF($A123="",,IF($I123="",Translation!$A$2,IF($L123="",Translation!$A$3,IF($N123&lt;&gt;$B123,Translation!$A$4,IF(IFERROR($F123,)="",Translation!$A$5,IF($H123&gt;TIME(0,5,0),Translation!$A$6,IF($M123,Translation!$A$7,$K123))))))),Translation!$A$7)</f>
        <v/>
      </c>
      <c r="F123" s="22"/>
      <c r="G123" s="23"/>
      <c r="H123" s="24"/>
    </row>
    <row r="124">
      <c r="D124" s="14"/>
      <c r="E124" s="21" t="str">
        <f>IFERROR(IF($A124="",,IF($I124="",Translation!$A$2,IF($L124="",Translation!$A$3,IF($N124&lt;&gt;$B124,Translation!$A$4,IF(IFERROR($F124,)="",Translation!$A$5,IF($H124&gt;TIME(0,5,0),Translation!$A$6,IF($M124,Translation!$A$7,$K124))))))),Translation!$A$7)</f>
        <v/>
      </c>
      <c r="F124" s="22"/>
      <c r="G124" s="23"/>
      <c r="H124" s="24"/>
    </row>
    <row r="125">
      <c r="D125" s="14"/>
      <c r="E125" s="21" t="str">
        <f>IFERROR(IF($A125="",,IF($I125="",Translation!$A$2,IF($L125="",Translation!$A$3,IF($N125&lt;&gt;$B125,Translation!$A$4,IF(IFERROR($F125,)="",Translation!$A$5,IF($H125&gt;TIME(0,5,0),Translation!$A$6,IF($M125,Translation!$A$7,$K125))))))),Translation!$A$7)</f>
        <v/>
      </c>
      <c r="F125" s="22"/>
      <c r="G125" s="23"/>
      <c r="H125" s="24"/>
    </row>
    <row r="126">
      <c r="D126" s="14"/>
      <c r="E126" s="21" t="str">
        <f>IFERROR(IF($A126="",,IF($I126="",Translation!$A$2,IF($L126="",Translation!$A$3,IF($N126&lt;&gt;$B126,Translation!$A$4,IF(IFERROR($F126,)="",Translation!$A$5,IF($H126&gt;TIME(0,5,0),Translation!$A$6,IF($M126,Translation!$A$7,$K126))))))),Translation!$A$7)</f>
        <v/>
      </c>
      <c r="F126" s="22"/>
      <c r="G126" s="23"/>
      <c r="H126" s="24"/>
    </row>
    <row r="127">
      <c r="D127" s="14"/>
      <c r="E127" s="21" t="str">
        <f>IFERROR(IF($A127="",,IF($I127="",Translation!$A$2,IF($L127="",Translation!$A$3,IF($N127&lt;&gt;$B127,Translation!$A$4,IF(IFERROR($F127,)="",Translation!$A$5,IF($H127&gt;TIME(0,5,0),Translation!$A$6,IF($M127,Translation!$A$7,$K127))))))),Translation!$A$7)</f>
        <v/>
      </c>
      <c r="F127" s="22"/>
      <c r="G127" s="23"/>
      <c r="H127" s="24"/>
    </row>
    <row r="128">
      <c r="D128" s="14"/>
      <c r="E128" s="21" t="str">
        <f>IFERROR(IF($A128="",,IF($I128="",Translation!$A$2,IF($L128="",Translation!$A$3,IF($N128&lt;&gt;$B128,Translation!$A$4,IF(IFERROR($F128,)="",Translation!$A$5,IF($H128&gt;TIME(0,5,0),Translation!$A$6,IF($M128,Translation!$A$7,$K128))))))),Translation!$A$7)</f>
        <v/>
      </c>
      <c r="F128" s="22"/>
      <c r="G128" s="23"/>
      <c r="H128" s="24"/>
    </row>
    <row r="129">
      <c r="D129" s="14"/>
      <c r="E129" s="21" t="str">
        <f>IFERROR(IF($A129="",,IF($I129="",Translation!$A$2,IF($L129="",Translation!$A$3,IF($N129&lt;&gt;$B129,Translation!$A$4,IF(IFERROR($F129,)="",Translation!$A$5,IF($H129&gt;TIME(0,5,0),Translation!$A$6,IF($M129,Translation!$A$7,$K129))))))),Translation!$A$7)</f>
        <v/>
      </c>
      <c r="F129" s="22"/>
      <c r="G129" s="23"/>
      <c r="H129" s="24"/>
    </row>
    <row r="130">
      <c r="D130" s="14"/>
      <c r="E130" s="21" t="str">
        <f>IFERROR(IF($A130="",,IF($I130="",Translation!$A$2,IF($L130="",Translation!$A$3,IF($N130&lt;&gt;$B130,Translation!$A$4,IF(IFERROR($F130,)="",Translation!$A$5,IF($H130&gt;TIME(0,5,0),Translation!$A$6,IF($M130,Translation!$A$7,$K130))))))),Translation!$A$7)</f>
        <v/>
      </c>
      <c r="F130" s="22"/>
      <c r="G130" s="23"/>
      <c r="H130" s="24"/>
    </row>
    <row r="131">
      <c r="D131" s="14"/>
      <c r="E131" s="21" t="str">
        <f>IFERROR(IF($A131="",,IF($I131="",Translation!$A$2,IF($L131="",Translation!$A$3,IF($N131&lt;&gt;$B131,Translation!$A$4,IF(IFERROR($F131,)="",Translation!$A$5,IF($H131&gt;TIME(0,5,0),Translation!$A$6,IF($M131,Translation!$A$7,$K131))))))),Translation!$A$7)</f>
        <v/>
      </c>
      <c r="F131" s="22"/>
      <c r="G131" s="23"/>
      <c r="H131" s="24"/>
    </row>
    <row r="132">
      <c r="D132" s="14"/>
      <c r="E132" s="21" t="str">
        <f>IFERROR(IF($A132="",,IF($I132="",Translation!$A$2,IF($L132="",Translation!$A$3,IF($N132&lt;&gt;$B132,Translation!$A$4,IF(IFERROR($F132,)="",Translation!$A$5,IF($H132&gt;TIME(0,5,0),Translation!$A$6,IF($M132,Translation!$A$7,$K132))))))),Translation!$A$7)</f>
        <v/>
      </c>
      <c r="F132" s="22"/>
      <c r="G132" s="23"/>
      <c r="H132" s="24"/>
    </row>
    <row r="133">
      <c r="D133" s="14"/>
      <c r="E133" s="21" t="str">
        <f>IFERROR(IF($A133="",,IF($I133="",Translation!$A$2,IF($L133="",Translation!$A$3,IF($N133&lt;&gt;$B133,Translation!$A$4,IF(IFERROR($F133,)="",Translation!$A$5,IF($H133&gt;TIME(0,5,0),Translation!$A$6,IF($M133,Translation!$A$7,$K133))))))),Translation!$A$7)</f>
        <v/>
      </c>
      <c r="F133" s="22"/>
      <c r="G133" s="23"/>
      <c r="H133" s="24"/>
    </row>
    <row r="134">
      <c r="D134" s="14"/>
      <c r="E134" s="21" t="str">
        <f>IFERROR(IF($A134="",,IF($I134="",Translation!$A$2,IF($L134="",Translation!$A$3,IF($N134&lt;&gt;$B134,Translation!$A$4,IF(IFERROR($F134,)="",Translation!$A$5,IF($H134&gt;TIME(0,5,0),Translation!$A$6,IF($M134,Translation!$A$7,$K134))))))),Translation!$A$7)</f>
        <v/>
      </c>
      <c r="F134" s="22"/>
      <c r="G134" s="23"/>
      <c r="H134" s="24"/>
    </row>
    <row r="135">
      <c r="D135" s="14"/>
      <c r="E135" s="21" t="str">
        <f>IFERROR(IF($A135="",,IF($I135="",Translation!$A$2,IF($L135="",Translation!$A$3,IF($N135&lt;&gt;$B135,Translation!$A$4,IF(IFERROR($F135,)="",Translation!$A$5,IF($H135&gt;TIME(0,5,0),Translation!$A$6,IF($M135,Translation!$A$7,$K135))))))),Translation!$A$7)</f>
        <v/>
      </c>
      <c r="F135" s="22"/>
      <c r="G135" s="23"/>
      <c r="H135" s="24"/>
    </row>
    <row r="136">
      <c r="D136" s="14"/>
      <c r="E136" s="21" t="str">
        <f>IFERROR(IF($A136="",,IF($I136="",Translation!$A$2,IF($L136="",Translation!$A$3,IF($N136&lt;&gt;$B136,Translation!$A$4,IF(IFERROR($F136,)="",Translation!$A$5,IF($H136&gt;TIME(0,5,0),Translation!$A$6,IF($M136,Translation!$A$7,$K136))))))),Translation!$A$7)</f>
        <v/>
      </c>
      <c r="F136" s="22"/>
      <c r="G136" s="23"/>
      <c r="H136" s="24"/>
    </row>
    <row r="137">
      <c r="D137" s="14"/>
      <c r="E137" s="21" t="str">
        <f>IFERROR(IF($A137="",,IF($I137="",Translation!$A$2,IF($L137="",Translation!$A$3,IF($N137&lt;&gt;$B137,Translation!$A$4,IF(IFERROR($F137,)="",Translation!$A$5,IF($H137&gt;TIME(0,5,0),Translation!$A$6,IF($M137,Translation!$A$7,$K137))))))),Translation!$A$7)</f>
        <v/>
      </c>
      <c r="F137" s="22"/>
      <c r="G137" s="23"/>
      <c r="H137" s="24"/>
    </row>
    <row r="138">
      <c r="D138" s="14"/>
      <c r="E138" s="21" t="str">
        <f>IFERROR(IF($A138="",,IF($I138="",Translation!$A$2,IF($L138="",Translation!$A$3,IF($N138&lt;&gt;$B138,Translation!$A$4,IF(IFERROR($F138,)="",Translation!$A$5,IF($H138&gt;TIME(0,5,0),Translation!$A$6,IF($M138,Translation!$A$7,$K138))))))),Translation!$A$7)</f>
        <v/>
      </c>
      <c r="F138" s="22"/>
      <c r="G138" s="23"/>
      <c r="H138" s="24"/>
    </row>
    <row r="139">
      <c r="D139" s="14"/>
      <c r="E139" s="21" t="str">
        <f>IFERROR(IF($A139="",,IF($I139="",Translation!$A$2,IF($L139="",Translation!$A$3,IF($N139&lt;&gt;$B139,Translation!$A$4,IF(IFERROR($F139,)="",Translation!$A$5,IF($H139&gt;TIME(0,5,0),Translation!$A$6,IF($M139,Translation!$A$7,$K139))))))),Translation!$A$7)</f>
        <v/>
      </c>
      <c r="F139" s="22"/>
      <c r="G139" s="23"/>
      <c r="H139" s="24"/>
    </row>
    <row r="140">
      <c r="D140" s="14"/>
      <c r="E140" s="21" t="str">
        <f>IFERROR(IF($A140="",,IF($I140="",Translation!$A$2,IF($L140="",Translation!$A$3,IF($N140&lt;&gt;$B140,Translation!$A$4,IF(IFERROR($F140,)="",Translation!$A$5,IF($H140&gt;TIME(0,5,0),Translation!$A$6,IF($M140,Translation!$A$7,$K140))))))),Translation!$A$7)</f>
        <v/>
      </c>
      <c r="F140" s="22"/>
      <c r="G140" s="23"/>
      <c r="H140" s="24"/>
    </row>
    <row r="141">
      <c r="D141" s="14"/>
      <c r="E141" s="21" t="str">
        <f>IFERROR(IF($A141="",,IF($I141="",Translation!$A$2,IF($L141="",Translation!$A$3,IF($N141&lt;&gt;$B141,Translation!$A$4,IF(IFERROR($F141,)="",Translation!$A$5,IF($H141&gt;TIME(0,5,0),Translation!$A$6,IF($M141,Translation!$A$7,$K141))))))),Translation!$A$7)</f>
        <v/>
      </c>
      <c r="F141" s="22"/>
      <c r="G141" s="23"/>
      <c r="H141" s="24"/>
    </row>
    <row r="142">
      <c r="D142" s="14"/>
      <c r="E142" s="21" t="str">
        <f>IFERROR(IF($A142="",,IF($I142="",Translation!$A$2,IF($L142="",Translation!$A$3,IF($N142&lt;&gt;$B142,Translation!$A$4,IF(IFERROR($F142,)="",Translation!$A$5,IF($H142&gt;TIME(0,5,0),Translation!$A$6,IF($M142,Translation!$A$7,$K142))))))),Translation!$A$7)</f>
        <v/>
      </c>
      <c r="F142" s="22"/>
      <c r="G142" s="23"/>
      <c r="H142" s="24"/>
    </row>
    <row r="143">
      <c r="D143" s="14"/>
      <c r="E143" s="21" t="str">
        <f>IFERROR(IF($A143="",,IF($I143="",Translation!$A$2,IF($L143="",Translation!$A$3,IF($N143&lt;&gt;$B143,Translation!$A$4,IF(IFERROR($F143,)="",Translation!$A$5,IF($H143&gt;TIME(0,5,0),Translation!$A$6,IF($M143,Translation!$A$7,$K143))))))),Translation!$A$7)</f>
        <v/>
      </c>
      <c r="F143" s="22"/>
      <c r="G143" s="23"/>
      <c r="H143" s="24"/>
    </row>
    <row r="144">
      <c r="D144" s="14"/>
      <c r="E144" s="21" t="str">
        <f>IFERROR(IF($A144="",,IF($I144="",Translation!$A$2,IF($L144="",Translation!$A$3,IF($N144&lt;&gt;$B144,Translation!$A$4,IF(IFERROR($F144,)="",Translation!$A$5,IF($H144&gt;TIME(0,5,0),Translation!$A$6,IF($M144,Translation!$A$7,$K144))))))),Translation!$A$7)</f>
        <v/>
      </c>
      <c r="F144" s="22"/>
      <c r="G144" s="23"/>
      <c r="H144" s="24"/>
    </row>
    <row r="145">
      <c r="D145" s="14"/>
      <c r="E145" s="21" t="str">
        <f>IFERROR(IF($A145="",,IF($I145="",Translation!$A$2,IF($L145="",Translation!$A$3,IF($N145&lt;&gt;$B145,Translation!$A$4,IF(IFERROR($F145,)="",Translation!$A$5,IF($H145&gt;TIME(0,5,0),Translation!$A$6,IF($M145,Translation!$A$7,$K145))))))),Translation!$A$7)</f>
        <v/>
      </c>
      <c r="F145" s="22"/>
      <c r="G145" s="23"/>
      <c r="H145" s="24"/>
    </row>
    <row r="146">
      <c r="D146" s="14"/>
      <c r="E146" s="21" t="str">
        <f>IFERROR(IF($A146="",,IF($I146="",Translation!$A$2,IF($L146="",Translation!$A$3,IF($N146&lt;&gt;$B146,Translation!$A$4,IF(IFERROR($F146,)="",Translation!$A$5,IF($H146&gt;TIME(0,5,0),Translation!$A$6,IF($M146,Translation!$A$7,$K146))))))),Translation!$A$7)</f>
        <v/>
      </c>
      <c r="F146" s="22"/>
      <c r="G146" s="23"/>
      <c r="H146" s="24"/>
    </row>
    <row r="147">
      <c r="D147" s="14"/>
      <c r="E147" s="21" t="str">
        <f>IFERROR(IF($A147="",,IF($I147="",Translation!$A$2,IF($L147="",Translation!$A$3,IF($N147&lt;&gt;$B147,Translation!$A$4,IF(IFERROR($F147,)="",Translation!$A$5,IF($H147&gt;TIME(0,5,0),Translation!$A$6,IF($M147,Translation!$A$7,$K147))))))),Translation!$A$7)</f>
        <v/>
      </c>
      <c r="F147" s="22"/>
      <c r="G147" s="23"/>
      <c r="H147" s="24"/>
    </row>
    <row r="148">
      <c r="D148" s="14"/>
      <c r="E148" s="21" t="str">
        <f>IFERROR(IF($A148="",,IF($I148="",Translation!$A$2,IF($L148="",Translation!$A$3,IF($N148&lt;&gt;$B148,Translation!$A$4,IF(IFERROR($F148,)="",Translation!$A$5,IF($H148&gt;TIME(0,5,0),Translation!$A$6,IF($M148,Translation!$A$7,$K148))))))),Translation!$A$7)</f>
        <v/>
      </c>
      <c r="F148" s="22"/>
      <c r="G148" s="23"/>
      <c r="H148" s="24"/>
    </row>
    <row r="149">
      <c r="D149" s="14"/>
      <c r="E149" s="21" t="str">
        <f>IFERROR(IF($A149="",,IF($I149="",Translation!$A$2,IF($L149="",Translation!$A$3,IF($N149&lt;&gt;$B149,Translation!$A$4,IF(IFERROR($F149,)="",Translation!$A$5,IF($H149&gt;TIME(0,5,0),Translation!$A$6,IF($M149,Translation!$A$7,$K149))))))),Translation!$A$7)</f>
        <v/>
      </c>
      <c r="F149" s="22"/>
      <c r="G149" s="23"/>
      <c r="H149" s="24"/>
    </row>
    <row r="150">
      <c r="D150" s="14"/>
      <c r="E150" s="21" t="str">
        <f>IFERROR(IF($A150="",,IF($I150="",Translation!$A$2,IF($L150="",Translation!$A$3,IF($N150&lt;&gt;$B150,Translation!$A$4,IF(IFERROR($F150,)="",Translation!$A$5,IF($H150&gt;TIME(0,5,0),Translation!$A$6,IF($M150,Translation!$A$7,$K150))))))),Translation!$A$7)</f>
        <v/>
      </c>
      <c r="F150" s="22"/>
      <c r="G150" s="23"/>
      <c r="H150" s="24"/>
    </row>
    <row r="151">
      <c r="D151" s="14"/>
      <c r="E151" s="21" t="str">
        <f>IFERROR(IF($A151="",,IF($I151="",Translation!$A$2,IF($L151="",Translation!$A$3,IF($N151&lt;&gt;$B151,Translation!$A$4,IF(IFERROR($F151,)="",Translation!$A$5,IF($H151&gt;TIME(0,5,0),Translation!$A$6,IF($M151,Translation!$A$7,$K151))))))),Translation!$A$7)</f>
        <v/>
      </c>
      <c r="F151" s="22"/>
      <c r="G151" s="23"/>
      <c r="H151" s="24"/>
    </row>
    <row r="152">
      <c r="D152" s="14"/>
      <c r="E152" s="21" t="str">
        <f>IFERROR(IF($A152="",,IF($I152="",Translation!$A$2,IF($L152="",Translation!$A$3,IF($N152&lt;&gt;$B152,Translation!$A$4,IF(IFERROR($F152,)="",Translation!$A$5,IF($H152&gt;TIME(0,5,0),Translation!$A$6,IF($M152,Translation!$A$7,$K152))))))),Translation!$A$7)</f>
        <v/>
      </c>
      <c r="F152" s="22"/>
      <c r="G152" s="23"/>
      <c r="H152" s="24"/>
    </row>
    <row r="153">
      <c r="D153" s="14"/>
      <c r="E153" s="21" t="str">
        <f>IFERROR(IF($A153="",,IF($I153="",Translation!$A$2,IF($L153="",Translation!$A$3,IF($N153&lt;&gt;$B153,Translation!$A$4,IF(IFERROR($F153,)="",Translation!$A$5,IF($H153&gt;TIME(0,5,0),Translation!$A$6,IF($M153,Translation!$A$7,$K153))))))),Translation!$A$7)</f>
        <v/>
      </c>
      <c r="F153" s="22"/>
      <c r="G153" s="23"/>
      <c r="H153" s="24"/>
    </row>
    <row r="154">
      <c r="D154" s="14"/>
      <c r="E154" s="21" t="str">
        <f>IFERROR(IF($A154="",,IF($I154="",Translation!$A$2,IF($L154="",Translation!$A$3,IF($N154&lt;&gt;$B154,Translation!$A$4,IF(IFERROR($F154,)="",Translation!$A$5,IF($H154&gt;TIME(0,5,0),Translation!$A$6,IF($M154,Translation!$A$7,$K154))))))),Translation!$A$7)</f>
        <v/>
      </c>
      <c r="F154" s="22"/>
      <c r="G154" s="23"/>
      <c r="H154" s="24"/>
    </row>
    <row r="155">
      <c r="D155" s="14"/>
      <c r="E155" s="21" t="str">
        <f>IFERROR(IF($A155="",,IF($I155="",Translation!$A$2,IF($L155="",Translation!$A$3,IF($N155&lt;&gt;$B155,Translation!$A$4,IF(IFERROR($F155,)="",Translation!$A$5,IF($H155&gt;TIME(0,5,0),Translation!$A$6,IF($M155,Translation!$A$7,$K155))))))),Translation!$A$7)</f>
        <v/>
      </c>
      <c r="F155" s="22"/>
      <c r="G155" s="23"/>
      <c r="H155" s="24"/>
    </row>
    <row r="156">
      <c r="D156" s="14"/>
      <c r="E156" s="21" t="str">
        <f>IFERROR(IF($A156="",,IF($I156="",Translation!$A$2,IF($L156="",Translation!$A$3,IF($N156&lt;&gt;$B156,Translation!$A$4,IF(IFERROR($F156,)="",Translation!$A$5,IF($H156&gt;TIME(0,5,0),Translation!$A$6,IF($M156,Translation!$A$7,$K156))))))),Translation!$A$7)</f>
        <v/>
      </c>
      <c r="F156" s="22"/>
      <c r="G156" s="23"/>
      <c r="H156" s="24"/>
    </row>
    <row r="157">
      <c r="D157" s="14"/>
      <c r="E157" s="21" t="str">
        <f>IFERROR(IF($A157="",,IF($I157="",Translation!$A$2,IF($L157="",Translation!$A$3,IF($N157&lt;&gt;$B157,Translation!$A$4,IF(IFERROR($F157,)="",Translation!$A$5,IF($H157&gt;TIME(0,5,0),Translation!$A$6,IF($M157,Translation!$A$7,$K157))))))),Translation!$A$7)</f>
        <v/>
      </c>
      <c r="F157" s="22"/>
      <c r="G157" s="23"/>
      <c r="H157" s="24"/>
    </row>
    <row r="158">
      <c r="D158" s="14"/>
      <c r="E158" s="21" t="str">
        <f>IFERROR(IF($A158="",,IF($I158="",Translation!$A$2,IF($L158="",Translation!$A$3,IF($N158&lt;&gt;$B158,Translation!$A$4,IF(IFERROR($F158,)="",Translation!$A$5,IF($H158&gt;TIME(0,5,0),Translation!$A$6,IF($M158,Translation!$A$7,$K158))))))),Translation!$A$7)</f>
        <v/>
      </c>
      <c r="F158" s="22"/>
      <c r="G158" s="23"/>
      <c r="H158" s="24"/>
    </row>
    <row r="159">
      <c r="D159" s="14"/>
      <c r="E159" s="21" t="str">
        <f>IFERROR(IF($A159="",,IF($I159="",Translation!$A$2,IF($L159="",Translation!$A$3,IF($N159&lt;&gt;$B159,Translation!$A$4,IF(IFERROR($F159,)="",Translation!$A$5,IF($H159&gt;TIME(0,5,0),Translation!$A$6,IF($M159,Translation!$A$7,$K159))))))),Translation!$A$7)</f>
        <v/>
      </c>
      <c r="F159" s="22"/>
      <c r="G159" s="23"/>
      <c r="H159" s="24"/>
    </row>
    <row r="160">
      <c r="D160" s="14"/>
      <c r="E160" s="21" t="str">
        <f>IFERROR(IF($A160="",,IF($I160="",Translation!$A$2,IF($L160="",Translation!$A$3,IF($N160&lt;&gt;$B160,Translation!$A$4,IF(IFERROR($F160,)="",Translation!$A$5,IF($H160&gt;TIME(0,5,0),Translation!$A$6,IF($M160,Translation!$A$7,$K160))))))),Translation!$A$7)</f>
        <v/>
      </c>
      <c r="F160" s="22"/>
      <c r="G160" s="23"/>
      <c r="H160" s="24"/>
    </row>
    <row r="161">
      <c r="D161" s="14"/>
      <c r="E161" s="21" t="str">
        <f>IFERROR(IF($A161="",,IF($I161="",Translation!$A$2,IF($L161="",Translation!$A$3,IF($N161&lt;&gt;$B161,Translation!$A$4,IF(IFERROR($F161,)="",Translation!$A$5,IF($H161&gt;TIME(0,5,0),Translation!$A$6,IF($M161,Translation!$A$7,$K161))))))),Translation!$A$7)</f>
        <v/>
      </c>
      <c r="F161" s="22"/>
      <c r="G161" s="23"/>
      <c r="H161" s="24"/>
    </row>
    <row r="162">
      <c r="D162" s="14"/>
      <c r="E162" s="21" t="str">
        <f>IFERROR(IF($A162="",,IF($I162="",Translation!$A$2,IF($L162="",Translation!$A$3,IF($N162&lt;&gt;$B162,Translation!$A$4,IF(IFERROR($F162,)="",Translation!$A$5,IF($H162&gt;TIME(0,5,0),Translation!$A$6,IF($M162,Translation!$A$7,$K162))))))),Translation!$A$7)</f>
        <v/>
      </c>
      <c r="F162" s="22"/>
      <c r="G162" s="23"/>
      <c r="H162" s="24"/>
    </row>
    <row r="163">
      <c r="D163" s="14"/>
      <c r="E163" s="21" t="str">
        <f>IFERROR(IF($A163="",,IF($I163="",Translation!$A$2,IF($L163="",Translation!$A$3,IF($N163&lt;&gt;$B163,Translation!$A$4,IF(IFERROR($F163,)="",Translation!$A$5,IF($H163&gt;TIME(0,5,0),Translation!$A$6,IF($M163,Translation!$A$7,$K163))))))),Translation!$A$7)</f>
        <v/>
      </c>
      <c r="F163" s="22"/>
      <c r="G163" s="23"/>
      <c r="H163" s="24"/>
    </row>
    <row r="164">
      <c r="D164" s="14"/>
      <c r="E164" s="21" t="str">
        <f>IFERROR(IF($A164="",,IF($I164="",Translation!$A$2,IF($L164="",Translation!$A$3,IF($N164&lt;&gt;$B164,Translation!$A$4,IF(IFERROR($F164,)="",Translation!$A$5,IF($H164&gt;TIME(0,5,0),Translation!$A$6,IF($M164,Translation!$A$7,$K164))))))),Translation!$A$7)</f>
        <v/>
      </c>
      <c r="F164" s="22"/>
      <c r="G164" s="23"/>
      <c r="H164" s="24"/>
    </row>
    <row r="165">
      <c r="D165" s="14"/>
      <c r="E165" s="21" t="str">
        <f>IFERROR(IF($A165="",,IF($I165="",Translation!$A$2,IF($L165="",Translation!$A$3,IF($N165&lt;&gt;$B165,Translation!$A$4,IF(IFERROR($F165,)="",Translation!$A$5,IF($H165&gt;TIME(0,5,0),Translation!$A$6,IF($M165,Translation!$A$7,$K165))))))),Translation!$A$7)</f>
        <v/>
      </c>
      <c r="F165" s="22"/>
      <c r="G165" s="23"/>
      <c r="H165" s="24"/>
    </row>
    <row r="166">
      <c r="D166" s="14"/>
      <c r="E166" s="21" t="str">
        <f>IFERROR(IF($A166="",,IF($I166="",Translation!$A$2,IF($L166="",Translation!$A$3,IF($N166&lt;&gt;$B166,Translation!$A$4,IF(IFERROR($F166,)="",Translation!$A$5,IF($H166&gt;TIME(0,5,0),Translation!$A$6,IF($M166,Translation!$A$7,$K166))))))),Translation!$A$7)</f>
        <v/>
      </c>
      <c r="F166" s="22"/>
      <c r="G166" s="23"/>
      <c r="H166" s="24"/>
    </row>
    <row r="167">
      <c r="D167" s="14"/>
      <c r="E167" s="21" t="str">
        <f>IFERROR(IF($A167="",,IF($I167="",Translation!$A$2,IF($L167="",Translation!$A$3,IF($N167&lt;&gt;$B167,Translation!$A$4,IF(IFERROR($F167,)="",Translation!$A$5,IF($H167&gt;TIME(0,5,0),Translation!$A$6,IF($M167,Translation!$A$7,$K167))))))),Translation!$A$7)</f>
        <v/>
      </c>
      <c r="F167" s="22"/>
      <c r="G167" s="23"/>
      <c r="H167" s="24"/>
    </row>
    <row r="168">
      <c r="D168" s="14"/>
      <c r="E168" s="21" t="str">
        <f>IFERROR(IF($A168="",,IF($I168="",Translation!$A$2,IF($L168="",Translation!$A$3,IF($N168&lt;&gt;$B168,Translation!$A$4,IF(IFERROR($F168,)="",Translation!$A$5,IF($H168&gt;TIME(0,5,0),Translation!$A$6,IF($M168,Translation!$A$7,$K168))))))),Translation!$A$7)</f>
        <v/>
      </c>
      <c r="F168" s="22"/>
      <c r="G168" s="23"/>
      <c r="H168" s="24"/>
    </row>
    <row r="169">
      <c r="D169" s="14"/>
      <c r="E169" s="21" t="str">
        <f>IFERROR(IF($A169="",,IF($I169="",Translation!$A$2,IF($L169="",Translation!$A$3,IF($N169&lt;&gt;$B169,Translation!$A$4,IF(IFERROR($F169,)="",Translation!$A$5,IF($H169&gt;TIME(0,5,0),Translation!$A$6,IF($M169,Translation!$A$7,$K169))))))),Translation!$A$7)</f>
        <v/>
      </c>
      <c r="F169" s="22"/>
      <c r="G169" s="23"/>
      <c r="H169" s="24"/>
    </row>
    <row r="170">
      <c r="D170" s="14"/>
      <c r="E170" s="21" t="str">
        <f>IFERROR(IF($A170="",,IF($I170="",Translation!$A$2,IF($L170="",Translation!$A$3,IF($N170&lt;&gt;$B170,Translation!$A$4,IF(IFERROR($F170,)="",Translation!$A$5,IF($H170&gt;TIME(0,5,0),Translation!$A$6,IF($M170,Translation!$A$7,$K170))))))),Translation!$A$7)</f>
        <v/>
      </c>
      <c r="F170" s="22"/>
      <c r="G170" s="23"/>
      <c r="H170" s="24"/>
    </row>
    <row r="171">
      <c r="D171" s="14"/>
      <c r="E171" s="21" t="str">
        <f>IFERROR(IF($A171="",,IF($I171="",Translation!$A$2,IF($L171="",Translation!$A$3,IF($N171&lt;&gt;$B171,Translation!$A$4,IF(IFERROR($F171,)="",Translation!$A$5,IF($H171&gt;TIME(0,5,0),Translation!$A$6,IF($M171,Translation!$A$7,$K171))))))),Translation!$A$7)</f>
        <v/>
      </c>
      <c r="F171" s="22"/>
      <c r="G171" s="23"/>
      <c r="H171" s="24"/>
    </row>
    <row r="172">
      <c r="D172" s="14"/>
      <c r="E172" s="21" t="str">
        <f>IFERROR(IF($A172="",,IF($I172="",Translation!$A$2,IF($L172="",Translation!$A$3,IF($N172&lt;&gt;$B172,Translation!$A$4,IF(IFERROR($F172,)="",Translation!$A$5,IF($H172&gt;TIME(0,5,0),Translation!$A$6,IF($M172,Translation!$A$7,$K172))))))),Translation!$A$7)</f>
        <v/>
      </c>
      <c r="F172" s="22"/>
      <c r="G172" s="23"/>
      <c r="H172" s="24"/>
    </row>
    <row r="173">
      <c r="D173" s="14"/>
      <c r="E173" s="21" t="str">
        <f>IFERROR(IF($A173="",,IF($I173="",Translation!$A$2,IF($L173="",Translation!$A$3,IF($N173&lt;&gt;$B173,Translation!$A$4,IF(IFERROR($F173,)="",Translation!$A$5,IF($H173&gt;TIME(0,5,0),Translation!$A$6,IF($M173,Translation!$A$7,$K173))))))),Translation!$A$7)</f>
        <v/>
      </c>
      <c r="F173" s="22"/>
      <c r="G173" s="23"/>
      <c r="H173" s="24"/>
    </row>
    <row r="174">
      <c r="D174" s="14"/>
      <c r="E174" s="21" t="str">
        <f>IFERROR(IF($A174="",,IF($I174="",Translation!$A$2,IF($L174="",Translation!$A$3,IF($N174&lt;&gt;$B174,Translation!$A$4,IF(IFERROR($F174,)="",Translation!$A$5,IF($H174&gt;TIME(0,5,0),Translation!$A$6,IF($M174,Translation!$A$7,$K174))))))),Translation!$A$7)</f>
        <v/>
      </c>
      <c r="F174" s="22"/>
      <c r="G174" s="23"/>
      <c r="H174" s="24"/>
    </row>
    <row r="175">
      <c r="D175" s="14"/>
      <c r="E175" s="21" t="str">
        <f>IFERROR(IF($A175="",,IF($I175="",Translation!$A$2,IF($L175="",Translation!$A$3,IF($N175&lt;&gt;$B175,Translation!$A$4,IF(IFERROR($F175,)="",Translation!$A$5,IF($H175&gt;TIME(0,5,0),Translation!$A$6,IF($M175,Translation!$A$7,$K175))))))),Translation!$A$7)</f>
        <v/>
      </c>
      <c r="F175" s="22"/>
      <c r="G175" s="23"/>
      <c r="H175" s="24"/>
    </row>
    <row r="176">
      <c r="D176" s="14"/>
      <c r="E176" s="21" t="str">
        <f>IFERROR(IF($A176="",,IF($I176="",Translation!$A$2,IF($L176="",Translation!$A$3,IF($N176&lt;&gt;$B176,Translation!$A$4,IF(IFERROR($F176,)="",Translation!$A$5,IF($H176&gt;TIME(0,5,0),Translation!$A$6,IF($M176,Translation!$A$7,$K176))))))),Translation!$A$7)</f>
        <v/>
      </c>
      <c r="F176" s="22"/>
      <c r="G176" s="23"/>
      <c r="H176" s="24"/>
    </row>
    <row r="177">
      <c r="D177" s="14"/>
      <c r="E177" s="21" t="str">
        <f>IFERROR(IF($A177="",,IF($I177="",Translation!$A$2,IF($L177="",Translation!$A$3,IF($N177&lt;&gt;$B177,Translation!$A$4,IF(IFERROR($F177,)="",Translation!$A$5,IF($H177&gt;TIME(0,5,0),Translation!$A$6,IF($M177,Translation!$A$7,$K177))))))),Translation!$A$7)</f>
        <v/>
      </c>
      <c r="F177" s="22"/>
      <c r="G177" s="23"/>
      <c r="H177" s="24"/>
    </row>
    <row r="178">
      <c r="D178" s="14"/>
      <c r="E178" s="21" t="str">
        <f>IFERROR(IF($A178="",,IF($I178="",Translation!$A$2,IF($L178="",Translation!$A$3,IF($N178&lt;&gt;$B178,Translation!$A$4,IF(IFERROR($F178,)="",Translation!$A$5,IF($H178&gt;TIME(0,5,0),Translation!$A$6,IF($M178,Translation!$A$7,$K178))))))),Translation!$A$7)</f>
        <v/>
      </c>
      <c r="F178" s="22"/>
      <c r="G178" s="23"/>
      <c r="H178" s="24"/>
    </row>
    <row r="179">
      <c r="D179" s="14"/>
      <c r="E179" s="21" t="str">
        <f>IFERROR(IF($A179="",,IF($I179="",Translation!$A$2,IF($L179="",Translation!$A$3,IF($N179&lt;&gt;$B179,Translation!$A$4,IF(IFERROR($F179,)="",Translation!$A$5,IF($H179&gt;TIME(0,5,0),Translation!$A$6,IF($M179,Translation!$A$7,$K179))))))),Translation!$A$7)</f>
        <v/>
      </c>
      <c r="F179" s="22"/>
      <c r="G179" s="23"/>
      <c r="H179" s="24"/>
    </row>
    <row r="180">
      <c r="D180" s="14"/>
      <c r="E180" s="21" t="str">
        <f>IFERROR(IF($A180="",,IF($I180="",Translation!$A$2,IF($L180="",Translation!$A$3,IF($N180&lt;&gt;$B180,Translation!$A$4,IF(IFERROR($F180,)="",Translation!$A$5,IF($H180&gt;TIME(0,5,0),Translation!$A$6,IF($M180,Translation!$A$7,$K180))))))),Translation!$A$7)</f>
        <v/>
      </c>
      <c r="F180" s="22"/>
      <c r="G180" s="23"/>
      <c r="H180" s="24"/>
    </row>
    <row r="181">
      <c r="D181" s="14"/>
      <c r="E181" s="21" t="str">
        <f>IFERROR(IF($A181="",,IF($I181="",Translation!$A$2,IF($L181="",Translation!$A$3,IF($N181&lt;&gt;$B181,Translation!$A$4,IF(IFERROR($F181,)="",Translation!$A$5,IF($H181&gt;TIME(0,5,0),Translation!$A$6,IF($M181,Translation!$A$7,$K181))))))),Translation!$A$7)</f>
        <v/>
      </c>
      <c r="F181" s="22"/>
      <c r="G181" s="23"/>
      <c r="H181" s="24"/>
    </row>
    <row r="182">
      <c r="D182" s="14"/>
      <c r="E182" s="21" t="str">
        <f>IFERROR(IF($A182="",,IF($I182="",Translation!$A$2,IF($L182="",Translation!$A$3,IF($N182&lt;&gt;$B182,Translation!$A$4,IF(IFERROR($F182,)="",Translation!$A$5,IF($H182&gt;TIME(0,5,0),Translation!$A$6,IF($M182,Translation!$A$7,$K182))))))),Translation!$A$7)</f>
        <v/>
      </c>
      <c r="F182" s="22"/>
      <c r="G182" s="23"/>
      <c r="H182" s="24"/>
    </row>
    <row r="183">
      <c r="D183" s="14"/>
      <c r="E183" s="21" t="str">
        <f>IFERROR(IF($A183="",,IF($I183="",Translation!$A$2,IF($L183="",Translation!$A$3,IF($N183&lt;&gt;$B183,Translation!$A$4,IF(IFERROR($F183,)="",Translation!$A$5,IF($H183&gt;TIME(0,5,0),Translation!$A$6,IF($M183,Translation!$A$7,$K183))))))),Translation!$A$7)</f>
        <v/>
      </c>
      <c r="F183" s="22"/>
      <c r="G183" s="23"/>
      <c r="H183" s="24"/>
    </row>
    <row r="184">
      <c r="D184" s="14"/>
      <c r="E184" s="21" t="str">
        <f>IFERROR(IF($A184="",,IF($I184="",Translation!$A$2,IF($L184="",Translation!$A$3,IF($N184&lt;&gt;$B184,Translation!$A$4,IF(IFERROR($F184,)="",Translation!$A$5,IF($H184&gt;TIME(0,5,0),Translation!$A$6,IF($M184,Translation!$A$7,$K184))))))),Translation!$A$7)</f>
        <v/>
      </c>
      <c r="F184" s="22"/>
      <c r="G184" s="23"/>
      <c r="H184" s="24"/>
    </row>
    <row r="185">
      <c r="D185" s="14"/>
      <c r="E185" s="21" t="str">
        <f>IFERROR(IF($A185="",,IF($I185="",Translation!$A$2,IF($L185="",Translation!$A$3,IF($N185&lt;&gt;$B185,Translation!$A$4,IF(IFERROR($F185,)="",Translation!$A$5,IF($H185&gt;TIME(0,5,0),Translation!$A$6,IF($M185,Translation!$A$7,$K185))))))),Translation!$A$7)</f>
        <v/>
      </c>
      <c r="F185" s="22"/>
      <c r="G185" s="23"/>
      <c r="H185" s="24"/>
    </row>
    <row r="186">
      <c r="D186" s="14"/>
      <c r="E186" s="21" t="str">
        <f>IFERROR(IF($A186="",,IF($I186="",Translation!$A$2,IF($L186="",Translation!$A$3,IF($N186&lt;&gt;$B186,Translation!$A$4,IF(IFERROR($F186,)="",Translation!$A$5,IF($H186&gt;TIME(0,5,0),Translation!$A$6,IF($M186,Translation!$A$7,$K186))))))),Translation!$A$7)</f>
        <v/>
      </c>
      <c r="F186" s="22"/>
      <c r="G186" s="23"/>
      <c r="H186" s="24"/>
    </row>
    <row r="187">
      <c r="D187" s="14"/>
      <c r="E187" s="21" t="str">
        <f>IFERROR(IF($A187="",,IF($I187="",Translation!$A$2,IF($L187="",Translation!$A$3,IF($N187&lt;&gt;$B187,Translation!$A$4,IF(IFERROR($F187,)="",Translation!$A$5,IF($H187&gt;TIME(0,5,0),Translation!$A$6,IF($M187,Translation!$A$7,$K187))))))),Translation!$A$7)</f>
        <v/>
      </c>
      <c r="F187" s="22"/>
      <c r="G187" s="23"/>
      <c r="H187" s="24"/>
    </row>
    <row r="188">
      <c r="D188" s="14"/>
      <c r="E188" s="21" t="str">
        <f>IFERROR(IF($A188="",,IF($I188="",Translation!$A$2,IF($L188="",Translation!$A$3,IF($N188&lt;&gt;$B188,Translation!$A$4,IF(IFERROR($F188,)="",Translation!$A$5,IF($H188&gt;TIME(0,5,0),Translation!$A$6,IF($M188,Translation!$A$7,$K188))))))),Translation!$A$7)</f>
        <v/>
      </c>
      <c r="F188" s="22"/>
      <c r="G188" s="23"/>
      <c r="H188" s="24"/>
    </row>
    <row r="189">
      <c r="D189" s="14"/>
      <c r="E189" s="21" t="str">
        <f>IFERROR(IF($A189="",,IF($I189="",Translation!$A$2,IF($L189="",Translation!$A$3,IF($N189&lt;&gt;$B189,Translation!$A$4,IF(IFERROR($F189,)="",Translation!$A$5,IF($H189&gt;TIME(0,5,0),Translation!$A$6,IF($M189,Translation!$A$7,$K189))))))),Translation!$A$7)</f>
        <v/>
      </c>
      <c r="F189" s="22"/>
      <c r="G189" s="23"/>
      <c r="H189" s="24"/>
    </row>
    <row r="190">
      <c r="D190" s="14"/>
      <c r="E190" s="21" t="str">
        <f>IFERROR(IF($A190="",,IF($I190="",Translation!$A$2,IF($L190="",Translation!$A$3,IF($N190&lt;&gt;$B190,Translation!$A$4,IF(IFERROR($F190,)="",Translation!$A$5,IF($H190&gt;TIME(0,5,0),Translation!$A$6,IF($M190,Translation!$A$7,$K190))))))),Translation!$A$7)</f>
        <v/>
      </c>
      <c r="F190" s="22"/>
      <c r="G190" s="23"/>
      <c r="H190" s="24"/>
    </row>
    <row r="191">
      <c r="D191" s="14"/>
      <c r="E191" s="21" t="str">
        <f>IFERROR(IF($A191="",,IF($I191="",Translation!$A$2,IF($L191="",Translation!$A$3,IF($N191&lt;&gt;$B191,Translation!$A$4,IF(IFERROR($F191,)="",Translation!$A$5,IF($H191&gt;TIME(0,5,0),Translation!$A$6,IF($M191,Translation!$A$7,$K191))))))),Translation!$A$7)</f>
        <v/>
      </c>
      <c r="F191" s="22"/>
      <c r="G191" s="23"/>
      <c r="H191" s="24"/>
    </row>
    <row r="192">
      <c r="D192" s="14"/>
      <c r="E192" s="21" t="str">
        <f>IFERROR(IF($A192="",,IF($I192="",Translation!$A$2,IF($L192="",Translation!$A$3,IF($N192&lt;&gt;$B192,Translation!$A$4,IF(IFERROR($F192,)="",Translation!$A$5,IF($H192&gt;TIME(0,5,0),Translation!$A$6,IF($M192,Translation!$A$7,$K192))))))),Translation!$A$7)</f>
        <v/>
      </c>
      <c r="F192" s="22"/>
      <c r="G192" s="23"/>
      <c r="H192" s="24"/>
    </row>
    <row r="193">
      <c r="D193" s="14"/>
      <c r="E193" s="21" t="str">
        <f>IFERROR(IF($A193="",,IF($I193="",Translation!$A$2,IF($L193="",Translation!$A$3,IF($N193&lt;&gt;$B193,Translation!$A$4,IF(IFERROR($F193,)="",Translation!$A$5,IF($H193&gt;TIME(0,5,0),Translation!$A$6,IF($M193,Translation!$A$7,$K193))))))),Translation!$A$7)</f>
        <v/>
      </c>
      <c r="F193" s="22"/>
      <c r="G193" s="23"/>
      <c r="H193" s="24"/>
    </row>
    <row r="194">
      <c r="D194" s="14"/>
      <c r="E194" s="21" t="str">
        <f>IFERROR(IF($A194="",,IF($I194="",Translation!$A$2,IF($L194="",Translation!$A$3,IF($N194&lt;&gt;$B194,Translation!$A$4,IF(IFERROR($F194,)="",Translation!$A$5,IF($H194&gt;TIME(0,5,0),Translation!$A$6,IF($M194,Translation!$A$7,$K194))))))),Translation!$A$7)</f>
        <v/>
      </c>
      <c r="F194" s="22"/>
      <c r="G194" s="23"/>
      <c r="H194" s="24"/>
    </row>
    <row r="195">
      <c r="D195" s="14"/>
      <c r="E195" s="21" t="str">
        <f>IFERROR(IF($A195="",,IF($I195="",Translation!$A$2,IF($L195="",Translation!$A$3,IF($N195&lt;&gt;$B195,Translation!$A$4,IF(IFERROR($F195,)="",Translation!$A$5,IF($H195&gt;TIME(0,5,0),Translation!$A$6,IF($M195,Translation!$A$7,$K195))))))),Translation!$A$7)</f>
        <v/>
      </c>
      <c r="F195" s="22"/>
      <c r="G195" s="23"/>
      <c r="H195" s="24"/>
    </row>
    <row r="196">
      <c r="D196" s="14"/>
      <c r="E196" s="21" t="str">
        <f>IFERROR(IF($A196="",,IF($I196="",Translation!$A$2,IF($L196="",Translation!$A$3,IF($N196&lt;&gt;$B196,Translation!$A$4,IF(IFERROR($F196,)="",Translation!$A$5,IF($H196&gt;TIME(0,5,0),Translation!$A$6,IF($M196,Translation!$A$7,$K196))))))),Translation!$A$7)</f>
        <v/>
      </c>
      <c r="F196" s="22"/>
      <c r="G196" s="23"/>
      <c r="H196" s="24"/>
    </row>
    <row r="197">
      <c r="D197" s="14"/>
      <c r="E197" s="21" t="str">
        <f>IFERROR(IF($A197="",,IF($I197="",Translation!$A$2,IF($L197="",Translation!$A$3,IF($N197&lt;&gt;$B197,Translation!$A$4,IF(IFERROR($F197,)="",Translation!$A$5,IF($H197&gt;TIME(0,5,0),Translation!$A$6,IF($M197,Translation!$A$7,$K197))))))),Translation!$A$7)</f>
        <v/>
      </c>
      <c r="F197" s="22"/>
      <c r="G197" s="23"/>
      <c r="H197" s="24"/>
    </row>
    <row r="198">
      <c r="D198" s="14"/>
      <c r="E198" s="21" t="str">
        <f>IFERROR(IF($A198="",,IF($I198="",Translation!$A$2,IF($L198="",Translation!$A$3,IF($N198&lt;&gt;$B198,Translation!$A$4,IF(IFERROR($F198,)="",Translation!$A$5,IF($H198&gt;TIME(0,5,0),Translation!$A$6,IF($M198,Translation!$A$7,$K198))))))),Translation!$A$7)</f>
        <v/>
      </c>
      <c r="F198" s="22"/>
      <c r="G198" s="23"/>
      <c r="H198" s="24"/>
    </row>
    <row r="199">
      <c r="D199" s="14"/>
      <c r="E199" s="21" t="str">
        <f>IFERROR(IF($A199="",,IF($I199="",Translation!$A$2,IF($L199="",Translation!$A$3,IF($N199&lt;&gt;$B199,Translation!$A$4,IF(IFERROR($F199,)="",Translation!$A$5,IF($H199&gt;TIME(0,5,0),Translation!$A$6,IF($M199,Translation!$A$7,$K199))))))),Translation!$A$7)</f>
        <v/>
      </c>
      <c r="F199" s="22"/>
      <c r="G199" s="23"/>
      <c r="H199" s="24"/>
    </row>
    <row r="200">
      <c r="D200" s="14"/>
      <c r="E200" s="21" t="str">
        <f>IFERROR(IF($A200="",,IF($I200="",Translation!$A$2,IF($L200="",Translation!$A$3,IF($N200&lt;&gt;$B200,Translation!$A$4,IF(IFERROR($F200,)="",Translation!$A$5,IF($H200&gt;TIME(0,5,0),Translation!$A$6,IF($M200,Translation!$A$7,$K200))))))),Translation!$A$7)</f>
        <v/>
      </c>
      <c r="F200" s="22"/>
      <c r="G200" s="23"/>
      <c r="H200" s="24"/>
    </row>
    <row r="201">
      <c r="D201" s="14"/>
      <c r="E201" s="21" t="str">
        <f>IFERROR(IF($A201="",,IF($I201="",Translation!$A$2,IF($L201="",Translation!$A$3,IF($N201&lt;&gt;$B201,Translation!$A$4,IF(IFERROR($F201,)="",Translation!$A$5,IF($H201&gt;TIME(0,5,0),Translation!$A$6,IF($M201,Translation!$A$7,$K201))))))),Translation!$A$7)</f>
        <v/>
      </c>
      <c r="F201" s="22"/>
      <c r="G201" s="23"/>
      <c r="H201" s="24"/>
    </row>
    <row r="202">
      <c r="D202" s="14"/>
      <c r="E202" s="21" t="str">
        <f>IFERROR(IF($A202="",,IF($I202="",Translation!$A$2,IF($L202="",Translation!$A$3,IF($N202&lt;&gt;$B202,Translation!$A$4,IF(IFERROR($F202,)="",Translation!$A$5,IF($H202&gt;TIME(0,5,0),Translation!$A$6,IF($M202,Translation!$A$7,$K202))))))),Translation!$A$7)</f>
        <v/>
      </c>
      <c r="F202" s="22"/>
      <c r="G202" s="23"/>
      <c r="H202" s="24"/>
    </row>
    <row r="203">
      <c r="D203" s="14"/>
      <c r="E203" s="21" t="str">
        <f>IFERROR(IF($A203="",,IF($I203="",Translation!$A$2,IF($L203="",Translation!$A$3,IF($N203&lt;&gt;$B203,Translation!$A$4,IF(IFERROR($F203,)="",Translation!$A$5,IF($H203&gt;TIME(0,5,0),Translation!$A$6,IF($M203,Translation!$A$7,$K203))))))),Translation!$A$7)</f>
        <v/>
      </c>
      <c r="F203" s="22"/>
      <c r="G203" s="23"/>
      <c r="H203" s="24"/>
    </row>
    <row r="204">
      <c r="D204" s="14"/>
      <c r="E204" s="21" t="str">
        <f>IFERROR(IF($A204="",,IF($I204="",Translation!$A$2,IF($L204="",Translation!$A$3,IF($N204&lt;&gt;$B204,Translation!$A$4,IF(IFERROR($F204,)="",Translation!$A$5,IF($H204&gt;TIME(0,5,0),Translation!$A$6,IF($M204,Translation!$A$7,$K204))))))),Translation!$A$7)</f>
        <v/>
      </c>
      <c r="F204" s="22"/>
      <c r="G204" s="23"/>
      <c r="H204" s="24"/>
    </row>
    <row r="205">
      <c r="D205" s="14"/>
      <c r="E205" s="21" t="str">
        <f>IFERROR(IF($A205="",,IF($I205="",Translation!$A$2,IF($L205="",Translation!$A$3,IF($N205&lt;&gt;$B205,Translation!$A$4,IF(IFERROR($F205,)="",Translation!$A$5,IF($H205&gt;TIME(0,5,0),Translation!$A$6,IF($M205,Translation!$A$7,$K205))))))),Translation!$A$7)</f>
        <v/>
      </c>
      <c r="F205" s="22"/>
      <c r="G205" s="23"/>
      <c r="H205" s="24"/>
    </row>
    <row r="206">
      <c r="D206" s="14"/>
      <c r="E206" s="21" t="str">
        <f>IFERROR(IF($A206="",,IF($I206="",Translation!$A$2,IF($L206="",Translation!$A$3,IF($N206&lt;&gt;$B206,Translation!$A$4,IF(IFERROR($F206,)="",Translation!$A$5,IF($H206&gt;TIME(0,5,0),Translation!$A$6,IF($M206,Translation!$A$7,$K206))))))),Translation!$A$7)</f>
        <v/>
      </c>
      <c r="F206" s="22"/>
      <c r="G206" s="23"/>
      <c r="H206" s="24"/>
    </row>
    <row r="207">
      <c r="D207" s="14"/>
      <c r="E207" s="21" t="str">
        <f>IFERROR(IF($A207="",,IF($I207="",Translation!$A$2,IF($L207="",Translation!$A$3,IF($N207&lt;&gt;$B207,Translation!$A$4,IF(IFERROR($F207,)="",Translation!$A$5,IF($H207&gt;TIME(0,5,0),Translation!$A$6,IF($M207,Translation!$A$7,$K207))))))),Translation!$A$7)</f>
        <v/>
      </c>
      <c r="F207" s="22"/>
      <c r="G207" s="23"/>
      <c r="H207" s="24"/>
    </row>
    <row r="208">
      <c r="D208" s="14"/>
      <c r="E208" s="21" t="str">
        <f>IFERROR(IF($A208="",,IF($I208="",Translation!$A$2,IF($L208="",Translation!$A$3,IF($N208&lt;&gt;$B208,Translation!$A$4,IF(IFERROR($F208,)="",Translation!$A$5,IF($H208&gt;TIME(0,5,0),Translation!$A$6,IF($M208,Translation!$A$7,$K208))))))),Translation!$A$7)</f>
        <v/>
      </c>
      <c r="F208" s="22"/>
      <c r="G208" s="23"/>
      <c r="H208" s="24"/>
    </row>
    <row r="209">
      <c r="D209" s="14"/>
      <c r="E209" s="21" t="str">
        <f>IFERROR(IF($A209="",,IF($I209="",Translation!$A$2,IF($L209="",Translation!$A$3,IF($N209&lt;&gt;$B209,Translation!$A$4,IF(IFERROR($F209,)="",Translation!$A$5,IF($H209&gt;TIME(0,5,0),Translation!$A$6,IF($M209,Translation!$A$7,$K209))))))),Translation!$A$7)</f>
        <v/>
      </c>
      <c r="F209" s="22"/>
      <c r="G209" s="23"/>
      <c r="H209" s="24"/>
    </row>
    <row r="210">
      <c r="D210" s="14"/>
      <c r="E210" s="21" t="str">
        <f>IFERROR(IF($A210="",,IF($I210="",Translation!$A$2,IF($L210="",Translation!$A$3,IF($N210&lt;&gt;$B210,Translation!$A$4,IF(IFERROR($F210,)="",Translation!$A$5,IF($H210&gt;TIME(0,5,0),Translation!$A$6,IF($M210,Translation!$A$7,$K210))))))),Translation!$A$7)</f>
        <v/>
      </c>
      <c r="F210" s="22"/>
      <c r="G210" s="23"/>
      <c r="H210" s="24"/>
    </row>
    <row r="211">
      <c r="D211" s="14"/>
      <c r="E211" s="21" t="str">
        <f>IFERROR(IF($A211="",,IF($I211="",Translation!$A$2,IF($L211="",Translation!$A$3,IF($N211&lt;&gt;$B211,Translation!$A$4,IF(IFERROR($F211,)="",Translation!$A$5,IF($H211&gt;TIME(0,5,0),Translation!$A$6,IF($M211,Translation!$A$7,$K211))))))),Translation!$A$7)</f>
        <v/>
      </c>
      <c r="F211" s="22"/>
      <c r="G211" s="23"/>
      <c r="H211" s="24"/>
    </row>
    <row r="212">
      <c r="D212" s="14"/>
      <c r="E212" s="21" t="str">
        <f>IFERROR(IF($A212="",,IF($I212="",Translation!$A$2,IF($L212="",Translation!$A$3,IF($N212&lt;&gt;$B212,Translation!$A$4,IF(IFERROR($F212,)="",Translation!$A$5,IF($H212&gt;TIME(0,5,0),Translation!$A$6,IF($M212,Translation!$A$7,$K212))))))),Translation!$A$7)</f>
        <v/>
      </c>
      <c r="F212" s="22"/>
      <c r="G212" s="23"/>
      <c r="H212" s="24"/>
    </row>
    <row r="213">
      <c r="D213" s="14"/>
      <c r="E213" s="21" t="str">
        <f>IFERROR(IF($A213="",,IF($I213="",Translation!$A$2,IF($L213="",Translation!$A$3,IF($N213&lt;&gt;$B213,Translation!$A$4,IF(IFERROR($F213,)="",Translation!$A$5,IF($H213&gt;TIME(0,5,0),Translation!$A$6,IF($M213,Translation!$A$7,$K213))))))),Translation!$A$7)</f>
        <v/>
      </c>
      <c r="F213" s="22"/>
      <c r="G213" s="23"/>
      <c r="H213" s="24"/>
    </row>
    <row r="214">
      <c r="D214" s="14"/>
      <c r="E214" s="21" t="str">
        <f>IFERROR(IF($A214="",,IF($I214="",Translation!$A$2,IF($L214="",Translation!$A$3,IF($N214&lt;&gt;$B214,Translation!$A$4,IF(IFERROR($F214,)="",Translation!$A$5,IF($H214&gt;TIME(0,5,0),Translation!$A$6,IF($M214,Translation!$A$7,$K214))))))),Translation!$A$7)</f>
        <v/>
      </c>
      <c r="F214" s="22"/>
      <c r="G214" s="23"/>
      <c r="H214" s="24"/>
    </row>
    <row r="215">
      <c r="D215" s="14"/>
      <c r="E215" s="21" t="str">
        <f>IFERROR(IF($A215="",,IF($I215="",Translation!$A$2,IF($L215="",Translation!$A$3,IF($N215&lt;&gt;$B215,Translation!$A$4,IF(IFERROR($F215,)="",Translation!$A$5,IF($H215&gt;TIME(0,5,0),Translation!$A$6,IF($M215,Translation!$A$7,$K215))))))),Translation!$A$7)</f>
        <v/>
      </c>
      <c r="F215" s="22"/>
      <c r="G215" s="23"/>
      <c r="H215" s="24"/>
    </row>
    <row r="216">
      <c r="D216" s="14"/>
      <c r="E216" s="21" t="str">
        <f>IFERROR(IF($A216="",,IF($I216="",Translation!$A$2,IF($L216="",Translation!$A$3,IF($N216&lt;&gt;$B216,Translation!$A$4,IF(IFERROR($F216,)="",Translation!$A$5,IF($H216&gt;TIME(0,5,0),Translation!$A$6,IF($M216,Translation!$A$7,$K216))))))),Translation!$A$7)</f>
        <v/>
      </c>
      <c r="F216" s="22"/>
      <c r="G216" s="23"/>
      <c r="H216" s="24"/>
    </row>
    <row r="217">
      <c r="D217" s="14"/>
      <c r="E217" s="21" t="str">
        <f>IFERROR(IF($A217="",,IF($I217="",Translation!$A$2,IF($L217="",Translation!$A$3,IF($N217&lt;&gt;$B217,Translation!$A$4,IF(IFERROR($F217,)="",Translation!$A$5,IF($H217&gt;TIME(0,5,0),Translation!$A$6,IF($M217,Translation!$A$7,$K217))))))),Translation!$A$7)</f>
        <v/>
      </c>
      <c r="F217" s="22"/>
      <c r="G217" s="23"/>
      <c r="H217" s="24"/>
    </row>
    <row r="218">
      <c r="D218" s="14"/>
      <c r="E218" s="21" t="str">
        <f>IFERROR(IF($A218="",,IF($I218="",Translation!$A$2,IF($L218="",Translation!$A$3,IF($N218&lt;&gt;$B218,Translation!$A$4,IF(IFERROR($F218,)="",Translation!$A$5,IF($H218&gt;TIME(0,5,0),Translation!$A$6,IF($M218,Translation!$A$7,$K218))))))),Translation!$A$7)</f>
        <v/>
      </c>
      <c r="F218" s="22"/>
      <c r="G218" s="23"/>
      <c r="H218" s="24"/>
    </row>
    <row r="219">
      <c r="D219" s="14"/>
      <c r="E219" s="21" t="str">
        <f>IFERROR(IF($A219="",,IF($I219="",Translation!$A$2,IF($L219="",Translation!$A$3,IF($N219&lt;&gt;$B219,Translation!$A$4,IF(IFERROR($F219,)="",Translation!$A$5,IF($H219&gt;TIME(0,5,0),Translation!$A$6,IF($M219,Translation!$A$7,$K219))))))),Translation!$A$7)</f>
        <v/>
      </c>
      <c r="F219" s="22"/>
      <c r="G219" s="23"/>
      <c r="H219" s="24"/>
    </row>
    <row r="220">
      <c r="D220" s="14"/>
      <c r="E220" s="21" t="str">
        <f>IFERROR(IF($A220="",,IF($I220="",Translation!$A$2,IF($L220="",Translation!$A$3,IF($N220&lt;&gt;$B220,Translation!$A$4,IF(IFERROR($F220,)="",Translation!$A$5,IF($H220&gt;TIME(0,5,0),Translation!$A$6,IF($M220,Translation!$A$7,$K220))))))),Translation!$A$7)</f>
        <v/>
      </c>
      <c r="F220" s="22"/>
      <c r="G220" s="23"/>
      <c r="H220" s="24"/>
    </row>
    <row r="221">
      <c r="D221" s="14"/>
      <c r="E221" s="21" t="str">
        <f>IFERROR(IF($A221="",,IF($I221="",Translation!$A$2,IF($L221="",Translation!$A$3,IF($N221&lt;&gt;$B221,Translation!$A$4,IF(IFERROR($F221,)="",Translation!$A$5,IF($H221&gt;TIME(0,5,0),Translation!$A$6,IF($M221,Translation!$A$7,$K221))))))),Translation!$A$7)</f>
        <v/>
      </c>
      <c r="F221" s="22"/>
      <c r="G221" s="23"/>
      <c r="H221" s="24"/>
    </row>
    <row r="222">
      <c r="D222" s="14"/>
      <c r="E222" s="21" t="str">
        <f>IFERROR(IF($A222="",,IF($I222="",Translation!$A$2,IF($L222="",Translation!$A$3,IF($N222&lt;&gt;$B222,Translation!$A$4,IF(IFERROR($F222,)="",Translation!$A$5,IF($H222&gt;TIME(0,5,0),Translation!$A$6,IF($M222,Translation!$A$7,$K222))))))),Translation!$A$7)</f>
        <v/>
      </c>
      <c r="F222" s="22"/>
      <c r="G222" s="23"/>
      <c r="H222" s="24"/>
    </row>
    <row r="223">
      <c r="D223" s="14"/>
      <c r="E223" s="21" t="str">
        <f>IFERROR(IF($A223="",,IF($I223="",Translation!$A$2,IF($L223="",Translation!$A$3,IF($N223&lt;&gt;$B223,Translation!$A$4,IF(IFERROR($F223,)="",Translation!$A$5,IF($H223&gt;TIME(0,5,0),Translation!$A$6,IF($M223,Translation!$A$7,$K223))))))),Translation!$A$7)</f>
        <v/>
      </c>
      <c r="F223" s="22"/>
      <c r="G223" s="23"/>
      <c r="H223" s="24"/>
    </row>
    <row r="224">
      <c r="D224" s="14"/>
      <c r="E224" s="21" t="str">
        <f>IFERROR(IF($A224="",,IF($I224="",Translation!$A$2,IF($L224="",Translation!$A$3,IF($N224&lt;&gt;$B224,Translation!$A$4,IF(IFERROR($F224,)="",Translation!$A$5,IF($H224&gt;TIME(0,5,0),Translation!$A$6,IF($M224,Translation!$A$7,$K224))))))),Translation!$A$7)</f>
        <v/>
      </c>
      <c r="F224" s="22"/>
      <c r="G224" s="23"/>
      <c r="H224" s="24"/>
    </row>
    <row r="225">
      <c r="D225" s="14"/>
      <c r="E225" s="21" t="str">
        <f>IFERROR(IF($A225="",,IF($I225="",Translation!$A$2,IF($L225="",Translation!$A$3,IF($N225&lt;&gt;$B225,Translation!$A$4,IF(IFERROR($F225,)="",Translation!$A$5,IF($H225&gt;TIME(0,5,0),Translation!$A$6,IF($M225,Translation!$A$7,$K225))))))),Translation!$A$7)</f>
        <v/>
      </c>
      <c r="F225" s="22"/>
      <c r="G225" s="23"/>
      <c r="H225" s="24"/>
    </row>
    <row r="226">
      <c r="D226" s="14"/>
      <c r="E226" s="21" t="str">
        <f>IFERROR(IF($A226="",,IF($I226="",Translation!$A$2,IF($L226="",Translation!$A$3,IF($N226&lt;&gt;$B226,Translation!$A$4,IF(IFERROR($F226,)="",Translation!$A$5,IF($H226&gt;TIME(0,5,0),Translation!$A$6,IF($M226,Translation!$A$7,$K226))))))),Translation!$A$7)</f>
        <v/>
      </c>
      <c r="F226" s="22"/>
      <c r="G226" s="23"/>
      <c r="H226" s="24"/>
    </row>
    <row r="227">
      <c r="D227" s="14"/>
      <c r="E227" s="21" t="str">
        <f>IFERROR(IF($A227="",,IF($I227="",Translation!$A$2,IF($L227="",Translation!$A$3,IF($N227&lt;&gt;$B227,Translation!$A$4,IF(IFERROR($F227,)="",Translation!$A$5,IF($H227&gt;TIME(0,5,0),Translation!$A$6,IF($M227,Translation!$A$7,$K227))))))),Translation!$A$7)</f>
        <v/>
      </c>
      <c r="F227" s="22"/>
      <c r="G227" s="23"/>
      <c r="H227" s="24"/>
    </row>
    <row r="228">
      <c r="D228" s="14"/>
      <c r="E228" s="21" t="str">
        <f>IFERROR(IF($A228="",,IF($I228="",Translation!$A$2,IF($L228="",Translation!$A$3,IF($N228&lt;&gt;$B228,Translation!$A$4,IF(IFERROR($F228,)="",Translation!$A$5,IF($H228&gt;TIME(0,5,0),Translation!$A$6,IF($M228,Translation!$A$7,$K228))))))),Translation!$A$7)</f>
        <v/>
      </c>
      <c r="F228" s="22"/>
      <c r="G228" s="23"/>
      <c r="H228" s="24"/>
    </row>
    <row r="229">
      <c r="D229" s="14"/>
      <c r="E229" s="21" t="str">
        <f>IFERROR(IF($A229="",,IF($I229="",Translation!$A$2,IF($L229="",Translation!$A$3,IF($N229&lt;&gt;$B229,Translation!$A$4,IF(IFERROR($F229,)="",Translation!$A$5,IF($H229&gt;TIME(0,5,0),Translation!$A$6,IF($M229,Translation!$A$7,$K229))))))),Translation!$A$7)</f>
        <v/>
      </c>
      <c r="F229" s="22"/>
      <c r="G229" s="23"/>
      <c r="H229" s="24"/>
    </row>
    <row r="230">
      <c r="D230" s="14"/>
      <c r="E230" s="21" t="str">
        <f>IFERROR(IF($A230="",,IF($I230="",Translation!$A$2,IF($L230="",Translation!$A$3,IF($N230&lt;&gt;$B230,Translation!$A$4,IF(IFERROR($F230,)="",Translation!$A$5,IF($H230&gt;TIME(0,5,0),Translation!$A$6,IF($M230,Translation!$A$7,$K230))))))),Translation!$A$7)</f>
        <v/>
      </c>
      <c r="F230" s="22"/>
      <c r="G230" s="23"/>
      <c r="H230" s="24"/>
    </row>
    <row r="231">
      <c r="D231" s="14"/>
      <c r="E231" s="21" t="str">
        <f>IFERROR(IF($A231="",,IF($I231="",Translation!$A$2,IF($L231="",Translation!$A$3,IF($N231&lt;&gt;$B231,Translation!$A$4,IF(IFERROR($F231,)="",Translation!$A$5,IF($H231&gt;TIME(0,5,0),Translation!$A$6,IF($M231,Translation!$A$7,$K231))))))),Translation!$A$7)</f>
        <v/>
      </c>
      <c r="F231" s="22"/>
      <c r="G231" s="23"/>
      <c r="H231" s="24"/>
    </row>
    <row r="232">
      <c r="D232" s="14"/>
      <c r="E232" s="21" t="str">
        <f>IFERROR(IF($A232="",,IF($I232="",Translation!$A$2,IF($L232="",Translation!$A$3,IF($N232&lt;&gt;$B232,Translation!$A$4,IF(IFERROR($F232,)="",Translation!$A$5,IF($H232&gt;TIME(0,5,0),Translation!$A$6,IF($M232,Translation!$A$7,$K232))))))),Translation!$A$7)</f>
        <v/>
      </c>
      <c r="F232" s="22"/>
      <c r="G232" s="23"/>
      <c r="H232" s="24"/>
    </row>
    <row r="233">
      <c r="D233" s="14"/>
      <c r="E233" s="21" t="str">
        <f>IFERROR(IF($A233="",,IF($I233="",Translation!$A$2,IF($L233="",Translation!$A$3,IF($N233&lt;&gt;$B233,Translation!$A$4,IF(IFERROR($F233,)="",Translation!$A$5,IF($H233&gt;TIME(0,5,0),Translation!$A$6,IF($M233,Translation!$A$7,$K233))))))),Translation!$A$7)</f>
        <v/>
      </c>
      <c r="F233" s="22"/>
      <c r="G233" s="23"/>
      <c r="H233" s="24"/>
    </row>
    <row r="234">
      <c r="D234" s="14"/>
      <c r="E234" s="21" t="str">
        <f>IFERROR(IF($A234="",,IF($I234="",Translation!$A$2,IF($L234="",Translation!$A$3,IF($N234&lt;&gt;$B234,Translation!$A$4,IF(IFERROR($F234,)="",Translation!$A$5,IF($H234&gt;TIME(0,5,0),Translation!$A$6,IF($M234,Translation!$A$7,$K234))))))),Translation!$A$7)</f>
        <v/>
      </c>
      <c r="F234" s="22"/>
      <c r="G234" s="23"/>
      <c r="H234" s="24"/>
    </row>
    <row r="235">
      <c r="D235" s="14"/>
      <c r="E235" s="21" t="str">
        <f>IFERROR(IF($A235="",,IF($I235="",Translation!$A$2,IF($L235="",Translation!$A$3,IF($N235&lt;&gt;$B235,Translation!$A$4,IF(IFERROR($F235,)="",Translation!$A$5,IF($H235&gt;TIME(0,5,0),Translation!$A$6,IF($M235,Translation!$A$7,$K235))))))),Translation!$A$7)</f>
        <v/>
      </c>
      <c r="F235" s="22"/>
      <c r="G235" s="23"/>
      <c r="H235" s="24"/>
    </row>
    <row r="236">
      <c r="D236" s="14"/>
      <c r="E236" s="21" t="str">
        <f>IFERROR(IF($A236="",,IF($I236="",Translation!$A$2,IF($L236="",Translation!$A$3,IF($N236&lt;&gt;$B236,Translation!$A$4,IF(IFERROR($F236,)="",Translation!$A$5,IF($H236&gt;TIME(0,5,0),Translation!$A$6,IF($M236,Translation!$A$7,$K236))))))),Translation!$A$7)</f>
        <v/>
      </c>
      <c r="F236" s="22"/>
      <c r="G236" s="23"/>
      <c r="H236" s="24"/>
    </row>
    <row r="237">
      <c r="D237" s="14"/>
      <c r="E237" s="21" t="str">
        <f>IFERROR(IF($A237="",,IF($I237="",Translation!$A$2,IF($L237="",Translation!$A$3,IF($N237&lt;&gt;$B237,Translation!$A$4,IF(IFERROR($F237,)="",Translation!$A$5,IF($H237&gt;TIME(0,5,0),Translation!$A$6,IF($M237,Translation!$A$7,$K237))))))),Translation!$A$7)</f>
        <v/>
      </c>
      <c r="F237" s="22"/>
      <c r="G237" s="23"/>
      <c r="H237" s="24"/>
    </row>
    <row r="238">
      <c r="D238" s="14"/>
      <c r="E238" s="21" t="str">
        <f>IFERROR(IF($A238="",,IF($I238="",Translation!$A$2,IF($L238="",Translation!$A$3,IF($N238&lt;&gt;$B238,Translation!$A$4,IF(IFERROR($F238,)="",Translation!$A$5,IF($H238&gt;TIME(0,5,0),Translation!$A$6,IF($M238,Translation!$A$7,$K238))))))),Translation!$A$7)</f>
        <v/>
      </c>
      <c r="F238" s="22"/>
      <c r="G238" s="23"/>
      <c r="H238" s="24"/>
    </row>
    <row r="239">
      <c r="D239" s="14"/>
      <c r="E239" s="21" t="str">
        <f>IFERROR(IF($A239="",,IF($I239="",Translation!$A$2,IF($L239="",Translation!$A$3,IF($N239&lt;&gt;$B239,Translation!$A$4,IF(IFERROR($F239,)="",Translation!$A$5,IF($H239&gt;TIME(0,5,0),Translation!$A$6,IF($M239,Translation!$A$7,$K239))))))),Translation!$A$7)</f>
        <v/>
      </c>
      <c r="F239" s="22"/>
      <c r="G239" s="23"/>
      <c r="H239" s="24"/>
    </row>
    <row r="240">
      <c r="D240" s="14"/>
      <c r="E240" s="21" t="str">
        <f>IFERROR(IF($A240="",,IF($I240="",Translation!$A$2,IF($L240="",Translation!$A$3,IF($N240&lt;&gt;$B240,Translation!$A$4,IF(IFERROR($F240,)="",Translation!$A$5,IF($H240&gt;TIME(0,5,0),Translation!$A$6,IF($M240,Translation!$A$7,$K240))))))),Translation!$A$7)</f>
        <v/>
      </c>
      <c r="F240" s="22"/>
      <c r="G240" s="23"/>
      <c r="H240" s="24"/>
    </row>
    <row r="241">
      <c r="D241" s="14"/>
      <c r="E241" s="21" t="str">
        <f>IFERROR(IF($A241="",,IF($I241="",Translation!$A$2,IF($L241="",Translation!$A$3,IF($N241&lt;&gt;$B241,Translation!$A$4,IF(IFERROR($F241,)="",Translation!$A$5,IF($H241&gt;TIME(0,5,0),Translation!$A$6,IF($M241,Translation!$A$7,$K241))))))),Translation!$A$7)</f>
        <v/>
      </c>
      <c r="F241" s="22"/>
      <c r="G241" s="23"/>
      <c r="H241" s="24"/>
    </row>
    <row r="242">
      <c r="D242" s="14"/>
      <c r="E242" s="21" t="str">
        <f>IFERROR(IF($A242="",,IF($I242="",Translation!$A$2,IF($L242="",Translation!$A$3,IF($N242&lt;&gt;$B242,Translation!$A$4,IF(IFERROR($F242,)="",Translation!$A$5,IF($H242&gt;TIME(0,5,0),Translation!$A$6,IF($M242,Translation!$A$7,$K242))))))),Translation!$A$7)</f>
        <v/>
      </c>
      <c r="F242" s="22"/>
      <c r="G242" s="23"/>
      <c r="H242" s="24"/>
    </row>
    <row r="243">
      <c r="D243" s="14"/>
      <c r="E243" s="21" t="str">
        <f>IFERROR(IF($A243="",,IF($I243="",Translation!$A$2,IF($L243="",Translation!$A$3,IF($N243&lt;&gt;$B243,Translation!$A$4,IF(IFERROR($F243,)="",Translation!$A$5,IF($H243&gt;TIME(0,5,0),Translation!$A$6,IF($M243,Translation!$A$7,$K243))))))),Translation!$A$7)</f>
        <v/>
      </c>
      <c r="F243" s="22"/>
      <c r="G243" s="23"/>
      <c r="H243" s="24"/>
    </row>
    <row r="244">
      <c r="D244" s="14"/>
      <c r="E244" s="21" t="str">
        <f>IFERROR(IF($A244="",,IF($I244="",Translation!$A$2,IF($L244="",Translation!$A$3,IF($N244&lt;&gt;$B244,Translation!$A$4,IF(IFERROR($F244,)="",Translation!$A$5,IF($H244&gt;TIME(0,5,0),Translation!$A$6,IF($M244,Translation!$A$7,$K244))))))),Translation!$A$7)</f>
        <v/>
      </c>
      <c r="F244" s="22"/>
      <c r="G244" s="23"/>
      <c r="H244" s="24"/>
    </row>
    <row r="245">
      <c r="D245" s="14"/>
      <c r="E245" s="21" t="str">
        <f>IFERROR(IF($A245="",,IF($I245="",Translation!$A$2,IF($L245="",Translation!$A$3,IF($N245&lt;&gt;$B245,Translation!$A$4,IF(IFERROR($F245,)="",Translation!$A$5,IF($H245&gt;TIME(0,5,0),Translation!$A$6,IF($M245,Translation!$A$7,$K245))))))),Translation!$A$7)</f>
        <v/>
      </c>
      <c r="F245" s="22"/>
      <c r="G245" s="23"/>
      <c r="H245" s="24"/>
    </row>
    <row r="246">
      <c r="D246" s="14"/>
      <c r="E246" s="21" t="str">
        <f>IFERROR(IF($A246="",,IF($I246="",Translation!$A$2,IF($L246="",Translation!$A$3,IF($N246&lt;&gt;$B246,Translation!$A$4,IF(IFERROR($F246,)="",Translation!$A$5,IF($H246&gt;TIME(0,5,0),Translation!$A$6,IF($M246,Translation!$A$7,$K246))))))),Translation!$A$7)</f>
        <v/>
      </c>
      <c r="F246" s="22"/>
      <c r="G246" s="23"/>
      <c r="H246" s="24"/>
    </row>
    <row r="247">
      <c r="D247" s="14"/>
      <c r="E247" s="21" t="str">
        <f>IFERROR(IF($A247="",,IF($I247="",Translation!$A$2,IF($L247="",Translation!$A$3,IF($N247&lt;&gt;$B247,Translation!$A$4,IF(IFERROR($F247,)="",Translation!$A$5,IF($H247&gt;TIME(0,5,0),Translation!$A$6,IF($M247,Translation!$A$7,$K247))))))),Translation!$A$7)</f>
        <v/>
      </c>
      <c r="F247" s="22"/>
      <c r="G247" s="23"/>
      <c r="H247" s="24"/>
    </row>
    <row r="248">
      <c r="D248" s="14"/>
      <c r="E248" s="21" t="str">
        <f>IFERROR(IF($A248="",,IF($I248="",Translation!$A$2,IF($L248="",Translation!$A$3,IF($N248&lt;&gt;$B248,Translation!$A$4,IF(IFERROR($F248,)="",Translation!$A$5,IF($H248&gt;TIME(0,5,0),Translation!$A$6,IF($M248,Translation!$A$7,$K248))))))),Translation!$A$7)</f>
        <v/>
      </c>
      <c r="F248" s="22"/>
      <c r="G248" s="23"/>
      <c r="H248" s="24"/>
    </row>
    <row r="249">
      <c r="D249" s="14"/>
      <c r="E249" s="21" t="str">
        <f>IFERROR(IF($A249="",,IF($I249="",Translation!$A$2,IF($L249="",Translation!$A$3,IF($N249&lt;&gt;$B249,Translation!$A$4,IF(IFERROR($F249,)="",Translation!$A$5,IF($H249&gt;TIME(0,5,0),Translation!$A$6,IF($M249,Translation!$A$7,$K249))))))),Translation!$A$7)</f>
        <v/>
      </c>
      <c r="F249" s="22"/>
      <c r="G249" s="23"/>
      <c r="H249" s="24"/>
    </row>
    <row r="250">
      <c r="D250" s="14"/>
      <c r="E250" s="21" t="str">
        <f>IFERROR(IF($A250="",,IF($I250="",Translation!$A$2,IF($L250="",Translation!$A$3,IF($N250&lt;&gt;$B250,Translation!$A$4,IF(IFERROR($F250,)="",Translation!$A$5,IF($H250&gt;TIME(0,5,0),Translation!$A$6,IF($M250,Translation!$A$7,$K250))))))),Translation!$A$7)</f>
        <v/>
      </c>
      <c r="F250" s="22"/>
      <c r="G250" s="23"/>
      <c r="H250" s="24"/>
    </row>
    <row r="251">
      <c r="D251" s="14"/>
      <c r="E251" s="21" t="str">
        <f>IFERROR(IF($A251="",,IF($I251="",Translation!$A$2,IF($L251="",Translation!$A$3,IF($N251&lt;&gt;$B251,Translation!$A$4,IF(IFERROR($F251,)="",Translation!$A$5,IF($H251&gt;TIME(0,5,0),Translation!$A$6,IF($M251,Translation!$A$7,$K251))))))),Translation!$A$7)</f>
        <v/>
      </c>
      <c r="F251" s="22"/>
      <c r="G251" s="23"/>
      <c r="H251" s="24"/>
    </row>
    <row r="252">
      <c r="D252" s="14"/>
      <c r="E252" s="21" t="str">
        <f>IFERROR(IF($A252="",,IF($I252="",Translation!$A$2,IF($L252="",Translation!$A$3,IF($N252&lt;&gt;$B252,Translation!$A$4,IF(IFERROR($F252,)="",Translation!$A$5,IF($H252&gt;TIME(0,5,0),Translation!$A$6,IF($M252,Translation!$A$7,$K252))))))),Translation!$A$7)</f>
        <v/>
      </c>
      <c r="F252" s="22"/>
      <c r="G252" s="23"/>
      <c r="H252" s="24"/>
    </row>
    <row r="253">
      <c r="D253" s="14"/>
      <c r="E253" s="21" t="str">
        <f>IFERROR(IF($A253="",,IF($I253="",Translation!$A$2,IF($L253="",Translation!$A$3,IF($N253&lt;&gt;$B253,Translation!$A$4,IF(IFERROR($F253,)="",Translation!$A$5,IF($H253&gt;TIME(0,5,0),Translation!$A$6,IF($M253,Translation!$A$7,$K253))))))),Translation!$A$7)</f>
        <v/>
      </c>
      <c r="F253" s="22"/>
      <c r="G253" s="23"/>
      <c r="H253" s="24"/>
    </row>
    <row r="254">
      <c r="D254" s="14"/>
      <c r="E254" s="21" t="str">
        <f>IFERROR(IF($A254="",,IF($I254="",Translation!$A$2,IF($L254="",Translation!$A$3,IF($N254&lt;&gt;$B254,Translation!$A$4,IF(IFERROR($F254,)="",Translation!$A$5,IF($H254&gt;TIME(0,5,0),Translation!$A$6,IF($M254,Translation!$A$7,$K254))))))),Translation!$A$7)</f>
        <v/>
      </c>
      <c r="F254" s="22"/>
      <c r="G254" s="23"/>
      <c r="H254" s="24"/>
    </row>
    <row r="255">
      <c r="D255" s="14"/>
      <c r="E255" s="21" t="str">
        <f>IFERROR(IF($A255="",,IF($I255="",Translation!$A$2,IF($L255="",Translation!$A$3,IF($N255&lt;&gt;$B255,Translation!$A$4,IF(IFERROR($F255,)="",Translation!$A$5,IF($H255&gt;TIME(0,5,0),Translation!$A$6,IF($M255,Translation!$A$7,$K255))))))),Translation!$A$7)</f>
        <v/>
      </c>
      <c r="F255" s="22"/>
      <c r="G255" s="23"/>
      <c r="H255" s="24"/>
    </row>
    <row r="256">
      <c r="D256" s="14"/>
      <c r="E256" s="21" t="str">
        <f>IFERROR(IF($A256="",,IF($I256="",Translation!$A$2,IF($L256="",Translation!$A$3,IF($N256&lt;&gt;$B256,Translation!$A$4,IF(IFERROR($F256,)="",Translation!$A$5,IF($H256&gt;TIME(0,5,0),Translation!$A$6,IF($M256,Translation!$A$7,$K256))))))),Translation!$A$7)</f>
        <v/>
      </c>
      <c r="F256" s="22"/>
      <c r="G256" s="23"/>
      <c r="H256" s="24"/>
    </row>
    <row r="257">
      <c r="D257" s="14"/>
      <c r="E257" s="21" t="str">
        <f>IFERROR(IF($A257="",,IF($I257="",Translation!$A$2,IF($L257="",Translation!$A$3,IF($N257&lt;&gt;$B257,Translation!$A$4,IF(IFERROR($F257,)="",Translation!$A$5,IF($H257&gt;TIME(0,5,0),Translation!$A$6,IF($M257,Translation!$A$7,$K257))))))),Translation!$A$7)</f>
        <v/>
      </c>
      <c r="F257" s="22"/>
      <c r="G257" s="23"/>
      <c r="H257" s="24"/>
    </row>
    <row r="258">
      <c r="D258" s="14"/>
      <c r="E258" s="21" t="str">
        <f>IFERROR(IF($A258="",,IF($I258="",Translation!$A$2,IF($L258="",Translation!$A$3,IF($N258&lt;&gt;$B258,Translation!$A$4,IF(IFERROR($F258,)="",Translation!$A$5,IF($H258&gt;TIME(0,5,0),Translation!$A$6,IF($M258,Translation!$A$7,$K258))))))),Translation!$A$7)</f>
        <v/>
      </c>
      <c r="F258" s="22"/>
      <c r="G258" s="23"/>
      <c r="H258" s="24"/>
    </row>
    <row r="259">
      <c r="D259" s="14"/>
      <c r="E259" s="21" t="str">
        <f>IFERROR(IF($A259="",,IF($I259="",Translation!$A$2,IF($L259="",Translation!$A$3,IF($N259&lt;&gt;$B259,Translation!$A$4,IF(IFERROR($F259,)="",Translation!$A$5,IF($H259&gt;TIME(0,5,0),Translation!$A$6,IF($M259,Translation!$A$7,$K259))))))),Translation!$A$7)</f>
        <v/>
      </c>
      <c r="F259" s="22"/>
      <c r="G259" s="23"/>
      <c r="H259" s="24"/>
    </row>
    <row r="260">
      <c r="D260" s="14"/>
      <c r="E260" s="21" t="str">
        <f>IFERROR(IF($A260="",,IF($I260="",Translation!$A$2,IF($L260="",Translation!$A$3,IF($N260&lt;&gt;$B260,Translation!$A$4,IF(IFERROR($F260,)="",Translation!$A$5,IF($H260&gt;TIME(0,5,0),Translation!$A$6,IF($M260,Translation!$A$7,$K260))))))),Translation!$A$7)</f>
        <v/>
      </c>
      <c r="F260" s="22"/>
      <c r="G260" s="23"/>
      <c r="H260" s="24"/>
    </row>
    <row r="261">
      <c r="D261" s="14"/>
      <c r="E261" s="21" t="str">
        <f>IFERROR(IF($A261="",,IF($I261="",Translation!$A$2,IF($L261="",Translation!$A$3,IF($N261&lt;&gt;$B261,Translation!$A$4,IF(IFERROR($F261,)="",Translation!$A$5,IF($H261&gt;TIME(0,5,0),Translation!$A$6,IF($M261,Translation!$A$7,$K261))))))),Translation!$A$7)</f>
        <v/>
      </c>
      <c r="F261" s="22"/>
      <c r="G261" s="23"/>
      <c r="H261" s="24"/>
    </row>
    <row r="262">
      <c r="D262" s="14"/>
      <c r="E262" s="21" t="str">
        <f>IFERROR(IF($A262="",,IF($I262="",Translation!$A$2,IF($L262="",Translation!$A$3,IF($N262&lt;&gt;$B262,Translation!$A$4,IF(IFERROR($F262,)="",Translation!$A$5,IF($H262&gt;TIME(0,5,0),Translation!$A$6,IF($M262,Translation!$A$7,$K262))))))),Translation!$A$7)</f>
        <v/>
      </c>
      <c r="F262" s="22"/>
      <c r="G262" s="23"/>
      <c r="H262" s="24"/>
    </row>
    <row r="263">
      <c r="D263" s="14"/>
      <c r="E263" s="21" t="str">
        <f>IFERROR(IF($A263="",,IF($I263="",Translation!$A$2,IF($L263="",Translation!$A$3,IF($N263&lt;&gt;$B263,Translation!$A$4,IF(IFERROR($F263,)="",Translation!$A$5,IF($H263&gt;TIME(0,5,0),Translation!$A$6,IF($M263,Translation!$A$7,$K263))))))),Translation!$A$7)</f>
        <v/>
      </c>
      <c r="F263" s="22"/>
      <c r="G263" s="23"/>
      <c r="H263" s="24"/>
    </row>
    <row r="264">
      <c r="D264" s="14"/>
      <c r="E264" s="21" t="str">
        <f>IFERROR(IF($A264="",,IF($I264="",Translation!$A$2,IF($L264="",Translation!$A$3,IF($N264&lt;&gt;$B264,Translation!$A$4,IF(IFERROR($F264,)="",Translation!$A$5,IF($H264&gt;TIME(0,5,0),Translation!$A$6,IF($M264,Translation!$A$7,$K264))))))),Translation!$A$7)</f>
        <v/>
      </c>
      <c r="F264" s="22"/>
      <c r="G264" s="23"/>
      <c r="H264" s="24"/>
    </row>
    <row r="265">
      <c r="D265" s="14"/>
      <c r="E265" s="21" t="str">
        <f>IFERROR(IF($A265="",,IF($I265="",Translation!$A$2,IF($L265="",Translation!$A$3,IF($N265&lt;&gt;$B265,Translation!$A$4,IF(IFERROR($F265,)="",Translation!$A$5,IF($H265&gt;TIME(0,5,0),Translation!$A$6,IF($M265,Translation!$A$7,$K265))))))),Translation!$A$7)</f>
        <v/>
      </c>
      <c r="F265" s="22"/>
      <c r="G265" s="23"/>
      <c r="H265" s="24"/>
    </row>
    <row r="266">
      <c r="D266" s="14"/>
      <c r="E266" s="21" t="str">
        <f>IFERROR(IF($A266="",,IF($I266="",Translation!$A$2,IF($L266="",Translation!$A$3,IF($N266&lt;&gt;$B266,Translation!$A$4,IF(IFERROR($F266,)="",Translation!$A$5,IF($H266&gt;TIME(0,5,0),Translation!$A$6,IF($M266,Translation!$A$7,$K266))))))),Translation!$A$7)</f>
        <v/>
      </c>
      <c r="F266" s="22"/>
      <c r="G266" s="23"/>
      <c r="H266" s="24"/>
    </row>
    <row r="267">
      <c r="D267" s="14"/>
      <c r="E267" s="21" t="str">
        <f>IFERROR(IF($A267="",,IF($I267="",Translation!$A$2,IF($L267="",Translation!$A$3,IF($N267&lt;&gt;$B267,Translation!$A$4,IF(IFERROR($F267,)="",Translation!$A$5,IF($H267&gt;TIME(0,5,0),Translation!$A$6,IF($M267,Translation!$A$7,$K267))))))),Translation!$A$7)</f>
        <v/>
      </c>
      <c r="F267" s="22"/>
      <c r="G267" s="23"/>
      <c r="H267" s="24"/>
    </row>
    <row r="268">
      <c r="D268" s="14"/>
      <c r="E268" s="21" t="str">
        <f>IFERROR(IF($A268="",,IF($I268="",Translation!$A$2,IF($L268="",Translation!$A$3,IF($N268&lt;&gt;$B268,Translation!$A$4,IF(IFERROR($F268,)="",Translation!$A$5,IF($H268&gt;TIME(0,5,0),Translation!$A$6,IF($M268,Translation!$A$7,$K268))))))),Translation!$A$7)</f>
        <v/>
      </c>
      <c r="F268" s="22"/>
      <c r="G268" s="23"/>
      <c r="H268" s="24"/>
    </row>
    <row r="269">
      <c r="D269" s="14"/>
      <c r="E269" s="21" t="str">
        <f>IFERROR(IF($A269="",,IF($I269="",Translation!$A$2,IF($L269="",Translation!$A$3,IF($N269&lt;&gt;$B269,Translation!$A$4,IF(IFERROR($F269,)="",Translation!$A$5,IF($H269&gt;TIME(0,5,0),Translation!$A$6,IF($M269,Translation!$A$7,$K269))))))),Translation!$A$7)</f>
        <v/>
      </c>
      <c r="F269" s="22"/>
      <c r="G269" s="23"/>
      <c r="H269" s="24"/>
    </row>
    <row r="270">
      <c r="D270" s="14"/>
      <c r="E270" s="21" t="str">
        <f>IFERROR(IF($A270="",,IF($I270="",Translation!$A$2,IF($L270="",Translation!$A$3,IF($N270&lt;&gt;$B270,Translation!$A$4,IF(IFERROR($F270,)="",Translation!$A$5,IF($H270&gt;TIME(0,5,0),Translation!$A$6,IF($M270,Translation!$A$7,$K270))))))),Translation!$A$7)</f>
        <v/>
      </c>
      <c r="F270" s="22"/>
      <c r="G270" s="23"/>
      <c r="H270" s="24"/>
    </row>
    <row r="271">
      <c r="D271" s="14"/>
      <c r="E271" s="21" t="str">
        <f>IFERROR(IF($A271="",,IF($I271="",Translation!$A$2,IF($L271="",Translation!$A$3,IF($N271&lt;&gt;$B271,Translation!$A$4,IF(IFERROR($F271,)="",Translation!$A$5,IF($H271&gt;TIME(0,5,0),Translation!$A$6,IF($M271,Translation!$A$7,$K271))))))),Translation!$A$7)</f>
        <v/>
      </c>
      <c r="F271" s="22"/>
      <c r="G271" s="23"/>
      <c r="H271" s="24"/>
    </row>
    <row r="272">
      <c r="D272" s="14"/>
      <c r="E272" s="21" t="str">
        <f>IFERROR(IF($A272="",,IF($I272="",Translation!$A$2,IF($L272="",Translation!$A$3,IF($N272&lt;&gt;$B272,Translation!$A$4,IF(IFERROR($F272,)="",Translation!$A$5,IF($H272&gt;TIME(0,5,0),Translation!$A$6,IF($M272,Translation!$A$7,$K272))))))),Translation!$A$7)</f>
        <v/>
      </c>
      <c r="F272" s="22"/>
      <c r="G272" s="23"/>
      <c r="H272" s="24"/>
    </row>
    <row r="273">
      <c r="D273" s="14"/>
      <c r="E273" s="21" t="str">
        <f>IFERROR(IF($A273="",,IF($I273="",Translation!$A$2,IF($L273="",Translation!$A$3,IF($N273&lt;&gt;$B273,Translation!$A$4,IF(IFERROR($F273,)="",Translation!$A$5,IF($H273&gt;TIME(0,5,0),Translation!$A$6,IF($M273,Translation!$A$7,$K273))))))),Translation!$A$7)</f>
        <v/>
      </c>
      <c r="F273" s="22"/>
      <c r="G273" s="23"/>
      <c r="H273" s="24"/>
    </row>
    <row r="274">
      <c r="D274" s="14"/>
      <c r="E274" s="21" t="str">
        <f>IFERROR(IF($A274="",,IF($I274="",Translation!$A$2,IF($L274="",Translation!$A$3,IF($N274&lt;&gt;$B274,Translation!$A$4,IF(IFERROR($F274,)="",Translation!$A$5,IF($H274&gt;TIME(0,5,0),Translation!$A$6,IF($M274,Translation!$A$7,$K274))))))),Translation!$A$7)</f>
        <v/>
      </c>
      <c r="F274" s="22"/>
      <c r="G274" s="23"/>
      <c r="H274" s="24"/>
    </row>
    <row r="275">
      <c r="D275" s="14"/>
      <c r="E275" s="21" t="str">
        <f>IFERROR(IF($A275="",,IF($I275="",Translation!$A$2,IF($L275="",Translation!$A$3,IF($N275&lt;&gt;$B275,Translation!$A$4,IF(IFERROR($F275,)="",Translation!$A$5,IF($H275&gt;TIME(0,5,0),Translation!$A$6,IF($M275,Translation!$A$7,$K275))))))),Translation!$A$7)</f>
        <v/>
      </c>
      <c r="F275" s="22"/>
      <c r="G275" s="23"/>
      <c r="H275" s="24"/>
    </row>
    <row r="276">
      <c r="D276" s="14"/>
      <c r="E276" s="21" t="str">
        <f>IFERROR(IF($A276="",,IF($I276="",Translation!$A$2,IF($L276="",Translation!$A$3,IF($N276&lt;&gt;$B276,Translation!$A$4,IF(IFERROR($F276,)="",Translation!$A$5,IF($H276&gt;TIME(0,5,0),Translation!$A$6,IF($M276,Translation!$A$7,$K276))))))),Translation!$A$7)</f>
        <v/>
      </c>
      <c r="F276" s="22"/>
      <c r="G276" s="23"/>
      <c r="H276" s="24"/>
    </row>
    <row r="277">
      <c r="D277" s="14"/>
      <c r="E277" s="21" t="str">
        <f>IFERROR(IF($A277="",,IF($I277="",Translation!$A$2,IF($L277="",Translation!$A$3,IF($N277&lt;&gt;$B277,Translation!$A$4,IF(IFERROR($F277,)="",Translation!$A$5,IF($H277&gt;TIME(0,5,0),Translation!$A$6,IF($M277,Translation!$A$7,$K277))))))),Translation!$A$7)</f>
        <v/>
      </c>
      <c r="F277" s="22"/>
      <c r="G277" s="23"/>
      <c r="H277" s="24"/>
    </row>
    <row r="278">
      <c r="D278" s="14"/>
      <c r="E278" s="21" t="str">
        <f>IFERROR(IF($A278="",,IF($I278="",Translation!$A$2,IF($L278="",Translation!$A$3,IF($N278&lt;&gt;$B278,Translation!$A$4,IF(IFERROR($F278,)="",Translation!$A$5,IF($H278&gt;TIME(0,5,0),Translation!$A$6,IF($M278,Translation!$A$7,$K278))))))),Translation!$A$7)</f>
        <v/>
      </c>
      <c r="F278" s="22"/>
      <c r="G278" s="23"/>
      <c r="H278" s="24"/>
    </row>
    <row r="279">
      <c r="D279" s="14"/>
      <c r="E279" s="21" t="str">
        <f>IFERROR(IF($A279="",,IF($I279="",Translation!$A$2,IF($L279="",Translation!$A$3,IF($N279&lt;&gt;$B279,Translation!$A$4,IF(IFERROR($F279,)="",Translation!$A$5,IF($H279&gt;TIME(0,5,0),Translation!$A$6,IF($M279,Translation!$A$7,$K279))))))),Translation!$A$7)</f>
        <v/>
      </c>
      <c r="F279" s="22"/>
      <c r="G279" s="23"/>
      <c r="H279" s="24"/>
    </row>
    <row r="280">
      <c r="D280" s="14"/>
      <c r="E280" s="21" t="str">
        <f>IFERROR(IF($A280="",,IF($I280="",Translation!$A$2,IF($L280="",Translation!$A$3,IF($N280&lt;&gt;$B280,Translation!$A$4,IF(IFERROR($F280,)="",Translation!$A$5,IF($H280&gt;TIME(0,5,0),Translation!$A$6,IF($M280,Translation!$A$7,$K280))))))),Translation!$A$7)</f>
        <v/>
      </c>
      <c r="F280" s="22"/>
      <c r="G280" s="23"/>
      <c r="H280" s="24"/>
    </row>
    <row r="281">
      <c r="D281" s="14"/>
      <c r="E281" s="21" t="str">
        <f>IFERROR(IF($A281="",,IF($I281="",Translation!$A$2,IF($L281="",Translation!$A$3,IF($N281&lt;&gt;$B281,Translation!$A$4,IF(IFERROR($F281,)="",Translation!$A$5,IF($H281&gt;TIME(0,5,0),Translation!$A$6,IF($M281,Translation!$A$7,$K281))))))),Translation!$A$7)</f>
        <v/>
      </c>
      <c r="F281" s="22"/>
      <c r="G281" s="23"/>
      <c r="H281" s="24"/>
    </row>
    <row r="282">
      <c r="D282" s="14"/>
      <c r="E282" s="21" t="str">
        <f>IFERROR(IF($A282="",,IF($I282="",Translation!$A$2,IF($L282="",Translation!$A$3,IF($N282&lt;&gt;$B282,Translation!$A$4,IF(IFERROR($F282,)="",Translation!$A$5,IF($H282&gt;TIME(0,5,0),Translation!$A$6,IF($M282,Translation!$A$7,$K282))))))),Translation!$A$7)</f>
        <v/>
      </c>
      <c r="F282" s="22"/>
      <c r="G282" s="23"/>
      <c r="H282" s="24"/>
    </row>
    <row r="283">
      <c r="D283" s="14"/>
      <c r="E283" s="21" t="str">
        <f>IFERROR(IF($A283="",,IF($I283="",Translation!$A$2,IF($L283="",Translation!$A$3,IF($N283&lt;&gt;$B283,Translation!$A$4,IF(IFERROR($F283,)="",Translation!$A$5,IF($H283&gt;TIME(0,5,0),Translation!$A$6,IF($M283,Translation!$A$7,$K283))))))),Translation!$A$7)</f>
        <v/>
      </c>
      <c r="F283" s="22"/>
      <c r="G283" s="23"/>
      <c r="H283" s="24"/>
    </row>
    <row r="284">
      <c r="D284" s="14"/>
      <c r="E284" s="21" t="str">
        <f>IFERROR(IF($A284="",,IF($I284="",Translation!$A$2,IF($L284="",Translation!$A$3,IF($N284&lt;&gt;$B284,Translation!$A$4,IF(IFERROR($F284,)="",Translation!$A$5,IF($H284&gt;TIME(0,5,0),Translation!$A$6,IF($M284,Translation!$A$7,$K284))))))),Translation!$A$7)</f>
        <v/>
      </c>
      <c r="F284" s="22"/>
      <c r="G284" s="23"/>
      <c r="H284" s="24"/>
    </row>
    <row r="285">
      <c r="D285" s="14"/>
      <c r="E285" s="21" t="str">
        <f>IFERROR(IF($A285="",,IF($I285="",Translation!$A$2,IF($L285="",Translation!$A$3,IF($N285&lt;&gt;$B285,Translation!$A$4,IF(IFERROR($F285,)="",Translation!$A$5,IF($H285&gt;TIME(0,5,0),Translation!$A$6,IF($M285,Translation!$A$7,$K285))))))),Translation!$A$7)</f>
        <v/>
      </c>
      <c r="F285" s="22"/>
      <c r="G285" s="23"/>
      <c r="H285" s="24"/>
    </row>
    <row r="286">
      <c r="D286" s="14"/>
      <c r="E286" s="21" t="str">
        <f>IFERROR(IF($A286="",,IF($I286="",Translation!$A$2,IF($L286="",Translation!$A$3,IF($N286&lt;&gt;$B286,Translation!$A$4,IF(IFERROR($F286,)="",Translation!$A$5,IF($H286&gt;TIME(0,5,0),Translation!$A$6,IF($M286,Translation!$A$7,$K286))))))),Translation!$A$7)</f>
        <v/>
      </c>
      <c r="F286" s="22"/>
      <c r="G286" s="23"/>
      <c r="H286" s="24"/>
    </row>
    <row r="287">
      <c r="D287" s="14"/>
      <c r="E287" s="21" t="str">
        <f>IFERROR(IF($A287="",,IF($I287="",Translation!$A$2,IF($L287="",Translation!$A$3,IF($N287&lt;&gt;$B287,Translation!$A$4,IF(IFERROR($F287,)="",Translation!$A$5,IF($H287&gt;TIME(0,5,0),Translation!$A$6,IF($M287,Translation!$A$7,$K287))))))),Translation!$A$7)</f>
        <v/>
      </c>
      <c r="F287" s="22"/>
      <c r="G287" s="23"/>
      <c r="H287" s="24"/>
    </row>
    <row r="288">
      <c r="D288" s="14"/>
      <c r="E288" s="21" t="str">
        <f>IFERROR(IF($A288="",,IF($I288="",Translation!$A$2,IF($L288="",Translation!$A$3,IF($N288&lt;&gt;$B288,Translation!$A$4,IF(IFERROR($F288,)="",Translation!$A$5,IF($H288&gt;TIME(0,5,0),Translation!$A$6,IF($M288,Translation!$A$7,$K288))))))),Translation!$A$7)</f>
        <v/>
      </c>
      <c r="F288" s="22"/>
      <c r="G288" s="23"/>
      <c r="H288" s="24"/>
    </row>
    <row r="289">
      <c r="D289" s="14"/>
      <c r="E289" s="21" t="str">
        <f>IFERROR(IF($A289="",,IF($I289="",Translation!$A$2,IF($L289="",Translation!$A$3,IF($N289&lt;&gt;$B289,Translation!$A$4,IF(IFERROR($F289,)="",Translation!$A$5,IF($H289&gt;TIME(0,5,0),Translation!$A$6,IF($M289,Translation!$A$7,$K289))))))),Translation!$A$7)</f>
        <v/>
      </c>
      <c r="F289" s="22"/>
      <c r="G289" s="23"/>
      <c r="H289" s="24"/>
    </row>
    <row r="290">
      <c r="D290" s="14"/>
      <c r="E290" s="21" t="str">
        <f>IFERROR(IF($A290="",,IF($I290="",Translation!$A$2,IF($L290="",Translation!$A$3,IF($N290&lt;&gt;$B290,Translation!$A$4,IF(IFERROR($F290,)="",Translation!$A$5,IF($H290&gt;TIME(0,5,0),Translation!$A$6,IF($M290,Translation!$A$7,$K290))))))),Translation!$A$7)</f>
        <v/>
      </c>
      <c r="F290" s="22"/>
      <c r="G290" s="23"/>
      <c r="H290" s="24"/>
    </row>
    <row r="291">
      <c r="D291" s="14"/>
      <c r="E291" s="21" t="str">
        <f>IFERROR(IF($A291="",,IF($I291="",Translation!$A$2,IF($L291="",Translation!$A$3,IF($N291&lt;&gt;$B291,Translation!$A$4,IF(IFERROR($F291,)="",Translation!$A$5,IF($H291&gt;TIME(0,5,0),Translation!$A$6,IF($M291,Translation!$A$7,$K291))))))),Translation!$A$7)</f>
        <v/>
      </c>
      <c r="F291" s="22"/>
      <c r="G291" s="23"/>
      <c r="H291" s="24"/>
    </row>
    <row r="292">
      <c r="D292" s="14"/>
      <c r="E292" s="21" t="str">
        <f>IFERROR(IF($A292="",,IF($I292="",Translation!$A$2,IF($L292="",Translation!$A$3,IF($N292&lt;&gt;$B292,Translation!$A$4,IF(IFERROR($F292,)="",Translation!$A$5,IF($H292&gt;TIME(0,5,0),Translation!$A$6,IF($M292,Translation!$A$7,$K292))))))),Translation!$A$7)</f>
        <v/>
      </c>
      <c r="F292" s="22"/>
      <c r="G292" s="23"/>
      <c r="H292" s="24"/>
    </row>
    <row r="293">
      <c r="D293" s="14"/>
      <c r="E293" s="21" t="str">
        <f>IFERROR(IF($A293="",,IF($I293="",Translation!$A$2,IF($L293="",Translation!$A$3,IF($N293&lt;&gt;$B293,Translation!$A$4,IF(IFERROR($F293,)="",Translation!$A$5,IF($H293&gt;TIME(0,5,0),Translation!$A$6,IF($M293,Translation!$A$7,$K293))))))),Translation!$A$7)</f>
        <v/>
      </c>
      <c r="F293" s="22"/>
      <c r="G293" s="23"/>
      <c r="H293" s="24"/>
    </row>
    <row r="294">
      <c r="D294" s="14"/>
      <c r="E294" s="21" t="str">
        <f>IFERROR(IF($A294="",,IF($I294="",Translation!$A$2,IF($L294="",Translation!$A$3,IF($N294&lt;&gt;$B294,Translation!$A$4,IF(IFERROR($F294,)="",Translation!$A$5,IF($H294&gt;TIME(0,5,0),Translation!$A$6,IF($M294,Translation!$A$7,$K294))))))),Translation!$A$7)</f>
        <v/>
      </c>
      <c r="F294" s="22"/>
      <c r="G294" s="23"/>
      <c r="H294" s="24"/>
    </row>
    <row r="295">
      <c r="D295" s="14"/>
      <c r="E295" s="21" t="str">
        <f>IFERROR(IF($A295="",,IF($I295="",Translation!$A$2,IF($L295="",Translation!$A$3,IF($N295&lt;&gt;$B295,Translation!$A$4,IF(IFERROR($F295,)="",Translation!$A$5,IF($H295&gt;TIME(0,5,0),Translation!$A$6,IF($M295,Translation!$A$7,$K295))))))),Translation!$A$7)</f>
        <v/>
      </c>
      <c r="F295" s="22"/>
      <c r="G295" s="23"/>
      <c r="H295" s="24"/>
    </row>
    <row r="296">
      <c r="D296" s="14"/>
      <c r="E296" s="21" t="str">
        <f>IFERROR(IF($A296="",,IF($I296="",Translation!$A$2,IF($L296="",Translation!$A$3,IF($N296&lt;&gt;$B296,Translation!$A$4,IF(IFERROR($F296,)="",Translation!$A$5,IF($H296&gt;TIME(0,5,0),Translation!$A$6,IF($M296,Translation!$A$7,$K296))))))),Translation!$A$7)</f>
        <v/>
      </c>
      <c r="F296" s="22"/>
      <c r="G296" s="23"/>
      <c r="H296" s="24"/>
    </row>
    <row r="297">
      <c r="D297" s="14"/>
      <c r="E297" s="21" t="str">
        <f>IFERROR(IF($A297="",,IF($I297="",Translation!$A$2,IF($L297="",Translation!$A$3,IF($N297&lt;&gt;$B297,Translation!$A$4,IF(IFERROR($F297,)="",Translation!$A$5,IF($H297&gt;TIME(0,5,0),Translation!$A$6,IF($M297,Translation!$A$7,$K297))))))),Translation!$A$7)</f>
        <v/>
      </c>
      <c r="F297" s="22"/>
      <c r="G297" s="23"/>
      <c r="H297" s="24"/>
    </row>
    <row r="298">
      <c r="D298" s="14"/>
      <c r="E298" s="21" t="str">
        <f>IFERROR(IF($A298="",,IF($I298="",Translation!$A$2,IF($L298="",Translation!$A$3,IF($N298&lt;&gt;$B298,Translation!$A$4,IF(IFERROR($F298,)="",Translation!$A$5,IF($H298&gt;TIME(0,5,0),Translation!$A$6,IF($M298,Translation!$A$7,$K298))))))),Translation!$A$7)</f>
        <v/>
      </c>
      <c r="F298" s="22"/>
      <c r="G298" s="23"/>
      <c r="H298" s="24"/>
    </row>
    <row r="299">
      <c r="D299" s="14"/>
      <c r="E299" s="21" t="str">
        <f>IFERROR(IF($A299="",,IF($I299="",Translation!$A$2,IF($L299="",Translation!$A$3,IF($N299&lt;&gt;$B299,Translation!$A$4,IF(IFERROR($F299,)="",Translation!$A$5,IF($H299&gt;TIME(0,5,0),Translation!$A$6,IF($M299,Translation!$A$7,$K299))))))),Translation!$A$7)</f>
        <v/>
      </c>
      <c r="F299" s="22"/>
      <c r="G299" s="23"/>
      <c r="H299" s="24"/>
    </row>
    <row r="300">
      <c r="D300" s="14"/>
      <c r="E300" s="21" t="str">
        <f>IFERROR(IF($A300="",,IF($I300="",Translation!$A$2,IF($L300="",Translation!$A$3,IF($N300&lt;&gt;$B300,Translation!$A$4,IF(IFERROR($F300,)="",Translation!$A$5,IF($H300&gt;TIME(0,5,0),Translation!$A$6,IF($M300,Translation!$A$7,$K300))))))),Translation!$A$7)</f>
        <v/>
      </c>
      <c r="F300" s="22"/>
      <c r="G300" s="23"/>
      <c r="H300" s="24"/>
    </row>
    <row r="301">
      <c r="D301" s="14"/>
      <c r="E301" s="21" t="str">
        <f>IFERROR(IF($A301="",,IF($I301="",Translation!$A$2,IF($L301="",Translation!$A$3,IF($N301&lt;&gt;$B301,Translation!$A$4,IF(IFERROR($F301,)="",Translation!$A$5,IF($H301&gt;TIME(0,5,0),Translation!$A$6,IF($M301,Translation!$A$7,$K301))))))),Translation!$A$7)</f>
        <v/>
      </c>
      <c r="F301" s="22"/>
      <c r="G301" s="23"/>
      <c r="H301" s="24"/>
    </row>
    <row r="302">
      <c r="D302" s="14"/>
      <c r="E302" s="21" t="str">
        <f>IFERROR(IF($A302="",,IF($I302="",Translation!$A$2,IF($L302="",Translation!$A$3,IF($N302&lt;&gt;$B302,Translation!$A$4,IF(IFERROR($F302,)="",Translation!$A$5,IF($H302&gt;TIME(0,5,0),Translation!$A$6,IF($M302,Translation!$A$7,$K302))))))),Translation!$A$7)</f>
        <v/>
      </c>
      <c r="F302" s="22"/>
      <c r="G302" s="23"/>
      <c r="H302" s="24"/>
    </row>
    <row r="303">
      <c r="D303" s="14"/>
      <c r="E303" s="21" t="str">
        <f>IFERROR(IF($A303="",,IF($I303="",Translation!$A$2,IF($L303="",Translation!$A$3,IF($N303&lt;&gt;$B303,Translation!$A$4,IF(IFERROR($F303,)="",Translation!$A$5,IF($H303&gt;TIME(0,5,0),Translation!$A$6,IF($M303,Translation!$A$7,$K303))))))),Translation!$A$7)</f>
        <v/>
      </c>
      <c r="F303" s="22"/>
      <c r="G303" s="23"/>
      <c r="H303" s="24"/>
    </row>
    <row r="304">
      <c r="D304" s="14"/>
      <c r="E304" s="21" t="str">
        <f>IFERROR(IF($A304="",,IF($I304="",Translation!$A$2,IF($L304="",Translation!$A$3,IF($N304&lt;&gt;$B304,Translation!$A$4,IF(IFERROR($F304,)="",Translation!$A$5,IF($H304&gt;TIME(0,5,0),Translation!$A$6,IF($M304,Translation!$A$7,$K304))))))),Translation!$A$7)</f>
        <v/>
      </c>
      <c r="F304" s="22"/>
      <c r="G304" s="23"/>
      <c r="H304" s="24"/>
    </row>
    <row r="305">
      <c r="D305" s="14"/>
      <c r="E305" s="21" t="str">
        <f>IFERROR(IF($A305="",,IF($I305="",Translation!$A$2,IF($L305="",Translation!$A$3,IF($N305&lt;&gt;$B305,Translation!$A$4,IF(IFERROR($F305,)="",Translation!$A$5,IF($H305&gt;TIME(0,5,0),Translation!$A$6,IF($M305,Translation!$A$7,$K305))))))),Translation!$A$7)</f>
        <v/>
      </c>
      <c r="F305" s="22"/>
      <c r="G305" s="23"/>
      <c r="H305" s="24"/>
    </row>
    <row r="306">
      <c r="D306" s="14"/>
      <c r="E306" s="21" t="str">
        <f>IFERROR(IF($A306="",,IF($I306="",Translation!$A$2,IF($L306="",Translation!$A$3,IF($N306&lt;&gt;$B306,Translation!$A$4,IF(IFERROR($F306,)="",Translation!$A$5,IF($H306&gt;TIME(0,5,0),Translation!$A$6,IF($M306,Translation!$A$7,$K306))))))),Translation!$A$7)</f>
        <v/>
      </c>
      <c r="F306" s="22"/>
      <c r="G306" s="23"/>
      <c r="H306" s="24"/>
    </row>
    <row r="307">
      <c r="D307" s="14"/>
      <c r="E307" s="21" t="str">
        <f>IFERROR(IF($A307="",,IF($I307="",Translation!$A$2,IF($L307="",Translation!$A$3,IF($N307&lt;&gt;$B307,Translation!$A$4,IF(IFERROR($F307,)="",Translation!$A$5,IF($H307&gt;TIME(0,5,0),Translation!$A$6,IF($M307,Translation!$A$7,$K307))))))),Translation!$A$7)</f>
        <v/>
      </c>
      <c r="F307" s="22"/>
      <c r="G307" s="23"/>
      <c r="H307" s="24"/>
    </row>
    <row r="308">
      <c r="D308" s="14"/>
      <c r="E308" s="21" t="str">
        <f>IFERROR(IF($A308="",,IF($I308="",Translation!$A$2,IF($L308="",Translation!$A$3,IF($N308&lt;&gt;$B308,Translation!$A$4,IF(IFERROR($F308,)="",Translation!$A$5,IF($H308&gt;TIME(0,5,0),Translation!$A$6,IF($M308,Translation!$A$7,$K308))))))),Translation!$A$7)</f>
        <v/>
      </c>
      <c r="F308" s="22"/>
      <c r="G308" s="23"/>
      <c r="H308" s="24"/>
    </row>
    <row r="309">
      <c r="D309" s="14"/>
      <c r="E309" s="21" t="str">
        <f>IFERROR(IF($A309="",,IF($I309="",Translation!$A$2,IF($L309="",Translation!$A$3,IF($N309&lt;&gt;$B309,Translation!$A$4,IF(IFERROR($F309,)="",Translation!$A$5,IF($H309&gt;TIME(0,5,0),Translation!$A$6,IF($M309,Translation!$A$7,$K309))))))),Translation!$A$7)</f>
        <v/>
      </c>
      <c r="F309" s="22"/>
      <c r="G309" s="23"/>
      <c r="H309" s="24"/>
    </row>
    <row r="310">
      <c r="D310" s="14"/>
      <c r="E310" s="21" t="str">
        <f>IFERROR(IF($A310="",,IF($I310="",Translation!$A$2,IF($L310="",Translation!$A$3,IF($N310&lt;&gt;$B310,Translation!$A$4,IF(IFERROR($F310,)="",Translation!$A$5,IF($H310&gt;TIME(0,5,0),Translation!$A$6,IF($M310,Translation!$A$7,$K310))))))),Translation!$A$7)</f>
        <v/>
      </c>
      <c r="F310" s="22"/>
      <c r="G310" s="23"/>
      <c r="H310" s="24"/>
    </row>
    <row r="311">
      <c r="D311" s="14"/>
      <c r="E311" s="21" t="str">
        <f>IFERROR(IF($A311="",,IF($I311="",Translation!$A$2,IF($L311="",Translation!$A$3,IF($N311&lt;&gt;$B311,Translation!$A$4,IF(IFERROR($F311,)="",Translation!$A$5,IF($H311&gt;TIME(0,5,0),Translation!$A$6,IF($M311,Translation!$A$7,$K311))))))),Translation!$A$7)</f>
        <v/>
      </c>
      <c r="F311" s="22"/>
      <c r="G311" s="23"/>
      <c r="H311" s="24"/>
    </row>
    <row r="312">
      <c r="D312" s="14"/>
      <c r="E312" s="21" t="str">
        <f>IFERROR(IF($A312="",,IF($I312="",Translation!$A$2,IF($L312="",Translation!$A$3,IF($N312&lt;&gt;$B312,Translation!$A$4,IF(IFERROR($F312,)="",Translation!$A$5,IF($H312&gt;TIME(0,5,0),Translation!$A$6,IF($M312,Translation!$A$7,$K312))))))),Translation!$A$7)</f>
        <v/>
      </c>
      <c r="F312" s="22"/>
      <c r="G312" s="23"/>
      <c r="H312" s="24"/>
    </row>
    <row r="313">
      <c r="D313" s="14"/>
      <c r="E313" s="21" t="str">
        <f>IFERROR(IF($A313="",,IF($I313="",Translation!$A$2,IF($L313="",Translation!$A$3,IF($N313&lt;&gt;$B313,Translation!$A$4,IF(IFERROR($F313,)="",Translation!$A$5,IF($H313&gt;TIME(0,5,0),Translation!$A$6,IF($M313,Translation!$A$7,$K313))))))),Translation!$A$7)</f>
        <v/>
      </c>
      <c r="F313" s="22"/>
      <c r="G313" s="23"/>
      <c r="H313" s="24"/>
    </row>
    <row r="314">
      <c r="D314" s="14"/>
      <c r="E314" s="21" t="str">
        <f>IFERROR(IF($A314="",,IF($I314="",Translation!$A$2,IF($L314="",Translation!$A$3,IF($N314&lt;&gt;$B314,Translation!$A$4,IF(IFERROR($F314,)="",Translation!$A$5,IF($H314&gt;TIME(0,5,0),Translation!$A$6,IF($M314,Translation!$A$7,$K314))))))),Translation!$A$7)</f>
        <v/>
      </c>
      <c r="F314" s="22"/>
      <c r="G314" s="23"/>
      <c r="H314" s="24"/>
    </row>
    <row r="315">
      <c r="D315" s="14"/>
      <c r="E315" s="21" t="str">
        <f>IFERROR(IF($A315="",,IF($I315="",Translation!$A$2,IF($L315="",Translation!$A$3,IF($N315&lt;&gt;$B315,Translation!$A$4,IF(IFERROR($F315,)="",Translation!$A$5,IF($H315&gt;TIME(0,5,0),Translation!$A$6,IF($M315,Translation!$A$7,$K315))))))),Translation!$A$7)</f>
        <v/>
      </c>
      <c r="F315" s="22"/>
      <c r="G315" s="23"/>
      <c r="H315" s="24"/>
    </row>
    <row r="316">
      <c r="D316" s="14"/>
      <c r="E316" s="21" t="str">
        <f>IFERROR(IF($A316="",,IF($I316="",Translation!$A$2,IF($L316="",Translation!$A$3,IF($N316&lt;&gt;$B316,Translation!$A$4,IF(IFERROR($F316,)="",Translation!$A$5,IF($H316&gt;TIME(0,5,0),Translation!$A$6,IF($M316,Translation!$A$7,$K316))))))),Translation!$A$7)</f>
        <v/>
      </c>
      <c r="F316" s="22"/>
      <c r="G316" s="23"/>
      <c r="H316" s="24"/>
    </row>
    <row r="317">
      <c r="D317" s="14"/>
      <c r="E317" s="21" t="str">
        <f>IFERROR(IF($A317="",,IF($I317="",Translation!$A$2,IF($L317="",Translation!$A$3,IF($N317&lt;&gt;$B317,Translation!$A$4,IF(IFERROR($F317,)="",Translation!$A$5,IF($H317&gt;TIME(0,5,0),Translation!$A$6,IF($M317,Translation!$A$7,$K317))))))),Translation!$A$7)</f>
        <v/>
      </c>
      <c r="F317" s="22"/>
      <c r="G317" s="23"/>
      <c r="H317" s="24"/>
    </row>
    <row r="318">
      <c r="D318" s="14"/>
      <c r="E318" s="21" t="str">
        <f>IFERROR(IF($A318="",,IF($I318="",Translation!$A$2,IF($L318="",Translation!$A$3,IF($N318&lt;&gt;$B318,Translation!$A$4,IF(IFERROR($F318,)="",Translation!$A$5,IF($H318&gt;TIME(0,5,0),Translation!$A$6,IF($M318,Translation!$A$7,$K318))))))),Translation!$A$7)</f>
        <v/>
      </c>
      <c r="F318" s="22"/>
      <c r="G318" s="23"/>
      <c r="H318" s="24"/>
    </row>
    <row r="319">
      <c r="D319" s="14"/>
      <c r="E319" s="21" t="str">
        <f>IFERROR(IF($A319="",,IF($I319="",Translation!$A$2,IF($L319="",Translation!$A$3,IF($N319&lt;&gt;$B319,Translation!$A$4,IF(IFERROR($F319,)="",Translation!$A$5,IF($H319&gt;TIME(0,5,0),Translation!$A$6,IF($M319,Translation!$A$7,$K319))))))),Translation!$A$7)</f>
        <v/>
      </c>
      <c r="F319" s="22"/>
      <c r="G319" s="23"/>
      <c r="H319" s="24"/>
    </row>
    <row r="320">
      <c r="D320" s="14"/>
      <c r="E320" s="21" t="str">
        <f>IFERROR(IF($A320="",,IF($I320="",Translation!$A$2,IF($L320="",Translation!$A$3,IF($N320&lt;&gt;$B320,Translation!$A$4,IF(IFERROR($F320,)="",Translation!$A$5,IF($H320&gt;TIME(0,5,0),Translation!$A$6,IF($M320,Translation!$A$7,$K320))))))),Translation!$A$7)</f>
        <v/>
      </c>
      <c r="F320" s="22"/>
      <c r="G320" s="23"/>
      <c r="H320" s="24"/>
    </row>
    <row r="321">
      <c r="D321" s="14"/>
      <c r="E321" s="21" t="str">
        <f>IFERROR(IF($A321="",,IF($I321="",Translation!$A$2,IF($L321="",Translation!$A$3,IF($N321&lt;&gt;$B321,Translation!$A$4,IF(IFERROR($F321,)="",Translation!$A$5,IF($H321&gt;TIME(0,5,0),Translation!$A$6,IF($M321,Translation!$A$7,$K321))))))),Translation!$A$7)</f>
        <v/>
      </c>
      <c r="F321" s="22"/>
      <c r="G321" s="23"/>
      <c r="H321" s="24"/>
    </row>
    <row r="322">
      <c r="D322" s="14"/>
      <c r="E322" s="21" t="str">
        <f>IFERROR(IF($A322="",,IF($I322="",Translation!$A$2,IF($L322="",Translation!$A$3,IF($N322&lt;&gt;$B322,Translation!$A$4,IF(IFERROR($F322,)="",Translation!$A$5,IF($H322&gt;TIME(0,5,0),Translation!$A$6,IF($M322,Translation!$A$7,$K322))))))),Translation!$A$7)</f>
        <v/>
      </c>
      <c r="F322" s="22"/>
      <c r="G322" s="23"/>
      <c r="H322" s="24"/>
    </row>
    <row r="323">
      <c r="D323" s="14"/>
      <c r="E323" s="21" t="str">
        <f>IFERROR(IF($A323="",,IF($I323="",Translation!$A$2,IF($L323="",Translation!$A$3,IF($N323&lt;&gt;$B323,Translation!$A$4,IF(IFERROR($F323,)="",Translation!$A$5,IF($H323&gt;TIME(0,5,0),Translation!$A$6,IF($M323,Translation!$A$7,$K323))))))),Translation!$A$7)</f>
        <v/>
      </c>
      <c r="F323" s="22"/>
      <c r="G323" s="23"/>
      <c r="H323" s="24"/>
    </row>
    <row r="324">
      <c r="D324" s="14"/>
      <c r="E324" s="21" t="str">
        <f>IFERROR(IF($A324="",,IF($I324="",Translation!$A$2,IF($L324="",Translation!$A$3,IF($N324&lt;&gt;$B324,Translation!$A$4,IF(IFERROR($F324,)="",Translation!$A$5,IF($H324&gt;TIME(0,5,0),Translation!$A$6,IF($M324,Translation!$A$7,$K324))))))),Translation!$A$7)</f>
        <v/>
      </c>
      <c r="F324" s="22"/>
      <c r="G324" s="23"/>
      <c r="H324" s="24"/>
    </row>
    <row r="325">
      <c r="D325" s="14"/>
      <c r="E325" s="21" t="str">
        <f>IFERROR(IF($A325="",,IF($I325="",Translation!$A$2,IF($L325="",Translation!$A$3,IF($N325&lt;&gt;$B325,Translation!$A$4,IF(IFERROR($F325,)="",Translation!$A$5,IF($H325&gt;TIME(0,5,0),Translation!$A$6,IF($M325,Translation!$A$7,$K325))))))),Translation!$A$7)</f>
        <v/>
      </c>
      <c r="F325" s="22"/>
      <c r="G325" s="23"/>
      <c r="H325" s="24"/>
    </row>
    <row r="326">
      <c r="D326" s="14"/>
      <c r="E326" s="21" t="str">
        <f>IFERROR(IF($A326="",,IF($I326="",Translation!$A$2,IF($L326="",Translation!$A$3,IF($N326&lt;&gt;$B326,Translation!$A$4,IF(IFERROR($F326,)="",Translation!$A$5,IF($H326&gt;TIME(0,5,0),Translation!$A$6,IF($M326,Translation!$A$7,$K326))))))),Translation!$A$7)</f>
        <v/>
      </c>
      <c r="F326" s="22"/>
      <c r="G326" s="23"/>
      <c r="H326" s="24"/>
    </row>
    <row r="327">
      <c r="D327" s="14"/>
      <c r="E327" s="21" t="str">
        <f>IFERROR(IF($A327="",,IF($I327="",Translation!$A$2,IF($L327="",Translation!$A$3,IF($N327&lt;&gt;$B327,Translation!$A$4,IF(IFERROR($F327,)="",Translation!$A$5,IF($H327&gt;TIME(0,5,0),Translation!$A$6,IF($M327,Translation!$A$7,$K327))))))),Translation!$A$7)</f>
        <v/>
      </c>
      <c r="F327" s="22"/>
      <c r="G327" s="23"/>
      <c r="H327" s="24"/>
    </row>
    <row r="328">
      <c r="D328" s="14"/>
      <c r="E328" s="21" t="str">
        <f>IFERROR(IF($A328="",,IF($I328="",Translation!$A$2,IF($L328="",Translation!$A$3,IF($N328&lt;&gt;$B328,Translation!$A$4,IF(IFERROR($F328,)="",Translation!$A$5,IF($H328&gt;TIME(0,5,0),Translation!$A$6,IF($M328,Translation!$A$7,$K328))))))),Translation!$A$7)</f>
        <v/>
      </c>
      <c r="F328" s="22"/>
      <c r="G328" s="23"/>
      <c r="H328" s="24"/>
    </row>
    <row r="329">
      <c r="D329" s="14"/>
      <c r="E329" s="21" t="str">
        <f>IFERROR(IF($A329="",,IF($I329="",Translation!$A$2,IF($L329="",Translation!$A$3,IF($N329&lt;&gt;$B329,Translation!$A$4,IF(IFERROR($F329,)="",Translation!$A$5,IF($H329&gt;TIME(0,5,0),Translation!$A$6,IF($M329,Translation!$A$7,$K329))))))),Translation!$A$7)</f>
        <v/>
      </c>
      <c r="F329" s="22"/>
      <c r="G329" s="23"/>
      <c r="H329" s="24"/>
    </row>
    <row r="330">
      <c r="D330" s="14"/>
      <c r="E330" s="21" t="str">
        <f>IFERROR(IF($A330="",,IF($I330="",Translation!$A$2,IF($L330="",Translation!$A$3,IF($N330&lt;&gt;$B330,Translation!$A$4,IF(IFERROR($F330,)="",Translation!$A$5,IF($H330&gt;TIME(0,5,0),Translation!$A$6,IF($M330,Translation!$A$7,$K330))))))),Translation!$A$7)</f>
        <v/>
      </c>
      <c r="F330" s="22"/>
      <c r="G330" s="23"/>
      <c r="H330" s="24"/>
    </row>
    <row r="331">
      <c r="D331" s="14"/>
      <c r="E331" s="21" t="str">
        <f>IFERROR(IF($A331="",,IF($I331="",Translation!$A$2,IF($L331="",Translation!$A$3,IF($N331&lt;&gt;$B331,Translation!$A$4,IF(IFERROR($F331,)="",Translation!$A$5,IF($H331&gt;TIME(0,5,0),Translation!$A$6,IF($M331,Translation!$A$7,$K331))))))),Translation!$A$7)</f>
        <v/>
      </c>
      <c r="F331" s="22"/>
      <c r="G331" s="23"/>
      <c r="H331" s="24"/>
    </row>
    <row r="332">
      <c r="D332" s="14"/>
      <c r="E332" s="21" t="str">
        <f>IFERROR(IF($A332="",,IF($I332="",Translation!$A$2,IF($L332="",Translation!$A$3,IF($N332&lt;&gt;$B332,Translation!$A$4,IF(IFERROR($F332,)="",Translation!$A$5,IF($H332&gt;TIME(0,5,0),Translation!$A$6,IF($M332,Translation!$A$7,$K332))))))),Translation!$A$7)</f>
        <v/>
      </c>
      <c r="F332" s="22"/>
      <c r="G332" s="23"/>
      <c r="H332" s="24"/>
    </row>
    <row r="333">
      <c r="D333" s="14"/>
      <c r="E333" s="21" t="str">
        <f>IFERROR(IF($A333="",,IF($I333="",Translation!$A$2,IF($L333="",Translation!$A$3,IF($N333&lt;&gt;$B333,Translation!$A$4,IF(IFERROR($F333,)="",Translation!$A$5,IF($H333&gt;TIME(0,5,0),Translation!$A$6,IF($M333,Translation!$A$7,$K333))))))),Translation!$A$7)</f>
        <v/>
      </c>
      <c r="F333" s="22"/>
      <c r="G333" s="23"/>
      <c r="H333" s="24"/>
    </row>
    <row r="334">
      <c r="D334" s="14"/>
      <c r="E334" s="21" t="str">
        <f>IFERROR(IF($A334="",,IF($I334="",Translation!$A$2,IF($L334="",Translation!$A$3,IF($N334&lt;&gt;$B334,Translation!$A$4,IF(IFERROR($F334,)="",Translation!$A$5,IF($H334&gt;TIME(0,5,0),Translation!$A$6,IF($M334,Translation!$A$7,$K334))))))),Translation!$A$7)</f>
        <v/>
      </c>
      <c r="F334" s="22"/>
      <c r="G334" s="23"/>
      <c r="H334" s="24"/>
    </row>
    <row r="335">
      <c r="D335" s="14"/>
      <c r="E335" s="21" t="str">
        <f>IFERROR(IF($A335="",,IF($I335="",Translation!$A$2,IF($L335="",Translation!$A$3,IF($N335&lt;&gt;$B335,Translation!$A$4,IF(IFERROR($F335,)="",Translation!$A$5,IF($H335&gt;TIME(0,5,0),Translation!$A$6,IF($M335,Translation!$A$7,$K335))))))),Translation!$A$7)</f>
        <v/>
      </c>
      <c r="F335" s="22"/>
      <c r="G335" s="23"/>
      <c r="H335" s="24"/>
    </row>
    <row r="336">
      <c r="D336" s="14"/>
      <c r="E336" s="21" t="str">
        <f>IFERROR(IF($A336="",,IF($I336="",Translation!$A$2,IF($L336="",Translation!$A$3,IF($N336&lt;&gt;$B336,Translation!$A$4,IF(IFERROR($F336,)="",Translation!$A$5,IF($H336&gt;TIME(0,5,0),Translation!$A$6,IF($M336,Translation!$A$7,$K336))))))),Translation!$A$7)</f>
        <v/>
      </c>
      <c r="F336" s="22"/>
      <c r="G336" s="23"/>
      <c r="H336" s="24"/>
    </row>
    <row r="337">
      <c r="D337" s="14"/>
      <c r="E337" s="21" t="str">
        <f>IFERROR(IF($A337="",,IF($I337="",Translation!$A$2,IF($L337="",Translation!$A$3,IF($N337&lt;&gt;$B337,Translation!$A$4,IF(IFERROR($F337,)="",Translation!$A$5,IF($H337&gt;TIME(0,5,0),Translation!$A$6,IF($M337,Translation!$A$7,$K337))))))),Translation!$A$7)</f>
        <v/>
      </c>
      <c r="F337" s="22"/>
      <c r="G337" s="23"/>
      <c r="H337" s="24"/>
    </row>
    <row r="338">
      <c r="D338" s="14"/>
      <c r="E338" s="21" t="str">
        <f>IFERROR(IF($A338="",,IF($I338="",Translation!$A$2,IF($L338="",Translation!$A$3,IF($N338&lt;&gt;$B338,Translation!$A$4,IF(IFERROR($F338,)="",Translation!$A$5,IF($H338&gt;TIME(0,5,0),Translation!$A$6,IF($M338,Translation!$A$7,$K338))))))),Translation!$A$7)</f>
        <v/>
      </c>
      <c r="F338" s="22"/>
      <c r="G338" s="23"/>
      <c r="H338" s="24"/>
    </row>
    <row r="339">
      <c r="D339" s="14"/>
      <c r="E339" s="21" t="str">
        <f>IFERROR(IF($A339="",,IF($I339="",Translation!$A$2,IF($L339="",Translation!$A$3,IF($N339&lt;&gt;$B339,Translation!$A$4,IF(IFERROR($F339,)="",Translation!$A$5,IF($H339&gt;TIME(0,5,0),Translation!$A$6,IF($M339,Translation!$A$7,$K339))))))),Translation!$A$7)</f>
        <v/>
      </c>
      <c r="F339" s="22"/>
      <c r="G339" s="23"/>
      <c r="H339" s="24"/>
    </row>
    <row r="340">
      <c r="D340" s="14"/>
      <c r="E340" s="21" t="str">
        <f>IFERROR(IF($A340="",,IF($I340="",Translation!$A$2,IF($L340="",Translation!$A$3,IF($N340&lt;&gt;$B340,Translation!$A$4,IF(IFERROR($F340,)="",Translation!$A$5,IF($H340&gt;TIME(0,5,0),Translation!$A$6,IF($M340,Translation!$A$7,$K340))))))),Translation!$A$7)</f>
        <v/>
      </c>
      <c r="F340" s="22"/>
      <c r="G340" s="23"/>
      <c r="H340" s="24"/>
    </row>
    <row r="341">
      <c r="D341" s="14"/>
      <c r="E341" s="21" t="str">
        <f>IFERROR(IF($A341="",,IF($I341="",Translation!$A$2,IF($L341="",Translation!$A$3,IF($N341&lt;&gt;$B341,Translation!$A$4,IF(IFERROR($F341,)="",Translation!$A$5,IF($H341&gt;TIME(0,5,0),Translation!$A$6,IF($M341,Translation!$A$7,$K341))))))),Translation!$A$7)</f>
        <v/>
      </c>
      <c r="F341" s="22"/>
      <c r="G341" s="23"/>
      <c r="H341" s="24"/>
    </row>
    <row r="342">
      <c r="D342" s="14"/>
      <c r="E342" s="21" t="str">
        <f>IFERROR(IF($A342="",,IF($I342="",Translation!$A$2,IF($L342="",Translation!$A$3,IF($N342&lt;&gt;$B342,Translation!$A$4,IF(IFERROR($F342,)="",Translation!$A$5,IF($H342&gt;TIME(0,5,0),Translation!$A$6,IF($M342,Translation!$A$7,$K342))))))),Translation!$A$7)</f>
        <v/>
      </c>
      <c r="F342" s="22"/>
      <c r="G342" s="23"/>
      <c r="H342" s="24"/>
    </row>
    <row r="343">
      <c r="D343" s="14"/>
      <c r="E343" s="21" t="str">
        <f>IFERROR(IF($A343="",,IF($I343="",Translation!$A$2,IF($L343="",Translation!$A$3,IF($N343&lt;&gt;$B343,Translation!$A$4,IF(IFERROR($F343,)="",Translation!$A$5,IF($H343&gt;TIME(0,5,0),Translation!$A$6,IF($M343,Translation!$A$7,$K343))))))),Translation!$A$7)</f>
        <v/>
      </c>
      <c r="F343" s="22"/>
      <c r="G343" s="23"/>
      <c r="H343" s="24"/>
    </row>
    <row r="344">
      <c r="D344" s="14"/>
      <c r="E344" s="21" t="str">
        <f>IFERROR(IF($A344="",,IF($I344="",Translation!$A$2,IF($L344="",Translation!$A$3,IF($N344&lt;&gt;$B344,Translation!$A$4,IF(IFERROR($F344,)="",Translation!$A$5,IF($H344&gt;TIME(0,5,0),Translation!$A$6,IF($M344,Translation!$A$7,$K344))))))),Translation!$A$7)</f>
        <v/>
      </c>
      <c r="F344" s="22"/>
      <c r="G344" s="23"/>
      <c r="H344" s="24"/>
    </row>
    <row r="345">
      <c r="D345" s="14"/>
      <c r="E345" s="21" t="str">
        <f>IFERROR(IF($A345="",,IF($I345="",Translation!$A$2,IF($L345="",Translation!$A$3,IF($N345&lt;&gt;$B345,Translation!$A$4,IF(IFERROR($F345,)="",Translation!$A$5,IF($H345&gt;TIME(0,5,0),Translation!$A$6,IF($M345,Translation!$A$7,$K345))))))),Translation!$A$7)</f>
        <v/>
      </c>
      <c r="F345" s="22"/>
      <c r="G345" s="23"/>
      <c r="H345" s="24"/>
    </row>
    <row r="346">
      <c r="D346" s="14"/>
      <c r="E346" s="21" t="str">
        <f>IFERROR(IF($A346="",,IF($I346="",Translation!$A$2,IF($L346="",Translation!$A$3,IF($N346&lt;&gt;$B346,Translation!$A$4,IF(IFERROR($F346,)="",Translation!$A$5,IF($H346&gt;TIME(0,5,0),Translation!$A$6,IF($M346,Translation!$A$7,$K346))))))),Translation!$A$7)</f>
        <v/>
      </c>
      <c r="F346" s="22"/>
      <c r="G346" s="23"/>
      <c r="H346" s="24"/>
    </row>
    <row r="347">
      <c r="D347" s="14"/>
      <c r="E347" s="21" t="str">
        <f>IFERROR(IF($A347="",,IF($I347="",Translation!$A$2,IF($L347="",Translation!$A$3,IF($N347&lt;&gt;$B347,Translation!$A$4,IF(IFERROR($F347,)="",Translation!$A$5,IF($H347&gt;TIME(0,5,0),Translation!$A$6,IF($M347,Translation!$A$7,$K347))))))),Translation!$A$7)</f>
        <v/>
      </c>
      <c r="F347" s="22"/>
      <c r="G347" s="23"/>
      <c r="H347" s="24"/>
    </row>
    <row r="348">
      <c r="D348" s="14"/>
      <c r="E348" s="21" t="str">
        <f>IFERROR(IF($A348="",,IF($I348="",Translation!$A$2,IF($L348="",Translation!$A$3,IF($N348&lt;&gt;$B348,Translation!$A$4,IF(IFERROR($F348,)="",Translation!$A$5,IF($H348&gt;TIME(0,5,0),Translation!$A$6,IF($M348,Translation!$A$7,$K348))))))),Translation!$A$7)</f>
        <v/>
      </c>
      <c r="F348" s="22"/>
      <c r="G348" s="23"/>
      <c r="H348" s="24"/>
    </row>
    <row r="349">
      <c r="D349" s="14"/>
      <c r="E349" s="21" t="str">
        <f>IFERROR(IF($A349="",,IF($I349="",Translation!$A$2,IF($L349="",Translation!$A$3,IF($N349&lt;&gt;$B349,Translation!$A$4,IF(IFERROR($F349,)="",Translation!$A$5,IF($H349&gt;TIME(0,5,0),Translation!$A$6,IF($M349,Translation!$A$7,$K349))))))),Translation!$A$7)</f>
        <v/>
      </c>
      <c r="F349" s="22"/>
      <c r="G349" s="23"/>
      <c r="H349" s="24"/>
    </row>
    <row r="350">
      <c r="D350" s="14"/>
      <c r="E350" s="21" t="str">
        <f>IFERROR(IF($A350="",,IF($I350="",Translation!$A$2,IF($L350="",Translation!$A$3,IF($N350&lt;&gt;$B350,Translation!$A$4,IF(IFERROR($F350,)="",Translation!$A$5,IF($H350&gt;TIME(0,5,0),Translation!$A$6,IF($M350,Translation!$A$7,$K350))))))),Translation!$A$7)</f>
        <v/>
      </c>
      <c r="F350" s="22"/>
      <c r="G350" s="23"/>
      <c r="H350" s="24"/>
    </row>
    <row r="351">
      <c r="D351" s="14"/>
      <c r="E351" s="21" t="str">
        <f>IFERROR(IF($A351="",,IF($I351="",Translation!$A$2,IF($L351="",Translation!$A$3,IF($N351&lt;&gt;$B351,Translation!$A$4,IF(IFERROR($F351,)="",Translation!$A$5,IF($H351&gt;TIME(0,5,0),Translation!$A$6,IF($M351,Translation!$A$7,$K351))))))),Translation!$A$7)</f>
        <v/>
      </c>
      <c r="F351" s="22"/>
      <c r="G351" s="23"/>
      <c r="H351" s="24"/>
    </row>
    <row r="352">
      <c r="D352" s="14"/>
      <c r="E352" s="21" t="str">
        <f>IFERROR(IF($A352="",,IF($I352="",Translation!$A$2,IF($L352="",Translation!$A$3,IF($N352&lt;&gt;$B352,Translation!$A$4,IF(IFERROR($F352,)="",Translation!$A$5,IF($H352&gt;TIME(0,5,0),Translation!$A$6,IF($M352,Translation!$A$7,$K352))))))),Translation!$A$7)</f>
        <v/>
      </c>
      <c r="F352" s="22"/>
      <c r="G352" s="23"/>
      <c r="H352" s="24"/>
    </row>
    <row r="353">
      <c r="D353" s="14"/>
      <c r="E353" s="21" t="str">
        <f>IFERROR(IF($A353="",,IF($I353="",Translation!$A$2,IF($L353="",Translation!$A$3,IF($N353&lt;&gt;$B353,Translation!$A$4,IF(IFERROR($F353,)="",Translation!$A$5,IF($H353&gt;TIME(0,5,0),Translation!$A$6,IF($M353,Translation!$A$7,$K353))))))),Translation!$A$7)</f>
        <v/>
      </c>
      <c r="F353" s="22"/>
      <c r="G353" s="23"/>
      <c r="H353" s="24"/>
    </row>
    <row r="354">
      <c r="D354" s="14"/>
      <c r="E354" s="21" t="str">
        <f>IFERROR(IF($A354="",,IF($I354="",Translation!$A$2,IF($L354="",Translation!$A$3,IF($N354&lt;&gt;$B354,Translation!$A$4,IF(IFERROR($F354,)="",Translation!$A$5,IF($H354&gt;TIME(0,5,0),Translation!$A$6,IF($M354,Translation!$A$7,$K354))))))),Translation!$A$7)</f>
        <v/>
      </c>
      <c r="F354" s="22"/>
      <c r="G354" s="23"/>
      <c r="H354" s="24"/>
    </row>
    <row r="355">
      <c r="D355" s="14"/>
      <c r="E355" s="21" t="str">
        <f>IFERROR(IF($A355="",,IF($I355="",Translation!$A$2,IF($L355="",Translation!$A$3,IF($N355&lt;&gt;$B355,Translation!$A$4,IF(IFERROR($F355,)="",Translation!$A$5,IF($H355&gt;TIME(0,5,0),Translation!$A$6,IF($M355,Translation!$A$7,$K355))))))),Translation!$A$7)</f>
        <v/>
      </c>
      <c r="F355" s="22"/>
      <c r="G355" s="23"/>
      <c r="H355" s="24"/>
    </row>
    <row r="356">
      <c r="D356" s="14"/>
      <c r="E356" s="21" t="str">
        <f>IFERROR(IF($A356="",,IF($I356="",Translation!$A$2,IF($L356="",Translation!$A$3,IF($N356&lt;&gt;$B356,Translation!$A$4,IF(IFERROR($F356,)="",Translation!$A$5,IF($H356&gt;TIME(0,5,0),Translation!$A$6,IF($M356,Translation!$A$7,$K356))))))),Translation!$A$7)</f>
        <v/>
      </c>
      <c r="F356" s="22"/>
      <c r="G356" s="23"/>
      <c r="H356" s="24"/>
    </row>
    <row r="357">
      <c r="D357" s="14"/>
      <c r="E357" s="21" t="str">
        <f>IFERROR(IF($A357="",,IF($I357="",Translation!$A$2,IF($L357="",Translation!$A$3,IF($N357&lt;&gt;$B357,Translation!$A$4,IF(IFERROR($F357,)="",Translation!$A$5,IF($H357&gt;TIME(0,5,0),Translation!$A$6,IF($M357,Translation!$A$7,$K357))))))),Translation!$A$7)</f>
        <v/>
      </c>
      <c r="F357" s="22"/>
      <c r="G357" s="23"/>
      <c r="H357" s="24"/>
    </row>
    <row r="358">
      <c r="D358" s="14"/>
      <c r="E358" s="21" t="str">
        <f>IFERROR(IF($A358="",,IF($I358="",Translation!$A$2,IF($L358="",Translation!$A$3,IF($N358&lt;&gt;$B358,Translation!$A$4,IF(IFERROR($F358,)="",Translation!$A$5,IF($H358&gt;TIME(0,5,0),Translation!$A$6,IF($M358,Translation!$A$7,$K358))))))),Translation!$A$7)</f>
        <v/>
      </c>
      <c r="F358" s="22"/>
      <c r="G358" s="23"/>
      <c r="H358" s="24"/>
    </row>
    <row r="359">
      <c r="D359" s="14"/>
      <c r="E359" s="21" t="str">
        <f>IFERROR(IF($A359="",,IF($I359="",Translation!$A$2,IF($L359="",Translation!$A$3,IF($N359&lt;&gt;$B359,Translation!$A$4,IF(IFERROR($F359,)="",Translation!$A$5,IF($H359&gt;TIME(0,5,0),Translation!$A$6,IF($M359,Translation!$A$7,$K359))))))),Translation!$A$7)</f>
        <v/>
      </c>
      <c r="F359" s="22"/>
      <c r="G359" s="23"/>
      <c r="H359" s="24"/>
    </row>
    <row r="360">
      <c r="D360" s="14"/>
      <c r="E360" s="21" t="str">
        <f>IFERROR(IF($A360="",,IF($I360="",Translation!$A$2,IF($L360="",Translation!$A$3,IF($N360&lt;&gt;$B360,Translation!$A$4,IF(IFERROR($F360,)="",Translation!$A$5,IF($H360&gt;TIME(0,5,0),Translation!$A$6,IF($M360,Translation!$A$7,$K360))))))),Translation!$A$7)</f>
        <v/>
      </c>
      <c r="F360" s="22"/>
      <c r="G360" s="23"/>
      <c r="H360" s="24"/>
    </row>
    <row r="361">
      <c r="D361" s="14"/>
      <c r="E361" s="21" t="str">
        <f>IFERROR(IF($A361="",,IF($I361="",Translation!$A$2,IF($L361="",Translation!$A$3,IF($N361&lt;&gt;$B361,Translation!$A$4,IF(IFERROR($F361,)="",Translation!$A$5,IF($H361&gt;TIME(0,5,0),Translation!$A$6,IF($M361,Translation!$A$7,$K361))))))),Translation!$A$7)</f>
        <v/>
      </c>
      <c r="F361" s="22"/>
      <c r="G361" s="23"/>
      <c r="H361" s="24"/>
    </row>
    <row r="362">
      <c r="D362" s="14"/>
      <c r="E362" s="21" t="str">
        <f>IFERROR(IF($A362="",,IF($I362="",Translation!$A$2,IF($L362="",Translation!$A$3,IF($N362&lt;&gt;$B362,Translation!$A$4,IF(IFERROR($F362,)="",Translation!$A$5,IF($H362&gt;TIME(0,5,0),Translation!$A$6,IF($M362,Translation!$A$7,$K362))))))),Translation!$A$7)</f>
        <v/>
      </c>
      <c r="F362" s="22"/>
      <c r="G362" s="23"/>
      <c r="H362" s="24"/>
    </row>
    <row r="363">
      <c r="D363" s="14"/>
      <c r="E363" s="21" t="str">
        <f>IFERROR(IF($A363="",,IF($I363="",Translation!$A$2,IF($L363="",Translation!$A$3,IF($N363&lt;&gt;$B363,Translation!$A$4,IF(IFERROR($F363,)="",Translation!$A$5,IF($H363&gt;TIME(0,5,0),Translation!$A$6,IF($M363,Translation!$A$7,$K363))))))),Translation!$A$7)</f>
        <v/>
      </c>
      <c r="F363" s="22"/>
      <c r="G363" s="23"/>
      <c r="H363" s="24"/>
    </row>
    <row r="364">
      <c r="D364" s="14"/>
      <c r="E364" s="21" t="str">
        <f>IFERROR(IF($A364="",,IF($I364="",Translation!$A$2,IF($L364="",Translation!$A$3,IF($N364&lt;&gt;$B364,Translation!$A$4,IF(IFERROR($F364,)="",Translation!$A$5,IF($H364&gt;TIME(0,5,0),Translation!$A$6,IF($M364,Translation!$A$7,$K364))))))),Translation!$A$7)</f>
        <v/>
      </c>
      <c r="F364" s="22"/>
      <c r="G364" s="23"/>
      <c r="H364" s="24"/>
    </row>
    <row r="365">
      <c r="D365" s="14"/>
      <c r="E365" s="21" t="str">
        <f>IFERROR(IF($A365="",,IF($I365="",Translation!$A$2,IF($L365="",Translation!$A$3,IF($N365&lt;&gt;$B365,Translation!$A$4,IF(IFERROR($F365,)="",Translation!$A$5,IF($H365&gt;TIME(0,5,0),Translation!$A$6,IF($M365,Translation!$A$7,$K365))))))),Translation!$A$7)</f>
        <v/>
      </c>
      <c r="F365" s="22"/>
      <c r="G365" s="23"/>
      <c r="H365" s="24"/>
    </row>
    <row r="366">
      <c r="D366" s="14"/>
      <c r="E366" s="21" t="str">
        <f>IFERROR(IF($A366="",,IF($I366="",Translation!$A$2,IF($L366="",Translation!$A$3,IF($N366&lt;&gt;$B366,Translation!$A$4,IF(IFERROR($F366,)="",Translation!$A$5,IF($H366&gt;TIME(0,5,0),Translation!$A$6,IF($M366,Translation!$A$7,$K366))))))),Translation!$A$7)</f>
        <v/>
      </c>
      <c r="F366" s="22"/>
      <c r="G366" s="23"/>
      <c r="H366" s="24"/>
    </row>
    <row r="367">
      <c r="D367" s="14"/>
      <c r="E367" s="21" t="str">
        <f>IFERROR(IF($A367="",,IF($I367="",Translation!$A$2,IF($L367="",Translation!$A$3,IF($N367&lt;&gt;$B367,Translation!$A$4,IF(IFERROR($F367,)="",Translation!$A$5,IF($H367&gt;TIME(0,5,0),Translation!$A$6,IF($M367,Translation!$A$7,$K367))))))),Translation!$A$7)</f>
        <v/>
      </c>
      <c r="F367" s="22"/>
      <c r="G367" s="23"/>
      <c r="H367" s="24"/>
    </row>
    <row r="368">
      <c r="D368" s="14"/>
      <c r="E368" s="21" t="str">
        <f>IFERROR(IF($A368="",,IF($I368="",Translation!$A$2,IF($L368="",Translation!$A$3,IF($N368&lt;&gt;$B368,Translation!$A$4,IF(IFERROR($F368,)="",Translation!$A$5,IF($H368&gt;TIME(0,5,0),Translation!$A$6,IF($M368,Translation!$A$7,$K368))))))),Translation!$A$7)</f>
        <v/>
      </c>
      <c r="F368" s="22"/>
      <c r="G368" s="23"/>
      <c r="H368" s="24"/>
    </row>
    <row r="369">
      <c r="D369" s="14"/>
      <c r="E369" s="21" t="str">
        <f>IFERROR(IF($A369="",,IF($I369="",Translation!$A$2,IF($L369="",Translation!$A$3,IF($N369&lt;&gt;$B369,Translation!$A$4,IF(IFERROR($F369,)="",Translation!$A$5,IF($H369&gt;TIME(0,5,0),Translation!$A$6,IF($M369,Translation!$A$7,$K369))))))),Translation!$A$7)</f>
        <v/>
      </c>
      <c r="F369" s="22"/>
      <c r="G369" s="23"/>
      <c r="H369" s="24"/>
    </row>
    <row r="370">
      <c r="D370" s="14"/>
      <c r="E370" s="21" t="str">
        <f>IFERROR(IF($A370="",,IF($I370="",Translation!$A$2,IF($L370="",Translation!$A$3,IF($N370&lt;&gt;$B370,Translation!$A$4,IF(IFERROR($F370,)="",Translation!$A$5,IF($H370&gt;TIME(0,5,0),Translation!$A$6,IF($M370,Translation!$A$7,$K370))))))),Translation!$A$7)</f>
        <v/>
      </c>
      <c r="F370" s="22"/>
      <c r="G370" s="23"/>
      <c r="H370" s="24"/>
    </row>
    <row r="371">
      <c r="D371" s="14"/>
      <c r="E371" s="21" t="str">
        <f>IFERROR(IF($A371="",,IF($I371="",Translation!$A$2,IF($L371="",Translation!$A$3,IF($N371&lt;&gt;$B371,Translation!$A$4,IF(IFERROR($F371,)="",Translation!$A$5,IF($H371&gt;TIME(0,5,0),Translation!$A$6,IF($M371,Translation!$A$7,$K371))))))),Translation!$A$7)</f>
        <v/>
      </c>
      <c r="F371" s="22"/>
      <c r="G371" s="23"/>
      <c r="H371" s="24"/>
    </row>
    <row r="372">
      <c r="D372" s="14"/>
      <c r="E372" s="21" t="str">
        <f>IFERROR(IF($A372="",,IF($I372="",Translation!$A$2,IF($L372="",Translation!$A$3,IF($N372&lt;&gt;$B372,Translation!$A$4,IF(IFERROR($F372,)="",Translation!$A$5,IF($H372&gt;TIME(0,5,0),Translation!$A$6,IF($M372,Translation!$A$7,$K372))))))),Translation!$A$7)</f>
        <v/>
      </c>
      <c r="F372" s="22"/>
      <c r="G372" s="23"/>
      <c r="H372" s="24"/>
    </row>
    <row r="373">
      <c r="D373" s="14"/>
      <c r="E373" s="21" t="str">
        <f>IFERROR(IF($A373="",,IF($I373="",Translation!$A$2,IF($L373="",Translation!$A$3,IF($N373&lt;&gt;$B373,Translation!$A$4,IF(IFERROR($F373,)="",Translation!$A$5,IF($H373&gt;TIME(0,5,0),Translation!$A$6,IF($M373,Translation!$A$7,$K373))))))),Translation!$A$7)</f>
        <v/>
      </c>
      <c r="F373" s="22"/>
      <c r="G373" s="23"/>
      <c r="H373" s="24"/>
    </row>
    <row r="374">
      <c r="D374" s="14"/>
      <c r="E374" s="21" t="str">
        <f>IFERROR(IF($A374="",,IF($I374="",Translation!$A$2,IF($L374="",Translation!$A$3,IF($N374&lt;&gt;$B374,Translation!$A$4,IF(IFERROR($F374,)="",Translation!$A$5,IF($H374&gt;TIME(0,5,0),Translation!$A$6,IF($M374,Translation!$A$7,$K374))))))),Translation!$A$7)</f>
        <v/>
      </c>
      <c r="F374" s="22"/>
      <c r="G374" s="23"/>
      <c r="H374" s="24"/>
    </row>
    <row r="375">
      <c r="D375" s="14"/>
      <c r="E375" s="21" t="str">
        <f>IFERROR(IF($A375="",,IF($I375="",Translation!$A$2,IF($L375="",Translation!$A$3,IF($N375&lt;&gt;$B375,Translation!$A$4,IF(IFERROR($F375,)="",Translation!$A$5,IF($H375&gt;TIME(0,5,0),Translation!$A$6,IF($M375,Translation!$A$7,$K375))))))),Translation!$A$7)</f>
        <v/>
      </c>
      <c r="F375" s="22"/>
      <c r="G375" s="23"/>
      <c r="H375" s="24"/>
    </row>
    <row r="376">
      <c r="D376" s="14"/>
      <c r="E376" s="21" t="str">
        <f>IFERROR(IF($A376="",,IF($I376="",Translation!$A$2,IF($L376="",Translation!$A$3,IF($N376&lt;&gt;$B376,Translation!$A$4,IF(IFERROR($F376,)="",Translation!$A$5,IF($H376&gt;TIME(0,5,0),Translation!$A$6,IF($M376,Translation!$A$7,$K376))))))),Translation!$A$7)</f>
        <v/>
      </c>
      <c r="F376" s="22"/>
      <c r="G376" s="23"/>
      <c r="H376" s="24"/>
    </row>
    <row r="377">
      <c r="D377" s="14"/>
      <c r="E377" s="21" t="str">
        <f>IFERROR(IF($A377="",,IF($I377="",Translation!$A$2,IF($L377="",Translation!$A$3,IF($N377&lt;&gt;$B377,Translation!$A$4,IF(IFERROR($F377,)="",Translation!$A$5,IF($H377&gt;TIME(0,5,0),Translation!$A$6,IF($M377,Translation!$A$7,$K377))))))),Translation!$A$7)</f>
        <v/>
      </c>
      <c r="F377" s="22"/>
      <c r="G377" s="23"/>
      <c r="H377" s="24"/>
    </row>
    <row r="378">
      <c r="D378" s="14"/>
      <c r="E378" s="21" t="str">
        <f>IFERROR(IF($A378="",,IF($I378="",Translation!$A$2,IF($L378="",Translation!$A$3,IF($N378&lt;&gt;$B378,Translation!$A$4,IF(IFERROR($F378,)="",Translation!$A$5,IF($H378&gt;TIME(0,5,0),Translation!$A$6,IF($M378,Translation!$A$7,$K378))))))),Translation!$A$7)</f>
        <v/>
      </c>
      <c r="F378" s="22"/>
      <c r="G378" s="23"/>
      <c r="H378" s="24"/>
    </row>
    <row r="379">
      <c r="D379" s="14"/>
      <c r="E379" s="21" t="str">
        <f>IFERROR(IF($A379="",,IF($I379="",Translation!$A$2,IF($L379="",Translation!$A$3,IF($N379&lt;&gt;$B379,Translation!$A$4,IF(IFERROR($F379,)="",Translation!$A$5,IF($H379&gt;TIME(0,5,0),Translation!$A$6,IF($M379,Translation!$A$7,$K379))))))),Translation!$A$7)</f>
        <v/>
      </c>
      <c r="F379" s="22"/>
      <c r="G379" s="23"/>
      <c r="H379" s="24"/>
    </row>
    <row r="380">
      <c r="D380" s="14"/>
      <c r="E380" s="21" t="str">
        <f>IFERROR(IF($A380="",,IF($I380="",Translation!$A$2,IF($L380="",Translation!$A$3,IF($N380&lt;&gt;$B380,Translation!$A$4,IF(IFERROR($F380,)="",Translation!$A$5,IF($H380&gt;TIME(0,5,0),Translation!$A$6,IF($M380,Translation!$A$7,$K380))))))),Translation!$A$7)</f>
        <v/>
      </c>
      <c r="F380" s="22"/>
      <c r="G380" s="23"/>
      <c r="H380" s="24"/>
    </row>
    <row r="381">
      <c r="D381" s="14"/>
      <c r="E381" s="21" t="str">
        <f>IFERROR(IF($A381="",,IF($I381="",Translation!$A$2,IF($L381="",Translation!$A$3,IF($N381&lt;&gt;$B381,Translation!$A$4,IF(IFERROR($F381,)="",Translation!$A$5,IF($H381&gt;TIME(0,5,0),Translation!$A$6,IF($M381,Translation!$A$7,$K381))))))),Translation!$A$7)</f>
        <v/>
      </c>
      <c r="F381" s="22"/>
      <c r="G381" s="23"/>
      <c r="H381" s="24"/>
    </row>
    <row r="382">
      <c r="D382" s="14"/>
      <c r="E382" s="21" t="str">
        <f>IFERROR(IF($A382="",,IF($I382="",Translation!$A$2,IF($L382="",Translation!$A$3,IF($N382&lt;&gt;$B382,Translation!$A$4,IF(IFERROR($F382,)="",Translation!$A$5,IF($H382&gt;TIME(0,5,0),Translation!$A$6,IF($M382,Translation!$A$7,$K382))))))),Translation!$A$7)</f>
        <v/>
      </c>
      <c r="F382" s="22"/>
      <c r="G382" s="23"/>
      <c r="H382" s="24"/>
    </row>
    <row r="383">
      <c r="D383" s="14"/>
      <c r="E383" s="21" t="str">
        <f>IFERROR(IF($A383="",,IF($I383="",Translation!$A$2,IF($L383="",Translation!$A$3,IF($N383&lt;&gt;$B383,Translation!$A$4,IF(IFERROR($F383,)="",Translation!$A$5,IF($H383&gt;TIME(0,5,0),Translation!$A$6,IF($M383,Translation!$A$7,$K383))))))),Translation!$A$7)</f>
        <v/>
      </c>
      <c r="F383" s="22"/>
      <c r="G383" s="23"/>
      <c r="H383" s="24"/>
    </row>
    <row r="384">
      <c r="D384" s="14"/>
      <c r="E384" s="21" t="str">
        <f>IFERROR(IF($A384="",,IF($I384="",Translation!$A$2,IF($L384="",Translation!$A$3,IF($N384&lt;&gt;$B384,Translation!$A$4,IF(IFERROR($F384,)="",Translation!$A$5,IF($H384&gt;TIME(0,5,0),Translation!$A$6,IF($M384,Translation!$A$7,$K384))))))),Translation!$A$7)</f>
        <v/>
      </c>
      <c r="F384" s="22"/>
      <c r="G384" s="23"/>
      <c r="H384" s="24"/>
    </row>
    <row r="385">
      <c r="D385" s="14"/>
      <c r="E385" s="21" t="str">
        <f>IFERROR(IF($A385="",,IF($I385="",Translation!$A$2,IF($L385="",Translation!$A$3,IF($N385&lt;&gt;$B385,Translation!$A$4,IF(IFERROR($F385,)="",Translation!$A$5,IF($H385&gt;TIME(0,5,0),Translation!$A$6,IF($M385,Translation!$A$7,$K385))))))),Translation!$A$7)</f>
        <v/>
      </c>
      <c r="F385" s="22"/>
      <c r="G385" s="23"/>
      <c r="H385" s="24"/>
    </row>
    <row r="386">
      <c r="D386" s="14"/>
      <c r="E386" s="21" t="str">
        <f>IFERROR(IF($A386="",,IF($I386="",Translation!$A$2,IF($L386="",Translation!$A$3,IF($N386&lt;&gt;$B386,Translation!$A$4,IF(IFERROR($F386,)="",Translation!$A$5,IF($H386&gt;TIME(0,5,0),Translation!$A$6,IF($M386,Translation!$A$7,$K386))))))),Translation!$A$7)</f>
        <v/>
      </c>
      <c r="F386" s="22"/>
      <c r="G386" s="23"/>
      <c r="H386" s="24"/>
    </row>
    <row r="387">
      <c r="D387" s="14"/>
      <c r="E387" s="21" t="str">
        <f>IFERROR(IF($A387="",,IF($I387="",Translation!$A$2,IF($L387="",Translation!$A$3,IF($N387&lt;&gt;$B387,Translation!$A$4,IF(IFERROR($F387,)="",Translation!$A$5,IF($H387&gt;TIME(0,5,0),Translation!$A$6,IF($M387,Translation!$A$7,$K387))))))),Translation!$A$7)</f>
        <v/>
      </c>
      <c r="F387" s="22"/>
      <c r="G387" s="23"/>
      <c r="H387" s="24"/>
    </row>
    <row r="388">
      <c r="D388" s="14"/>
      <c r="E388" s="21" t="str">
        <f>IFERROR(IF($A388="",,IF($I388="",Translation!$A$2,IF($L388="",Translation!$A$3,IF($N388&lt;&gt;$B388,Translation!$A$4,IF(IFERROR($F388,)="",Translation!$A$5,IF($H388&gt;TIME(0,5,0),Translation!$A$6,IF($M388,Translation!$A$7,$K388))))))),Translation!$A$7)</f>
        <v/>
      </c>
      <c r="F388" s="22"/>
      <c r="G388" s="23"/>
      <c r="H388" s="24"/>
    </row>
    <row r="389">
      <c r="D389" s="14"/>
      <c r="E389" s="21" t="str">
        <f>IFERROR(IF($A389="",,IF($I389="",Translation!$A$2,IF($L389="",Translation!$A$3,IF($N389&lt;&gt;$B389,Translation!$A$4,IF(IFERROR($F389,)="",Translation!$A$5,IF($H389&gt;TIME(0,5,0),Translation!$A$6,IF($M389,Translation!$A$7,$K389))))))),Translation!$A$7)</f>
        <v/>
      </c>
      <c r="F389" s="22"/>
      <c r="G389" s="23"/>
      <c r="H389" s="24"/>
    </row>
    <row r="390">
      <c r="D390" s="14"/>
      <c r="E390" s="21" t="str">
        <f>IFERROR(IF($A390="",,IF($I390="",Translation!$A$2,IF($L390="",Translation!$A$3,IF($N390&lt;&gt;$B390,Translation!$A$4,IF(IFERROR($F390,)="",Translation!$A$5,IF($H390&gt;TIME(0,5,0),Translation!$A$6,IF($M390,Translation!$A$7,$K390))))))),Translation!$A$7)</f>
        <v/>
      </c>
      <c r="F390" s="22"/>
      <c r="G390" s="23"/>
      <c r="H390" s="24"/>
    </row>
    <row r="391">
      <c r="D391" s="14"/>
      <c r="E391" s="21" t="str">
        <f>IFERROR(IF($A391="",,IF($I391="",Translation!$A$2,IF($L391="",Translation!$A$3,IF($N391&lt;&gt;$B391,Translation!$A$4,IF(IFERROR($F391,)="",Translation!$A$5,IF($H391&gt;TIME(0,5,0),Translation!$A$6,IF($M391,Translation!$A$7,$K391))))))),Translation!$A$7)</f>
        <v/>
      </c>
      <c r="F391" s="22"/>
      <c r="G391" s="23"/>
      <c r="H391" s="24"/>
    </row>
    <row r="392">
      <c r="D392" s="14"/>
      <c r="E392" s="21" t="str">
        <f>IFERROR(IF($A392="",,IF($I392="",Translation!$A$2,IF($L392="",Translation!$A$3,IF($N392&lt;&gt;$B392,Translation!$A$4,IF(IFERROR($F392,)="",Translation!$A$5,IF($H392&gt;TIME(0,5,0),Translation!$A$6,IF($M392,Translation!$A$7,$K392))))))),Translation!$A$7)</f>
        <v/>
      </c>
      <c r="F392" s="22"/>
      <c r="G392" s="23"/>
      <c r="H392" s="24"/>
    </row>
    <row r="393">
      <c r="D393" s="14"/>
      <c r="E393" s="21" t="str">
        <f>IFERROR(IF($A393="",,IF($I393="",Translation!$A$2,IF($L393="",Translation!$A$3,IF($N393&lt;&gt;$B393,Translation!$A$4,IF(IFERROR($F393,)="",Translation!$A$5,IF($H393&gt;TIME(0,5,0),Translation!$A$6,IF($M393,Translation!$A$7,$K393))))))),Translation!$A$7)</f>
        <v/>
      </c>
      <c r="F393" s="22"/>
      <c r="G393" s="23"/>
      <c r="H393" s="24"/>
    </row>
    <row r="394">
      <c r="D394" s="14"/>
      <c r="E394" s="21" t="str">
        <f>IFERROR(IF($A394="",,IF($I394="",Translation!$A$2,IF($L394="",Translation!$A$3,IF($N394&lt;&gt;$B394,Translation!$A$4,IF(IFERROR($F394,)="",Translation!$A$5,IF($H394&gt;TIME(0,5,0),Translation!$A$6,IF($M394,Translation!$A$7,$K394))))))),Translation!$A$7)</f>
        <v/>
      </c>
      <c r="F394" s="22"/>
      <c r="G394" s="23"/>
      <c r="H394" s="24"/>
    </row>
    <row r="395">
      <c r="D395" s="14"/>
      <c r="E395" s="21" t="str">
        <f>IFERROR(IF($A395="",,IF($I395="",Translation!$A$2,IF($L395="",Translation!$A$3,IF($N395&lt;&gt;$B395,Translation!$A$4,IF(IFERROR($F395,)="",Translation!$A$5,IF($H395&gt;TIME(0,5,0),Translation!$A$6,IF($M395,Translation!$A$7,$K395))))))),Translation!$A$7)</f>
        <v/>
      </c>
      <c r="F395" s="22"/>
      <c r="G395" s="23"/>
      <c r="H395" s="24"/>
    </row>
    <row r="396">
      <c r="D396" s="14"/>
      <c r="E396" s="21" t="str">
        <f>IFERROR(IF($A396="",,IF($I396="",Translation!$A$2,IF($L396="",Translation!$A$3,IF($N396&lt;&gt;$B396,Translation!$A$4,IF(IFERROR($F396,)="",Translation!$A$5,IF($H396&gt;TIME(0,5,0),Translation!$A$6,IF($M396,Translation!$A$7,$K396))))))),Translation!$A$7)</f>
        <v/>
      </c>
      <c r="F396" s="22"/>
      <c r="G396" s="23"/>
      <c r="H396" s="24"/>
    </row>
    <row r="397">
      <c r="D397" s="14"/>
      <c r="E397" s="21" t="str">
        <f>IFERROR(IF($A397="",,IF($I397="",Translation!$A$2,IF($L397="",Translation!$A$3,IF($N397&lt;&gt;$B397,Translation!$A$4,IF(IFERROR($F397,)="",Translation!$A$5,IF($H397&gt;TIME(0,5,0),Translation!$A$6,IF($M397,Translation!$A$7,$K397))))))),Translation!$A$7)</f>
        <v/>
      </c>
      <c r="F397" s="22"/>
      <c r="G397" s="23"/>
      <c r="H397" s="24"/>
    </row>
    <row r="398">
      <c r="D398" s="14"/>
      <c r="E398" s="21" t="str">
        <f>IFERROR(IF($A398="",,IF($I398="",Translation!$A$2,IF($L398="",Translation!$A$3,IF($N398&lt;&gt;$B398,Translation!$A$4,IF(IFERROR($F398,)="",Translation!$A$5,IF($H398&gt;TIME(0,5,0),Translation!$A$6,IF($M398,Translation!$A$7,$K398))))))),Translation!$A$7)</f>
        <v/>
      </c>
      <c r="F398" s="22"/>
      <c r="G398" s="23"/>
      <c r="H398" s="24"/>
    </row>
    <row r="399">
      <c r="D399" s="14"/>
      <c r="E399" s="21" t="str">
        <f>IFERROR(IF($A399="",,IF($I399="",Translation!$A$2,IF($L399="",Translation!$A$3,IF($N399&lt;&gt;$B399,Translation!$A$4,IF(IFERROR($F399,)="",Translation!$A$5,IF($H399&gt;TIME(0,5,0),Translation!$A$6,IF($M399,Translation!$A$7,$K399))))))),Translation!$A$7)</f>
        <v/>
      </c>
      <c r="F399" s="22"/>
      <c r="G399" s="23"/>
      <c r="H399" s="24"/>
    </row>
    <row r="400">
      <c r="D400" s="14"/>
      <c r="E400" s="21" t="str">
        <f>IFERROR(IF($A400="",,IF($I400="",Translation!$A$2,IF($L400="",Translation!$A$3,IF($N400&lt;&gt;$B400,Translation!$A$4,IF(IFERROR($F400,)="",Translation!$A$5,IF($H400&gt;TIME(0,5,0),Translation!$A$6,IF($M400,Translation!$A$7,$K400))))))),Translation!$A$7)</f>
        <v/>
      </c>
      <c r="F400" s="22"/>
      <c r="G400" s="23"/>
      <c r="H400" s="24"/>
    </row>
    <row r="401">
      <c r="D401" s="14"/>
      <c r="E401" s="21" t="str">
        <f>IFERROR(IF($A401="",,IF($I401="",Translation!$A$2,IF($L401="",Translation!$A$3,IF($N401&lt;&gt;$B401,Translation!$A$4,IF(IFERROR($F401,)="",Translation!$A$5,IF($H401&gt;TIME(0,5,0),Translation!$A$6,IF($M401,Translation!$A$7,$K401))))))),Translation!$A$7)</f>
        <v/>
      </c>
      <c r="F401" s="22"/>
      <c r="G401" s="23"/>
      <c r="H401" s="24"/>
    </row>
    <row r="402">
      <c r="D402" s="14"/>
      <c r="E402" s="21" t="str">
        <f>IFERROR(IF($A402="",,IF($I402="",Translation!$A$2,IF($L402="",Translation!$A$3,IF($N402&lt;&gt;$B402,Translation!$A$4,IF(IFERROR($F402,)="",Translation!$A$5,IF($H402&gt;TIME(0,5,0),Translation!$A$6,IF($M402,Translation!$A$7,$K402))))))),Translation!$A$7)</f>
        <v/>
      </c>
      <c r="F402" s="22"/>
      <c r="G402" s="23"/>
      <c r="H402" s="24"/>
    </row>
    <row r="403">
      <c r="D403" s="14"/>
      <c r="E403" s="21" t="str">
        <f>IFERROR(IF($A403="",,IF($I403="",Translation!$A$2,IF($L403="",Translation!$A$3,IF($N403&lt;&gt;$B403,Translation!$A$4,IF(IFERROR($F403,)="",Translation!$A$5,IF($H403&gt;TIME(0,5,0),Translation!$A$6,IF($M403,Translation!$A$7,$K403))))))),Translation!$A$7)</f>
        <v/>
      </c>
      <c r="F403" s="22"/>
      <c r="G403" s="23"/>
      <c r="H403" s="24"/>
    </row>
    <row r="404">
      <c r="D404" s="14"/>
      <c r="E404" s="21" t="str">
        <f>IFERROR(IF($A404="",,IF($I404="",Translation!$A$2,IF($L404="",Translation!$A$3,IF($N404&lt;&gt;$B404,Translation!$A$4,IF(IFERROR($F404,)="",Translation!$A$5,IF($H404&gt;TIME(0,5,0),Translation!$A$6,IF($M404,Translation!$A$7,$K404))))))),Translation!$A$7)</f>
        <v/>
      </c>
      <c r="F404" s="22"/>
      <c r="G404" s="23"/>
      <c r="H404" s="24"/>
    </row>
    <row r="405">
      <c r="D405" s="14"/>
      <c r="E405" s="21" t="str">
        <f>IFERROR(IF($A405="",,IF($I405="",Translation!$A$2,IF($L405="",Translation!$A$3,IF($N405&lt;&gt;$B405,Translation!$A$4,IF(IFERROR($F405,)="",Translation!$A$5,IF($H405&gt;TIME(0,5,0),Translation!$A$6,IF($M405,Translation!$A$7,$K405))))))),Translation!$A$7)</f>
        <v/>
      </c>
      <c r="F405" s="22"/>
      <c r="G405" s="23"/>
      <c r="H405" s="24"/>
    </row>
    <row r="406">
      <c r="D406" s="14"/>
      <c r="E406" s="21" t="str">
        <f>IFERROR(IF($A406="",,IF($I406="",Translation!$A$2,IF($L406="",Translation!$A$3,IF($N406&lt;&gt;$B406,Translation!$A$4,IF(IFERROR($F406,)="",Translation!$A$5,IF($H406&gt;TIME(0,5,0),Translation!$A$6,IF($M406,Translation!$A$7,$K406))))))),Translation!$A$7)</f>
        <v/>
      </c>
      <c r="F406" s="22"/>
      <c r="G406" s="23"/>
      <c r="H406" s="24"/>
    </row>
    <row r="407">
      <c r="D407" s="14"/>
      <c r="E407" s="21" t="str">
        <f>IFERROR(IF($A407="",,IF($I407="",Translation!$A$2,IF($L407="",Translation!$A$3,IF($N407&lt;&gt;$B407,Translation!$A$4,IF(IFERROR($F407,)="",Translation!$A$5,IF($H407&gt;TIME(0,5,0),Translation!$A$6,IF($M407,Translation!$A$7,$K407))))))),Translation!$A$7)</f>
        <v/>
      </c>
      <c r="F407" s="22"/>
      <c r="G407" s="23"/>
      <c r="H407" s="24"/>
    </row>
    <row r="408">
      <c r="D408" s="14"/>
      <c r="E408" s="21" t="str">
        <f>IFERROR(IF($A408="",,IF($I408="",Translation!$A$2,IF($L408="",Translation!$A$3,IF($N408&lt;&gt;$B408,Translation!$A$4,IF(IFERROR($F408,)="",Translation!$A$5,IF($H408&gt;TIME(0,5,0),Translation!$A$6,IF($M408,Translation!$A$7,$K408))))))),Translation!$A$7)</f>
        <v/>
      </c>
      <c r="F408" s="22"/>
      <c r="G408" s="23"/>
      <c r="H408" s="24"/>
    </row>
    <row r="409">
      <c r="D409" s="14"/>
      <c r="E409" s="21" t="str">
        <f>IFERROR(IF($A409="",,IF($I409="",Translation!$A$2,IF($L409="",Translation!$A$3,IF($N409&lt;&gt;$B409,Translation!$A$4,IF(IFERROR($F409,)="",Translation!$A$5,IF($H409&gt;TIME(0,5,0),Translation!$A$6,IF($M409,Translation!$A$7,$K409))))))),Translation!$A$7)</f>
        <v/>
      </c>
      <c r="F409" s="22"/>
      <c r="G409" s="23"/>
      <c r="H409" s="24"/>
    </row>
    <row r="410">
      <c r="D410" s="14"/>
      <c r="E410" s="21" t="str">
        <f>IFERROR(IF($A410="",,IF($I410="",Translation!$A$2,IF($L410="",Translation!$A$3,IF($N410&lt;&gt;$B410,Translation!$A$4,IF(IFERROR($F410,)="",Translation!$A$5,IF($H410&gt;TIME(0,5,0),Translation!$A$6,IF($M410,Translation!$A$7,$K410))))))),Translation!$A$7)</f>
        <v/>
      </c>
      <c r="F410" s="22"/>
      <c r="G410" s="23"/>
      <c r="H410" s="24"/>
    </row>
    <row r="411">
      <c r="D411" s="14"/>
      <c r="E411" s="21" t="str">
        <f>IFERROR(IF($A411="",,IF($I411="",Translation!$A$2,IF($L411="",Translation!$A$3,IF($N411&lt;&gt;$B411,Translation!$A$4,IF(IFERROR($F411,)="",Translation!$A$5,IF($H411&gt;TIME(0,5,0),Translation!$A$6,IF($M411,Translation!$A$7,$K411))))))),Translation!$A$7)</f>
        <v/>
      </c>
      <c r="F411" s="22"/>
      <c r="G411" s="23"/>
      <c r="H411" s="24"/>
    </row>
    <row r="412">
      <c r="D412" s="14"/>
      <c r="E412" s="21" t="str">
        <f>IFERROR(IF($A412="",,IF($I412="",Translation!$A$2,IF($L412="",Translation!$A$3,IF($N412&lt;&gt;$B412,Translation!$A$4,IF(IFERROR($F412,)="",Translation!$A$5,IF($H412&gt;TIME(0,5,0),Translation!$A$6,IF($M412,Translation!$A$7,$K412))))))),Translation!$A$7)</f>
        <v/>
      </c>
      <c r="F412" s="22"/>
      <c r="G412" s="23"/>
      <c r="H412" s="24"/>
    </row>
    <row r="413">
      <c r="D413" s="14"/>
      <c r="E413" s="21" t="str">
        <f>IFERROR(IF($A413="",,IF($I413="",Translation!$A$2,IF($L413="",Translation!$A$3,IF($N413&lt;&gt;$B413,Translation!$A$4,IF(IFERROR($F413,)="",Translation!$A$5,IF($H413&gt;TIME(0,5,0),Translation!$A$6,IF($M413,Translation!$A$7,$K413))))))),Translation!$A$7)</f>
        <v/>
      </c>
      <c r="F413" s="22"/>
      <c r="G413" s="23"/>
      <c r="H413" s="24"/>
    </row>
    <row r="414">
      <c r="D414" s="14"/>
      <c r="E414" s="21" t="str">
        <f>IFERROR(IF($A414="",,IF($I414="",Translation!$A$2,IF($L414="",Translation!$A$3,IF($N414&lt;&gt;$B414,Translation!$A$4,IF(IFERROR($F414,)="",Translation!$A$5,IF($H414&gt;TIME(0,5,0),Translation!$A$6,IF($M414,Translation!$A$7,$K414))))))),Translation!$A$7)</f>
        <v/>
      </c>
      <c r="F414" s="22"/>
      <c r="G414" s="23"/>
      <c r="H414" s="24"/>
    </row>
    <row r="415">
      <c r="D415" s="14"/>
      <c r="E415" s="21" t="str">
        <f>IFERROR(IF($A415="",,IF($I415="",Translation!$A$2,IF($L415="",Translation!$A$3,IF($N415&lt;&gt;$B415,Translation!$A$4,IF(IFERROR($F415,)="",Translation!$A$5,IF($H415&gt;TIME(0,5,0),Translation!$A$6,IF($M415,Translation!$A$7,$K415))))))),Translation!$A$7)</f>
        <v/>
      </c>
      <c r="F415" s="22"/>
      <c r="G415" s="23"/>
      <c r="H415" s="24"/>
    </row>
    <row r="416">
      <c r="D416" s="14"/>
      <c r="E416" s="21" t="str">
        <f>IFERROR(IF($A416="",,IF($I416="",Translation!$A$2,IF($L416="",Translation!$A$3,IF($N416&lt;&gt;$B416,Translation!$A$4,IF(IFERROR($F416,)="",Translation!$A$5,IF($H416&gt;TIME(0,5,0),Translation!$A$6,IF($M416,Translation!$A$7,$K416))))))),Translation!$A$7)</f>
        <v/>
      </c>
      <c r="F416" s="22"/>
      <c r="G416" s="23"/>
      <c r="H416" s="24"/>
    </row>
    <row r="417">
      <c r="D417" s="14"/>
      <c r="E417" s="21" t="str">
        <f>IFERROR(IF($A417="",,IF($I417="",Translation!$A$2,IF($L417="",Translation!$A$3,IF($N417&lt;&gt;$B417,Translation!$A$4,IF(IFERROR($F417,)="",Translation!$A$5,IF($H417&gt;TIME(0,5,0),Translation!$A$6,IF($M417,Translation!$A$7,$K417))))))),Translation!$A$7)</f>
        <v/>
      </c>
      <c r="F417" s="22"/>
      <c r="G417" s="23"/>
      <c r="H417" s="24"/>
    </row>
    <row r="418">
      <c r="D418" s="14"/>
      <c r="E418" s="21" t="str">
        <f>IFERROR(IF($A418="",,IF($I418="",Translation!$A$2,IF($L418="",Translation!$A$3,IF($N418&lt;&gt;$B418,Translation!$A$4,IF(IFERROR($F418,)="",Translation!$A$5,IF($H418&gt;TIME(0,5,0),Translation!$A$6,IF($M418,Translation!$A$7,$K418))))))),Translation!$A$7)</f>
        <v/>
      </c>
      <c r="F418" s="22"/>
      <c r="G418" s="23"/>
      <c r="H418" s="24"/>
    </row>
    <row r="419">
      <c r="D419" s="14"/>
      <c r="E419" s="21" t="str">
        <f>IFERROR(IF($A419="",,IF($I419="",Translation!$A$2,IF($L419="",Translation!$A$3,IF($N419&lt;&gt;$B419,Translation!$A$4,IF(IFERROR($F419,)="",Translation!$A$5,IF($H419&gt;TIME(0,5,0),Translation!$A$6,IF($M419,Translation!$A$7,$K419))))))),Translation!$A$7)</f>
        <v/>
      </c>
      <c r="F419" s="22"/>
      <c r="G419" s="23"/>
      <c r="H419" s="24"/>
    </row>
    <row r="420">
      <c r="D420" s="14"/>
      <c r="E420" s="21" t="str">
        <f>IFERROR(IF($A420="",,IF($I420="",Translation!$A$2,IF($L420="",Translation!$A$3,IF($N420&lt;&gt;$B420,Translation!$A$4,IF(IFERROR($F420,)="",Translation!$A$5,IF($H420&gt;TIME(0,5,0),Translation!$A$6,IF($M420,Translation!$A$7,$K420))))))),Translation!$A$7)</f>
        <v/>
      </c>
      <c r="F420" s="22"/>
      <c r="G420" s="23"/>
      <c r="H420" s="24"/>
    </row>
    <row r="421">
      <c r="D421" s="14"/>
      <c r="E421" s="21" t="str">
        <f>IFERROR(IF($A421="",,IF($I421="",Translation!$A$2,IF($L421="",Translation!$A$3,IF($N421&lt;&gt;$B421,Translation!$A$4,IF(IFERROR($F421,)="",Translation!$A$5,IF($H421&gt;TIME(0,5,0),Translation!$A$6,IF($M421,Translation!$A$7,$K421))))))),Translation!$A$7)</f>
        <v/>
      </c>
      <c r="F421" s="22"/>
      <c r="G421" s="23"/>
      <c r="H421" s="24"/>
    </row>
    <row r="422">
      <c r="D422" s="14"/>
      <c r="E422" s="21" t="str">
        <f>IFERROR(IF($A422="",,IF($I422="",Translation!$A$2,IF($L422="",Translation!$A$3,IF($N422&lt;&gt;$B422,Translation!$A$4,IF(IFERROR($F422,)="",Translation!$A$5,IF($H422&gt;TIME(0,5,0),Translation!$A$6,IF($M422,Translation!$A$7,$K422))))))),Translation!$A$7)</f>
        <v/>
      </c>
      <c r="F422" s="22"/>
      <c r="G422" s="23"/>
      <c r="H422" s="24"/>
    </row>
    <row r="423">
      <c r="D423" s="14"/>
      <c r="E423" s="21" t="str">
        <f>IFERROR(IF($A423="",,IF($I423="",Translation!$A$2,IF($L423="",Translation!$A$3,IF($N423&lt;&gt;$B423,Translation!$A$4,IF(IFERROR($F423,)="",Translation!$A$5,IF($H423&gt;TIME(0,5,0),Translation!$A$6,IF($M423,Translation!$A$7,$K423))))))),Translation!$A$7)</f>
        <v/>
      </c>
      <c r="F423" s="22"/>
      <c r="G423" s="23"/>
      <c r="H423" s="24"/>
    </row>
    <row r="424">
      <c r="D424" s="14"/>
      <c r="E424" s="21" t="str">
        <f>IFERROR(IF($A424="",,IF($I424="",Translation!$A$2,IF($L424="",Translation!$A$3,IF($N424&lt;&gt;$B424,Translation!$A$4,IF(IFERROR($F424,)="",Translation!$A$5,IF($H424&gt;TIME(0,5,0),Translation!$A$6,IF($M424,Translation!$A$7,$K424))))))),Translation!$A$7)</f>
        <v/>
      </c>
      <c r="F424" s="22"/>
      <c r="G424" s="23"/>
      <c r="H424" s="24"/>
    </row>
    <row r="425">
      <c r="D425" s="14"/>
      <c r="E425" s="21" t="str">
        <f>IFERROR(IF($A425="",,IF($I425="",Translation!$A$2,IF($L425="",Translation!$A$3,IF($N425&lt;&gt;$B425,Translation!$A$4,IF(IFERROR($F425,)="",Translation!$A$5,IF($H425&gt;TIME(0,5,0),Translation!$A$6,IF($M425,Translation!$A$7,$K425))))))),Translation!$A$7)</f>
        <v/>
      </c>
      <c r="F425" s="22"/>
      <c r="G425" s="23"/>
      <c r="H425" s="24"/>
    </row>
    <row r="426">
      <c r="D426" s="14"/>
      <c r="E426" s="21" t="str">
        <f>IFERROR(IF($A426="",,IF($I426="",Translation!$A$2,IF($L426="",Translation!$A$3,IF($N426&lt;&gt;$B426,Translation!$A$4,IF(IFERROR($F426,)="",Translation!$A$5,IF($H426&gt;TIME(0,5,0),Translation!$A$6,IF($M426,Translation!$A$7,$K426))))))),Translation!$A$7)</f>
        <v/>
      </c>
      <c r="F426" s="22"/>
      <c r="G426" s="23"/>
      <c r="H426" s="24"/>
    </row>
    <row r="427">
      <c r="D427" s="14"/>
      <c r="E427" s="21" t="str">
        <f>IFERROR(IF($A427="",,IF($I427="",Translation!$A$2,IF($L427="",Translation!$A$3,IF($N427&lt;&gt;$B427,Translation!$A$4,IF(IFERROR($F427,)="",Translation!$A$5,IF($H427&gt;TIME(0,5,0),Translation!$A$6,IF($M427,Translation!$A$7,$K427))))))),Translation!$A$7)</f>
        <v/>
      </c>
      <c r="F427" s="22"/>
      <c r="G427" s="23"/>
      <c r="H427" s="24"/>
    </row>
    <row r="428">
      <c r="D428" s="14"/>
      <c r="E428" s="21" t="str">
        <f>IFERROR(IF($A428="",,IF($I428="",Translation!$A$2,IF($L428="",Translation!$A$3,IF($N428&lt;&gt;$B428,Translation!$A$4,IF(IFERROR($F428,)="",Translation!$A$5,IF($H428&gt;TIME(0,5,0),Translation!$A$6,IF($M428,Translation!$A$7,$K428))))))),Translation!$A$7)</f>
        <v/>
      </c>
      <c r="F428" s="22"/>
      <c r="G428" s="23"/>
      <c r="H428" s="24"/>
    </row>
    <row r="429">
      <c r="D429" s="14"/>
      <c r="E429" s="21" t="str">
        <f>IFERROR(IF($A429="",,IF($I429="",Translation!$A$2,IF($L429="",Translation!$A$3,IF($N429&lt;&gt;$B429,Translation!$A$4,IF(IFERROR($F429,)="",Translation!$A$5,IF($H429&gt;TIME(0,5,0),Translation!$A$6,IF($M429,Translation!$A$7,$K429))))))),Translation!$A$7)</f>
        <v/>
      </c>
      <c r="F429" s="22"/>
      <c r="G429" s="23"/>
      <c r="H429" s="24"/>
    </row>
    <row r="430">
      <c r="D430" s="14"/>
      <c r="E430" s="21" t="str">
        <f>IFERROR(IF($A430="",,IF($I430="",Translation!$A$2,IF($L430="",Translation!$A$3,IF($N430&lt;&gt;$B430,Translation!$A$4,IF(IFERROR($F430,)="",Translation!$A$5,IF($H430&gt;TIME(0,5,0),Translation!$A$6,IF($M430,Translation!$A$7,$K430))))))),Translation!$A$7)</f>
        <v/>
      </c>
      <c r="F430" s="22"/>
      <c r="G430" s="23"/>
      <c r="H430" s="24"/>
    </row>
    <row r="431">
      <c r="D431" s="14"/>
      <c r="E431" s="21" t="str">
        <f>IFERROR(IF($A431="",,IF($I431="",Translation!$A$2,IF($L431="",Translation!$A$3,IF($N431&lt;&gt;$B431,Translation!$A$4,IF(IFERROR($F431,)="",Translation!$A$5,IF($H431&gt;TIME(0,5,0),Translation!$A$6,IF($M431,Translation!$A$7,$K431))))))),Translation!$A$7)</f>
        <v/>
      </c>
      <c r="F431" s="22"/>
      <c r="G431" s="23"/>
      <c r="H431" s="24"/>
    </row>
    <row r="432">
      <c r="D432" s="14"/>
      <c r="E432" s="21" t="str">
        <f>IFERROR(IF($A432="",,IF($I432="",Translation!$A$2,IF($L432="",Translation!$A$3,IF($N432&lt;&gt;$B432,Translation!$A$4,IF(IFERROR($F432,)="",Translation!$A$5,IF($H432&gt;TIME(0,5,0),Translation!$A$6,IF($M432,Translation!$A$7,$K432))))))),Translation!$A$7)</f>
        <v/>
      </c>
      <c r="F432" s="22"/>
      <c r="G432" s="23"/>
      <c r="H432" s="24"/>
    </row>
    <row r="433">
      <c r="D433" s="14"/>
      <c r="E433" s="21" t="str">
        <f>IFERROR(IF($A433="",,IF($I433="",Translation!$A$2,IF($L433="",Translation!$A$3,IF($N433&lt;&gt;$B433,Translation!$A$4,IF(IFERROR($F433,)="",Translation!$A$5,IF($H433&gt;TIME(0,5,0),Translation!$A$6,IF($M433,Translation!$A$7,$K433))))))),Translation!$A$7)</f>
        <v/>
      </c>
      <c r="F433" s="22"/>
      <c r="G433" s="23"/>
      <c r="H433" s="24"/>
    </row>
    <row r="434">
      <c r="D434" s="14"/>
      <c r="E434" s="21" t="str">
        <f>IFERROR(IF($A434="",,IF($I434="",Translation!$A$2,IF($L434="",Translation!$A$3,IF($N434&lt;&gt;$B434,Translation!$A$4,IF(IFERROR($F434,)="",Translation!$A$5,IF($H434&gt;TIME(0,5,0),Translation!$A$6,IF($M434,Translation!$A$7,$K434))))))),Translation!$A$7)</f>
        <v/>
      </c>
      <c r="F434" s="22"/>
      <c r="G434" s="23"/>
      <c r="H434" s="24"/>
    </row>
    <row r="435">
      <c r="D435" s="14"/>
      <c r="E435" s="21" t="str">
        <f>IFERROR(IF($A435="",,IF($I435="",Translation!$A$2,IF($L435="",Translation!$A$3,IF($N435&lt;&gt;$B435,Translation!$A$4,IF(IFERROR($F435,)="",Translation!$A$5,IF($H435&gt;TIME(0,5,0),Translation!$A$6,IF($M435,Translation!$A$7,$K435))))))),Translation!$A$7)</f>
        <v/>
      </c>
      <c r="F435" s="22"/>
      <c r="G435" s="23"/>
      <c r="H435" s="24"/>
    </row>
    <row r="436">
      <c r="D436" s="14"/>
      <c r="E436" s="21" t="str">
        <f>IFERROR(IF($A436="",,IF($I436="",Translation!$A$2,IF($L436="",Translation!$A$3,IF($N436&lt;&gt;$B436,Translation!$A$4,IF(IFERROR($F436,)="",Translation!$A$5,IF($H436&gt;TIME(0,5,0),Translation!$A$6,IF($M436,Translation!$A$7,$K436))))))),Translation!$A$7)</f>
        <v/>
      </c>
      <c r="F436" s="22"/>
      <c r="G436" s="23"/>
      <c r="H436" s="24"/>
    </row>
    <row r="437">
      <c r="D437" s="14"/>
      <c r="E437" s="21" t="str">
        <f>IFERROR(IF($A437="",,IF($I437="",Translation!$A$2,IF($L437="",Translation!$A$3,IF($N437&lt;&gt;$B437,Translation!$A$4,IF(IFERROR($F437,)="",Translation!$A$5,IF($H437&gt;TIME(0,5,0),Translation!$A$6,IF($M437,Translation!$A$7,$K437))))))),Translation!$A$7)</f>
        <v/>
      </c>
      <c r="F437" s="22"/>
      <c r="G437" s="23"/>
      <c r="H437" s="24"/>
    </row>
    <row r="438">
      <c r="D438" s="14"/>
      <c r="E438" s="21" t="str">
        <f>IFERROR(IF($A438="",,IF($I438="",Translation!$A$2,IF($L438="",Translation!$A$3,IF($N438&lt;&gt;$B438,Translation!$A$4,IF(IFERROR($F438,)="",Translation!$A$5,IF($H438&gt;TIME(0,5,0),Translation!$A$6,IF($M438,Translation!$A$7,$K438))))))),Translation!$A$7)</f>
        <v/>
      </c>
      <c r="F438" s="22"/>
      <c r="G438" s="23"/>
      <c r="H438" s="24"/>
    </row>
    <row r="439">
      <c r="D439" s="14"/>
      <c r="E439" s="21" t="str">
        <f>IFERROR(IF($A439="",,IF($I439="",Translation!$A$2,IF($L439="",Translation!$A$3,IF($N439&lt;&gt;$B439,Translation!$A$4,IF(IFERROR($F439,)="",Translation!$A$5,IF($H439&gt;TIME(0,5,0),Translation!$A$6,IF($M439,Translation!$A$7,$K439))))))),Translation!$A$7)</f>
        <v/>
      </c>
      <c r="F439" s="22"/>
      <c r="G439" s="23"/>
      <c r="H439" s="24"/>
    </row>
    <row r="440">
      <c r="D440" s="14"/>
      <c r="E440" s="21" t="str">
        <f>IFERROR(IF($A440="",,IF($I440="",Translation!$A$2,IF($L440="",Translation!$A$3,IF($N440&lt;&gt;$B440,Translation!$A$4,IF(IFERROR($F440,)="",Translation!$A$5,IF($H440&gt;TIME(0,5,0),Translation!$A$6,IF($M440,Translation!$A$7,$K440))))))),Translation!$A$7)</f>
        <v/>
      </c>
      <c r="F440" s="22"/>
      <c r="G440" s="23"/>
      <c r="H440" s="24"/>
    </row>
    <row r="441">
      <c r="D441" s="14"/>
      <c r="E441" s="21" t="str">
        <f>IFERROR(IF($A441="",,IF($I441="",Translation!$A$2,IF($L441="",Translation!$A$3,IF($N441&lt;&gt;$B441,Translation!$A$4,IF(IFERROR($F441,)="",Translation!$A$5,IF($H441&gt;TIME(0,5,0),Translation!$A$6,IF($M441,Translation!$A$7,$K441))))))),Translation!$A$7)</f>
        <v/>
      </c>
      <c r="F441" s="22"/>
      <c r="G441" s="23"/>
      <c r="H441" s="24"/>
    </row>
    <row r="442">
      <c r="D442" s="14"/>
      <c r="E442" s="21" t="str">
        <f>IFERROR(IF($A442="",,IF($I442="",Translation!$A$2,IF($L442="",Translation!$A$3,IF($N442&lt;&gt;$B442,Translation!$A$4,IF(IFERROR($F442,)="",Translation!$A$5,IF($H442&gt;TIME(0,5,0),Translation!$A$6,IF($M442,Translation!$A$7,$K442))))))),Translation!$A$7)</f>
        <v/>
      </c>
      <c r="F442" s="22"/>
      <c r="G442" s="23"/>
      <c r="H442" s="24"/>
    </row>
    <row r="443">
      <c r="D443" s="14"/>
      <c r="E443" s="21" t="str">
        <f>IFERROR(IF($A443="",,IF($I443="",Translation!$A$2,IF($L443="",Translation!$A$3,IF($N443&lt;&gt;$B443,Translation!$A$4,IF(IFERROR($F443,)="",Translation!$A$5,IF($H443&gt;TIME(0,5,0),Translation!$A$6,IF($M443,Translation!$A$7,$K443))))))),Translation!$A$7)</f>
        <v/>
      </c>
      <c r="F443" s="22"/>
      <c r="G443" s="23"/>
      <c r="H443" s="24"/>
    </row>
    <row r="444">
      <c r="D444" s="14"/>
      <c r="E444" s="21" t="str">
        <f>IFERROR(IF($A444="",,IF($I444="",Translation!$A$2,IF($L444="",Translation!$A$3,IF($N444&lt;&gt;$B444,Translation!$A$4,IF(IFERROR($F444,)="",Translation!$A$5,IF($H444&gt;TIME(0,5,0),Translation!$A$6,IF($M444,Translation!$A$7,$K444))))))),Translation!$A$7)</f>
        <v/>
      </c>
      <c r="F444" s="22"/>
      <c r="G444" s="23"/>
      <c r="H444" s="24"/>
    </row>
    <row r="445">
      <c r="D445" s="14"/>
      <c r="E445" s="21" t="str">
        <f>IFERROR(IF($A445="",,IF($I445="",Translation!$A$2,IF($L445="",Translation!$A$3,IF($N445&lt;&gt;$B445,Translation!$A$4,IF(IFERROR($F445,)="",Translation!$A$5,IF($H445&gt;TIME(0,5,0),Translation!$A$6,IF($M445,Translation!$A$7,$K445))))))),Translation!$A$7)</f>
        <v/>
      </c>
      <c r="F445" s="22"/>
      <c r="G445" s="23"/>
      <c r="H445" s="24"/>
    </row>
    <row r="446">
      <c r="D446" s="14"/>
      <c r="E446" s="21" t="str">
        <f>IFERROR(IF($A446="",,IF($I446="",Translation!$A$2,IF($L446="",Translation!$A$3,IF($N446&lt;&gt;$B446,Translation!$A$4,IF(IFERROR($F446,)="",Translation!$A$5,IF($H446&gt;TIME(0,5,0),Translation!$A$6,IF($M446,Translation!$A$7,$K446))))))),Translation!$A$7)</f>
        <v/>
      </c>
      <c r="F446" s="22"/>
      <c r="G446" s="23"/>
      <c r="H446" s="24"/>
    </row>
    <row r="447">
      <c r="D447" s="14"/>
      <c r="E447" s="21" t="str">
        <f>IFERROR(IF($A447="",,IF($I447="",Translation!$A$2,IF($L447="",Translation!$A$3,IF($N447&lt;&gt;$B447,Translation!$A$4,IF(IFERROR($F447,)="",Translation!$A$5,IF($H447&gt;TIME(0,5,0),Translation!$A$6,IF($M447,Translation!$A$7,$K447))))))),Translation!$A$7)</f>
        <v/>
      </c>
      <c r="F447" s="22"/>
      <c r="G447" s="23"/>
      <c r="H447" s="24"/>
    </row>
    <row r="448">
      <c r="D448" s="14"/>
      <c r="E448" s="21" t="str">
        <f>IFERROR(IF($A448="",,IF($I448="",Translation!$A$2,IF($L448="",Translation!$A$3,IF($N448&lt;&gt;$B448,Translation!$A$4,IF(IFERROR($F448,)="",Translation!$A$5,IF($H448&gt;TIME(0,5,0),Translation!$A$6,IF($M448,Translation!$A$7,$K448))))))),Translation!$A$7)</f>
        <v/>
      </c>
      <c r="F448" s="22"/>
      <c r="G448" s="23"/>
      <c r="H448" s="24"/>
    </row>
    <row r="449">
      <c r="D449" s="14"/>
      <c r="E449" s="21" t="str">
        <f>IFERROR(IF($A449="",,IF($I449="",Translation!$A$2,IF($L449="",Translation!$A$3,IF($N449&lt;&gt;$B449,Translation!$A$4,IF(IFERROR($F449,)="",Translation!$A$5,IF($H449&gt;TIME(0,5,0),Translation!$A$6,IF($M449,Translation!$A$7,$K449))))))),Translation!$A$7)</f>
        <v/>
      </c>
      <c r="F449" s="22"/>
      <c r="G449" s="23"/>
      <c r="H449" s="24"/>
    </row>
    <row r="450">
      <c r="D450" s="14"/>
      <c r="E450" s="21" t="str">
        <f>IFERROR(IF($A450="",,IF($I450="",Translation!$A$2,IF($L450="",Translation!$A$3,IF($N450&lt;&gt;$B450,Translation!$A$4,IF(IFERROR($F450,)="",Translation!$A$5,IF($H450&gt;TIME(0,5,0),Translation!$A$6,IF($M450,Translation!$A$7,$K450))))))),Translation!$A$7)</f>
        <v/>
      </c>
      <c r="F450" s="22"/>
      <c r="G450" s="23"/>
      <c r="H450" s="24"/>
    </row>
    <row r="451">
      <c r="D451" s="14"/>
      <c r="E451" s="21" t="str">
        <f>IFERROR(IF($A451="",,IF($I451="",Translation!$A$2,IF($L451="",Translation!$A$3,IF($N451&lt;&gt;$B451,Translation!$A$4,IF(IFERROR($F451,)="",Translation!$A$5,IF($H451&gt;TIME(0,5,0),Translation!$A$6,IF($M451,Translation!$A$7,$K451))))))),Translation!$A$7)</f>
        <v/>
      </c>
      <c r="F451" s="22"/>
      <c r="G451" s="23"/>
      <c r="H451" s="24"/>
    </row>
    <row r="452">
      <c r="D452" s="14"/>
      <c r="E452" s="21" t="str">
        <f>IFERROR(IF($A452="",,IF($I452="",Translation!$A$2,IF($L452="",Translation!$A$3,IF($N452&lt;&gt;$B452,Translation!$A$4,IF(IFERROR($F452,)="",Translation!$A$5,IF($H452&gt;TIME(0,5,0),Translation!$A$6,IF($M452,Translation!$A$7,$K452))))))),Translation!$A$7)</f>
        <v/>
      </c>
      <c r="F452" s="22"/>
      <c r="G452" s="23"/>
      <c r="H452" s="24"/>
    </row>
    <row r="453">
      <c r="D453" s="14"/>
      <c r="E453" s="21" t="str">
        <f>IFERROR(IF($A453="",,IF($I453="",Translation!$A$2,IF($L453="",Translation!$A$3,IF($N453&lt;&gt;$B453,Translation!$A$4,IF(IFERROR($F453,)="",Translation!$A$5,IF($H453&gt;TIME(0,5,0),Translation!$A$6,IF($M453,Translation!$A$7,$K453))))))),Translation!$A$7)</f>
        <v/>
      </c>
      <c r="F453" s="22"/>
      <c r="G453" s="23"/>
      <c r="H453" s="24"/>
    </row>
    <row r="454">
      <c r="D454" s="14"/>
      <c r="E454" s="21" t="str">
        <f>IFERROR(IF($A454="",,IF($I454="",Translation!$A$2,IF($L454="",Translation!$A$3,IF($N454&lt;&gt;$B454,Translation!$A$4,IF(IFERROR($F454,)="",Translation!$A$5,IF($H454&gt;TIME(0,5,0),Translation!$A$6,IF($M454,Translation!$A$7,$K454))))))),Translation!$A$7)</f>
        <v/>
      </c>
      <c r="F454" s="22"/>
      <c r="G454" s="23"/>
      <c r="H454" s="24"/>
    </row>
    <row r="455">
      <c r="D455" s="14"/>
      <c r="E455" s="21" t="str">
        <f>IFERROR(IF($A455="",,IF($I455="",Translation!$A$2,IF($L455="",Translation!$A$3,IF($N455&lt;&gt;$B455,Translation!$A$4,IF(IFERROR($F455,)="",Translation!$A$5,IF($H455&gt;TIME(0,5,0),Translation!$A$6,IF($M455,Translation!$A$7,$K455))))))),Translation!$A$7)</f>
        <v/>
      </c>
      <c r="F455" s="22"/>
      <c r="G455" s="23"/>
      <c r="H455" s="24"/>
    </row>
    <row r="456">
      <c r="D456" s="14"/>
      <c r="E456" s="21" t="str">
        <f>IFERROR(IF($A456="",,IF($I456="",Translation!$A$2,IF($L456="",Translation!$A$3,IF($N456&lt;&gt;$B456,Translation!$A$4,IF(IFERROR($F456,)="",Translation!$A$5,IF($H456&gt;TIME(0,5,0),Translation!$A$6,IF($M456,Translation!$A$7,$K456))))))),Translation!$A$7)</f>
        <v/>
      </c>
      <c r="F456" s="22"/>
      <c r="G456" s="23"/>
      <c r="H456" s="24"/>
    </row>
    <row r="457">
      <c r="D457" s="14"/>
      <c r="E457" s="21" t="str">
        <f>IFERROR(IF($A457="",,IF($I457="",Translation!$A$2,IF($L457="",Translation!$A$3,IF($N457&lt;&gt;$B457,Translation!$A$4,IF(IFERROR($F457,)="",Translation!$A$5,IF($H457&gt;TIME(0,5,0),Translation!$A$6,IF($M457,Translation!$A$7,$K457))))))),Translation!$A$7)</f>
        <v/>
      </c>
      <c r="F457" s="22"/>
      <c r="G457" s="23"/>
      <c r="H457" s="24"/>
    </row>
    <row r="458">
      <c r="D458" s="14"/>
      <c r="E458" s="21" t="str">
        <f>IFERROR(IF($A458="",,IF($I458="",Translation!$A$2,IF($L458="",Translation!$A$3,IF($N458&lt;&gt;$B458,Translation!$A$4,IF(IFERROR($F458,)="",Translation!$A$5,IF($H458&gt;TIME(0,5,0),Translation!$A$6,IF($M458,Translation!$A$7,$K458))))))),Translation!$A$7)</f>
        <v/>
      </c>
      <c r="F458" s="22"/>
      <c r="G458" s="23"/>
      <c r="H458" s="24"/>
    </row>
    <row r="459">
      <c r="D459" s="14"/>
      <c r="E459" s="21" t="str">
        <f>IFERROR(IF($A459="",,IF($I459="",Translation!$A$2,IF($L459="",Translation!$A$3,IF($N459&lt;&gt;$B459,Translation!$A$4,IF(IFERROR($F459,)="",Translation!$A$5,IF($H459&gt;TIME(0,5,0),Translation!$A$6,IF($M459,Translation!$A$7,$K459))))))),Translation!$A$7)</f>
        <v/>
      </c>
      <c r="F459" s="22"/>
      <c r="G459" s="23"/>
      <c r="H459" s="24"/>
    </row>
    <row r="460">
      <c r="D460" s="14"/>
      <c r="E460" s="21" t="str">
        <f>IFERROR(IF($A460="",,IF($I460="",Translation!$A$2,IF($L460="",Translation!$A$3,IF($N460&lt;&gt;$B460,Translation!$A$4,IF(IFERROR($F460,)="",Translation!$A$5,IF($H460&gt;TIME(0,5,0),Translation!$A$6,IF($M460,Translation!$A$7,$K460))))))),Translation!$A$7)</f>
        <v/>
      </c>
      <c r="F460" s="22"/>
      <c r="G460" s="23"/>
      <c r="H460" s="24"/>
    </row>
    <row r="461">
      <c r="D461" s="14"/>
      <c r="E461" s="21" t="str">
        <f>IFERROR(IF($A461="",,IF($I461="",Translation!$A$2,IF($L461="",Translation!$A$3,IF($N461&lt;&gt;$B461,Translation!$A$4,IF(IFERROR($F461,)="",Translation!$A$5,IF($H461&gt;TIME(0,5,0),Translation!$A$6,IF($M461,Translation!$A$7,$K461))))))),Translation!$A$7)</f>
        <v/>
      </c>
      <c r="F461" s="22"/>
      <c r="G461" s="23"/>
      <c r="H461" s="24"/>
    </row>
    <row r="462">
      <c r="D462" s="14"/>
      <c r="E462" s="21" t="str">
        <f>IFERROR(IF($A462="",,IF($I462="",Translation!$A$2,IF($L462="",Translation!$A$3,IF($N462&lt;&gt;$B462,Translation!$A$4,IF(IFERROR($F462,)="",Translation!$A$5,IF($H462&gt;TIME(0,5,0),Translation!$A$6,IF($M462,Translation!$A$7,$K462))))))),Translation!$A$7)</f>
        <v/>
      </c>
      <c r="F462" s="22"/>
      <c r="G462" s="23"/>
      <c r="H462" s="24"/>
    </row>
    <row r="463">
      <c r="D463" s="14"/>
      <c r="E463" s="21" t="str">
        <f>IFERROR(IF($A463="",,IF($I463="",Translation!$A$2,IF($L463="",Translation!$A$3,IF($N463&lt;&gt;$B463,Translation!$A$4,IF(IFERROR($F463,)="",Translation!$A$5,IF($H463&gt;TIME(0,5,0),Translation!$A$6,IF($M463,Translation!$A$7,$K463))))))),Translation!$A$7)</f>
        <v/>
      </c>
      <c r="F463" s="22"/>
      <c r="G463" s="23"/>
      <c r="H463" s="24"/>
    </row>
    <row r="464">
      <c r="D464" s="14"/>
      <c r="E464" s="21" t="str">
        <f>IFERROR(IF($A464="",,IF($I464="",Translation!$A$2,IF($L464="",Translation!$A$3,IF($N464&lt;&gt;$B464,Translation!$A$4,IF(IFERROR($F464,)="",Translation!$A$5,IF($H464&gt;TIME(0,5,0),Translation!$A$6,IF($M464,Translation!$A$7,$K464))))))),Translation!$A$7)</f>
        <v/>
      </c>
      <c r="F464" s="22"/>
      <c r="G464" s="23"/>
      <c r="H464" s="24"/>
    </row>
    <row r="465">
      <c r="D465" s="14"/>
      <c r="E465" s="21" t="str">
        <f>IFERROR(IF($A465="",,IF($I465="",Translation!$A$2,IF($L465="",Translation!$A$3,IF($N465&lt;&gt;$B465,Translation!$A$4,IF(IFERROR($F465,)="",Translation!$A$5,IF($H465&gt;TIME(0,5,0),Translation!$A$6,IF($M465,Translation!$A$7,$K465))))))),Translation!$A$7)</f>
        <v/>
      </c>
      <c r="F465" s="22"/>
      <c r="G465" s="23"/>
      <c r="H465" s="24"/>
    </row>
    <row r="466">
      <c r="D466" s="14"/>
      <c r="E466" s="21" t="str">
        <f>IFERROR(IF($A466="",,IF($I466="",Translation!$A$2,IF($L466="",Translation!$A$3,IF($N466&lt;&gt;$B466,Translation!$A$4,IF(IFERROR($F466,)="",Translation!$A$5,IF($H466&gt;TIME(0,5,0),Translation!$A$6,IF($M466,Translation!$A$7,$K466))))))),Translation!$A$7)</f>
        <v/>
      </c>
      <c r="F466" s="22"/>
      <c r="G466" s="23"/>
      <c r="H466" s="24"/>
    </row>
    <row r="467">
      <c r="D467" s="14"/>
      <c r="E467" s="21" t="str">
        <f>IFERROR(IF($A467="",,IF($I467="",Translation!$A$2,IF($L467="",Translation!$A$3,IF($N467&lt;&gt;$B467,Translation!$A$4,IF(IFERROR($F467,)="",Translation!$A$5,IF($H467&gt;TIME(0,5,0),Translation!$A$6,IF($M467,Translation!$A$7,$K467))))))),Translation!$A$7)</f>
        <v/>
      </c>
      <c r="F467" s="22"/>
      <c r="G467" s="23"/>
      <c r="H467" s="24"/>
    </row>
    <row r="468">
      <c r="D468" s="14"/>
      <c r="E468" s="21" t="str">
        <f>IFERROR(IF($A468="",,IF($I468="",Translation!$A$2,IF($L468="",Translation!$A$3,IF($N468&lt;&gt;$B468,Translation!$A$4,IF(IFERROR($F468,)="",Translation!$A$5,IF($H468&gt;TIME(0,5,0),Translation!$A$6,IF($M468,Translation!$A$7,$K468))))))),Translation!$A$7)</f>
        <v/>
      </c>
      <c r="F468" s="22"/>
      <c r="G468" s="23"/>
      <c r="H468" s="24"/>
    </row>
    <row r="469">
      <c r="D469" s="14"/>
      <c r="E469" s="21" t="str">
        <f>IFERROR(IF($A469="",,IF($I469="",Translation!$A$2,IF($L469="",Translation!$A$3,IF($N469&lt;&gt;$B469,Translation!$A$4,IF(IFERROR($F469,)="",Translation!$A$5,IF($H469&gt;TIME(0,5,0),Translation!$A$6,IF($M469,Translation!$A$7,$K469))))))),Translation!$A$7)</f>
        <v/>
      </c>
      <c r="F469" s="22"/>
      <c r="G469" s="23"/>
      <c r="H469" s="24"/>
    </row>
    <row r="470">
      <c r="D470" s="14"/>
      <c r="E470" s="21" t="str">
        <f>IFERROR(IF($A470="",,IF($I470="",Translation!$A$2,IF($L470="",Translation!$A$3,IF($N470&lt;&gt;$B470,Translation!$A$4,IF(IFERROR($F470,)="",Translation!$A$5,IF($H470&gt;TIME(0,5,0),Translation!$A$6,IF($M470,Translation!$A$7,$K470))))))),Translation!$A$7)</f>
        <v/>
      </c>
      <c r="F470" s="22"/>
      <c r="G470" s="23"/>
      <c r="H470" s="24"/>
    </row>
    <row r="471">
      <c r="D471" s="14"/>
      <c r="E471" s="21" t="str">
        <f>IFERROR(IF($A471="",,IF($I471="",Translation!$A$2,IF($L471="",Translation!$A$3,IF($N471&lt;&gt;$B471,Translation!$A$4,IF(IFERROR($F471,)="",Translation!$A$5,IF($H471&gt;TIME(0,5,0),Translation!$A$6,IF($M471,Translation!$A$7,$K471))))))),Translation!$A$7)</f>
        <v/>
      </c>
      <c r="F471" s="22"/>
      <c r="G471" s="23"/>
      <c r="H471" s="24"/>
    </row>
    <row r="472">
      <c r="D472" s="14"/>
      <c r="E472" s="21" t="str">
        <f>IFERROR(IF($A472="",,IF($I472="",Translation!$A$2,IF($L472="",Translation!$A$3,IF($N472&lt;&gt;$B472,Translation!$A$4,IF(IFERROR($F472,)="",Translation!$A$5,IF($H472&gt;TIME(0,5,0),Translation!$A$6,IF($M472,Translation!$A$7,$K472))))))),Translation!$A$7)</f>
        <v/>
      </c>
      <c r="F472" s="22"/>
      <c r="G472" s="23"/>
      <c r="H472" s="24"/>
    </row>
    <row r="473">
      <c r="D473" s="14"/>
      <c r="E473" s="21" t="str">
        <f>IFERROR(IF($A473="",,IF($I473="",Translation!$A$2,IF($L473="",Translation!$A$3,IF($N473&lt;&gt;$B473,Translation!$A$4,IF(IFERROR($F473,)="",Translation!$A$5,IF($H473&gt;TIME(0,5,0),Translation!$A$6,IF($M473,Translation!$A$7,$K473))))))),Translation!$A$7)</f>
        <v/>
      </c>
      <c r="F473" s="22"/>
      <c r="G473" s="23"/>
      <c r="H473" s="24"/>
    </row>
    <row r="474">
      <c r="D474" s="14"/>
      <c r="E474" s="21" t="str">
        <f>IFERROR(IF($A474="",,IF($I474="",Translation!$A$2,IF($L474="",Translation!$A$3,IF($N474&lt;&gt;$B474,Translation!$A$4,IF(IFERROR($F474,)="",Translation!$A$5,IF($H474&gt;TIME(0,5,0),Translation!$A$6,IF($M474,Translation!$A$7,$K474))))))),Translation!$A$7)</f>
        <v/>
      </c>
      <c r="F474" s="22"/>
      <c r="G474" s="23"/>
      <c r="H474" s="24"/>
    </row>
    <row r="475">
      <c r="D475" s="14"/>
      <c r="E475" s="21" t="str">
        <f>IFERROR(IF($A475="",,IF($I475="",Translation!$A$2,IF($L475="",Translation!$A$3,IF($N475&lt;&gt;$B475,Translation!$A$4,IF(IFERROR($F475,)="",Translation!$A$5,IF($H475&gt;TIME(0,5,0),Translation!$A$6,IF($M475,Translation!$A$7,$K475))))))),Translation!$A$7)</f>
        <v/>
      </c>
      <c r="F475" s="22"/>
      <c r="G475" s="23"/>
      <c r="H475" s="24"/>
    </row>
    <row r="476">
      <c r="D476" s="14"/>
      <c r="E476" s="21" t="str">
        <f>IFERROR(IF($A476="",,IF($I476="",Translation!$A$2,IF($L476="",Translation!$A$3,IF($N476&lt;&gt;$B476,Translation!$A$4,IF(IFERROR($F476,)="",Translation!$A$5,IF($H476&gt;TIME(0,5,0),Translation!$A$6,IF($M476,Translation!$A$7,$K476))))))),Translation!$A$7)</f>
        <v/>
      </c>
      <c r="F476" s="22"/>
      <c r="G476" s="23"/>
      <c r="H476" s="24"/>
    </row>
    <row r="477">
      <c r="D477" s="14"/>
      <c r="E477" s="21" t="str">
        <f>IFERROR(IF($A477="",,IF($I477="",Translation!$A$2,IF($L477="",Translation!$A$3,IF($N477&lt;&gt;$B477,Translation!$A$4,IF(IFERROR($F477,)="",Translation!$A$5,IF($H477&gt;TIME(0,5,0),Translation!$A$6,IF($M477,Translation!$A$7,$K477))))))),Translation!$A$7)</f>
        <v/>
      </c>
      <c r="F477" s="22"/>
      <c r="G477" s="23"/>
      <c r="H477" s="24"/>
    </row>
    <row r="478">
      <c r="D478" s="14"/>
      <c r="E478" s="21" t="str">
        <f>IFERROR(IF($A478="",,IF($I478="",Translation!$A$2,IF($L478="",Translation!$A$3,IF($N478&lt;&gt;$B478,Translation!$A$4,IF(IFERROR($F478,)="",Translation!$A$5,IF($H478&gt;TIME(0,5,0),Translation!$A$6,IF($M478,Translation!$A$7,$K478))))))),Translation!$A$7)</f>
        <v/>
      </c>
      <c r="F478" s="22"/>
      <c r="G478" s="23"/>
      <c r="H478" s="24"/>
    </row>
    <row r="479">
      <c r="D479" s="14"/>
      <c r="E479" s="21" t="str">
        <f>IFERROR(IF($A479="",,IF($I479="",Translation!$A$2,IF($L479="",Translation!$A$3,IF($N479&lt;&gt;$B479,Translation!$A$4,IF(IFERROR($F479,)="",Translation!$A$5,IF($H479&gt;TIME(0,5,0),Translation!$A$6,IF($M479,Translation!$A$7,$K479))))))),Translation!$A$7)</f>
        <v/>
      </c>
      <c r="F479" s="22"/>
      <c r="G479" s="23"/>
      <c r="H479" s="24"/>
    </row>
    <row r="480">
      <c r="D480" s="14"/>
      <c r="E480" s="21" t="str">
        <f>IFERROR(IF($A480="",,IF($I480="",Translation!$A$2,IF($L480="",Translation!$A$3,IF($N480&lt;&gt;$B480,Translation!$A$4,IF(IFERROR($F480,)="",Translation!$A$5,IF($H480&gt;TIME(0,5,0),Translation!$A$6,IF($M480,Translation!$A$7,$K480))))))),Translation!$A$7)</f>
        <v/>
      </c>
      <c r="F480" s="22"/>
      <c r="G480" s="23"/>
      <c r="H480" s="24"/>
    </row>
    <row r="481">
      <c r="D481" s="14"/>
      <c r="E481" s="21" t="str">
        <f>IFERROR(IF($A481="",,IF($I481="",Translation!$A$2,IF($L481="",Translation!$A$3,IF($N481&lt;&gt;$B481,Translation!$A$4,IF(IFERROR($F481,)="",Translation!$A$5,IF($H481&gt;TIME(0,5,0),Translation!$A$6,IF($M481,Translation!$A$7,$K481))))))),Translation!$A$7)</f>
        <v/>
      </c>
      <c r="F481" s="22"/>
      <c r="G481" s="23"/>
      <c r="H481" s="24"/>
    </row>
    <row r="482">
      <c r="D482" s="14"/>
      <c r="E482" s="21" t="str">
        <f>IFERROR(IF($A482="",,IF($I482="",Translation!$A$2,IF($L482="",Translation!$A$3,IF($N482&lt;&gt;$B482,Translation!$A$4,IF(IFERROR($F482,)="",Translation!$A$5,IF($H482&gt;TIME(0,5,0),Translation!$A$6,IF($M482,Translation!$A$7,$K482))))))),Translation!$A$7)</f>
        <v/>
      </c>
      <c r="F482" s="22"/>
      <c r="G482" s="23"/>
      <c r="H482" s="24"/>
    </row>
    <row r="483">
      <c r="D483" s="14"/>
      <c r="E483" s="21" t="str">
        <f>IFERROR(IF($A483="",,IF($I483="",Translation!$A$2,IF($L483="",Translation!$A$3,IF($N483&lt;&gt;$B483,Translation!$A$4,IF(IFERROR($F483,)="",Translation!$A$5,IF($H483&gt;TIME(0,5,0),Translation!$A$6,IF($M483,Translation!$A$7,$K483))))))),Translation!$A$7)</f>
        <v/>
      </c>
      <c r="F483" s="22"/>
      <c r="G483" s="23"/>
      <c r="H483" s="24"/>
    </row>
    <row r="484">
      <c r="D484" s="14"/>
      <c r="E484" s="21" t="str">
        <f>IFERROR(IF($A484="",,IF($I484="",Translation!$A$2,IF($L484="",Translation!$A$3,IF($N484&lt;&gt;$B484,Translation!$A$4,IF(IFERROR($F484,)="",Translation!$A$5,IF($H484&gt;TIME(0,5,0),Translation!$A$6,IF($M484,Translation!$A$7,$K484))))))),Translation!$A$7)</f>
        <v/>
      </c>
      <c r="F484" s="22"/>
      <c r="G484" s="23"/>
      <c r="H484" s="24"/>
    </row>
    <row r="485">
      <c r="D485" s="14"/>
      <c r="E485" s="21" t="str">
        <f>IFERROR(IF($A485="",,IF($I485="",Translation!$A$2,IF($L485="",Translation!$A$3,IF($N485&lt;&gt;$B485,Translation!$A$4,IF(IFERROR($F485,)="",Translation!$A$5,IF($H485&gt;TIME(0,5,0),Translation!$A$6,IF($M485,Translation!$A$7,$K485))))))),Translation!$A$7)</f>
        <v/>
      </c>
      <c r="F485" s="22"/>
      <c r="G485" s="23"/>
      <c r="H485" s="24"/>
    </row>
    <row r="486">
      <c r="D486" s="14"/>
      <c r="E486" s="21" t="str">
        <f>IFERROR(IF($A486="",,IF($I486="",Translation!$A$2,IF($L486="",Translation!$A$3,IF($N486&lt;&gt;$B486,Translation!$A$4,IF(IFERROR($F486,)="",Translation!$A$5,IF($H486&gt;TIME(0,5,0),Translation!$A$6,IF($M486,Translation!$A$7,$K486))))))),Translation!$A$7)</f>
        <v/>
      </c>
      <c r="F486" s="22"/>
      <c r="G486" s="23"/>
      <c r="H486" s="24"/>
    </row>
    <row r="487">
      <c r="D487" s="14"/>
      <c r="E487" s="21" t="str">
        <f>IFERROR(IF($A487="",,IF($I487="",Translation!$A$2,IF($L487="",Translation!$A$3,IF($N487&lt;&gt;$B487,Translation!$A$4,IF(IFERROR($F487,)="",Translation!$A$5,IF($H487&gt;TIME(0,5,0),Translation!$A$6,IF($M487,Translation!$A$7,$K487))))))),Translation!$A$7)</f>
        <v/>
      </c>
      <c r="F487" s="22"/>
      <c r="G487" s="23"/>
      <c r="H487" s="24"/>
    </row>
    <row r="488">
      <c r="D488" s="14"/>
      <c r="E488" s="21" t="str">
        <f>IFERROR(IF($A488="",,IF($I488="",Translation!$A$2,IF($L488="",Translation!$A$3,IF($N488&lt;&gt;$B488,Translation!$A$4,IF(IFERROR($F488,)="",Translation!$A$5,IF($H488&gt;TIME(0,5,0),Translation!$A$6,IF($M488,Translation!$A$7,$K488))))))),Translation!$A$7)</f>
        <v/>
      </c>
      <c r="F488" s="22"/>
      <c r="G488" s="23"/>
      <c r="H488" s="24"/>
    </row>
    <row r="489">
      <c r="D489" s="14"/>
      <c r="E489" s="21" t="str">
        <f>IFERROR(IF($A489="",,IF($I489="",Translation!$A$2,IF($L489="",Translation!$A$3,IF($N489&lt;&gt;$B489,Translation!$A$4,IF(IFERROR($F489,)="",Translation!$A$5,IF($H489&gt;TIME(0,5,0),Translation!$A$6,IF($M489,Translation!$A$7,$K489))))))),Translation!$A$7)</f>
        <v/>
      </c>
      <c r="F489" s="22"/>
      <c r="G489" s="23"/>
      <c r="H489" s="24"/>
    </row>
    <row r="490">
      <c r="D490" s="14"/>
      <c r="E490" s="21" t="str">
        <f>IFERROR(IF($A490="",,IF($I490="",Translation!$A$2,IF($L490="",Translation!$A$3,IF($N490&lt;&gt;$B490,Translation!$A$4,IF(IFERROR($F490,)="",Translation!$A$5,IF($H490&gt;TIME(0,5,0),Translation!$A$6,IF($M490,Translation!$A$7,$K490))))))),Translation!$A$7)</f>
        <v/>
      </c>
      <c r="F490" s="22"/>
      <c r="G490" s="23"/>
      <c r="H490" s="24"/>
    </row>
    <row r="491">
      <c r="D491" s="14"/>
      <c r="E491" s="21" t="str">
        <f>IFERROR(IF($A491="",,IF($I491="",Translation!$A$2,IF($L491="",Translation!$A$3,IF($N491&lt;&gt;$B491,Translation!$A$4,IF(IFERROR($F491,)="",Translation!$A$5,IF($H491&gt;TIME(0,5,0),Translation!$A$6,IF($M491,Translation!$A$7,$K491))))))),Translation!$A$7)</f>
        <v/>
      </c>
      <c r="F491" s="22"/>
      <c r="G491" s="23"/>
      <c r="H491" s="24"/>
    </row>
    <row r="492">
      <c r="D492" s="14"/>
      <c r="E492" s="21" t="str">
        <f>IFERROR(IF($A492="",,IF($I492="",Translation!$A$2,IF($L492="",Translation!$A$3,IF($N492&lt;&gt;$B492,Translation!$A$4,IF(IFERROR($F492,)="",Translation!$A$5,IF($H492&gt;TIME(0,5,0),Translation!$A$6,IF($M492,Translation!$A$7,$K492))))))),Translation!$A$7)</f>
        <v/>
      </c>
      <c r="F492" s="22"/>
      <c r="G492" s="23"/>
      <c r="H492" s="24"/>
    </row>
    <row r="493">
      <c r="D493" s="14"/>
      <c r="E493" s="21" t="str">
        <f>IFERROR(IF($A493="",,IF($I493="",Translation!$A$2,IF($L493="",Translation!$A$3,IF($N493&lt;&gt;$B493,Translation!$A$4,IF(IFERROR($F493,)="",Translation!$A$5,IF($H493&gt;TIME(0,5,0),Translation!$A$6,IF($M493,Translation!$A$7,$K493))))))),Translation!$A$7)</f>
        <v/>
      </c>
      <c r="F493" s="22"/>
      <c r="G493" s="23"/>
      <c r="H493" s="24"/>
    </row>
    <row r="494">
      <c r="D494" s="14"/>
      <c r="E494" s="21" t="str">
        <f>IFERROR(IF($A494="",,IF($I494="",Translation!$A$2,IF($L494="",Translation!$A$3,IF($N494&lt;&gt;$B494,Translation!$A$4,IF(IFERROR($F494,)="",Translation!$A$5,IF($H494&gt;TIME(0,5,0),Translation!$A$6,IF($M494,Translation!$A$7,$K494))))))),Translation!$A$7)</f>
        <v/>
      </c>
      <c r="F494" s="22"/>
      <c r="G494" s="23"/>
      <c r="H494" s="24"/>
    </row>
    <row r="495">
      <c r="D495" s="14"/>
      <c r="E495" s="21" t="str">
        <f>IFERROR(IF($A495="",,IF($I495="",Translation!$A$2,IF($L495="",Translation!$A$3,IF($N495&lt;&gt;$B495,Translation!$A$4,IF(IFERROR($F495,)="",Translation!$A$5,IF($H495&gt;TIME(0,5,0),Translation!$A$6,IF($M495,Translation!$A$7,$K495))))))),Translation!$A$7)</f>
        <v/>
      </c>
      <c r="F495" s="22"/>
      <c r="G495" s="23"/>
      <c r="H495" s="24"/>
    </row>
    <row r="496">
      <c r="D496" s="14"/>
      <c r="E496" s="21" t="str">
        <f>IFERROR(IF($A496="",,IF($I496="",Translation!$A$2,IF($L496="",Translation!$A$3,IF($N496&lt;&gt;$B496,Translation!$A$4,IF(IFERROR($F496,)="",Translation!$A$5,IF($H496&gt;TIME(0,5,0),Translation!$A$6,IF($M496,Translation!$A$7,$K496))))))),Translation!$A$7)</f>
        <v/>
      </c>
      <c r="F496" s="22"/>
      <c r="G496" s="23"/>
      <c r="H496" s="24"/>
    </row>
    <row r="497">
      <c r="D497" s="14"/>
      <c r="E497" s="21" t="str">
        <f>IFERROR(IF($A497="",,IF($I497="",Translation!$A$2,IF($L497="",Translation!$A$3,IF($N497&lt;&gt;$B497,Translation!$A$4,IF(IFERROR($F497,)="",Translation!$A$5,IF($H497&gt;TIME(0,5,0),Translation!$A$6,IF($M497,Translation!$A$7,$K497))))))),Translation!$A$7)</f>
        <v/>
      </c>
      <c r="F497" s="22"/>
      <c r="G497" s="23"/>
      <c r="H497" s="24"/>
    </row>
    <row r="498">
      <c r="D498" s="14"/>
      <c r="E498" s="21" t="str">
        <f>IFERROR(IF($A498="",,IF($I498="",Translation!$A$2,IF($L498="",Translation!$A$3,IF($N498&lt;&gt;$B498,Translation!$A$4,IF(IFERROR($F498,)="",Translation!$A$5,IF($H498&gt;TIME(0,5,0),Translation!$A$6,IF($M498,Translation!$A$7,$K498))))))),Translation!$A$7)</f>
        <v/>
      </c>
      <c r="F498" s="22"/>
      <c r="G498" s="23"/>
      <c r="H498" s="24"/>
    </row>
    <row r="499">
      <c r="D499" s="14"/>
      <c r="E499" s="21" t="str">
        <f>IFERROR(IF($A499="",,IF($I499="",Translation!$A$2,IF($L499="",Translation!$A$3,IF($N499&lt;&gt;$B499,Translation!$A$4,IF(IFERROR($F499,)="",Translation!$A$5,IF($H499&gt;TIME(0,5,0),Translation!$A$6,IF($M499,Translation!$A$7,$K499))))))),Translation!$A$7)</f>
        <v/>
      </c>
      <c r="F499" s="22"/>
      <c r="G499" s="23"/>
      <c r="H499" s="24"/>
    </row>
    <row r="500">
      <c r="D500" s="14"/>
      <c r="E500" s="21" t="str">
        <f>IFERROR(IF($A500="",,IF($I500="",Translation!$A$2,IF($L500="",Translation!$A$3,IF($N500&lt;&gt;$B500,Translation!$A$4,IF(IFERROR($F500,)="",Translation!$A$5,IF($H500&gt;TIME(0,5,0),Translation!$A$6,IF($M500,Translation!$A$7,$K500))))))),Translation!$A$7)</f>
        <v/>
      </c>
      <c r="F500" s="22"/>
      <c r="G500" s="23"/>
      <c r="H500" s="24"/>
    </row>
    <row r="501">
      <c r="D501" s="14"/>
      <c r="E501" s="21" t="str">
        <f>IFERROR(IF($A501="",,IF($I501="",Translation!$A$2,IF($L501="",Translation!$A$3,IF($N501&lt;&gt;$B501,Translation!$A$4,IF(IFERROR($F501,)="",Translation!$A$5,IF($H501&gt;TIME(0,5,0),Translation!$A$6,IF($M501,Translation!$A$7,$K501))))))),Translation!$A$7)</f>
        <v/>
      </c>
      <c r="F501" s="22"/>
      <c r="G501" s="23"/>
      <c r="H501" s="24"/>
    </row>
    <row r="502">
      <c r="D502" s="14"/>
      <c r="E502" s="21" t="str">
        <f>IFERROR(IF($A502="",,IF($I502="",Translation!$A$2,IF($L502="",Translation!$A$3,IF($N502&lt;&gt;$B502,Translation!$A$4,IF(IFERROR($F502,)="",Translation!$A$5,IF($H502&gt;TIME(0,5,0),Translation!$A$6,IF($M502,Translation!$A$7,$K502))))))),Translation!$A$7)</f>
        <v/>
      </c>
      <c r="F502" s="22"/>
      <c r="G502" s="23"/>
      <c r="H502" s="24"/>
    </row>
    <row r="503">
      <c r="D503" s="14"/>
      <c r="E503" s="21" t="str">
        <f>IFERROR(IF($A503="",,IF($I503="",Translation!$A$2,IF($L503="",Translation!$A$3,IF($N503&lt;&gt;$B503,Translation!$A$4,IF(IFERROR($F503,)="",Translation!$A$5,IF($H503&gt;TIME(0,5,0),Translation!$A$6,IF($M503,Translation!$A$7,$K503))))))),Translation!$A$7)</f>
        <v/>
      </c>
      <c r="F503" s="22"/>
      <c r="G503" s="23"/>
      <c r="H503" s="24"/>
    </row>
    <row r="504">
      <c r="D504" s="14"/>
      <c r="E504" s="21" t="str">
        <f>IFERROR(IF($A504="",,IF($I504="",Translation!$A$2,IF($L504="",Translation!$A$3,IF($N504&lt;&gt;$B504,Translation!$A$4,IF(IFERROR($F504,)="",Translation!$A$5,IF($H504&gt;TIME(0,5,0),Translation!$A$6,IF($M504,Translation!$A$7,$K504))))))),Translation!$A$7)</f>
        <v/>
      </c>
      <c r="F504" s="22"/>
      <c r="G504" s="23"/>
      <c r="H504" s="2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 width="38.75"/>
  </cols>
  <sheetData>
    <row r="1">
      <c r="A1" s="25" t="s">
        <v>33</v>
      </c>
      <c r="B1" s="26" t="s">
        <v>34</v>
      </c>
      <c r="C1" s="26" t="s">
        <v>35</v>
      </c>
    </row>
    <row r="2">
      <c r="A2" s="27" t="s">
        <v>36</v>
      </c>
      <c r="B2" s="27" t="s">
        <v>37</v>
      </c>
      <c r="C2" s="27" t="s">
        <v>38</v>
      </c>
    </row>
    <row r="3">
      <c r="A3" s="27" t="s">
        <v>39</v>
      </c>
      <c r="B3" s="27" t="s">
        <v>40</v>
      </c>
      <c r="C3" s="27" t="s">
        <v>41</v>
      </c>
    </row>
    <row r="4">
      <c r="A4" s="27" t="s">
        <v>42</v>
      </c>
      <c r="B4" s="27" t="s">
        <v>43</v>
      </c>
      <c r="C4" s="27" t="s">
        <v>44</v>
      </c>
    </row>
    <row r="5">
      <c r="A5" s="27" t="s">
        <v>45</v>
      </c>
      <c r="B5" s="27" t="s">
        <v>46</v>
      </c>
      <c r="C5" s="27" t="s">
        <v>47</v>
      </c>
    </row>
    <row r="6">
      <c r="A6" s="27" t="s">
        <v>48</v>
      </c>
      <c r="B6" s="27" t="s">
        <v>49</v>
      </c>
      <c r="C6" s="27" t="s">
        <v>50</v>
      </c>
    </row>
    <row r="7">
      <c r="A7" s="28" t="s">
        <v>51</v>
      </c>
      <c r="B7" s="28" t="s">
        <v>52</v>
      </c>
      <c r="C7" s="28" t="s">
        <v>53</v>
      </c>
    </row>
    <row r="8">
      <c r="A8" s="29" t="s">
        <v>54</v>
      </c>
      <c r="B8" s="29" t="s">
        <v>55</v>
      </c>
      <c r="C8" s="29" t="s">
        <v>56</v>
      </c>
    </row>
    <row r="9">
      <c r="A9" s="27" t="s">
        <v>57</v>
      </c>
      <c r="B9" s="27" t="s">
        <v>58</v>
      </c>
      <c r="C9" s="27" t="s">
        <v>59</v>
      </c>
    </row>
    <row r="10">
      <c r="A10" s="27" t="s">
        <v>60</v>
      </c>
      <c r="B10" s="27" t="s">
        <v>61</v>
      </c>
      <c r="C10" s="27" t="s">
        <v>62</v>
      </c>
    </row>
    <row r="11">
      <c r="A11" s="27" t="s">
        <v>63</v>
      </c>
      <c r="B11" s="27" t="s">
        <v>64</v>
      </c>
      <c r="C11" s="27" t="s">
        <v>65</v>
      </c>
    </row>
    <row r="12">
      <c r="A12" s="27" t="s">
        <v>66</v>
      </c>
      <c r="B12" s="27" t="s">
        <v>67</v>
      </c>
      <c r="C12" s="27" t="s">
        <v>68</v>
      </c>
    </row>
    <row r="13">
      <c r="A13" s="27" t="s">
        <v>69</v>
      </c>
      <c r="B13" s="27" t="s">
        <v>70</v>
      </c>
      <c r="C13" s="27" t="s">
        <v>71</v>
      </c>
    </row>
    <row r="14">
      <c r="A14" s="27" t="s">
        <v>72</v>
      </c>
      <c r="B14" s="27" t="s">
        <v>73</v>
      </c>
      <c r="C14" s="27" t="s">
        <v>74</v>
      </c>
    </row>
    <row r="15">
      <c r="A15" s="27" t="s">
        <v>75</v>
      </c>
      <c r="B15" s="14" t="s">
        <v>76</v>
      </c>
      <c r="C15" s="14" t="s">
        <v>77</v>
      </c>
    </row>
    <row r="16">
      <c r="A16" s="27" t="s">
        <v>78</v>
      </c>
      <c r="B16" s="27" t="s">
        <v>79</v>
      </c>
      <c r="C16" s="27" t="s">
        <v>80</v>
      </c>
    </row>
    <row r="17">
      <c r="A17" s="29" t="s">
        <v>81</v>
      </c>
      <c r="B17" s="29" t="s">
        <v>82</v>
      </c>
      <c r="C17" s="29" t="s">
        <v>83</v>
      </c>
    </row>
    <row r="18">
      <c r="A18" s="27" t="s">
        <v>84</v>
      </c>
      <c r="B18" s="27" t="s">
        <v>85</v>
      </c>
      <c r="C18" s="27" t="s">
        <v>86</v>
      </c>
    </row>
    <row r="19">
      <c r="A19" s="14" t="s">
        <v>87</v>
      </c>
      <c r="B19" s="14" t="s">
        <v>88</v>
      </c>
      <c r="C19" s="14" t="s">
        <v>89</v>
      </c>
    </row>
    <row r="20">
      <c r="A20" s="14" t="s">
        <v>90</v>
      </c>
      <c r="B20" s="14" t="s">
        <v>91</v>
      </c>
      <c r="C20" s="14" t="s">
        <v>92</v>
      </c>
    </row>
    <row r="21">
      <c r="A21" s="14" t="s">
        <v>93</v>
      </c>
      <c r="B21" s="14" t="s">
        <v>94</v>
      </c>
      <c r="C21" s="14" t="s">
        <v>95</v>
      </c>
    </row>
    <row r="22">
      <c r="A22" s="27" t="s">
        <v>96</v>
      </c>
      <c r="B22" s="14" t="s">
        <v>97</v>
      </c>
      <c r="C22" s="14" t="s">
        <v>98</v>
      </c>
    </row>
    <row r="23">
      <c r="A23" s="30" t="s">
        <v>99</v>
      </c>
      <c r="B23" s="30" t="s">
        <v>100</v>
      </c>
      <c r="C23" s="31" t="s">
        <v>101</v>
      </c>
    </row>
    <row r="24">
      <c r="A24" s="30" t="s">
        <v>101</v>
      </c>
      <c r="B24" s="30" t="s">
        <v>99</v>
      </c>
      <c r="C24" s="31" t="s">
        <v>99</v>
      </c>
    </row>
  </sheetData>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6.38"/>
  </cols>
  <sheetData>
    <row r="1">
      <c r="A1" s="32" t="str">
        <f>IFERROR(__xludf.DUMMYFUNCTION("IMPORTRANGE(""https://docs.google.com/spreadsheets/d/1enXnuwZExO92B5FxPB8s2Rhqlxl1p9nUY9tRaHtV1kI/edit#gid=1868458122"",""Swap!$A1:$B4"")"),"Token")</f>
        <v>Token</v>
      </c>
      <c r="B1" s="32" t="str">
        <f>IFERROR(__xludf.DUMMYFUNCTION("""COMPUTED_VALUE"""),"Value")</f>
        <v>Value</v>
      </c>
    </row>
    <row r="2">
      <c r="A2" s="5" t="str">
        <f>IFERROR(__xludf.DUMMYFUNCTION("""COMPUTED_VALUE"""),"agEUR")</f>
        <v>agEUR</v>
      </c>
      <c r="B2" s="22">
        <f>IFERROR(__xludf.DUMMYFUNCTION("""COMPUTED_VALUE"""),1.0)</f>
        <v>1</v>
      </c>
    </row>
    <row r="3">
      <c r="A3" s="5" t="str">
        <f>IFERROR(__xludf.DUMMYFUNCTION("""COMPUTED_VALUE"""),"USDC")</f>
        <v>USDC</v>
      </c>
      <c r="B3" s="33">
        <f>IFERROR(__xludf.DUMMYFUNCTION("""COMPUTED_VALUE"""),1.0)</f>
        <v>1</v>
      </c>
    </row>
    <row r="4">
      <c r="A4" s="5" t="str">
        <f>IFERROR(__xludf.DUMMYFUNCTION("""COMPUTED_VALUE"""),"USDT")</f>
        <v>USDT</v>
      </c>
      <c r="B4" s="33">
        <f>IFERROR(__xludf.DUMMYFUNCTION("""COMPUTED_VALUE"""),1.0)</f>
        <v>1</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15.75"/>
  </cols>
  <sheetData>
    <row r="1">
      <c r="A1" s="1" t="s">
        <v>4</v>
      </c>
      <c r="B1" s="1" t="s">
        <v>102</v>
      </c>
      <c r="C1" s="1" t="s">
        <v>103</v>
      </c>
      <c r="D1" s="1" t="s">
        <v>5</v>
      </c>
      <c r="E1" s="1" t="s">
        <v>104</v>
      </c>
    </row>
    <row r="2">
      <c r="A2" s="1">
        <f>IFERROR(__xludf.DUMMYFUNCTION("IMPORTXML(""https://www.xe.com/en/currencyconverter/convert/?Amount=1000&amp;From=EUR&amp;To=USD"",""//p[@class='result__BigRate-sc-1bsijpp-1 iGrAod']"")/1000"),0.99538)</f>
        <v>0.99538</v>
      </c>
      <c r="B2" s="1">
        <f>SUM(OFFSET(B:B,ROW(),0))</f>
        <v>180</v>
      </c>
      <c r="C2" s="1"/>
      <c r="D2" s="1">
        <f>SUM(OFFSET(D:D,ROW(),0))</f>
        <v>-188.98734</v>
      </c>
      <c r="E2" s="1">
        <f>AVERAGE(OFFSET(E:E,ROW(),0))</f>
        <v>1.0299578</v>
      </c>
    </row>
    <row r="3">
      <c r="A3" s="12">
        <v>44691.71973379629</v>
      </c>
      <c r="B3" s="14">
        <v>45.0</v>
      </c>
      <c r="C3" s="14" t="s">
        <v>10</v>
      </c>
      <c r="D3" s="14">
        <v>-45.0</v>
      </c>
      <c r="E3" s="5">
        <f t="shared" ref="E3:E5" si="1">-D3/B3</f>
        <v>1</v>
      </c>
    </row>
    <row r="4">
      <c r="A4" s="12">
        <v>44687.69899305556</v>
      </c>
      <c r="B4" s="14">
        <v>35.0</v>
      </c>
      <c r="C4" s="14" t="s">
        <v>10</v>
      </c>
      <c r="D4" s="14">
        <v>-35.0</v>
      </c>
      <c r="E4" s="5">
        <f t="shared" si="1"/>
        <v>1</v>
      </c>
    </row>
    <row r="5">
      <c r="A5" s="12">
        <v>44657.928136574075</v>
      </c>
      <c r="B5" s="14">
        <v>100.0</v>
      </c>
      <c r="C5" s="14" t="s">
        <v>11</v>
      </c>
      <c r="D5" s="34">
        <v>-108.98734</v>
      </c>
      <c r="E5" s="5">
        <f t="shared" si="1"/>
        <v>1.0898734</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75"/>
    <col customWidth="1" min="7" max="7" width="12.63"/>
  </cols>
  <sheetData>
    <row r="1">
      <c r="A1" s="1" t="s">
        <v>4</v>
      </c>
      <c r="B1" s="1" t="s">
        <v>5</v>
      </c>
      <c r="C1" s="1" t="s">
        <v>6</v>
      </c>
      <c r="D1" s="1" t="s">
        <v>7</v>
      </c>
      <c r="E1" s="1" t="s">
        <v>8</v>
      </c>
      <c r="F1" s="11" t="s">
        <v>9</v>
      </c>
      <c r="G1" s="14">
        <v>1.0</v>
      </c>
      <c r="H1" s="14" t="s">
        <v>105</v>
      </c>
      <c r="I1" s="5" t="s">
        <v>106</v>
      </c>
      <c r="J1" s="5" t="s">
        <v>107</v>
      </c>
      <c r="K1" s="5" t="s">
        <v>108</v>
      </c>
      <c r="L1" s="5" t="s">
        <v>109</v>
      </c>
    </row>
    <row r="2">
      <c r="A2" s="35" t="str">
        <f t="shared" ref="A2:A1000" si="1">IF(AND($L2*1&gt;=$G$3,$L2*1&lt;=$G$4,$I2*$J2&gt;0),$L2/86400+DATE(1970,1,1)+IF($L2*1&gt;=$G$5,$G$6,0),)</f>
        <v/>
      </c>
      <c r="B2" s="22" t="str">
        <f t="shared" ref="B2:B1000" si="2">IF($A2&lt;&gt;"",$E2*$F2,)</f>
        <v/>
      </c>
      <c r="C2" s="14" t="str">
        <f>IF($A2&lt;&gt;"",MINIFS(Merchant!$A:$A,Merchant!$B:$B,$G$2),)</f>
        <v/>
      </c>
      <c r="D2" s="14" t="str">
        <f t="shared" ref="D2:D1000" si="3">IF($A2&lt;&gt;"",$K2,)</f>
        <v/>
      </c>
      <c r="E2" s="14" t="str">
        <f t="shared" ref="E2:E1000" si="4">IF($A2&lt;&gt;"",$I2/POW(10,$J2),)</f>
        <v/>
      </c>
      <c r="F2" s="6" t="str">
        <f>IF($A2&lt;&gt;"",MAXIFS(#REF!,Token!$A:$A,$D2),)</f>
        <v/>
      </c>
      <c r="G2" s="14" t="str">
        <f>VLOOKUP($G1,Merchant!$A:$B,2)</f>
        <v>#N/A</v>
      </c>
      <c r="H2" s="5" t="str">
        <f>IFERROR(__xludf.DUMMYFUNCTION("IF(AND($G$11,$G$1&gt;1,INDEX(I:I,ROW()-1)&lt;&gt;""""),ImportJSON(""https://public-api.solscan.io/account/splTransfers?account=""&amp;$G$2&amp;IF($G$5,""&amp;fromTime=""&amp;TO_TEXT($G$3)&amp;""&amp;toTime=""&amp;TO_TEXT($G$4),)&amp;""&amp;offset=""&amp;ROW()-2&amp;""&amp;limit=50""&amp;$G$7,TEXTJOIN("","",1,$H$1:$"&amp;"L$1),""noHeaders""),)"),"")</f>
        <v/>
      </c>
    </row>
    <row r="3">
      <c r="A3" s="35" t="str">
        <f t="shared" si="1"/>
        <v/>
      </c>
      <c r="B3" s="22" t="str">
        <f t="shared" si="2"/>
        <v/>
      </c>
      <c r="C3" s="14" t="str">
        <f>IF($A3&lt;&gt;"",MINIFS(Merchant!$A:$A,Merchant!$B:$B,$G$2),)</f>
        <v/>
      </c>
      <c r="D3" s="14" t="str">
        <f t="shared" si="3"/>
        <v/>
      </c>
      <c r="E3" s="14" t="str">
        <f t="shared" si="4"/>
        <v/>
      </c>
      <c r="F3" s="6" t="str">
        <f>IF($A3&lt;&gt;"",MAXIFS(#REF!,Token!$A:$A,$D3),)</f>
        <v/>
      </c>
      <c r="G3" s="5">
        <f>IFERROR((MIN(TODAY(),VLOOKUP($G$1,Merchant!$A:$L,10))-DATE(1970,1,1)-IF($G$6&lt;&gt;"",$G$6,0))*86400,0)</f>
        <v>0</v>
      </c>
    </row>
    <row r="4">
      <c r="A4" s="35" t="str">
        <f t="shared" si="1"/>
        <v/>
      </c>
      <c r="B4" s="22" t="str">
        <f t="shared" si="2"/>
        <v/>
      </c>
      <c r="C4" s="14" t="str">
        <f>IF($A4&lt;&gt;"",MINIFS(Merchant!$A:$A,Merchant!$B:$B,$G$2),)</f>
        <v/>
      </c>
      <c r="D4" s="14" t="str">
        <f t="shared" si="3"/>
        <v/>
      </c>
      <c r="E4" s="14" t="str">
        <f t="shared" si="4"/>
        <v/>
      </c>
      <c r="F4" s="6" t="str">
        <f>IF($A4&lt;&gt;"",MAXIFS(#REF!,Token!$A:$A,$D4),)</f>
        <v/>
      </c>
      <c r="G4" s="5">
        <f>IFERROR((MAX(VLOOKUP($G$1,Merchant!$A:$L,10),VLOOKUP($G$1,Merchant!$A:$L,11))-DATE(1970,1,1)-IF($G$6&lt;&gt;"",$G$6,0))*86400,0)</f>
        <v>0</v>
      </c>
    </row>
    <row r="5">
      <c r="A5" s="35" t="str">
        <f t="shared" si="1"/>
        <v/>
      </c>
      <c r="B5" s="22" t="str">
        <f t="shared" si="2"/>
        <v/>
      </c>
      <c r="C5" s="14" t="str">
        <f>IF($A5&lt;&gt;"",MINIFS(Merchant!$A:$A,Merchant!$B:$B,$G$2),)</f>
        <v/>
      </c>
      <c r="D5" s="14" t="str">
        <f t="shared" si="3"/>
        <v/>
      </c>
      <c r="E5" s="14" t="str">
        <f t="shared" si="4"/>
        <v/>
      </c>
      <c r="F5" s="6" t="str">
        <f>IF($A5&lt;&gt;"",MAXIFS(#REF!,Token!$A:$A,$D5),)</f>
        <v/>
      </c>
      <c r="G5" s="36" t="b">
        <f>FALSE</f>
        <v>0</v>
      </c>
    </row>
    <row r="6">
      <c r="A6" s="35" t="str">
        <f t="shared" si="1"/>
        <v/>
      </c>
      <c r="B6" s="22" t="str">
        <f t="shared" si="2"/>
        <v/>
      </c>
      <c r="C6" s="14" t="str">
        <f>IF($A6&lt;&gt;"",MINIFS(Merchant!$A:$A,Merchant!$B:$B,$G$2),)</f>
        <v/>
      </c>
      <c r="D6" s="14" t="str">
        <f t="shared" si="3"/>
        <v/>
      </c>
      <c r="E6" s="14" t="str">
        <f t="shared" si="4"/>
        <v/>
      </c>
      <c r="F6" s="6" t="str">
        <f>IF($A6&lt;&gt;"",MAXIFS(#REF!,Token!$A:$A,$D6),)</f>
        <v/>
      </c>
      <c r="G6" s="37">
        <f>TIME(2,0,0)</f>
        <v>0.08333333333</v>
      </c>
    </row>
    <row r="7">
      <c r="A7" s="35" t="str">
        <f t="shared" si="1"/>
        <v/>
      </c>
      <c r="B7" s="22" t="str">
        <f t="shared" si="2"/>
        <v/>
      </c>
      <c r="C7" s="14" t="str">
        <f>IF($A7&lt;&gt;"",MINIFS(Merchant!$A:$A,Merchant!$B:$B,$G$2),)</f>
        <v/>
      </c>
      <c r="D7" s="14" t="str">
        <f t="shared" si="3"/>
        <v/>
      </c>
      <c r="E7" s="14" t="str">
        <f t="shared" si="4"/>
        <v/>
      </c>
      <c r="F7" s="6" t="str">
        <f>IF($A7&lt;&gt;"",MAXIFS(#REF!,Token!$A:$A,$D7),)</f>
        <v/>
      </c>
      <c r="G7" s="14"/>
    </row>
    <row r="8">
      <c r="A8" s="35" t="str">
        <f t="shared" si="1"/>
        <v/>
      </c>
      <c r="B8" s="22" t="str">
        <f t="shared" si="2"/>
        <v/>
      </c>
      <c r="C8" s="14" t="str">
        <f>IF($A8&lt;&gt;"",MINIFS(Merchant!$A:$A,Merchant!$B:$B,$G$2),)</f>
        <v/>
      </c>
      <c r="D8" s="14" t="str">
        <f t="shared" si="3"/>
        <v/>
      </c>
      <c r="E8" s="14" t="str">
        <f t="shared" si="4"/>
        <v/>
      </c>
      <c r="F8" s="6" t="str">
        <f>IF($A8&lt;&gt;"",MAXIFS(#REF!,Token!$A:$A,$D8),)</f>
        <v/>
      </c>
      <c r="G8" s="5" t="b">
        <f>COUNTIF(OFFSET($A:$A,1,0),"&lt;&gt;")&lt;&gt;COUNTIF(Transactions!$C:$C,$G$1)</f>
        <v>0</v>
      </c>
    </row>
    <row r="9">
      <c r="A9" s="35" t="str">
        <f t="shared" si="1"/>
        <v/>
      </c>
      <c r="B9" s="22" t="str">
        <f t="shared" si="2"/>
        <v/>
      </c>
      <c r="C9" s="14" t="str">
        <f>IF($A9&lt;&gt;"",MINIFS(Merchant!$A:$A,Merchant!$B:$B,$G$2),)</f>
        <v/>
      </c>
      <c r="D9" s="14" t="str">
        <f t="shared" si="3"/>
        <v/>
      </c>
      <c r="E9" s="14" t="str">
        <f t="shared" si="4"/>
        <v/>
      </c>
      <c r="F9" s="6" t="str">
        <f>IF($A9&lt;&gt;"",MAXIFS(#REF!,Token!$A:$A,$D9),)</f>
        <v/>
      </c>
      <c r="G9" s="38">
        <f>TODAY()+TIME(7,0,0)</f>
        <v>44807.29167</v>
      </c>
    </row>
    <row r="10">
      <c r="A10" s="35" t="str">
        <f t="shared" si="1"/>
        <v/>
      </c>
      <c r="B10" s="22" t="str">
        <f t="shared" si="2"/>
        <v/>
      </c>
      <c r="C10" s="14" t="str">
        <f>IF($A10&lt;&gt;"",MINIFS(Merchant!$A:$A,Merchant!$B:$B,$G$2),)</f>
        <v/>
      </c>
      <c r="D10" s="14" t="str">
        <f t="shared" si="3"/>
        <v/>
      </c>
      <c r="E10" s="14" t="str">
        <f t="shared" si="4"/>
        <v/>
      </c>
      <c r="F10" s="6" t="str">
        <f>IF($A10&lt;&gt;"",MAXIFS(#REF!,Token!$A:$A,$D10),)</f>
        <v/>
      </c>
      <c r="G10" s="38">
        <f>TODAY()+TIME(22,0,0)</f>
        <v>44807.91667</v>
      </c>
    </row>
    <row r="11">
      <c r="A11" s="35" t="str">
        <f t="shared" si="1"/>
        <v/>
      </c>
      <c r="B11" s="22" t="str">
        <f t="shared" si="2"/>
        <v/>
      </c>
      <c r="C11" s="14" t="str">
        <f>IF($A11&lt;&gt;"",MINIFS(Merchant!$A:$A,Merchant!$B:$B,$G$2),)</f>
        <v/>
      </c>
      <c r="D11" s="14" t="str">
        <f t="shared" si="3"/>
        <v/>
      </c>
      <c r="E11" s="14" t="str">
        <f t="shared" si="4"/>
        <v/>
      </c>
      <c r="F11" s="6" t="str">
        <f>IF($A11&lt;&gt;"",MAXIFS(#REF!,Token!$A:$A,$D11),)</f>
        <v/>
      </c>
      <c r="G11" s="5" t="b">
        <f>OR(TRUE,AND(NOW()&gt;$G$9,NOW()&lt;=$G$10))</f>
        <v>1</v>
      </c>
    </row>
    <row r="12">
      <c r="A12" s="35" t="str">
        <f t="shared" si="1"/>
        <v/>
      </c>
      <c r="B12" s="22" t="str">
        <f t="shared" si="2"/>
        <v/>
      </c>
      <c r="C12" s="14" t="str">
        <f>IF($A12&lt;&gt;"",MINIFS(Merchant!$A:$A,Merchant!$B:$B,$G$2),)</f>
        <v/>
      </c>
      <c r="D12" s="14" t="str">
        <f t="shared" si="3"/>
        <v/>
      </c>
      <c r="E12" s="14" t="str">
        <f t="shared" si="4"/>
        <v/>
      </c>
      <c r="F12" s="6" t="str">
        <f>IF($A12&lt;&gt;"",MAXIFS(#REF!,Token!$A:$A,$D12),)</f>
        <v/>
      </c>
    </row>
    <row r="13">
      <c r="A13" s="35" t="str">
        <f t="shared" si="1"/>
        <v/>
      </c>
      <c r="B13" s="22" t="str">
        <f t="shared" si="2"/>
        <v/>
      </c>
      <c r="C13" s="14" t="str">
        <f>IF($A13&lt;&gt;"",MINIFS(Merchant!$A:$A,Merchant!$B:$B,$G$2),)</f>
        <v/>
      </c>
      <c r="D13" s="14" t="str">
        <f t="shared" si="3"/>
        <v/>
      </c>
      <c r="E13" s="14" t="str">
        <f t="shared" si="4"/>
        <v/>
      </c>
      <c r="F13" s="6" t="str">
        <f>IF($A13&lt;&gt;"",MAXIFS(#REF!,Token!$A:$A,$D13),)</f>
        <v/>
      </c>
    </row>
    <row r="14">
      <c r="A14" s="35" t="str">
        <f t="shared" si="1"/>
        <v/>
      </c>
      <c r="B14" s="22" t="str">
        <f t="shared" si="2"/>
        <v/>
      </c>
      <c r="C14" s="14" t="str">
        <f>IF($A14&lt;&gt;"",MINIFS(Merchant!$A:$A,Merchant!$B:$B,$G$2),)</f>
        <v/>
      </c>
      <c r="D14" s="14" t="str">
        <f t="shared" si="3"/>
        <v/>
      </c>
      <c r="E14" s="14" t="str">
        <f t="shared" si="4"/>
        <v/>
      </c>
      <c r="F14" s="6" t="str">
        <f>IF($A14&lt;&gt;"",MAXIFS(#REF!,Token!$A:$A,$D14),)</f>
        <v/>
      </c>
    </row>
    <row r="15">
      <c r="A15" s="35" t="str">
        <f t="shared" si="1"/>
        <v/>
      </c>
      <c r="B15" s="22" t="str">
        <f t="shared" si="2"/>
        <v/>
      </c>
      <c r="C15" s="14" t="str">
        <f>IF($A15&lt;&gt;"",MINIFS(Merchant!$A:$A,Merchant!$B:$B,$G$2),)</f>
        <v/>
      </c>
      <c r="D15" s="14" t="str">
        <f t="shared" si="3"/>
        <v/>
      </c>
      <c r="E15" s="14" t="str">
        <f t="shared" si="4"/>
        <v/>
      </c>
      <c r="F15" s="6" t="str">
        <f>IF($A15&lt;&gt;"",MAXIFS(#REF!,Token!$A:$A,$D15),)</f>
        <v/>
      </c>
      <c r="G15" s="35"/>
    </row>
    <row r="16">
      <c r="A16" s="35" t="str">
        <f t="shared" si="1"/>
        <v/>
      </c>
      <c r="B16" s="22" t="str">
        <f t="shared" si="2"/>
        <v/>
      </c>
      <c r="C16" s="14" t="str">
        <f>IF($A16&lt;&gt;"",MINIFS(Merchant!$A:$A,Merchant!$B:$B,$G$2),)</f>
        <v/>
      </c>
      <c r="D16" s="14" t="str">
        <f t="shared" si="3"/>
        <v/>
      </c>
      <c r="E16" s="14" t="str">
        <f t="shared" si="4"/>
        <v/>
      </c>
      <c r="F16" s="6" t="str">
        <f>IF($A16&lt;&gt;"",MAXIFS(#REF!,Token!$A:$A,$D16),)</f>
        <v/>
      </c>
    </row>
    <row r="17">
      <c r="A17" s="35" t="str">
        <f t="shared" si="1"/>
        <v/>
      </c>
      <c r="B17" s="22" t="str">
        <f t="shared" si="2"/>
        <v/>
      </c>
      <c r="C17" s="14" t="str">
        <f>IF($A17&lt;&gt;"",MINIFS(Merchant!$A:$A,Merchant!$B:$B,$G$2),)</f>
        <v/>
      </c>
      <c r="D17" s="14" t="str">
        <f t="shared" si="3"/>
        <v/>
      </c>
      <c r="E17" s="14" t="str">
        <f t="shared" si="4"/>
        <v/>
      </c>
      <c r="F17" s="6" t="str">
        <f>IF($A17&lt;&gt;"",MAXIFS(#REF!,Token!$A:$A,$D17),)</f>
        <v/>
      </c>
    </row>
    <row r="18">
      <c r="A18" s="35" t="str">
        <f t="shared" si="1"/>
        <v/>
      </c>
      <c r="B18" s="22" t="str">
        <f t="shared" si="2"/>
        <v/>
      </c>
      <c r="C18" s="14" t="str">
        <f>IF($A18&lt;&gt;"",MINIFS(Merchant!$A:$A,Merchant!$B:$B,$G$2),)</f>
        <v/>
      </c>
      <c r="D18" s="14" t="str">
        <f t="shared" si="3"/>
        <v/>
      </c>
      <c r="E18" s="14" t="str">
        <f t="shared" si="4"/>
        <v/>
      </c>
      <c r="F18" s="6" t="str">
        <f>IF($A18&lt;&gt;"",MAXIFS(#REF!,Token!$A:$A,$D18),)</f>
        <v/>
      </c>
    </row>
    <row r="19">
      <c r="A19" s="35" t="str">
        <f t="shared" si="1"/>
        <v/>
      </c>
      <c r="B19" s="22" t="str">
        <f t="shared" si="2"/>
        <v/>
      </c>
      <c r="C19" s="14" t="str">
        <f>IF($A19&lt;&gt;"",MINIFS(Merchant!$A:$A,Merchant!$B:$B,$G$2),)</f>
        <v/>
      </c>
      <c r="D19" s="14" t="str">
        <f t="shared" si="3"/>
        <v/>
      </c>
      <c r="E19" s="14" t="str">
        <f t="shared" si="4"/>
        <v/>
      </c>
      <c r="F19" s="6" t="str">
        <f>IF($A19&lt;&gt;"",MAXIFS(#REF!,Token!$A:$A,$D19),)</f>
        <v/>
      </c>
    </row>
    <row r="20">
      <c r="A20" s="35" t="str">
        <f t="shared" si="1"/>
        <v/>
      </c>
      <c r="B20" s="22" t="str">
        <f t="shared" si="2"/>
        <v/>
      </c>
      <c r="C20" s="14" t="str">
        <f>IF($A20&lt;&gt;"",MINIFS(Merchant!$A:$A,Merchant!$B:$B,$G$2),)</f>
        <v/>
      </c>
      <c r="D20" s="14" t="str">
        <f t="shared" si="3"/>
        <v/>
      </c>
      <c r="E20" s="14" t="str">
        <f t="shared" si="4"/>
        <v/>
      </c>
      <c r="F20" s="6" t="str">
        <f>IF($A20&lt;&gt;"",MAXIFS(#REF!,Token!$A:$A,$D20),)</f>
        <v/>
      </c>
    </row>
    <row r="21">
      <c r="A21" s="35" t="str">
        <f t="shared" si="1"/>
        <v/>
      </c>
      <c r="B21" s="22" t="str">
        <f t="shared" si="2"/>
        <v/>
      </c>
      <c r="C21" s="14" t="str">
        <f>IF($A21&lt;&gt;"",MINIFS(Merchant!$A:$A,Merchant!$B:$B,$G$2),)</f>
        <v/>
      </c>
      <c r="D21" s="14" t="str">
        <f t="shared" si="3"/>
        <v/>
      </c>
      <c r="E21" s="14" t="str">
        <f t="shared" si="4"/>
        <v/>
      </c>
      <c r="F21" s="6" t="str">
        <f>IF($A21&lt;&gt;"",MAXIFS(#REF!,Token!$A:$A,$D21),)</f>
        <v/>
      </c>
    </row>
    <row r="22">
      <c r="A22" s="35" t="str">
        <f t="shared" si="1"/>
        <v/>
      </c>
      <c r="B22" s="22" t="str">
        <f t="shared" si="2"/>
        <v/>
      </c>
      <c r="C22" s="14" t="str">
        <f>IF($A22&lt;&gt;"",MINIFS(Merchant!$A:$A,Merchant!$B:$B,$G$2),)</f>
        <v/>
      </c>
      <c r="D22" s="14" t="str">
        <f t="shared" si="3"/>
        <v/>
      </c>
      <c r="E22" s="14" t="str">
        <f t="shared" si="4"/>
        <v/>
      </c>
      <c r="F22" s="6" t="str">
        <f>IF($A22&lt;&gt;"",MAXIFS(#REF!,Token!$A:$A,$D22),)</f>
        <v/>
      </c>
    </row>
    <row r="23">
      <c r="A23" s="35" t="str">
        <f t="shared" si="1"/>
        <v/>
      </c>
      <c r="B23" s="22" t="str">
        <f t="shared" si="2"/>
        <v/>
      </c>
      <c r="C23" s="14" t="str">
        <f>IF($A23&lt;&gt;"",MINIFS(Merchant!$A:$A,Merchant!$B:$B,$G$2),)</f>
        <v/>
      </c>
      <c r="D23" s="14" t="str">
        <f t="shared" si="3"/>
        <v/>
      </c>
      <c r="E23" s="14" t="str">
        <f t="shared" si="4"/>
        <v/>
      </c>
      <c r="F23" s="6" t="str">
        <f>IF($A23&lt;&gt;"",MAXIFS(#REF!,Token!$A:$A,$D23),)</f>
        <v/>
      </c>
    </row>
    <row r="24">
      <c r="A24" s="35" t="str">
        <f t="shared" si="1"/>
        <v/>
      </c>
      <c r="B24" s="22" t="str">
        <f t="shared" si="2"/>
        <v/>
      </c>
      <c r="C24" s="14" t="str">
        <f>IF($A24&lt;&gt;"",MINIFS(Merchant!$A:$A,Merchant!$B:$B,$G$2),)</f>
        <v/>
      </c>
      <c r="D24" s="14" t="str">
        <f t="shared" si="3"/>
        <v/>
      </c>
      <c r="E24" s="14" t="str">
        <f t="shared" si="4"/>
        <v/>
      </c>
      <c r="F24" s="6" t="str">
        <f>IF($A24&lt;&gt;"",MAXIFS(#REF!,Token!$A:$A,$D24),)</f>
        <v/>
      </c>
    </row>
    <row r="25">
      <c r="A25" s="35" t="str">
        <f t="shared" si="1"/>
        <v/>
      </c>
      <c r="B25" s="22" t="str">
        <f t="shared" si="2"/>
        <v/>
      </c>
      <c r="C25" s="14" t="str">
        <f>IF($A25&lt;&gt;"",MINIFS(Merchant!$A:$A,Merchant!$B:$B,$G$2),)</f>
        <v/>
      </c>
      <c r="D25" s="14" t="str">
        <f t="shared" si="3"/>
        <v/>
      </c>
      <c r="E25" s="14" t="str">
        <f t="shared" si="4"/>
        <v/>
      </c>
      <c r="F25" s="6" t="str">
        <f>IF($A25&lt;&gt;"",MAXIFS(#REF!,Token!$A:$A,$D25),)</f>
        <v/>
      </c>
    </row>
    <row r="26">
      <c r="A26" s="35" t="str">
        <f t="shared" si="1"/>
        <v/>
      </c>
      <c r="B26" s="22" t="str">
        <f t="shared" si="2"/>
        <v/>
      </c>
      <c r="C26" s="14" t="str">
        <f>IF($A26&lt;&gt;"",MINIFS(Merchant!$A:$A,Merchant!$B:$B,$G$2),)</f>
        <v/>
      </c>
      <c r="D26" s="14" t="str">
        <f t="shared" si="3"/>
        <v/>
      </c>
      <c r="E26" s="14" t="str">
        <f t="shared" si="4"/>
        <v/>
      </c>
      <c r="F26" s="6" t="str">
        <f>IF($A26&lt;&gt;"",MAXIFS(#REF!,Token!$A:$A,$D26),)</f>
        <v/>
      </c>
    </row>
    <row r="27">
      <c r="A27" s="35" t="str">
        <f t="shared" si="1"/>
        <v/>
      </c>
      <c r="B27" s="22" t="str">
        <f t="shared" si="2"/>
        <v/>
      </c>
      <c r="C27" s="14" t="str">
        <f>IF($A27&lt;&gt;"",MINIFS(Merchant!$A:$A,Merchant!$B:$B,$G$2),)</f>
        <v/>
      </c>
      <c r="D27" s="14" t="str">
        <f t="shared" si="3"/>
        <v/>
      </c>
      <c r="E27" s="14" t="str">
        <f t="shared" si="4"/>
        <v/>
      </c>
      <c r="F27" s="6" t="str">
        <f>IF($A27&lt;&gt;"",MAXIFS(#REF!,Token!$A:$A,$D27),)</f>
        <v/>
      </c>
    </row>
    <row r="28">
      <c r="A28" s="35" t="str">
        <f t="shared" si="1"/>
        <v/>
      </c>
      <c r="B28" s="22" t="str">
        <f t="shared" si="2"/>
        <v/>
      </c>
      <c r="C28" s="14" t="str">
        <f>IF($A28&lt;&gt;"",MINIFS(Merchant!$A:$A,Merchant!$B:$B,$G$2),)</f>
        <v/>
      </c>
      <c r="D28" s="14" t="str">
        <f t="shared" si="3"/>
        <v/>
      </c>
      <c r="E28" s="14" t="str">
        <f t="shared" si="4"/>
        <v/>
      </c>
      <c r="F28" s="6" t="str">
        <f>IF($A28&lt;&gt;"",MAXIFS(#REF!,Token!$A:$A,$D28),)</f>
        <v/>
      </c>
    </row>
    <row r="29">
      <c r="A29" s="35" t="str">
        <f t="shared" si="1"/>
        <v/>
      </c>
      <c r="B29" s="22" t="str">
        <f t="shared" si="2"/>
        <v/>
      </c>
      <c r="C29" s="14" t="str">
        <f>IF($A29&lt;&gt;"",MINIFS(Merchant!$A:$A,Merchant!$B:$B,$G$2),)</f>
        <v/>
      </c>
      <c r="D29" s="14" t="str">
        <f t="shared" si="3"/>
        <v/>
      </c>
      <c r="E29" s="14" t="str">
        <f t="shared" si="4"/>
        <v/>
      </c>
      <c r="F29" s="6" t="str">
        <f>IF($A29&lt;&gt;"",MAXIFS(#REF!,Token!$A:$A,$D29),)</f>
        <v/>
      </c>
    </row>
    <row r="30">
      <c r="A30" s="35" t="str">
        <f t="shared" si="1"/>
        <v/>
      </c>
      <c r="B30" s="22" t="str">
        <f t="shared" si="2"/>
        <v/>
      </c>
      <c r="C30" s="14" t="str">
        <f>IF($A30&lt;&gt;"",MINIFS(Merchant!$A:$A,Merchant!$B:$B,$G$2),)</f>
        <v/>
      </c>
      <c r="D30" s="14" t="str">
        <f t="shared" si="3"/>
        <v/>
      </c>
      <c r="E30" s="14" t="str">
        <f t="shared" si="4"/>
        <v/>
      </c>
      <c r="F30" s="6" t="str">
        <f>IF($A30&lt;&gt;"",MAXIFS(#REF!,Token!$A:$A,$D30),)</f>
        <v/>
      </c>
    </row>
    <row r="31">
      <c r="A31" s="35" t="str">
        <f t="shared" si="1"/>
        <v/>
      </c>
      <c r="B31" s="22" t="str">
        <f t="shared" si="2"/>
        <v/>
      </c>
      <c r="C31" s="14" t="str">
        <f>IF($A31&lt;&gt;"",MINIFS(Merchant!$A:$A,Merchant!$B:$B,$G$2),)</f>
        <v/>
      </c>
      <c r="D31" s="14" t="str">
        <f t="shared" si="3"/>
        <v/>
      </c>
      <c r="E31" s="14" t="str">
        <f t="shared" si="4"/>
        <v/>
      </c>
      <c r="F31" s="6" t="str">
        <f>IF($A31&lt;&gt;"",MAXIFS(#REF!,Token!$A:$A,$D31),)</f>
        <v/>
      </c>
    </row>
    <row r="32">
      <c r="A32" s="35" t="str">
        <f t="shared" si="1"/>
        <v/>
      </c>
      <c r="B32" s="22" t="str">
        <f t="shared" si="2"/>
        <v/>
      </c>
      <c r="C32" s="14" t="str">
        <f>IF($A32&lt;&gt;"",MINIFS(Merchant!$A:$A,Merchant!$B:$B,$G$2),)</f>
        <v/>
      </c>
      <c r="D32" s="14" t="str">
        <f t="shared" si="3"/>
        <v/>
      </c>
      <c r="E32" s="14" t="str">
        <f t="shared" si="4"/>
        <v/>
      </c>
      <c r="F32" s="6" t="str">
        <f>IF($A32&lt;&gt;"",MAXIFS(#REF!,Token!$A:$A,$D32),)</f>
        <v/>
      </c>
    </row>
    <row r="33">
      <c r="A33" s="35" t="str">
        <f t="shared" si="1"/>
        <v/>
      </c>
      <c r="B33" s="22" t="str">
        <f t="shared" si="2"/>
        <v/>
      </c>
      <c r="C33" s="14" t="str">
        <f>IF($A33&lt;&gt;"",MINIFS(Merchant!$A:$A,Merchant!$B:$B,$G$2),)</f>
        <v/>
      </c>
      <c r="D33" s="14" t="str">
        <f t="shared" si="3"/>
        <v/>
      </c>
      <c r="E33" s="14" t="str">
        <f t="shared" si="4"/>
        <v/>
      </c>
      <c r="F33" s="6" t="str">
        <f>IF($A33&lt;&gt;"",MAXIFS(#REF!,Token!$A:$A,$D33),)</f>
        <v/>
      </c>
    </row>
    <row r="34">
      <c r="A34" s="35" t="str">
        <f t="shared" si="1"/>
        <v/>
      </c>
      <c r="B34" s="22" t="str">
        <f t="shared" si="2"/>
        <v/>
      </c>
      <c r="C34" s="14" t="str">
        <f>IF($A34&lt;&gt;"",MINIFS(Merchant!$A:$A,Merchant!$B:$B,$G$2),)</f>
        <v/>
      </c>
      <c r="D34" s="14" t="str">
        <f t="shared" si="3"/>
        <v/>
      </c>
      <c r="E34" s="14" t="str">
        <f t="shared" si="4"/>
        <v/>
      </c>
      <c r="F34" s="6" t="str">
        <f>IF($A34&lt;&gt;"",MAXIFS(#REF!,Token!$A:$A,$D34),)</f>
        <v/>
      </c>
    </row>
    <row r="35">
      <c r="A35" s="35" t="str">
        <f t="shared" si="1"/>
        <v/>
      </c>
      <c r="B35" s="22" t="str">
        <f t="shared" si="2"/>
        <v/>
      </c>
      <c r="C35" s="14" t="str">
        <f>IF($A35&lt;&gt;"",MINIFS(Merchant!$A:$A,Merchant!$B:$B,$G$2),)</f>
        <v/>
      </c>
      <c r="D35" s="14" t="str">
        <f t="shared" si="3"/>
        <v/>
      </c>
      <c r="E35" s="14" t="str">
        <f t="shared" si="4"/>
        <v/>
      </c>
      <c r="F35" s="6" t="str">
        <f>IF($A35&lt;&gt;"",MAXIFS(#REF!,Token!$A:$A,$D35),)</f>
        <v/>
      </c>
    </row>
    <row r="36">
      <c r="A36" s="35" t="str">
        <f t="shared" si="1"/>
        <v/>
      </c>
      <c r="B36" s="22" t="str">
        <f t="shared" si="2"/>
        <v/>
      </c>
      <c r="C36" s="14" t="str">
        <f>IF($A36&lt;&gt;"",MINIFS(Merchant!$A:$A,Merchant!$B:$B,$G$2),)</f>
        <v/>
      </c>
      <c r="D36" s="14" t="str">
        <f t="shared" si="3"/>
        <v/>
      </c>
      <c r="E36" s="14" t="str">
        <f t="shared" si="4"/>
        <v/>
      </c>
      <c r="F36" s="6" t="str">
        <f>IF($A36&lt;&gt;"",MAXIFS(#REF!,Token!$A:$A,$D36),)</f>
        <v/>
      </c>
    </row>
    <row r="37">
      <c r="A37" s="35" t="str">
        <f t="shared" si="1"/>
        <v/>
      </c>
      <c r="B37" s="22" t="str">
        <f t="shared" si="2"/>
        <v/>
      </c>
      <c r="C37" s="14" t="str">
        <f>IF($A37&lt;&gt;"",MINIFS(Merchant!$A:$A,Merchant!$B:$B,$G$2),)</f>
        <v/>
      </c>
      <c r="D37" s="14" t="str">
        <f t="shared" si="3"/>
        <v/>
      </c>
      <c r="E37" s="14" t="str">
        <f t="shared" si="4"/>
        <v/>
      </c>
      <c r="F37" s="6" t="str">
        <f>IF($A37&lt;&gt;"",MAXIFS(#REF!,Token!$A:$A,$D37),)</f>
        <v/>
      </c>
    </row>
    <row r="38">
      <c r="A38" s="35" t="str">
        <f t="shared" si="1"/>
        <v/>
      </c>
      <c r="B38" s="22" t="str">
        <f t="shared" si="2"/>
        <v/>
      </c>
      <c r="C38" s="14" t="str">
        <f>IF($A38&lt;&gt;"",MINIFS(Merchant!$A:$A,Merchant!$B:$B,$G$2),)</f>
        <v/>
      </c>
      <c r="D38" s="14" t="str">
        <f t="shared" si="3"/>
        <v/>
      </c>
      <c r="E38" s="14" t="str">
        <f t="shared" si="4"/>
        <v/>
      </c>
      <c r="F38" s="6" t="str">
        <f>IF($A38&lt;&gt;"",MAXIFS(#REF!,Token!$A:$A,$D38),)</f>
        <v/>
      </c>
    </row>
    <row r="39">
      <c r="A39" s="35" t="str">
        <f t="shared" si="1"/>
        <v/>
      </c>
      <c r="B39" s="22" t="str">
        <f t="shared" si="2"/>
        <v/>
      </c>
      <c r="C39" s="14" t="str">
        <f>IF($A39&lt;&gt;"",MINIFS(Merchant!$A:$A,Merchant!$B:$B,$G$2),)</f>
        <v/>
      </c>
      <c r="D39" s="14" t="str">
        <f t="shared" si="3"/>
        <v/>
      </c>
      <c r="E39" s="14" t="str">
        <f t="shared" si="4"/>
        <v/>
      </c>
      <c r="F39" s="6" t="str">
        <f>IF($A39&lt;&gt;"",MAXIFS(#REF!,Token!$A:$A,$D39),)</f>
        <v/>
      </c>
    </row>
    <row r="40">
      <c r="A40" s="35" t="str">
        <f t="shared" si="1"/>
        <v/>
      </c>
      <c r="B40" s="22" t="str">
        <f t="shared" si="2"/>
        <v/>
      </c>
      <c r="C40" s="14" t="str">
        <f>IF($A40&lt;&gt;"",MINIFS(Merchant!$A:$A,Merchant!$B:$B,$G$2),)</f>
        <v/>
      </c>
      <c r="D40" s="14" t="str">
        <f t="shared" si="3"/>
        <v/>
      </c>
      <c r="E40" s="14" t="str">
        <f t="shared" si="4"/>
        <v/>
      </c>
      <c r="F40" s="6" t="str">
        <f>IF($A40&lt;&gt;"",MAXIFS(#REF!,Token!$A:$A,$D40),)</f>
        <v/>
      </c>
    </row>
    <row r="41">
      <c r="A41" s="35" t="str">
        <f t="shared" si="1"/>
        <v/>
      </c>
      <c r="B41" s="22" t="str">
        <f t="shared" si="2"/>
        <v/>
      </c>
      <c r="C41" s="14" t="str">
        <f>IF($A41&lt;&gt;"",MINIFS(Merchant!$A:$A,Merchant!$B:$B,$G$2),)</f>
        <v/>
      </c>
      <c r="D41" s="14" t="str">
        <f t="shared" si="3"/>
        <v/>
      </c>
      <c r="E41" s="14" t="str">
        <f t="shared" si="4"/>
        <v/>
      </c>
      <c r="F41" s="6" t="str">
        <f>IF($A41&lt;&gt;"",MAXIFS(#REF!,Token!$A:$A,$D41),)</f>
        <v/>
      </c>
    </row>
    <row r="42">
      <c r="A42" s="35" t="str">
        <f t="shared" si="1"/>
        <v/>
      </c>
      <c r="B42" s="22" t="str">
        <f t="shared" si="2"/>
        <v/>
      </c>
      <c r="C42" s="14" t="str">
        <f>IF($A42&lt;&gt;"",MINIFS(Merchant!$A:$A,Merchant!$B:$B,$G$2),)</f>
        <v/>
      </c>
      <c r="D42" s="14" t="str">
        <f t="shared" si="3"/>
        <v/>
      </c>
      <c r="E42" s="14" t="str">
        <f t="shared" si="4"/>
        <v/>
      </c>
      <c r="F42" s="6" t="str">
        <f>IF($A42&lt;&gt;"",MAXIFS(#REF!,Token!$A:$A,$D42),)</f>
        <v/>
      </c>
    </row>
    <row r="43">
      <c r="A43" s="35" t="str">
        <f t="shared" si="1"/>
        <v/>
      </c>
      <c r="B43" s="22" t="str">
        <f t="shared" si="2"/>
        <v/>
      </c>
      <c r="C43" s="14" t="str">
        <f>IF($A43&lt;&gt;"",MINIFS(Merchant!$A:$A,Merchant!$B:$B,$G$2),)</f>
        <v/>
      </c>
      <c r="D43" s="14" t="str">
        <f t="shared" si="3"/>
        <v/>
      </c>
      <c r="E43" s="14" t="str">
        <f t="shared" si="4"/>
        <v/>
      </c>
      <c r="F43" s="6" t="str">
        <f>IF($A43&lt;&gt;"",MAXIFS(#REF!,Token!$A:$A,$D43),)</f>
        <v/>
      </c>
    </row>
    <row r="44">
      <c r="A44" s="35" t="str">
        <f t="shared" si="1"/>
        <v/>
      </c>
      <c r="B44" s="22" t="str">
        <f t="shared" si="2"/>
        <v/>
      </c>
      <c r="C44" s="14" t="str">
        <f>IF($A44&lt;&gt;"",MINIFS(Merchant!$A:$A,Merchant!$B:$B,$G$2),)</f>
        <v/>
      </c>
      <c r="D44" s="14" t="str">
        <f t="shared" si="3"/>
        <v/>
      </c>
      <c r="E44" s="14" t="str">
        <f t="shared" si="4"/>
        <v/>
      </c>
      <c r="F44" s="6" t="str">
        <f>IF($A44&lt;&gt;"",MAXIFS(#REF!,Token!$A:$A,$D44),)</f>
        <v/>
      </c>
    </row>
    <row r="45">
      <c r="A45" s="35" t="str">
        <f t="shared" si="1"/>
        <v/>
      </c>
      <c r="B45" s="22" t="str">
        <f t="shared" si="2"/>
        <v/>
      </c>
      <c r="C45" s="14" t="str">
        <f>IF($A45&lt;&gt;"",MINIFS(Merchant!$A:$A,Merchant!$B:$B,$G$2),)</f>
        <v/>
      </c>
      <c r="D45" s="14" t="str">
        <f t="shared" si="3"/>
        <v/>
      </c>
      <c r="E45" s="14" t="str">
        <f t="shared" si="4"/>
        <v/>
      </c>
      <c r="F45" s="6" t="str">
        <f>IF($A45&lt;&gt;"",MAXIFS(#REF!,Token!$A:$A,$D45),)</f>
        <v/>
      </c>
    </row>
    <row r="46">
      <c r="A46" s="35" t="str">
        <f t="shared" si="1"/>
        <v/>
      </c>
      <c r="B46" s="22" t="str">
        <f t="shared" si="2"/>
        <v/>
      </c>
      <c r="C46" s="14" t="str">
        <f>IF($A46&lt;&gt;"",MINIFS(Merchant!$A:$A,Merchant!$B:$B,$G$2),)</f>
        <v/>
      </c>
      <c r="D46" s="14" t="str">
        <f t="shared" si="3"/>
        <v/>
      </c>
      <c r="E46" s="14" t="str">
        <f t="shared" si="4"/>
        <v/>
      </c>
      <c r="F46" s="6" t="str">
        <f>IF($A46&lt;&gt;"",MAXIFS(#REF!,Token!$A:$A,$D46),)</f>
        <v/>
      </c>
    </row>
    <row r="47">
      <c r="A47" s="35" t="str">
        <f t="shared" si="1"/>
        <v/>
      </c>
      <c r="B47" s="22" t="str">
        <f t="shared" si="2"/>
        <v/>
      </c>
      <c r="C47" s="14" t="str">
        <f>IF($A47&lt;&gt;"",MINIFS(Merchant!$A:$A,Merchant!$B:$B,$G$2),)</f>
        <v/>
      </c>
      <c r="D47" s="14" t="str">
        <f t="shared" si="3"/>
        <v/>
      </c>
      <c r="E47" s="14" t="str">
        <f t="shared" si="4"/>
        <v/>
      </c>
      <c r="F47" s="6" t="str">
        <f>IF($A47&lt;&gt;"",MAXIFS(#REF!,Token!$A:$A,$D47),)</f>
        <v/>
      </c>
    </row>
    <row r="48">
      <c r="A48" s="35" t="str">
        <f t="shared" si="1"/>
        <v/>
      </c>
      <c r="B48" s="22" t="str">
        <f t="shared" si="2"/>
        <v/>
      </c>
      <c r="C48" s="14" t="str">
        <f>IF($A48&lt;&gt;"",MINIFS(Merchant!$A:$A,Merchant!$B:$B,$G$2),)</f>
        <v/>
      </c>
      <c r="D48" s="14" t="str">
        <f t="shared" si="3"/>
        <v/>
      </c>
      <c r="E48" s="14" t="str">
        <f t="shared" si="4"/>
        <v/>
      </c>
      <c r="F48" s="6" t="str">
        <f>IF($A48&lt;&gt;"",MAXIFS(#REF!,Token!$A:$A,$D48),)</f>
        <v/>
      </c>
    </row>
    <row r="49">
      <c r="A49" s="35" t="str">
        <f t="shared" si="1"/>
        <v/>
      </c>
      <c r="B49" s="22" t="str">
        <f t="shared" si="2"/>
        <v/>
      </c>
      <c r="C49" s="14" t="str">
        <f>IF($A49&lt;&gt;"",MINIFS(Merchant!$A:$A,Merchant!$B:$B,$G$2),)</f>
        <v/>
      </c>
      <c r="D49" s="14" t="str">
        <f t="shared" si="3"/>
        <v/>
      </c>
      <c r="E49" s="14" t="str">
        <f t="shared" si="4"/>
        <v/>
      </c>
      <c r="F49" s="6" t="str">
        <f>IF($A49&lt;&gt;"",MAXIFS(#REF!,Token!$A:$A,$D49),)</f>
        <v/>
      </c>
    </row>
    <row r="50">
      <c r="A50" s="35" t="str">
        <f t="shared" si="1"/>
        <v/>
      </c>
      <c r="B50" s="22" t="str">
        <f t="shared" si="2"/>
        <v/>
      </c>
      <c r="C50" s="14" t="str">
        <f>IF($A50&lt;&gt;"",MINIFS(Merchant!$A:$A,Merchant!$B:$B,$G$2),)</f>
        <v/>
      </c>
      <c r="D50" s="14" t="str">
        <f t="shared" si="3"/>
        <v/>
      </c>
      <c r="E50" s="14" t="str">
        <f t="shared" si="4"/>
        <v/>
      </c>
      <c r="F50" s="6" t="str">
        <f>IF($A50&lt;&gt;"",MAXIFS(#REF!,Token!$A:$A,$D50),)</f>
        <v/>
      </c>
    </row>
    <row r="51">
      <c r="A51" s="35" t="str">
        <f t="shared" si="1"/>
        <v/>
      </c>
      <c r="B51" s="22" t="str">
        <f t="shared" si="2"/>
        <v/>
      </c>
      <c r="C51" s="14" t="str">
        <f>IF($A51&lt;&gt;"",MINIFS(Merchant!$A:$A,Merchant!$B:$B,$G$2),)</f>
        <v/>
      </c>
      <c r="D51" s="14" t="str">
        <f t="shared" si="3"/>
        <v/>
      </c>
      <c r="E51" s="14" t="str">
        <f t="shared" si="4"/>
        <v/>
      </c>
      <c r="F51" s="6" t="str">
        <f>IF($A51&lt;&gt;"",MAXIFS(#REF!,Token!$A:$A,$D51),)</f>
        <v/>
      </c>
    </row>
    <row r="52">
      <c r="A52" s="35" t="str">
        <f t="shared" si="1"/>
        <v/>
      </c>
      <c r="B52" s="22" t="str">
        <f t="shared" si="2"/>
        <v/>
      </c>
      <c r="C52" s="14" t="str">
        <f>IF($A52&lt;&gt;"",MINIFS(Merchant!$A:$A,Merchant!$B:$B,$G$2),)</f>
        <v/>
      </c>
      <c r="D52" s="14" t="str">
        <f t="shared" si="3"/>
        <v/>
      </c>
      <c r="E52" s="14" t="str">
        <f t="shared" si="4"/>
        <v/>
      </c>
      <c r="F52" s="6" t="str">
        <f>IF($A52&lt;&gt;"",MAXIFS(#REF!,Token!$A:$A,$D52),)</f>
        <v/>
      </c>
      <c r="H52" s="5" t="str">
        <f>IFERROR(__xludf.DUMMYFUNCTION("IF(AND($G$11,INDEX(L:L,ROW()-1)*1&gt;$G$3),ImportJSON(""https://public-api.solscan.io/account/splTransfers?account=""&amp;$G$2&amp;IF($G$5,""&amp;fromTime=""&amp;TO_TEXT($G$3)&amp;""&amp;toTime=""&amp;TO_TEXT($G$4),)&amp;""&amp;offset=""&amp;ROW()-2&amp;""&amp;limit=50""&amp;$G$7,TEXTJOIN("","",1,$H$1:$L$1),"&amp;"""noHeaders""),)"),"")</f>
        <v/>
      </c>
    </row>
    <row r="53">
      <c r="A53" s="35" t="str">
        <f t="shared" si="1"/>
        <v/>
      </c>
      <c r="B53" s="22" t="str">
        <f t="shared" si="2"/>
        <v/>
      </c>
      <c r="C53" s="14" t="str">
        <f>IF($A53&lt;&gt;"",MINIFS(Merchant!$A:$A,Merchant!$B:$B,$G$2),)</f>
        <v/>
      </c>
      <c r="D53" s="14" t="str">
        <f t="shared" si="3"/>
        <v/>
      </c>
      <c r="E53" s="14" t="str">
        <f t="shared" si="4"/>
        <v/>
      </c>
      <c r="F53" s="6" t="str">
        <f>IF($A53&lt;&gt;"",MAXIFS(#REF!,Token!$A:$A,$D53),)</f>
        <v/>
      </c>
    </row>
    <row r="54">
      <c r="A54" s="35" t="str">
        <f t="shared" si="1"/>
        <v/>
      </c>
      <c r="B54" s="22" t="str">
        <f t="shared" si="2"/>
        <v/>
      </c>
      <c r="C54" s="14" t="str">
        <f>IF($A54&lt;&gt;"",MINIFS(Merchant!$A:$A,Merchant!$B:$B,$G$2),)</f>
        <v/>
      </c>
      <c r="D54" s="14" t="str">
        <f t="shared" si="3"/>
        <v/>
      </c>
      <c r="E54" s="14" t="str">
        <f t="shared" si="4"/>
        <v/>
      </c>
      <c r="F54" s="6" t="str">
        <f>IF($A54&lt;&gt;"",MAXIFS(#REF!,Token!$A:$A,$D54),)</f>
        <v/>
      </c>
    </row>
    <row r="55">
      <c r="A55" s="35" t="str">
        <f t="shared" si="1"/>
        <v/>
      </c>
      <c r="B55" s="22" t="str">
        <f t="shared" si="2"/>
        <v/>
      </c>
      <c r="C55" s="14" t="str">
        <f>IF($A55&lt;&gt;"",MINIFS(Merchant!$A:$A,Merchant!$B:$B,$G$2),)</f>
        <v/>
      </c>
      <c r="D55" s="14" t="str">
        <f t="shared" si="3"/>
        <v/>
      </c>
      <c r="E55" s="14" t="str">
        <f t="shared" si="4"/>
        <v/>
      </c>
      <c r="F55" s="6" t="str">
        <f>IF($A55&lt;&gt;"",MAXIFS(#REF!,Token!$A:$A,$D55),)</f>
        <v/>
      </c>
    </row>
    <row r="56">
      <c r="A56" s="35" t="str">
        <f t="shared" si="1"/>
        <v/>
      </c>
      <c r="B56" s="22" t="str">
        <f t="shared" si="2"/>
        <v/>
      </c>
      <c r="C56" s="14" t="str">
        <f>IF($A56&lt;&gt;"",MINIFS(Merchant!$A:$A,Merchant!$B:$B,$G$2),)</f>
        <v/>
      </c>
      <c r="D56" s="14" t="str">
        <f t="shared" si="3"/>
        <v/>
      </c>
      <c r="E56" s="14" t="str">
        <f t="shared" si="4"/>
        <v/>
      </c>
      <c r="F56" s="6" t="str">
        <f>IF($A56&lt;&gt;"",MAXIFS(#REF!,Token!$A:$A,$D56),)</f>
        <v/>
      </c>
    </row>
    <row r="57">
      <c r="A57" s="35" t="str">
        <f t="shared" si="1"/>
        <v/>
      </c>
      <c r="B57" s="22" t="str">
        <f t="shared" si="2"/>
        <v/>
      </c>
      <c r="C57" s="14" t="str">
        <f>IF($A57&lt;&gt;"",MINIFS(Merchant!$A:$A,Merchant!$B:$B,$G$2),)</f>
        <v/>
      </c>
      <c r="D57" s="14" t="str">
        <f t="shared" si="3"/>
        <v/>
      </c>
      <c r="E57" s="14" t="str">
        <f t="shared" si="4"/>
        <v/>
      </c>
      <c r="F57" s="6" t="str">
        <f>IF($A57&lt;&gt;"",MAXIFS(#REF!,Token!$A:$A,$D57),)</f>
        <v/>
      </c>
    </row>
    <row r="58">
      <c r="A58" s="35" t="str">
        <f t="shared" si="1"/>
        <v/>
      </c>
      <c r="B58" s="22" t="str">
        <f t="shared" si="2"/>
        <v/>
      </c>
      <c r="C58" s="14" t="str">
        <f>IF($A58&lt;&gt;"",MINIFS(Merchant!$A:$A,Merchant!$B:$B,$G$2),)</f>
        <v/>
      </c>
      <c r="D58" s="14" t="str">
        <f t="shared" si="3"/>
        <v/>
      </c>
      <c r="E58" s="14" t="str">
        <f t="shared" si="4"/>
        <v/>
      </c>
      <c r="F58" s="6" t="str">
        <f>IF($A58&lt;&gt;"",MAXIFS(#REF!,Token!$A:$A,$D58),)</f>
        <v/>
      </c>
    </row>
    <row r="59">
      <c r="A59" s="35" t="str">
        <f t="shared" si="1"/>
        <v/>
      </c>
      <c r="B59" s="22" t="str">
        <f t="shared" si="2"/>
        <v/>
      </c>
      <c r="C59" s="14" t="str">
        <f>IF($A59&lt;&gt;"",MINIFS(Merchant!$A:$A,Merchant!$B:$B,$G$2),)</f>
        <v/>
      </c>
      <c r="D59" s="14" t="str">
        <f t="shared" si="3"/>
        <v/>
      </c>
      <c r="E59" s="14" t="str">
        <f t="shared" si="4"/>
        <v/>
      </c>
      <c r="F59" s="6" t="str">
        <f>IF($A59&lt;&gt;"",MAXIFS(#REF!,Token!$A:$A,$D59),)</f>
        <v/>
      </c>
    </row>
    <row r="60">
      <c r="A60" s="35" t="str">
        <f t="shared" si="1"/>
        <v/>
      </c>
      <c r="B60" s="22" t="str">
        <f t="shared" si="2"/>
        <v/>
      </c>
      <c r="C60" s="14" t="str">
        <f>IF($A60&lt;&gt;"",MINIFS(Merchant!$A:$A,Merchant!$B:$B,$G$2),)</f>
        <v/>
      </c>
      <c r="D60" s="14" t="str">
        <f t="shared" si="3"/>
        <v/>
      </c>
      <c r="E60" s="14" t="str">
        <f t="shared" si="4"/>
        <v/>
      </c>
      <c r="F60" s="6" t="str">
        <f>IF($A60&lt;&gt;"",MAXIFS(#REF!,Token!$A:$A,$D60),)</f>
        <v/>
      </c>
    </row>
    <row r="61">
      <c r="A61" s="35" t="str">
        <f t="shared" si="1"/>
        <v/>
      </c>
      <c r="B61" s="22" t="str">
        <f t="shared" si="2"/>
        <v/>
      </c>
      <c r="C61" s="14" t="str">
        <f>IF($A61&lt;&gt;"",MINIFS(Merchant!$A:$A,Merchant!$B:$B,$G$2),)</f>
        <v/>
      </c>
      <c r="D61" s="14" t="str">
        <f t="shared" si="3"/>
        <v/>
      </c>
      <c r="E61" s="14" t="str">
        <f t="shared" si="4"/>
        <v/>
      </c>
      <c r="F61" s="6" t="str">
        <f>IF($A61&lt;&gt;"",MAXIFS(#REF!,Token!$A:$A,$D61),)</f>
        <v/>
      </c>
    </row>
    <row r="62">
      <c r="A62" s="35" t="str">
        <f t="shared" si="1"/>
        <v/>
      </c>
      <c r="B62" s="22" t="str">
        <f t="shared" si="2"/>
        <v/>
      </c>
      <c r="C62" s="14" t="str">
        <f>IF($A62&lt;&gt;"",MINIFS(Merchant!$A:$A,Merchant!$B:$B,$G$2),)</f>
        <v/>
      </c>
      <c r="D62" s="14" t="str">
        <f t="shared" si="3"/>
        <v/>
      </c>
      <c r="E62" s="14" t="str">
        <f t="shared" si="4"/>
        <v/>
      </c>
      <c r="F62" s="6" t="str">
        <f>IF($A62&lt;&gt;"",MAXIFS(#REF!,Token!$A:$A,$D62),)</f>
        <v/>
      </c>
    </row>
    <row r="63">
      <c r="A63" s="35" t="str">
        <f t="shared" si="1"/>
        <v/>
      </c>
      <c r="B63" s="22" t="str">
        <f t="shared" si="2"/>
        <v/>
      </c>
      <c r="C63" s="14" t="str">
        <f>IF($A63&lt;&gt;"",MINIFS(Merchant!$A:$A,Merchant!$B:$B,$G$2),)</f>
        <v/>
      </c>
      <c r="D63" s="14" t="str">
        <f t="shared" si="3"/>
        <v/>
      </c>
      <c r="E63" s="14" t="str">
        <f t="shared" si="4"/>
        <v/>
      </c>
      <c r="F63" s="6" t="str">
        <f>IF($A63&lt;&gt;"",MAXIFS(#REF!,Token!$A:$A,$D63),)</f>
        <v/>
      </c>
    </row>
    <row r="64">
      <c r="A64" s="35" t="str">
        <f t="shared" si="1"/>
        <v/>
      </c>
      <c r="B64" s="22" t="str">
        <f t="shared" si="2"/>
        <v/>
      </c>
      <c r="C64" s="14" t="str">
        <f>IF($A64&lt;&gt;"",MINIFS(Merchant!$A:$A,Merchant!$B:$B,$G$2),)</f>
        <v/>
      </c>
      <c r="D64" s="14" t="str">
        <f t="shared" si="3"/>
        <v/>
      </c>
      <c r="E64" s="14" t="str">
        <f t="shared" si="4"/>
        <v/>
      </c>
      <c r="F64" s="6" t="str">
        <f>IF($A64&lt;&gt;"",MAXIFS(#REF!,Token!$A:$A,$D64),)</f>
        <v/>
      </c>
    </row>
    <row r="65">
      <c r="A65" s="35" t="str">
        <f t="shared" si="1"/>
        <v/>
      </c>
      <c r="B65" s="22" t="str">
        <f t="shared" si="2"/>
        <v/>
      </c>
      <c r="C65" s="14" t="str">
        <f>IF($A65&lt;&gt;"",MINIFS(Merchant!$A:$A,Merchant!$B:$B,$G$2),)</f>
        <v/>
      </c>
      <c r="D65" s="14" t="str">
        <f t="shared" si="3"/>
        <v/>
      </c>
      <c r="E65" s="14" t="str">
        <f t="shared" si="4"/>
        <v/>
      </c>
      <c r="F65" s="6" t="str">
        <f>IF($A65&lt;&gt;"",MAXIFS(#REF!,Token!$A:$A,$D65),)</f>
        <v/>
      </c>
    </row>
    <row r="66">
      <c r="A66" s="35" t="str">
        <f t="shared" si="1"/>
        <v/>
      </c>
      <c r="B66" s="22" t="str">
        <f t="shared" si="2"/>
        <v/>
      </c>
      <c r="C66" s="14" t="str">
        <f>IF($A66&lt;&gt;"",MINIFS(Merchant!$A:$A,Merchant!$B:$B,$G$2),)</f>
        <v/>
      </c>
      <c r="D66" s="14" t="str">
        <f t="shared" si="3"/>
        <v/>
      </c>
      <c r="E66" s="14" t="str">
        <f t="shared" si="4"/>
        <v/>
      </c>
      <c r="F66" s="6" t="str">
        <f>IF($A66&lt;&gt;"",MAXIFS(#REF!,Token!$A:$A,$D66),)</f>
        <v/>
      </c>
    </row>
    <row r="67">
      <c r="A67" s="35" t="str">
        <f t="shared" si="1"/>
        <v/>
      </c>
      <c r="B67" s="22" t="str">
        <f t="shared" si="2"/>
        <v/>
      </c>
      <c r="C67" s="14" t="str">
        <f>IF($A67&lt;&gt;"",MINIFS(Merchant!$A:$A,Merchant!$B:$B,$G$2),)</f>
        <v/>
      </c>
      <c r="D67" s="14" t="str">
        <f t="shared" si="3"/>
        <v/>
      </c>
      <c r="E67" s="14" t="str">
        <f t="shared" si="4"/>
        <v/>
      </c>
      <c r="F67" s="6" t="str">
        <f>IF($A67&lt;&gt;"",MAXIFS(#REF!,Token!$A:$A,$D67),)</f>
        <v/>
      </c>
    </row>
    <row r="68">
      <c r="A68" s="35" t="str">
        <f t="shared" si="1"/>
        <v/>
      </c>
      <c r="B68" s="22" t="str">
        <f t="shared" si="2"/>
        <v/>
      </c>
      <c r="C68" s="14" t="str">
        <f>IF($A68&lt;&gt;"",MINIFS(Merchant!$A:$A,Merchant!$B:$B,$G$2),)</f>
        <v/>
      </c>
      <c r="D68" s="14" t="str">
        <f t="shared" si="3"/>
        <v/>
      </c>
      <c r="E68" s="14" t="str">
        <f t="shared" si="4"/>
        <v/>
      </c>
      <c r="F68" s="6" t="str">
        <f>IF($A68&lt;&gt;"",MAXIFS(#REF!,Token!$A:$A,$D68),)</f>
        <v/>
      </c>
    </row>
    <row r="69">
      <c r="A69" s="35" t="str">
        <f t="shared" si="1"/>
        <v/>
      </c>
      <c r="B69" s="22" t="str">
        <f t="shared" si="2"/>
        <v/>
      </c>
      <c r="C69" s="14" t="str">
        <f>IF($A69&lt;&gt;"",MINIFS(Merchant!$A:$A,Merchant!$B:$B,$G$2),)</f>
        <v/>
      </c>
      <c r="D69" s="14" t="str">
        <f t="shared" si="3"/>
        <v/>
      </c>
      <c r="E69" s="14" t="str">
        <f t="shared" si="4"/>
        <v/>
      </c>
      <c r="F69" s="6" t="str">
        <f>IF($A69&lt;&gt;"",MAXIFS(#REF!,Token!$A:$A,$D69),)</f>
        <v/>
      </c>
    </row>
    <row r="70">
      <c r="A70" s="35" t="str">
        <f t="shared" si="1"/>
        <v/>
      </c>
      <c r="B70" s="22" t="str">
        <f t="shared" si="2"/>
        <v/>
      </c>
      <c r="C70" s="14" t="str">
        <f>IF($A70&lt;&gt;"",MINIFS(Merchant!$A:$A,Merchant!$B:$B,$G$2),)</f>
        <v/>
      </c>
      <c r="D70" s="14" t="str">
        <f t="shared" si="3"/>
        <v/>
      </c>
      <c r="E70" s="14" t="str">
        <f t="shared" si="4"/>
        <v/>
      </c>
      <c r="F70" s="6" t="str">
        <f>IF($A70&lt;&gt;"",MAXIFS(#REF!,Token!$A:$A,$D70),)</f>
        <v/>
      </c>
    </row>
    <row r="71">
      <c r="A71" s="35" t="str">
        <f t="shared" si="1"/>
        <v/>
      </c>
      <c r="B71" s="22" t="str">
        <f t="shared" si="2"/>
        <v/>
      </c>
      <c r="C71" s="14" t="str">
        <f>IF($A71&lt;&gt;"",MINIFS(Merchant!$A:$A,Merchant!$B:$B,$G$2),)</f>
        <v/>
      </c>
      <c r="D71" s="14" t="str">
        <f t="shared" si="3"/>
        <v/>
      </c>
      <c r="E71" s="14" t="str">
        <f t="shared" si="4"/>
        <v/>
      </c>
      <c r="F71" s="6" t="str">
        <f>IF($A71&lt;&gt;"",MAXIFS(#REF!,Token!$A:$A,$D71),)</f>
        <v/>
      </c>
    </row>
    <row r="72">
      <c r="A72" s="35" t="str">
        <f t="shared" si="1"/>
        <v/>
      </c>
      <c r="B72" s="22" t="str">
        <f t="shared" si="2"/>
        <v/>
      </c>
      <c r="C72" s="14" t="str">
        <f>IF($A72&lt;&gt;"",MINIFS(Merchant!$A:$A,Merchant!$B:$B,$G$2),)</f>
        <v/>
      </c>
      <c r="D72" s="14" t="str">
        <f t="shared" si="3"/>
        <v/>
      </c>
      <c r="E72" s="14" t="str">
        <f t="shared" si="4"/>
        <v/>
      </c>
      <c r="F72" s="6" t="str">
        <f>IF($A72&lt;&gt;"",MAXIFS(#REF!,Token!$A:$A,$D72),)</f>
        <v/>
      </c>
    </row>
    <row r="73">
      <c r="A73" s="35" t="str">
        <f t="shared" si="1"/>
        <v/>
      </c>
      <c r="B73" s="22" t="str">
        <f t="shared" si="2"/>
        <v/>
      </c>
      <c r="C73" s="14" t="str">
        <f>IF($A73&lt;&gt;"",MINIFS(Merchant!$A:$A,Merchant!$B:$B,$G$2),)</f>
        <v/>
      </c>
      <c r="D73" s="14" t="str">
        <f t="shared" si="3"/>
        <v/>
      </c>
      <c r="E73" s="14" t="str">
        <f t="shared" si="4"/>
        <v/>
      </c>
      <c r="F73" s="6" t="str">
        <f>IF($A73&lt;&gt;"",MAXIFS(#REF!,Token!$A:$A,$D73),)</f>
        <v/>
      </c>
    </row>
    <row r="74">
      <c r="A74" s="35" t="str">
        <f t="shared" si="1"/>
        <v/>
      </c>
      <c r="B74" s="22" t="str">
        <f t="shared" si="2"/>
        <v/>
      </c>
      <c r="C74" s="14" t="str">
        <f>IF($A74&lt;&gt;"",MINIFS(Merchant!$A:$A,Merchant!$B:$B,$G$2),)</f>
        <v/>
      </c>
      <c r="D74" s="14" t="str">
        <f t="shared" si="3"/>
        <v/>
      </c>
      <c r="E74" s="14" t="str">
        <f t="shared" si="4"/>
        <v/>
      </c>
      <c r="F74" s="6" t="str">
        <f>IF($A74&lt;&gt;"",MAXIFS(#REF!,Token!$A:$A,$D74),)</f>
        <v/>
      </c>
    </row>
    <row r="75">
      <c r="A75" s="35" t="str">
        <f t="shared" si="1"/>
        <v/>
      </c>
      <c r="B75" s="22" t="str">
        <f t="shared" si="2"/>
        <v/>
      </c>
      <c r="C75" s="14" t="str">
        <f>IF($A75&lt;&gt;"",MINIFS(Merchant!$A:$A,Merchant!$B:$B,$G$2),)</f>
        <v/>
      </c>
      <c r="D75" s="14" t="str">
        <f t="shared" si="3"/>
        <v/>
      </c>
      <c r="E75" s="14" t="str">
        <f t="shared" si="4"/>
        <v/>
      </c>
      <c r="F75" s="6" t="str">
        <f>IF($A75&lt;&gt;"",MAXIFS(#REF!,Token!$A:$A,$D75),)</f>
        <v/>
      </c>
    </row>
    <row r="76">
      <c r="A76" s="35" t="str">
        <f t="shared" si="1"/>
        <v/>
      </c>
      <c r="B76" s="22" t="str">
        <f t="shared" si="2"/>
        <v/>
      </c>
      <c r="C76" s="14" t="str">
        <f>IF($A76&lt;&gt;"",MINIFS(Merchant!$A:$A,Merchant!$B:$B,$G$2),)</f>
        <v/>
      </c>
      <c r="D76" s="14" t="str">
        <f t="shared" si="3"/>
        <v/>
      </c>
      <c r="E76" s="14" t="str">
        <f t="shared" si="4"/>
        <v/>
      </c>
      <c r="F76" s="6" t="str">
        <f>IF($A76&lt;&gt;"",MAXIFS(#REF!,Token!$A:$A,$D76),)</f>
        <v/>
      </c>
    </row>
    <row r="77">
      <c r="A77" s="35" t="str">
        <f t="shared" si="1"/>
        <v/>
      </c>
      <c r="B77" s="22" t="str">
        <f t="shared" si="2"/>
        <v/>
      </c>
      <c r="C77" s="14" t="str">
        <f>IF($A77&lt;&gt;"",MINIFS(Merchant!$A:$A,Merchant!$B:$B,$G$2),)</f>
        <v/>
      </c>
      <c r="D77" s="14" t="str">
        <f t="shared" si="3"/>
        <v/>
      </c>
      <c r="E77" s="14" t="str">
        <f t="shared" si="4"/>
        <v/>
      </c>
      <c r="F77" s="6" t="str">
        <f>IF($A77&lt;&gt;"",MAXIFS(#REF!,Token!$A:$A,$D77),)</f>
        <v/>
      </c>
    </row>
    <row r="78">
      <c r="A78" s="35" t="str">
        <f t="shared" si="1"/>
        <v/>
      </c>
      <c r="B78" s="22" t="str">
        <f t="shared" si="2"/>
        <v/>
      </c>
      <c r="C78" s="14" t="str">
        <f>IF($A78&lt;&gt;"",MINIFS(Merchant!$A:$A,Merchant!$B:$B,$G$2),)</f>
        <v/>
      </c>
      <c r="D78" s="14" t="str">
        <f t="shared" si="3"/>
        <v/>
      </c>
      <c r="E78" s="14" t="str">
        <f t="shared" si="4"/>
        <v/>
      </c>
      <c r="F78" s="6" t="str">
        <f>IF($A78&lt;&gt;"",MAXIFS(#REF!,Token!$A:$A,$D78),)</f>
        <v/>
      </c>
    </row>
    <row r="79">
      <c r="A79" s="35" t="str">
        <f t="shared" si="1"/>
        <v/>
      </c>
      <c r="B79" s="22" t="str">
        <f t="shared" si="2"/>
        <v/>
      </c>
      <c r="C79" s="14" t="str">
        <f>IF($A79&lt;&gt;"",MINIFS(Merchant!$A:$A,Merchant!$B:$B,$G$2),)</f>
        <v/>
      </c>
      <c r="D79" s="14" t="str">
        <f t="shared" si="3"/>
        <v/>
      </c>
      <c r="E79" s="14" t="str">
        <f t="shared" si="4"/>
        <v/>
      </c>
      <c r="F79" s="6" t="str">
        <f>IF($A79&lt;&gt;"",MAXIFS(#REF!,Token!$A:$A,$D79),)</f>
        <v/>
      </c>
    </row>
    <row r="80">
      <c r="A80" s="35" t="str">
        <f t="shared" si="1"/>
        <v/>
      </c>
      <c r="B80" s="22" t="str">
        <f t="shared" si="2"/>
        <v/>
      </c>
      <c r="C80" s="14" t="str">
        <f>IF($A80&lt;&gt;"",MINIFS(Merchant!$A:$A,Merchant!$B:$B,$G$2),)</f>
        <v/>
      </c>
      <c r="D80" s="14" t="str">
        <f t="shared" si="3"/>
        <v/>
      </c>
      <c r="E80" s="14" t="str">
        <f t="shared" si="4"/>
        <v/>
      </c>
      <c r="F80" s="6" t="str">
        <f>IF($A80&lt;&gt;"",MAXIFS(#REF!,Token!$A:$A,$D80),)</f>
        <v/>
      </c>
    </row>
    <row r="81">
      <c r="A81" s="35" t="str">
        <f t="shared" si="1"/>
        <v/>
      </c>
      <c r="B81" s="22" t="str">
        <f t="shared" si="2"/>
        <v/>
      </c>
      <c r="C81" s="14" t="str">
        <f>IF($A81&lt;&gt;"",MINIFS(Merchant!$A:$A,Merchant!$B:$B,$G$2),)</f>
        <v/>
      </c>
      <c r="D81" s="14" t="str">
        <f t="shared" si="3"/>
        <v/>
      </c>
      <c r="E81" s="14" t="str">
        <f t="shared" si="4"/>
        <v/>
      </c>
      <c r="F81" s="6" t="str">
        <f>IF($A81&lt;&gt;"",MAXIFS(#REF!,Token!$A:$A,$D81),)</f>
        <v/>
      </c>
    </row>
    <row r="82">
      <c r="A82" s="35" t="str">
        <f t="shared" si="1"/>
        <v/>
      </c>
      <c r="B82" s="22" t="str">
        <f t="shared" si="2"/>
        <v/>
      </c>
      <c r="C82" s="14" t="str">
        <f>IF($A82&lt;&gt;"",MINIFS(Merchant!$A:$A,Merchant!$B:$B,$G$2),)</f>
        <v/>
      </c>
      <c r="D82" s="14" t="str">
        <f t="shared" si="3"/>
        <v/>
      </c>
      <c r="E82" s="14" t="str">
        <f t="shared" si="4"/>
        <v/>
      </c>
      <c r="F82" s="6" t="str">
        <f>IF($A82&lt;&gt;"",MAXIFS(#REF!,Token!$A:$A,$D82),)</f>
        <v/>
      </c>
    </row>
    <row r="83">
      <c r="A83" s="35" t="str">
        <f t="shared" si="1"/>
        <v/>
      </c>
      <c r="B83" s="22" t="str">
        <f t="shared" si="2"/>
        <v/>
      </c>
      <c r="C83" s="14" t="str">
        <f>IF($A83&lt;&gt;"",MINIFS(Merchant!$A:$A,Merchant!$B:$B,$G$2),)</f>
        <v/>
      </c>
      <c r="D83" s="14" t="str">
        <f t="shared" si="3"/>
        <v/>
      </c>
      <c r="E83" s="14" t="str">
        <f t="shared" si="4"/>
        <v/>
      </c>
      <c r="F83" s="6" t="str">
        <f>IF($A83&lt;&gt;"",MAXIFS(#REF!,Token!$A:$A,$D83),)</f>
        <v/>
      </c>
    </row>
    <row r="84">
      <c r="A84" s="35" t="str">
        <f t="shared" si="1"/>
        <v/>
      </c>
      <c r="B84" s="22" t="str">
        <f t="shared" si="2"/>
        <v/>
      </c>
      <c r="C84" s="14" t="str">
        <f>IF($A84&lt;&gt;"",MINIFS(Merchant!$A:$A,Merchant!$B:$B,$G$2),)</f>
        <v/>
      </c>
      <c r="D84" s="14" t="str">
        <f t="shared" si="3"/>
        <v/>
      </c>
      <c r="E84" s="14" t="str">
        <f t="shared" si="4"/>
        <v/>
      </c>
      <c r="F84" s="6" t="str">
        <f>IF($A84&lt;&gt;"",MAXIFS(#REF!,Token!$A:$A,$D84),)</f>
        <v/>
      </c>
    </row>
    <row r="85">
      <c r="A85" s="35" t="str">
        <f t="shared" si="1"/>
        <v/>
      </c>
      <c r="B85" s="22" t="str">
        <f t="shared" si="2"/>
        <v/>
      </c>
      <c r="C85" s="14" t="str">
        <f>IF($A85&lt;&gt;"",MINIFS(Merchant!$A:$A,Merchant!$B:$B,$G$2),)</f>
        <v/>
      </c>
      <c r="D85" s="14" t="str">
        <f t="shared" si="3"/>
        <v/>
      </c>
      <c r="E85" s="14" t="str">
        <f t="shared" si="4"/>
        <v/>
      </c>
      <c r="F85" s="6" t="str">
        <f>IF($A85&lt;&gt;"",MAXIFS(#REF!,Token!$A:$A,$D85),)</f>
        <v/>
      </c>
    </row>
    <row r="86">
      <c r="A86" s="35" t="str">
        <f t="shared" si="1"/>
        <v/>
      </c>
      <c r="B86" s="22" t="str">
        <f t="shared" si="2"/>
        <v/>
      </c>
      <c r="C86" s="14" t="str">
        <f>IF($A86&lt;&gt;"",MINIFS(Merchant!$A:$A,Merchant!$B:$B,$G$2),)</f>
        <v/>
      </c>
      <c r="D86" s="14" t="str">
        <f t="shared" si="3"/>
        <v/>
      </c>
      <c r="E86" s="14" t="str">
        <f t="shared" si="4"/>
        <v/>
      </c>
      <c r="F86" s="6" t="str">
        <f>IF($A86&lt;&gt;"",MAXIFS(#REF!,Token!$A:$A,$D86),)</f>
        <v/>
      </c>
    </row>
    <row r="87">
      <c r="A87" s="35" t="str">
        <f t="shared" si="1"/>
        <v/>
      </c>
      <c r="B87" s="22" t="str">
        <f t="shared" si="2"/>
        <v/>
      </c>
      <c r="C87" s="14" t="str">
        <f>IF($A87&lt;&gt;"",MINIFS(Merchant!$A:$A,Merchant!$B:$B,$G$2),)</f>
        <v/>
      </c>
      <c r="D87" s="14" t="str">
        <f t="shared" si="3"/>
        <v/>
      </c>
      <c r="E87" s="14" t="str">
        <f t="shared" si="4"/>
        <v/>
      </c>
      <c r="F87" s="6" t="str">
        <f>IF($A87&lt;&gt;"",MAXIFS(#REF!,Token!$A:$A,$D87),)</f>
        <v/>
      </c>
    </row>
    <row r="88">
      <c r="A88" s="35" t="str">
        <f t="shared" si="1"/>
        <v/>
      </c>
      <c r="B88" s="22" t="str">
        <f t="shared" si="2"/>
        <v/>
      </c>
      <c r="C88" s="14" t="str">
        <f>IF($A88&lt;&gt;"",MINIFS(Merchant!$A:$A,Merchant!$B:$B,$G$2),)</f>
        <v/>
      </c>
      <c r="D88" s="14" t="str">
        <f t="shared" si="3"/>
        <v/>
      </c>
      <c r="E88" s="14" t="str">
        <f t="shared" si="4"/>
        <v/>
      </c>
      <c r="F88" s="6" t="str">
        <f>IF($A88&lt;&gt;"",MAXIFS(#REF!,Token!$A:$A,$D88),)</f>
        <v/>
      </c>
    </row>
    <row r="89">
      <c r="A89" s="35" t="str">
        <f t="shared" si="1"/>
        <v/>
      </c>
      <c r="B89" s="22" t="str">
        <f t="shared" si="2"/>
        <v/>
      </c>
      <c r="C89" s="14" t="str">
        <f>IF($A89&lt;&gt;"",MINIFS(Merchant!$A:$A,Merchant!$B:$B,$G$2),)</f>
        <v/>
      </c>
      <c r="D89" s="14" t="str">
        <f t="shared" si="3"/>
        <v/>
      </c>
      <c r="E89" s="14" t="str">
        <f t="shared" si="4"/>
        <v/>
      </c>
      <c r="F89" s="6" t="str">
        <f>IF($A89&lt;&gt;"",MAXIFS(#REF!,Token!$A:$A,$D89),)</f>
        <v/>
      </c>
    </row>
    <row r="90">
      <c r="A90" s="35" t="str">
        <f t="shared" si="1"/>
        <v/>
      </c>
      <c r="B90" s="22" t="str">
        <f t="shared" si="2"/>
        <v/>
      </c>
      <c r="C90" s="14" t="str">
        <f>IF($A90&lt;&gt;"",MINIFS(Merchant!$A:$A,Merchant!$B:$B,$G$2),)</f>
        <v/>
      </c>
      <c r="D90" s="14" t="str">
        <f t="shared" si="3"/>
        <v/>
      </c>
      <c r="E90" s="14" t="str">
        <f t="shared" si="4"/>
        <v/>
      </c>
      <c r="F90" s="6" t="str">
        <f>IF($A90&lt;&gt;"",MAXIFS(#REF!,Token!$A:$A,$D90),)</f>
        <v/>
      </c>
    </row>
    <row r="91">
      <c r="A91" s="35" t="str">
        <f t="shared" si="1"/>
        <v/>
      </c>
      <c r="B91" s="22" t="str">
        <f t="shared" si="2"/>
        <v/>
      </c>
      <c r="C91" s="14" t="str">
        <f>IF($A91&lt;&gt;"",MINIFS(Merchant!$A:$A,Merchant!$B:$B,$G$2),)</f>
        <v/>
      </c>
      <c r="D91" s="14" t="str">
        <f t="shared" si="3"/>
        <v/>
      </c>
      <c r="E91" s="14" t="str">
        <f t="shared" si="4"/>
        <v/>
      </c>
      <c r="F91" s="6" t="str">
        <f>IF($A91&lt;&gt;"",MAXIFS(#REF!,Token!$A:$A,$D91),)</f>
        <v/>
      </c>
    </row>
    <row r="92">
      <c r="A92" s="35" t="str">
        <f t="shared" si="1"/>
        <v/>
      </c>
      <c r="B92" s="22" t="str">
        <f t="shared" si="2"/>
        <v/>
      </c>
      <c r="C92" s="14" t="str">
        <f>IF($A92&lt;&gt;"",MINIFS(Merchant!$A:$A,Merchant!$B:$B,$G$2),)</f>
        <v/>
      </c>
      <c r="D92" s="14" t="str">
        <f t="shared" si="3"/>
        <v/>
      </c>
      <c r="E92" s="14" t="str">
        <f t="shared" si="4"/>
        <v/>
      </c>
      <c r="F92" s="6" t="str">
        <f>IF($A92&lt;&gt;"",MAXIFS(#REF!,Token!$A:$A,$D92),)</f>
        <v/>
      </c>
    </row>
    <row r="93">
      <c r="A93" s="35" t="str">
        <f t="shared" si="1"/>
        <v/>
      </c>
      <c r="B93" s="22" t="str">
        <f t="shared" si="2"/>
        <v/>
      </c>
      <c r="C93" s="14" t="str">
        <f>IF($A93&lt;&gt;"",MINIFS(Merchant!$A:$A,Merchant!$B:$B,$G$2),)</f>
        <v/>
      </c>
      <c r="D93" s="14" t="str">
        <f t="shared" si="3"/>
        <v/>
      </c>
      <c r="E93" s="14" t="str">
        <f t="shared" si="4"/>
        <v/>
      </c>
      <c r="F93" s="6" t="str">
        <f>IF($A93&lt;&gt;"",MAXIFS(#REF!,Token!$A:$A,$D93),)</f>
        <v/>
      </c>
    </row>
    <row r="94">
      <c r="A94" s="35" t="str">
        <f t="shared" si="1"/>
        <v/>
      </c>
      <c r="B94" s="22" t="str">
        <f t="shared" si="2"/>
        <v/>
      </c>
      <c r="C94" s="14" t="str">
        <f>IF($A94&lt;&gt;"",MINIFS(Merchant!$A:$A,Merchant!$B:$B,$G$2),)</f>
        <v/>
      </c>
      <c r="D94" s="14" t="str">
        <f t="shared" si="3"/>
        <v/>
      </c>
      <c r="E94" s="14" t="str">
        <f t="shared" si="4"/>
        <v/>
      </c>
      <c r="F94" s="6" t="str">
        <f>IF($A94&lt;&gt;"",MAXIFS(#REF!,Token!$A:$A,$D94),)</f>
        <v/>
      </c>
    </row>
    <row r="95">
      <c r="A95" s="35" t="str">
        <f t="shared" si="1"/>
        <v/>
      </c>
      <c r="B95" s="22" t="str">
        <f t="shared" si="2"/>
        <v/>
      </c>
      <c r="C95" s="14" t="str">
        <f>IF($A95&lt;&gt;"",MINIFS(Merchant!$A:$A,Merchant!$B:$B,$G$2),)</f>
        <v/>
      </c>
      <c r="D95" s="14" t="str">
        <f t="shared" si="3"/>
        <v/>
      </c>
      <c r="E95" s="14" t="str">
        <f t="shared" si="4"/>
        <v/>
      </c>
      <c r="F95" s="6" t="str">
        <f>IF($A95&lt;&gt;"",MAXIFS(#REF!,Token!$A:$A,$D95),)</f>
        <v/>
      </c>
    </row>
    <row r="96">
      <c r="A96" s="35" t="str">
        <f t="shared" si="1"/>
        <v/>
      </c>
      <c r="B96" s="22" t="str">
        <f t="shared" si="2"/>
        <v/>
      </c>
      <c r="C96" s="14" t="str">
        <f>IF($A96&lt;&gt;"",MINIFS(Merchant!$A:$A,Merchant!$B:$B,$G$2),)</f>
        <v/>
      </c>
      <c r="D96" s="14" t="str">
        <f t="shared" si="3"/>
        <v/>
      </c>
      <c r="E96" s="14" t="str">
        <f t="shared" si="4"/>
        <v/>
      </c>
      <c r="F96" s="6" t="str">
        <f>IF($A96&lt;&gt;"",MAXIFS(#REF!,Token!$A:$A,$D96),)</f>
        <v/>
      </c>
    </row>
    <row r="97">
      <c r="A97" s="35" t="str">
        <f t="shared" si="1"/>
        <v/>
      </c>
      <c r="B97" s="22" t="str">
        <f t="shared" si="2"/>
        <v/>
      </c>
      <c r="C97" s="14" t="str">
        <f>IF($A97&lt;&gt;"",MINIFS(Merchant!$A:$A,Merchant!$B:$B,$G$2),)</f>
        <v/>
      </c>
      <c r="D97" s="14" t="str">
        <f t="shared" si="3"/>
        <v/>
      </c>
      <c r="E97" s="14" t="str">
        <f t="shared" si="4"/>
        <v/>
      </c>
      <c r="F97" s="6" t="str">
        <f>IF($A97&lt;&gt;"",MAXIFS(#REF!,Token!$A:$A,$D97),)</f>
        <v/>
      </c>
    </row>
    <row r="98">
      <c r="A98" s="35" t="str">
        <f t="shared" si="1"/>
        <v/>
      </c>
      <c r="B98" s="22" t="str">
        <f t="shared" si="2"/>
        <v/>
      </c>
      <c r="C98" s="14" t="str">
        <f>IF($A98&lt;&gt;"",MINIFS(Merchant!$A:$A,Merchant!$B:$B,$G$2),)</f>
        <v/>
      </c>
      <c r="D98" s="14" t="str">
        <f t="shared" si="3"/>
        <v/>
      </c>
      <c r="E98" s="14" t="str">
        <f t="shared" si="4"/>
        <v/>
      </c>
      <c r="F98" s="6" t="str">
        <f>IF($A98&lt;&gt;"",MAXIFS(#REF!,Token!$A:$A,$D98),)</f>
        <v/>
      </c>
    </row>
    <row r="99">
      <c r="A99" s="35" t="str">
        <f t="shared" si="1"/>
        <v/>
      </c>
      <c r="B99" s="22" t="str">
        <f t="shared" si="2"/>
        <v/>
      </c>
      <c r="C99" s="14" t="str">
        <f>IF($A99&lt;&gt;"",MINIFS(Merchant!$A:$A,Merchant!$B:$B,$G$2),)</f>
        <v/>
      </c>
      <c r="D99" s="14" t="str">
        <f t="shared" si="3"/>
        <v/>
      </c>
      <c r="E99" s="14" t="str">
        <f t="shared" si="4"/>
        <v/>
      </c>
      <c r="F99" s="6" t="str">
        <f>IF($A99&lt;&gt;"",MAXIFS(#REF!,Token!$A:$A,$D99),)</f>
        <v/>
      </c>
    </row>
    <row r="100">
      <c r="A100" s="35" t="str">
        <f t="shared" si="1"/>
        <v/>
      </c>
      <c r="B100" s="22" t="str">
        <f t="shared" si="2"/>
        <v/>
      </c>
      <c r="C100" s="14" t="str">
        <f>IF($A100&lt;&gt;"",MINIFS(Merchant!$A:$A,Merchant!$B:$B,$G$2),)</f>
        <v/>
      </c>
      <c r="D100" s="14" t="str">
        <f t="shared" si="3"/>
        <v/>
      </c>
      <c r="E100" s="14" t="str">
        <f t="shared" si="4"/>
        <v/>
      </c>
      <c r="F100" s="6" t="str">
        <f>IF($A100&lt;&gt;"",MAXIFS(#REF!,Token!$A:$A,$D100),)</f>
        <v/>
      </c>
    </row>
    <row r="101">
      <c r="A101" s="35" t="str">
        <f t="shared" si="1"/>
        <v/>
      </c>
      <c r="B101" s="22" t="str">
        <f t="shared" si="2"/>
        <v/>
      </c>
      <c r="C101" s="14" t="str">
        <f>IF($A101&lt;&gt;"",MINIFS(Merchant!$A:$A,Merchant!$B:$B,$G$2),)</f>
        <v/>
      </c>
      <c r="D101" s="14" t="str">
        <f t="shared" si="3"/>
        <v/>
      </c>
      <c r="E101" s="14" t="str">
        <f t="shared" si="4"/>
        <v/>
      </c>
      <c r="F101" s="6" t="str">
        <f>IF($A101&lt;&gt;"",MAXIFS(#REF!,Token!$A:$A,$D101),)</f>
        <v/>
      </c>
    </row>
    <row r="102">
      <c r="A102" s="35" t="str">
        <f t="shared" si="1"/>
        <v/>
      </c>
      <c r="B102" s="22" t="str">
        <f t="shared" si="2"/>
        <v/>
      </c>
      <c r="C102" s="14" t="str">
        <f>IF($A102&lt;&gt;"",MINIFS(Merchant!$A:$A,Merchant!$B:$B,$G$2),)</f>
        <v/>
      </c>
      <c r="D102" s="14" t="str">
        <f t="shared" si="3"/>
        <v/>
      </c>
      <c r="E102" s="14" t="str">
        <f t="shared" si="4"/>
        <v/>
      </c>
      <c r="F102" s="6" t="str">
        <f>IF($A102&lt;&gt;"",MAXIFS(#REF!,Token!$A:$A,$D102),)</f>
        <v/>
      </c>
    </row>
    <row r="103">
      <c r="A103" s="35" t="str">
        <f t="shared" si="1"/>
        <v/>
      </c>
      <c r="B103" s="22" t="str">
        <f t="shared" si="2"/>
        <v/>
      </c>
      <c r="C103" s="14" t="str">
        <f>IF($A103&lt;&gt;"",MINIFS(Merchant!$A:$A,Merchant!$B:$B,$G$2),)</f>
        <v/>
      </c>
      <c r="D103" s="14" t="str">
        <f t="shared" si="3"/>
        <v/>
      </c>
      <c r="E103" s="14" t="str">
        <f t="shared" si="4"/>
        <v/>
      </c>
      <c r="F103" s="6" t="str">
        <f>IF($A103&lt;&gt;"",MAXIFS(#REF!,Token!$A:$A,$D103),)</f>
        <v/>
      </c>
    </row>
    <row r="104">
      <c r="A104" s="35" t="str">
        <f t="shared" si="1"/>
        <v/>
      </c>
      <c r="B104" s="22" t="str">
        <f t="shared" si="2"/>
        <v/>
      </c>
      <c r="C104" s="14" t="str">
        <f>IF($A104&lt;&gt;"",MINIFS(Merchant!$A:$A,Merchant!$B:$B,$G$2),)</f>
        <v/>
      </c>
      <c r="D104" s="14" t="str">
        <f t="shared" si="3"/>
        <v/>
      </c>
      <c r="E104" s="14" t="str">
        <f t="shared" si="4"/>
        <v/>
      </c>
      <c r="F104" s="6" t="str">
        <f>IF($A104&lt;&gt;"",MAXIFS(#REF!,Token!$A:$A,$D104),)</f>
        <v/>
      </c>
    </row>
    <row r="105">
      <c r="A105" s="35" t="str">
        <f t="shared" si="1"/>
        <v/>
      </c>
      <c r="B105" s="22" t="str">
        <f t="shared" si="2"/>
        <v/>
      </c>
      <c r="C105" s="14" t="str">
        <f>IF($A105&lt;&gt;"",MINIFS(Merchant!$A:$A,Merchant!$B:$B,$G$2),)</f>
        <v/>
      </c>
      <c r="D105" s="14" t="str">
        <f t="shared" si="3"/>
        <v/>
      </c>
      <c r="E105" s="14" t="str">
        <f t="shared" si="4"/>
        <v/>
      </c>
      <c r="F105" s="6" t="str">
        <f>IF($A105&lt;&gt;"",MAXIFS(#REF!,Token!$A:$A,$D105),)</f>
        <v/>
      </c>
    </row>
    <row r="106">
      <c r="A106" s="35" t="str">
        <f t="shared" si="1"/>
        <v/>
      </c>
      <c r="B106" s="22" t="str">
        <f t="shared" si="2"/>
        <v/>
      </c>
      <c r="C106" s="14" t="str">
        <f>IF($A106&lt;&gt;"",MINIFS(Merchant!$A:$A,Merchant!$B:$B,$G$2),)</f>
        <v/>
      </c>
      <c r="D106" s="14" t="str">
        <f t="shared" si="3"/>
        <v/>
      </c>
      <c r="E106" s="14" t="str">
        <f t="shared" si="4"/>
        <v/>
      </c>
      <c r="F106" s="6" t="str">
        <f>IF($A106&lt;&gt;"",MAXIFS(#REF!,Token!$A:$A,$D106),)</f>
        <v/>
      </c>
    </row>
    <row r="107">
      <c r="A107" s="35" t="str">
        <f t="shared" si="1"/>
        <v/>
      </c>
      <c r="B107" s="22" t="str">
        <f t="shared" si="2"/>
        <v/>
      </c>
      <c r="C107" s="14" t="str">
        <f>IF($A107&lt;&gt;"",MINIFS(Merchant!$A:$A,Merchant!$B:$B,$G$2),)</f>
        <v/>
      </c>
      <c r="D107" s="14" t="str">
        <f t="shared" si="3"/>
        <v/>
      </c>
      <c r="E107" s="14" t="str">
        <f t="shared" si="4"/>
        <v/>
      </c>
      <c r="F107" s="6" t="str">
        <f>IF($A107&lt;&gt;"",MAXIFS(#REF!,Token!$A:$A,$D107),)</f>
        <v/>
      </c>
    </row>
    <row r="108">
      <c r="A108" s="35" t="str">
        <f t="shared" si="1"/>
        <v/>
      </c>
      <c r="B108" s="22" t="str">
        <f t="shared" si="2"/>
        <v/>
      </c>
      <c r="C108" s="14" t="str">
        <f>IF($A108&lt;&gt;"",MINIFS(Merchant!$A:$A,Merchant!$B:$B,$G$2),)</f>
        <v/>
      </c>
      <c r="D108" s="14" t="str">
        <f t="shared" si="3"/>
        <v/>
      </c>
      <c r="E108" s="14" t="str">
        <f t="shared" si="4"/>
        <v/>
      </c>
      <c r="F108" s="6" t="str">
        <f>IF($A108&lt;&gt;"",MAXIFS(#REF!,Token!$A:$A,$D108),)</f>
        <v/>
      </c>
    </row>
    <row r="109">
      <c r="A109" s="35" t="str">
        <f t="shared" si="1"/>
        <v/>
      </c>
      <c r="B109" s="22" t="str">
        <f t="shared" si="2"/>
        <v/>
      </c>
      <c r="C109" s="14" t="str">
        <f>IF($A109&lt;&gt;"",MINIFS(Merchant!$A:$A,Merchant!$B:$B,$G$2),)</f>
        <v/>
      </c>
      <c r="D109" s="14" t="str">
        <f t="shared" si="3"/>
        <v/>
      </c>
      <c r="E109" s="14" t="str">
        <f t="shared" si="4"/>
        <v/>
      </c>
      <c r="F109" s="6" t="str">
        <f>IF($A109&lt;&gt;"",MAXIFS(#REF!,Token!$A:$A,$D109),)</f>
        <v/>
      </c>
    </row>
    <row r="110">
      <c r="A110" s="35" t="str">
        <f t="shared" si="1"/>
        <v/>
      </c>
      <c r="B110" s="22" t="str">
        <f t="shared" si="2"/>
        <v/>
      </c>
      <c r="C110" s="14" t="str">
        <f>IF($A110&lt;&gt;"",MINIFS(Merchant!$A:$A,Merchant!$B:$B,$G$2),)</f>
        <v/>
      </c>
      <c r="D110" s="14" t="str">
        <f t="shared" si="3"/>
        <v/>
      </c>
      <c r="E110" s="14" t="str">
        <f t="shared" si="4"/>
        <v/>
      </c>
      <c r="F110" s="6" t="str">
        <f>IF($A110&lt;&gt;"",MAXIFS(#REF!,Token!$A:$A,$D110),)</f>
        <v/>
      </c>
    </row>
    <row r="111">
      <c r="A111" s="35" t="str">
        <f t="shared" si="1"/>
        <v/>
      </c>
      <c r="B111" s="22" t="str">
        <f t="shared" si="2"/>
        <v/>
      </c>
      <c r="C111" s="14" t="str">
        <f>IF($A111&lt;&gt;"",MINIFS(Merchant!$A:$A,Merchant!$B:$B,$G$2),)</f>
        <v/>
      </c>
      <c r="D111" s="14" t="str">
        <f t="shared" si="3"/>
        <v/>
      </c>
      <c r="E111" s="14" t="str">
        <f t="shared" si="4"/>
        <v/>
      </c>
      <c r="F111" s="6" t="str">
        <f>IF($A111&lt;&gt;"",MAXIFS(#REF!,Token!$A:$A,$D111),)</f>
        <v/>
      </c>
    </row>
    <row r="112">
      <c r="A112" s="35" t="str">
        <f t="shared" si="1"/>
        <v/>
      </c>
      <c r="B112" s="22" t="str">
        <f t="shared" si="2"/>
        <v/>
      </c>
      <c r="C112" s="14" t="str">
        <f>IF($A112&lt;&gt;"",MINIFS(Merchant!$A:$A,Merchant!$B:$B,$G$2),)</f>
        <v/>
      </c>
      <c r="D112" s="14" t="str">
        <f t="shared" si="3"/>
        <v/>
      </c>
      <c r="E112" s="14" t="str">
        <f t="shared" si="4"/>
        <v/>
      </c>
      <c r="F112" s="6" t="str">
        <f>IF($A112&lt;&gt;"",MAXIFS(#REF!,Token!$A:$A,$D112),)</f>
        <v/>
      </c>
    </row>
    <row r="113">
      <c r="A113" s="35" t="str">
        <f t="shared" si="1"/>
        <v/>
      </c>
      <c r="B113" s="22" t="str">
        <f t="shared" si="2"/>
        <v/>
      </c>
      <c r="C113" s="14" t="str">
        <f>IF($A113&lt;&gt;"",MINIFS(Merchant!$A:$A,Merchant!$B:$B,$G$2),)</f>
        <v/>
      </c>
      <c r="D113" s="14" t="str">
        <f t="shared" si="3"/>
        <v/>
      </c>
      <c r="E113" s="14" t="str">
        <f t="shared" si="4"/>
        <v/>
      </c>
      <c r="F113" s="6" t="str">
        <f>IF($A113&lt;&gt;"",MAXIFS(#REF!,Token!$A:$A,$D113),)</f>
        <v/>
      </c>
    </row>
    <row r="114">
      <c r="A114" s="35" t="str">
        <f t="shared" si="1"/>
        <v/>
      </c>
      <c r="B114" s="22" t="str">
        <f t="shared" si="2"/>
        <v/>
      </c>
      <c r="C114" s="14" t="str">
        <f>IF($A114&lt;&gt;"",MINIFS(Merchant!$A:$A,Merchant!$B:$B,$G$2),)</f>
        <v/>
      </c>
      <c r="D114" s="14" t="str">
        <f t="shared" si="3"/>
        <v/>
      </c>
      <c r="E114" s="14" t="str">
        <f t="shared" si="4"/>
        <v/>
      </c>
      <c r="F114" s="6" t="str">
        <f>IF($A114&lt;&gt;"",MAXIFS(#REF!,Token!$A:$A,$D114),)</f>
        <v/>
      </c>
    </row>
    <row r="115">
      <c r="A115" s="35" t="str">
        <f t="shared" si="1"/>
        <v/>
      </c>
      <c r="B115" s="22" t="str">
        <f t="shared" si="2"/>
        <v/>
      </c>
      <c r="C115" s="14" t="str">
        <f>IF($A115&lt;&gt;"",MINIFS(Merchant!$A:$A,Merchant!$B:$B,$G$2),)</f>
        <v/>
      </c>
      <c r="D115" s="14" t="str">
        <f t="shared" si="3"/>
        <v/>
      </c>
      <c r="E115" s="14" t="str">
        <f t="shared" si="4"/>
        <v/>
      </c>
      <c r="F115" s="6" t="str">
        <f>IF($A115&lt;&gt;"",MAXIFS(#REF!,Token!$A:$A,$D115),)</f>
        <v/>
      </c>
    </row>
    <row r="116">
      <c r="A116" s="35" t="str">
        <f t="shared" si="1"/>
        <v/>
      </c>
      <c r="B116" s="22" t="str">
        <f t="shared" si="2"/>
        <v/>
      </c>
      <c r="C116" s="14" t="str">
        <f>IF($A116&lt;&gt;"",MINIFS(Merchant!$A:$A,Merchant!$B:$B,$G$2),)</f>
        <v/>
      </c>
      <c r="D116" s="14" t="str">
        <f t="shared" si="3"/>
        <v/>
      </c>
      <c r="E116" s="14" t="str">
        <f t="shared" si="4"/>
        <v/>
      </c>
      <c r="F116" s="6" t="str">
        <f>IF($A116&lt;&gt;"",MAXIFS(#REF!,Token!$A:$A,$D116),)</f>
        <v/>
      </c>
    </row>
    <row r="117">
      <c r="A117" s="35" t="str">
        <f t="shared" si="1"/>
        <v/>
      </c>
      <c r="B117" s="22" t="str">
        <f t="shared" si="2"/>
        <v/>
      </c>
      <c r="C117" s="14" t="str">
        <f>IF($A117&lt;&gt;"",MINIFS(Merchant!$A:$A,Merchant!$B:$B,$G$2),)</f>
        <v/>
      </c>
      <c r="D117" s="14" t="str">
        <f t="shared" si="3"/>
        <v/>
      </c>
      <c r="E117" s="14" t="str">
        <f t="shared" si="4"/>
        <v/>
      </c>
      <c r="F117" s="6" t="str">
        <f>IF($A117&lt;&gt;"",MAXIFS(#REF!,Token!$A:$A,$D117),)</f>
        <v/>
      </c>
    </row>
    <row r="118">
      <c r="A118" s="35" t="str">
        <f t="shared" si="1"/>
        <v/>
      </c>
      <c r="B118" s="22" t="str">
        <f t="shared" si="2"/>
        <v/>
      </c>
      <c r="C118" s="14" t="str">
        <f>IF($A118&lt;&gt;"",MINIFS(Merchant!$A:$A,Merchant!$B:$B,$G$2),)</f>
        <v/>
      </c>
      <c r="D118" s="14" t="str">
        <f t="shared" si="3"/>
        <v/>
      </c>
      <c r="E118" s="14" t="str">
        <f t="shared" si="4"/>
        <v/>
      </c>
      <c r="F118" s="6" t="str">
        <f>IF($A118&lt;&gt;"",MAXIFS(#REF!,Token!$A:$A,$D118),)</f>
        <v/>
      </c>
    </row>
    <row r="119">
      <c r="A119" s="35" t="str">
        <f t="shared" si="1"/>
        <v/>
      </c>
      <c r="B119" s="22" t="str">
        <f t="shared" si="2"/>
        <v/>
      </c>
      <c r="C119" s="14" t="str">
        <f>IF($A119&lt;&gt;"",MINIFS(Merchant!$A:$A,Merchant!$B:$B,$G$2),)</f>
        <v/>
      </c>
      <c r="D119" s="14" t="str">
        <f t="shared" si="3"/>
        <v/>
      </c>
      <c r="E119" s="14" t="str">
        <f t="shared" si="4"/>
        <v/>
      </c>
      <c r="F119" s="6" t="str">
        <f>IF($A119&lt;&gt;"",MAXIFS(#REF!,Token!$A:$A,$D119),)</f>
        <v/>
      </c>
    </row>
    <row r="120">
      <c r="A120" s="35" t="str">
        <f t="shared" si="1"/>
        <v/>
      </c>
      <c r="B120" s="22" t="str">
        <f t="shared" si="2"/>
        <v/>
      </c>
      <c r="C120" s="14" t="str">
        <f>IF($A120&lt;&gt;"",MINIFS(Merchant!$A:$A,Merchant!$B:$B,$G$2),)</f>
        <v/>
      </c>
      <c r="D120" s="14" t="str">
        <f t="shared" si="3"/>
        <v/>
      </c>
      <c r="E120" s="14" t="str">
        <f t="shared" si="4"/>
        <v/>
      </c>
      <c r="F120" s="6" t="str">
        <f>IF($A120&lt;&gt;"",MAXIFS(#REF!,Token!$A:$A,$D120),)</f>
        <v/>
      </c>
    </row>
    <row r="121">
      <c r="A121" s="35" t="str">
        <f t="shared" si="1"/>
        <v/>
      </c>
      <c r="B121" s="22" t="str">
        <f t="shared" si="2"/>
        <v/>
      </c>
      <c r="C121" s="14" t="str">
        <f>IF($A121&lt;&gt;"",MINIFS(Merchant!$A:$A,Merchant!$B:$B,$G$2),)</f>
        <v/>
      </c>
      <c r="D121" s="14" t="str">
        <f t="shared" si="3"/>
        <v/>
      </c>
      <c r="E121" s="14" t="str">
        <f t="shared" si="4"/>
        <v/>
      </c>
      <c r="F121" s="6" t="str">
        <f>IF($A121&lt;&gt;"",MAXIFS(#REF!,Token!$A:$A,$D121),)</f>
        <v/>
      </c>
    </row>
    <row r="122">
      <c r="A122" s="35" t="str">
        <f t="shared" si="1"/>
        <v/>
      </c>
      <c r="B122" s="22" t="str">
        <f t="shared" si="2"/>
        <v/>
      </c>
      <c r="C122" s="14" t="str">
        <f>IF($A122&lt;&gt;"",MINIFS(Merchant!$A:$A,Merchant!$B:$B,$G$2),)</f>
        <v/>
      </c>
      <c r="D122" s="14" t="str">
        <f t="shared" si="3"/>
        <v/>
      </c>
      <c r="E122" s="14" t="str">
        <f t="shared" si="4"/>
        <v/>
      </c>
      <c r="F122" s="6" t="str">
        <f>IF($A122&lt;&gt;"",MAXIFS(#REF!,Token!$A:$A,$D122),)</f>
        <v/>
      </c>
    </row>
    <row r="123">
      <c r="A123" s="35" t="str">
        <f t="shared" si="1"/>
        <v/>
      </c>
      <c r="B123" s="22" t="str">
        <f t="shared" si="2"/>
        <v/>
      </c>
      <c r="C123" s="14" t="str">
        <f>IF($A123&lt;&gt;"",MINIFS(Merchant!$A:$A,Merchant!$B:$B,$G$2),)</f>
        <v/>
      </c>
      <c r="D123" s="14" t="str">
        <f t="shared" si="3"/>
        <v/>
      </c>
      <c r="E123" s="14" t="str">
        <f t="shared" si="4"/>
        <v/>
      </c>
      <c r="F123" s="6" t="str">
        <f>IF($A123&lt;&gt;"",MAXIFS(#REF!,Token!$A:$A,$D123),)</f>
        <v/>
      </c>
    </row>
    <row r="124">
      <c r="A124" s="35" t="str">
        <f t="shared" si="1"/>
        <v/>
      </c>
      <c r="B124" s="22" t="str">
        <f t="shared" si="2"/>
        <v/>
      </c>
      <c r="C124" s="14" t="str">
        <f>IF($A124&lt;&gt;"",MINIFS(Merchant!$A:$A,Merchant!$B:$B,$G$2),)</f>
        <v/>
      </c>
      <c r="D124" s="14" t="str">
        <f t="shared" si="3"/>
        <v/>
      </c>
      <c r="E124" s="14" t="str">
        <f t="shared" si="4"/>
        <v/>
      </c>
      <c r="F124" s="6" t="str">
        <f>IF($A124&lt;&gt;"",MAXIFS(#REF!,Token!$A:$A,$D124),)</f>
        <v/>
      </c>
    </row>
    <row r="125">
      <c r="A125" s="35" t="str">
        <f t="shared" si="1"/>
        <v/>
      </c>
      <c r="B125" s="22" t="str">
        <f t="shared" si="2"/>
        <v/>
      </c>
      <c r="C125" s="14" t="str">
        <f>IF($A125&lt;&gt;"",MINIFS(Merchant!$A:$A,Merchant!$B:$B,$G$2),)</f>
        <v/>
      </c>
      <c r="D125" s="14" t="str">
        <f t="shared" si="3"/>
        <v/>
      </c>
      <c r="E125" s="14" t="str">
        <f t="shared" si="4"/>
        <v/>
      </c>
      <c r="F125" s="6" t="str">
        <f>IF($A125&lt;&gt;"",MAXIFS(#REF!,Token!$A:$A,$D125),)</f>
        <v/>
      </c>
    </row>
    <row r="126">
      <c r="A126" s="35" t="str">
        <f t="shared" si="1"/>
        <v/>
      </c>
      <c r="B126" s="22" t="str">
        <f t="shared" si="2"/>
        <v/>
      </c>
      <c r="C126" s="14" t="str">
        <f>IF($A126&lt;&gt;"",MINIFS(Merchant!$A:$A,Merchant!$B:$B,$G$2),)</f>
        <v/>
      </c>
      <c r="D126" s="14" t="str">
        <f t="shared" si="3"/>
        <v/>
      </c>
      <c r="E126" s="14" t="str">
        <f t="shared" si="4"/>
        <v/>
      </c>
      <c r="F126" s="6" t="str">
        <f>IF($A126&lt;&gt;"",MAXIFS(#REF!,Token!$A:$A,$D126),)</f>
        <v/>
      </c>
    </row>
    <row r="127">
      <c r="A127" s="35" t="str">
        <f t="shared" si="1"/>
        <v/>
      </c>
      <c r="B127" s="22" t="str">
        <f t="shared" si="2"/>
        <v/>
      </c>
      <c r="C127" s="14" t="str">
        <f>IF($A127&lt;&gt;"",MINIFS(Merchant!$A:$A,Merchant!$B:$B,$G$2),)</f>
        <v/>
      </c>
      <c r="D127" s="14" t="str">
        <f t="shared" si="3"/>
        <v/>
      </c>
      <c r="E127" s="14" t="str">
        <f t="shared" si="4"/>
        <v/>
      </c>
      <c r="F127" s="6" t="str">
        <f>IF($A127&lt;&gt;"",MAXIFS(#REF!,Token!$A:$A,$D127),)</f>
        <v/>
      </c>
    </row>
    <row r="128">
      <c r="A128" s="35" t="str">
        <f t="shared" si="1"/>
        <v/>
      </c>
      <c r="B128" s="22" t="str">
        <f t="shared" si="2"/>
        <v/>
      </c>
      <c r="C128" s="14" t="str">
        <f>IF($A128&lt;&gt;"",MINIFS(Merchant!$A:$A,Merchant!$B:$B,$G$2),)</f>
        <v/>
      </c>
      <c r="D128" s="14" t="str">
        <f t="shared" si="3"/>
        <v/>
      </c>
      <c r="E128" s="14" t="str">
        <f t="shared" si="4"/>
        <v/>
      </c>
      <c r="F128" s="6" t="str">
        <f>IF($A128&lt;&gt;"",MAXIFS(#REF!,Token!$A:$A,$D128),)</f>
        <v/>
      </c>
    </row>
    <row r="129">
      <c r="A129" s="35" t="str">
        <f t="shared" si="1"/>
        <v/>
      </c>
      <c r="B129" s="22" t="str">
        <f t="shared" si="2"/>
        <v/>
      </c>
      <c r="C129" s="14" t="str">
        <f>IF($A129&lt;&gt;"",MINIFS(Merchant!$A:$A,Merchant!$B:$B,$G$2),)</f>
        <v/>
      </c>
      <c r="D129" s="14" t="str">
        <f t="shared" si="3"/>
        <v/>
      </c>
      <c r="E129" s="14" t="str">
        <f t="shared" si="4"/>
        <v/>
      </c>
      <c r="F129" s="6" t="str">
        <f>IF($A129&lt;&gt;"",MAXIFS(#REF!,Token!$A:$A,$D129),)</f>
        <v/>
      </c>
    </row>
    <row r="130">
      <c r="A130" s="35" t="str">
        <f t="shared" si="1"/>
        <v/>
      </c>
      <c r="B130" s="22" t="str">
        <f t="shared" si="2"/>
        <v/>
      </c>
      <c r="C130" s="14" t="str">
        <f>IF($A130&lt;&gt;"",MINIFS(Merchant!$A:$A,Merchant!$B:$B,$G$2),)</f>
        <v/>
      </c>
      <c r="D130" s="14" t="str">
        <f t="shared" si="3"/>
        <v/>
      </c>
      <c r="E130" s="14" t="str">
        <f t="shared" si="4"/>
        <v/>
      </c>
      <c r="F130" s="6" t="str">
        <f>IF($A130&lt;&gt;"",MAXIFS(#REF!,Token!$A:$A,$D130),)</f>
        <v/>
      </c>
    </row>
    <row r="131">
      <c r="A131" s="35" t="str">
        <f t="shared" si="1"/>
        <v/>
      </c>
      <c r="B131" s="22" t="str">
        <f t="shared" si="2"/>
        <v/>
      </c>
      <c r="C131" s="14" t="str">
        <f>IF($A131&lt;&gt;"",MINIFS(Merchant!$A:$A,Merchant!$B:$B,$G$2),)</f>
        <v/>
      </c>
      <c r="D131" s="14" t="str">
        <f t="shared" si="3"/>
        <v/>
      </c>
      <c r="E131" s="14" t="str">
        <f t="shared" si="4"/>
        <v/>
      </c>
      <c r="F131" s="6" t="str">
        <f>IF($A131&lt;&gt;"",MAXIFS(#REF!,Token!$A:$A,$D131),)</f>
        <v/>
      </c>
    </row>
    <row r="132">
      <c r="A132" s="35" t="str">
        <f t="shared" si="1"/>
        <v/>
      </c>
      <c r="B132" s="22" t="str">
        <f t="shared" si="2"/>
        <v/>
      </c>
      <c r="C132" s="14" t="str">
        <f>IF($A132&lt;&gt;"",MINIFS(Merchant!$A:$A,Merchant!$B:$B,$G$2),)</f>
        <v/>
      </c>
      <c r="D132" s="14" t="str">
        <f t="shared" si="3"/>
        <v/>
      </c>
      <c r="E132" s="14" t="str">
        <f t="shared" si="4"/>
        <v/>
      </c>
      <c r="F132" s="6" t="str">
        <f>IF($A132&lt;&gt;"",MAXIFS(#REF!,Token!$A:$A,$D132),)</f>
        <v/>
      </c>
    </row>
    <row r="133">
      <c r="A133" s="35" t="str">
        <f t="shared" si="1"/>
        <v/>
      </c>
      <c r="B133" s="22" t="str">
        <f t="shared" si="2"/>
        <v/>
      </c>
      <c r="C133" s="14" t="str">
        <f>IF($A133&lt;&gt;"",MINIFS(Merchant!$A:$A,Merchant!$B:$B,$G$2),)</f>
        <v/>
      </c>
      <c r="D133" s="14" t="str">
        <f t="shared" si="3"/>
        <v/>
      </c>
      <c r="E133" s="14" t="str">
        <f t="shared" si="4"/>
        <v/>
      </c>
      <c r="F133" s="6" t="str">
        <f>IF($A133&lt;&gt;"",MAXIFS(#REF!,Token!$A:$A,$D133),)</f>
        <v/>
      </c>
    </row>
    <row r="134">
      <c r="A134" s="35" t="str">
        <f t="shared" si="1"/>
        <v/>
      </c>
      <c r="B134" s="22" t="str">
        <f t="shared" si="2"/>
        <v/>
      </c>
      <c r="C134" s="14" t="str">
        <f>IF($A134&lt;&gt;"",MINIFS(Merchant!$A:$A,Merchant!$B:$B,$G$2),)</f>
        <v/>
      </c>
      <c r="D134" s="14" t="str">
        <f t="shared" si="3"/>
        <v/>
      </c>
      <c r="E134" s="14" t="str">
        <f t="shared" si="4"/>
        <v/>
      </c>
      <c r="F134" s="6" t="str">
        <f>IF($A134&lt;&gt;"",MAXIFS(#REF!,Token!$A:$A,$D134),)</f>
        <v/>
      </c>
    </row>
    <row r="135">
      <c r="A135" s="35" t="str">
        <f t="shared" si="1"/>
        <v/>
      </c>
      <c r="B135" s="22" t="str">
        <f t="shared" si="2"/>
        <v/>
      </c>
      <c r="C135" s="14" t="str">
        <f>IF($A135&lt;&gt;"",MINIFS(Merchant!$A:$A,Merchant!$B:$B,$G$2),)</f>
        <v/>
      </c>
      <c r="D135" s="14" t="str">
        <f t="shared" si="3"/>
        <v/>
      </c>
      <c r="E135" s="14" t="str">
        <f t="shared" si="4"/>
        <v/>
      </c>
      <c r="F135" s="6" t="str">
        <f>IF($A135&lt;&gt;"",MAXIFS(#REF!,Token!$A:$A,$D135),)</f>
        <v/>
      </c>
    </row>
    <row r="136">
      <c r="A136" s="35" t="str">
        <f t="shared" si="1"/>
        <v/>
      </c>
      <c r="B136" s="22" t="str">
        <f t="shared" si="2"/>
        <v/>
      </c>
      <c r="C136" s="14" t="str">
        <f>IF($A136&lt;&gt;"",MINIFS(Merchant!$A:$A,Merchant!$B:$B,$G$2),)</f>
        <v/>
      </c>
      <c r="D136" s="14" t="str">
        <f t="shared" si="3"/>
        <v/>
      </c>
      <c r="E136" s="14" t="str">
        <f t="shared" si="4"/>
        <v/>
      </c>
      <c r="F136" s="6" t="str">
        <f>IF($A136&lt;&gt;"",MAXIFS(#REF!,Token!$A:$A,$D136),)</f>
        <v/>
      </c>
    </row>
    <row r="137">
      <c r="A137" s="35" t="str">
        <f t="shared" si="1"/>
        <v/>
      </c>
      <c r="B137" s="22" t="str">
        <f t="shared" si="2"/>
        <v/>
      </c>
      <c r="C137" s="14" t="str">
        <f>IF($A137&lt;&gt;"",MINIFS(Merchant!$A:$A,Merchant!$B:$B,$G$2),)</f>
        <v/>
      </c>
      <c r="D137" s="14" t="str">
        <f t="shared" si="3"/>
        <v/>
      </c>
      <c r="E137" s="14" t="str">
        <f t="shared" si="4"/>
        <v/>
      </c>
      <c r="F137" s="6" t="str">
        <f>IF($A137&lt;&gt;"",MAXIFS(#REF!,Token!$A:$A,$D137),)</f>
        <v/>
      </c>
    </row>
    <row r="138">
      <c r="A138" s="35" t="str">
        <f t="shared" si="1"/>
        <v/>
      </c>
      <c r="B138" s="22" t="str">
        <f t="shared" si="2"/>
        <v/>
      </c>
      <c r="C138" s="14" t="str">
        <f>IF($A138&lt;&gt;"",MINIFS(Merchant!$A:$A,Merchant!$B:$B,$G$2),)</f>
        <v/>
      </c>
      <c r="D138" s="14" t="str">
        <f t="shared" si="3"/>
        <v/>
      </c>
      <c r="E138" s="14" t="str">
        <f t="shared" si="4"/>
        <v/>
      </c>
      <c r="F138" s="6" t="str">
        <f>IF($A138&lt;&gt;"",MAXIFS(#REF!,Token!$A:$A,$D138),)</f>
        <v/>
      </c>
    </row>
    <row r="139">
      <c r="A139" s="35" t="str">
        <f t="shared" si="1"/>
        <v/>
      </c>
      <c r="B139" s="22" t="str">
        <f t="shared" si="2"/>
        <v/>
      </c>
      <c r="C139" s="14" t="str">
        <f>IF($A139&lt;&gt;"",MINIFS(Merchant!$A:$A,Merchant!$B:$B,$G$2),)</f>
        <v/>
      </c>
      <c r="D139" s="14" t="str">
        <f t="shared" si="3"/>
        <v/>
      </c>
      <c r="E139" s="14" t="str">
        <f t="shared" si="4"/>
        <v/>
      </c>
      <c r="F139" s="6" t="str">
        <f>IF($A139&lt;&gt;"",MAXIFS(#REF!,Token!$A:$A,$D139),)</f>
        <v/>
      </c>
    </row>
    <row r="140">
      <c r="A140" s="35" t="str">
        <f t="shared" si="1"/>
        <v/>
      </c>
      <c r="B140" s="22" t="str">
        <f t="shared" si="2"/>
        <v/>
      </c>
      <c r="C140" s="14" t="str">
        <f>IF($A140&lt;&gt;"",MINIFS(Merchant!$A:$A,Merchant!$B:$B,$G$2),)</f>
        <v/>
      </c>
      <c r="D140" s="14" t="str">
        <f t="shared" si="3"/>
        <v/>
      </c>
      <c r="E140" s="14" t="str">
        <f t="shared" si="4"/>
        <v/>
      </c>
      <c r="F140" s="6" t="str">
        <f>IF($A140&lt;&gt;"",MAXIFS(#REF!,Token!$A:$A,$D140),)</f>
        <v/>
      </c>
    </row>
    <row r="141">
      <c r="A141" s="35" t="str">
        <f t="shared" si="1"/>
        <v/>
      </c>
      <c r="B141" s="22" t="str">
        <f t="shared" si="2"/>
        <v/>
      </c>
      <c r="C141" s="14" t="str">
        <f>IF($A141&lt;&gt;"",MINIFS(Merchant!$A:$A,Merchant!$B:$B,$G$2),)</f>
        <v/>
      </c>
      <c r="D141" s="14" t="str">
        <f t="shared" si="3"/>
        <v/>
      </c>
      <c r="E141" s="14" t="str">
        <f t="shared" si="4"/>
        <v/>
      </c>
      <c r="F141" s="6" t="str">
        <f>IF($A141&lt;&gt;"",MAXIFS(#REF!,Token!$A:$A,$D141),)</f>
        <v/>
      </c>
    </row>
    <row r="142">
      <c r="A142" s="35" t="str">
        <f t="shared" si="1"/>
        <v/>
      </c>
      <c r="B142" s="22" t="str">
        <f t="shared" si="2"/>
        <v/>
      </c>
      <c r="C142" s="14" t="str">
        <f>IF($A142&lt;&gt;"",MINIFS(Merchant!$A:$A,Merchant!$B:$B,$G$2),)</f>
        <v/>
      </c>
      <c r="D142" s="14" t="str">
        <f t="shared" si="3"/>
        <v/>
      </c>
      <c r="E142" s="14" t="str">
        <f t="shared" si="4"/>
        <v/>
      </c>
      <c r="F142" s="6" t="str">
        <f>IF($A142&lt;&gt;"",MAXIFS(#REF!,Token!$A:$A,$D142),)</f>
        <v/>
      </c>
    </row>
    <row r="143">
      <c r="A143" s="35" t="str">
        <f t="shared" si="1"/>
        <v/>
      </c>
      <c r="B143" s="22" t="str">
        <f t="shared" si="2"/>
        <v/>
      </c>
      <c r="C143" s="14" t="str">
        <f>IF($A143&lt;&gt;"",MINIFS(Merchant!$A:$A,Merchant!$B:$B,$G$2),)</f>
        <v/>
      </c>
      <c r="D143" s="14" t="str">
        <f t="shared" si="3"/>
        <v/>
      </c>
      <c r="E143" s="14" t="str">
        <f t="shared" si="4"/>
        <v/>
      </c>
      <c r="F143" s="6" t="str">
        <f>IF($A143&lt;&gt;"",MAXIFS(#REF!,Token!$A:$A,$D143),)</f>
        <v/>
      </c>
    </row>
    <row r="144">
      <c r="A144" s="35" t="str">
        <f t="shared" si="1"/>
        <v/>
      </c>
      <c r="B144" s="22" t="str">
        <f t="shared" si="2"/>
        <v/>
      </c>
      <c r="C144" s="14" t="str">
        <f>IF($A144&lt;&gt;"",MINIFS(Merchant!$A:$A,Merchant!$B:$B,$G$2),)</f>
        <v/>
      </c>
      <c r="D144" s="14" t="str">
        <f t="shared" si="3"/>
        <v/>
      </c>
      <c r="E144" s="14" t="str">
        <f t="shared" si="4"/>
        <v/>
      </c>
      <c r="F144" s="6" t="str">
        <f>IF($A144&lt;&gt;"",MAXIFS(#REF!,Token!$A:$A,$D144),)</f>
        <v/>
      </c>
    </row>
    <row r="145">
      <c r="A145" s="35" t="str">
        <f t="shared" si="1"/>
        <v/>
      </c>
      <c r="B145" s="22" t="str">
        <f t="shared" si="2"/>
        <v/>
      </c>
      <c r="C145" s="14" t="str">
        <f>IF($A145&lt;&gt;"",MINIFS(Merchant!$A:$A,Merchant!$B:$B,$G$2),)</f>
        <v/>
      </c>
      <c r="D145" s="14" t="str">
        <f t="shared" si="3"/>
        <v/>
      </c>
      <c r="E145" s="14" t="str">
        <f t="shared" si="4"/>
        <v/>
      </c>
      <c r="F145" s="6" t="str">
        <f>IF($A145&lt;&gt;"",MAXIFS(#REF!,Token!$A:$A,$D145),)</f>
        <v/>
      </c>
    </row>
    <row r="146">
      <c r="A146" s="35" t="str">
        <f t="shared" si="1"/>
        <v/>
      </c>
      <c r="B146" s="22" t="str">
        <f t="shared" si="2"/>
        <v/>
      </c>
      <c r="C146" s="14" t="str">
        <f>IF($A146&lt;&gt;"",MINIFS(Merchant!$A:$A,Merchant!$B:$B,$G$2),)</f>
        <v/>
      </c>
      <c r="D146" s="14" t="str">
        <f t="shared" si="3"/>
        <v/>
      </c>
      <c r="E146" s="14" t="str">
        <f t="shared" si="4"/>
        <v/>
      </c>
      <c r="F146" s="6" t="str">
        <f>IF($A146&lt;&gt;"",MAXIFS(#REF!,Token!$A:$A,$D146),)</f>
        <v/>
      </c>
    </row>
    <row r="147">
      <c r="A147" s="35" t="str">
        <f t="shared" si="1"/>
        <v/>
      </c>
      <c r="B147" s="22" t="str">
        <f t="shared" si="2"/>
        <v/>
      </c>
      <c r="C147" s="14" t="str">
        <f>IF($A147&lt;&gt;"",MINIFS(Merchant!$A:$A,Merchant!$B:$B,$G$2),)</f>
        <v/>
      </c>
      <c r="D147" s="14" t="str">
        <f t="shared" si="3"/>
        <v/>
      </c>
      <c r="E147" s="14" t="str">
        <f t="shared" si="4"/>
        <v/>
      </c>
      <c r="F147" s="6" t="str">
        <f>IF($A147&lt;&gt;"",MAXIFS(#REF!,Token!$A:$A,$D147),)</f>
        <v/>
      </c>
    </row>
    <row r="148">
      <c r="A148" s="35" t="str">
        <f t="shared" si="1"/>
        <v/>
      </c>
      <c r="B148" s="22" t="str">
        <f t="shared" si="2"/>
        <v/>
      </c>
      <c r="C148" s="14" t="str">
        <f>IF($A148&lt;&gt;"",MINIFS(Merchant!$A:$A,Merchant!$B:$B,$G$2),)</f>
        <v/>
      </c>
      <c r="D148" s="14" t="str">
        <f t="shared" si="3"/>
        <v/>
      </c>
      <c r="E148" s="14" t="str">
        <f t="shared" si="4"/>
        <v/>
      </c>
      <c r="F148" s="6" t="str">
        <f>IF($A148&lt;&gt;"",MAXIFS(#REF!,Token!$A:$A,$D148),)</f>
        <v/>
      </c>
    </row>
    <row r="149">
      <c r="A149" s="35" t="str">
        <f t="shared" si="1"/>
        <v/>
      </c>
      <c r="B149" s="22" t="str">
        <f t="shared" si="2"/>
        <v/>
      </c>
      <c r="C149" s="14" t="str">
        <f>IF($A149&lt;&gt;"",MINIFS(Merchant!$A:$A,Merchant!$B:$B,$G$2),)</f>
        <v/>
      </c>
      <c r="D149" s="14" t="str">
        <f t="shared" si="3"/>
        <v/>
      </c>
      <c r="E149" s="14" t="str">
        <f t="shared" si="4"/>
        <v/>
      </c>
      <c r="F149" s="6" t="str">
        <f>IF($A149&lt;&gt;"",MAXIFS(#REF!,Token!$A:$A,$D149),)</f>
        <v/>
      </c>
    </row>
    <row r="150">
      <c r="A150" s="35" t="str">
        <f t="shared" si="1"/>
        <v/>
      </c>
      <c r="B150" s="22" t="str">
        <f t="shared" si="2"/>
        <v/>
      </c>
      <c r="C150" s="14" t="str">
        <f>IF($A150&lt;&gt;"",MINIFS(Merchant!$A:$A,Merchant!$B:$B,$G$2),)</f>
        <v/>
      </c>
      <c r="D150" s="14" t="str">
        <f t="shared" si="3"/>
        <v/>
      </c>
      <c r="E150" s="14" t="str">
        <f t="shared" si="4"/>
        <v/>
      </c>
      <c r="F150" s="6" t="str">
        <f>IF($A150&lt;&gt;"",MAXIFS(#REF!,Token!$A:$A,$D150),)</f>
        <v/>
      </c>
    </row>
    <row r="151">
      <c r="A151" s="35" t="str">
        <f t="shared" si="1"/>
        <v/>
      </c>
      <c r="B151" s="22" t="str">
        <f t="shared" si="2"/>
        <v/>
      </c>
      <c r="C151" s="14" t="str">
        <f>IF($A151&lt;&gt;"",MINIFS(Merchant!$A:$A,Merchant!$B:$B,$G$2),)</f>
        <v/>
      </c>
      <c r="D151" s="14" t="str">
        <f t="shared" si="3"/>
        <v/>
      </c>
      <c r="E151" s="14" t="str">
        <f t="shared" si="4"/>
        <v/>
      </c>
      <c r="F151" s="6" t="str">
        <f>IF($A151&lt;&gt;"",MAXIFS(#REF!,Token!$A:$A,$D151),)</f>
        <v/>
      </c>
    </row>
    <row r="152">
      <c r="A152" s="35" t="str">
        <f t="shared" si="1"/>
        <v/>
      </c>
      <c r="B152" s="22" t="str">
        <f t="shared" si="2"/>
        <v/>
      </c>
      <c r="C152" s="14" t="str">
        <f>IF($A152&lt;&gt;"",MINIFS(Merchant!$A:$A,Merchant!$B:$B,$G$2),)</f>
        <v/>
      </c>
      <c r="D152" s="14" t="str">
        <f t="shared" si="3"/>
        <v/>
      </c>
      <c r="E152" s="14" t="str">
        <f t="shared" si="4"/>
        <v/>
      </c>
      <c r="F152" s="6" t="str">
        <f>IF($A152&lt;&gt;"",MAXIFS(#REF!,Token!$A:$A,$D152),)</f>
        <v/>
      </c>
    </row>
    <row r="153">
      <c r="A153" s="35" t="str">
        <f t="shared" si="1"/>
        <v/>
      </c>
      <c r="B153" s="22" t="str">
        <f t="shared" si="2"/>
        <v/>
      </c>
      <c r="C153" s="14" t="str">
        <f>IF($A153&lt;&gt;"",MINIFS(Merchant!$A:$A,Merchant!$B:$B,$G$2),)</f>
        <v/>
      </c>
      <c r="D153" s="14" t="str">
        <f t="shared" si="3"/>
        <v/>
      </c>
      <c r="E153" s="14" t="str">
        <f t="shared" si="4"/>
        <v/>
      </c>
      <c r="F153" s="6" t="str">
        <f>IF($A153&lt;&gt;"",MAXIFS(#REF!,Token!$A:$A,$D153),)</f>
        <v/>
      </c>
    </row>
    <row r="154">
      <c r="A154" s="35" t="str">
        <f t="shared" si="1"/>
        <v/>
      </c>
      <c r="B154" s="22" t="str">
        <f t="shared" si="2"/>
        <v/>
      </c>
      <c r="C154" s="14" t="str">
        <f>IF($A154&lt;&gt;"",MINIFS(Merchant!$A:$A,Merchant!$B:$B,$G$2),)</f>
        <v/>
      </c>
      <c r="D154" s="14" t="str">
        <f t="shared" si="3"/>
        <v/>
      </c>
      <c r="E154" s="14" t="str">
        <f t="shared" si="4"/>
        <v/>
      </c>
      <c r="F154" s="6" t="str">
        <f>IF($A154&lt;&gt;"",MAXIFS(#REF!,Token!$A:$A,$D154),)</f>
        <v/>
      </c>
    </row>
    <row r="155">
      <c r="A155" s="35" t="str">
        <f t="shared" si="1"/>
        <v/>
      </c>
      <c r="B155" s="22" t="str">
        <f t="shared" si="2"/>
        <v/>
      </c>
      <c r="C155" s="14" t="str">
        <f>IF($A155&lt;&gt;"",MINIFS(Merchant!$A:$A,Merchant!$B:$B,$G$2),)</f>
        <v/>
      </c>
      <c r="D155" s="14" t="str">
        <f t="shared" si="3"/>
        <v/>
      </c>
      <c r="E155" s="14" t="str">
        <f t="shared" si="4"/>
        <v/>
      </c>
      <c r="F155" s="6" t="str">
        <f>IF($A155&lt;&gt;"",MAXIFS(#REF!,Token!$A:$A,$D155),)</f>
        <v/>
      </c>
    </row>
    <row r="156">
      <c r="A156" s="35" t="str">
        <f t="shared" si="1"/>
        <v/>
      </c>
      <c r="B156" s="22" t="str">
        <f t="shared" si="2"/>
        <v/>
      </c>
      <c r="C156" s="14" t="str">
        <f>IF($A156&lt;&gt;"",MINIFS(Merchant!$A:$A,Merchant!$B:$B,$G$2),)</f>
        <v/>
      </c>
      <c r="D156" s="14" t="str">
        <f t="shared" si="3"/>
        <v/>
      </c>
      <c r="E156" s="14" t="str">
        <f t="shared" si="4"/>
        <v/>
      </c>
      <c r="F156" s="6" t="str">
        <f>IF($A156&lt;&gt;"",MAXIFS(#REF!,Token!$A:$A,$D156),)</f>
        <v/>
      </c>
    </row>
    <row r="157">
      <c r="A157" s="35" t="str">
        <f t="shared" si="1"/>
        <v/>
      </c>
      <c r="B157" s="22" t="str">
        <f t="shared" si="2"/>
        <v/>
      </c>
      <c r="C157" s="14" t="str">
        <f>IF($A157&lt;&gt;"",MINIFS(Merchant!$A:$A,Merchant!$B:$B,$G$2),)</f>
        <v/>
      </c>
      <c r="D157" s="14" t="str">
        <f t="shared" si="3"/>
        <v/>
      </c>
      <c r="E157" s="14" t="str">
        <f t="shared" si="4"/>
        <v/>
      </c>
      <c r="F157" s="6" t="str">
        <f>IF($A157&lt;&gt;"",MAXIFS(#REF!,Token!$A:$A,$D157),)</f>
        <v/>
      </c>
    </row>
    <row r="158">
      <c r="A158" s="35" t="str">
        <f t="shared" si="1"/>
        <v/>
      </c>
      <c r="B158" s="22" t="str">
        <f t="shared" si="2"/>
        <v/>
      </c>
      <c r="C158" s="14" t="str">
        <f>IF($A158&lt;&gt;"",MINIFS(Merchant!$A:$A,Merchant!$B:$B,$G$2),)</f>
        <v/>
      </c>
      <c r="D158" s="14" t="str">
        <f t="shared" si="3"/>
        <v/>
      </c>
      <c r="E158" s="14" t="str">
        <f t="shared" si="4"/>
        <v/>
      </c>
      <c r="F158" s="6" t="str">
        <f>IF($A158&lt;&gt;"",MAXIFS(#REF!,Token!$A:$A,$D158),)</f>
        <v/>
      </c>
    </row>
    <row r="159">
      <c r="A159" s="35" t="str">
        <f t="shared" si="1"/>
        <v/>
      </c>
      <c r="B159" s="22" t="str">
        <f t="shared" si="2"/>
        <v/>
      </c>
      <c r="C159" s="14" t="str">
        <f>IF($A159&lt;&gt;"",MINIFS(Merchant!$A:$A,Merchant!$B:$B,$G$2),)</f>
        <v/>
      </c>
      <c r="D159" s="14" t="str">
        <f t="shared" si="3"/>
        <v/>
      </c>
      <c r="E159" s="14" t="str">
        <f t="shared" si="4"/>
        <v/>
      </c>
      <c r="F159" s="6" t="str">
        <f>IF($A159&lt;&gt;"",MAXIFS(#REF!,Token!$A:$A,$D159),)</f>
        <v/>
      </c>
    </row>
    <row r="160">
      <c r="A160" s="35" t="str">
        <f t="shared" si="1"/>
        <v/>
      </c>
      <c r="B160" s="22" t="str">
        <f t="shared" si="2"/>
        <v/>
      </c>
      <c r="C160" s="14" t="str">
        <f>IF($A160&lt;&gt;"",MINIFS(Merchant!$A:$A,Merchant!$B:$B,$G$2),)</f>
        <v/>
      </c>
      <c r="D160" s="14" t="str">
        <f t="shared" si="3"/>
        <v/>
      </c>
      <c r="E160" s="14" t="str">
        <f t="shared" si="4"/>
        <v/>
      </c>
      <c r="F160" s="6" t="str">
        <f>IF($A160&lt;&gt;"",MAXIFS(#REF!,Token!$A:$A,$D160),)</f>
        <v/>
      </c>
    </row>
    <row r="161">
      <c r="A161" s="35" t="str">
        <f t="shared" si="1"/>
        <v/>
      </c>
      <c r="B161" s="22" t="str">
        <f t="shared" si="2"/>
        <v/>
      </c>
      <c r="C161" s="14" t="str">
        <f>IF($A161&lt;&gt;"",MINIFS(Merchant!$A:$A,Merchant!$B:$B,$G$2),)</f>
        <v/>
      </c>
      <c r="D161" s="14" t="str">
        <f t="shared" si="3"/>
        <v/>
      </c>
      <c r="E161" s="14" t="str">
        <f t="shared" si="4"/>
        <v/>
      </c>
      <c r="F161" s="6" t="str">
        <f>IF($A161&lt;&gt;"",MAXIFS(#REF!,Token!$A:$A,$D161),)</f>
        <v/>
      </c>
    </row>
    <row r="162">
      <c r="A162" s="35" t="str">
        <f t="shared" si="1"/>
        <v/>
      </c>
      <c r="B162" s="22" t="str">
        <f t="shared" si="2"/>
        <v/>
      </c>
      <c r="C162" s="14" t="str">
        <f>IF($A162&lt;&gt;"",MINIFS(Merchant!$A:$A,Merchant!$B:$B,$G$2),)</f>
        <v/>
      </c>
      <c r="D162" s="14" t="str">
        <f t="shared" si="3"/>
        <v/>
      </c>
      <c r="E162" s="14" t="str">
        <f t="shared" si="4"/>
        <v/>
      </c>
      <c r="F162" s="6" t="str">
        <f>IF($A162&lt;&gt;"",MAXIFS(#REF!,Token!$A:$A,$D162),)</f>
        <v/>
      </c>
    </row>
    <row r="163">
      <c r="A163" s="35" t="str">
        <f t="shared" si="1"/>
        <v/>
      </c>
      <c r="B163" s="22" t="str">
        <f t="shared" si="2"/>
        <v/>
      </c>
      <c r="C163" s="14" t="str">
        <f>IF($A163&lt;&gt;"",MINIFS(Merchant!$A:$A,Merchant!$B:$B,$G$2),)</f>
        <v/>
      </c>
      <c r="D163" s="14" t="str">
        <f t="shared" si="3"/>
        <v/>
      </c>
      <c r="E163" s="14" t="str">
        <f t="shared" si="4"/>
        <v/>
      </c>
      <c r="F163" s="6" t="str">
        <f>IF($A163&lt;&gt;"",MAXIFS(#REF!,Token!$A:$A,$D163),)</f>
        <v/>
      </c>
    </row>
    <row r="164">
      <c r="A164" s="35" t="str">
        <f t="shared" si="1"/>
        <v/>
      </c>
      <c r="B164" s="22" t="str">
        <f t="shared" si="2"/>
        <v/>
      </c>
      <c r="C164" s="14" t="str">
        <f>IF($A164&lt;&gt;"",MINIFS(Merchant!$A:$A,Merchant!$B:$B,$G$2),)</f>
        <v/>
      </c>
      <c r="D164" s="14" t="str">
        <f t="shared" si="3"/>
        <v/>
      </c>
      <c r="E164" s="14" t="str">
        <f t="shared" si="4"/>
        <v/>
      </c>
      <c r="F164" s="6" t="str">
        <f>IF($A164&lt;&gt;"",MAXIFS(#REF!,Token!$A:$A,$D164),)</f>
        <v/>
      </c>
    </row>
    <row r="165">
      <c r="A165" s="35" t="str">
        <f t="shared" si="1"/>
        <v/>
      </c>
      <c r="B165" s="22" t="str">
        <f t="shared" si="2"/>
        <v/>
      </c>
      <c r="C165" s="14" t="str">
        <f>IF($A165&lt;&gt;"",MINIFS(Merchant!$A:$A,Merchant!$B:$B,$G$2),)</f>
        <v/>
      </c>
      <c r="D165" s="14" t="str">
        <f t="shared" si="3"/>
        <v/>
      </c>
      <c r="E165" s="14" t="str">
        <f t="shared" si="4"/>
        <v/>
      </c>
      <c r="F165" s="6" t="str">
        <f>IF($A165&lt;&gt;"",MAXIFS(#REF!,Token!$A:$A,$D165),)</f>
        <v/>
      </c>
    </row>
    <row r="166">
      <c r="A166" s="35" t="str">
        <f t="shared" si="1"/>
        <v/>
      </c>
      <c r="B166" s="22" t="str">
        <f t="shared" si="2"/>
        <v/>
      </c>
      <c r="C166" s="14" t="str">
        <f>IF($A166&lt;&gt;"",MINIFS(Merchant!$A:$A,Merchant!$B:$B,$G$2),)</f>
        <v/>
      </c>
      <c r="D166" s="14" t="str">
        <f t="shared" si="3"/>
        <v/>
      </c>
      <c r="E166" s="14" t="str">
        <f t="shared" si="4"/>
        <v/>
      </c>
      <c r="F166" s="6" t="str">
        <f>IF($A166&lt;&gt;"",MAXIFS(#REF!,Token!$A:$A,$D166),)</f>
        <v/>
      </c>
    </row>
    <row r="167">
      <c r="A167" s="35" t="str">
        <f t="shared" si="1"/>
        <v/>
      </c>
      <c r="B167" s="22" t="str">
        <f t="shared" si="2"/>
        <v/>
      </c>
      <c r="C167" s="14" t="str">
        <f>IF($A167&lt;&gt;"",MINIFS(Merchant!$A:$A,Merchant!$B:$B,$G$2),)</f>
        <v/>
      </c>
      <c r="D167" s="14" t="str">
        <f t="shared" si="3"/>
        <v/>
      </c>
      <c r="E167" s="14" t="str">
        <f t="shared" si="4"/>
        <v/>
      </c>
      <c r="F167" s="6" t="str">
        <f>IF($A167&lt;&gt;"",MAXIFS(#REF!,Token!$A:$A,$D167),)</f>
        <v/>
      </c>
    </row>
    <row r="168">
      <c r="A168" s="35" t="str">
        <f t="shared" si="1"/>
        <v/>
      </c>
      <c r="B168" s="22" t="str">
        <f t="shared" si="2"/>
        <v/>
      </c>
      <c r="C168" s="14" t="str">
        <f>IF($A168&lt;&gt;"",MINIFS(Merchant!$A:$A,Merchant!$B:$B,$G$2),)</f>
        <v/>
      </c>
      <c r="D168" s="14" t="str">
        <f t="shared" si="3"/>
        <v/>
      </c>
      <c r="E168" s="14" t="str">
        <f t="shared" si="4"/>
        <v/>
      </c>
      <c r="F168" s="6" t="str">
        <f>IF($A168&lt;&gt;"",MAXIFS(#REF!,Token!$A:$A,$D168),)</f>
        <v/>
      </c>
    </row>
    <row r="169">
      <c r="A169" s="35" t="str">
        <f t="shared" si="1"/>
        <v/>
      </c>
      <c r="B169" s="22" t="str">
        <f t="shared" si="2"/>
        <v/>
      </c>
      <c r="C169" s="14" t="str">
        <f>IF($A169&lt;&gt;"",MINIFS(Merchant!$A:$A,Merchant!$B:$B,$G$2),)</f>
        <v/>
      </c>
      <c r="D169" s="14" t="str">
        <f t="shared" si="3"/>
        <v/>
      </c>
      <c r="E169" s="14" t="str">
        <f t="shared" si="4"/>
        <v/>
      </c>
      <c r="F169" s="6" t="str">
        <f>IF($A169&lt;&gt;"",MAXIFS(#REF!,Token!$A:$A,$D169),)</f>
        <v/>
      </c>
    </row>
    <row r="170">
      <c r="A170" s="35" t="str">
        <f t="shared" si="1"/>
        <v/>
      </c>
      <c r="B170" s="22" t="str">
        <f t="shared" si="2"/>
        <v/>
      </c>
      <c r="C170" s="14" t="str">
        <f>IF($A170&lt;&gt;"",MINIFS(Merchant!$A:$A,Merchant!$B:$B,$G$2),)</f>
        <v/>
      </c>
      <c r="D170" s="14" t="str">
        <f t="shared" si="3"/>
        <v/>
      </c>
      <c r="E170" s="14" t="str">
        <f t="shared" si="4"/>
        <v/>
      </c>
      <c r="F170" s="6" t="str">
        <f>IF($A170&lt;&gt;"",MAXIFS(#REF!,Token!$A:$A,$D170),)</f>
        <v/>
      </c>
    </row>
    <row r="171">
      <c r="A171" s="35" t="str">
        <f t="shared" si="1"/>
        <v/>
      </c>
      <c r="B171" s="22" t="str">
        <f t="shared" si="2"/>
        <v/>
      </c>
      <c r="C171" s="14" t="str">
        <f>IF($A171&lt;&gt;"",MINIFS(Merchant!$A:$A,Merchant!$B:$B,$G$2),)</f>
        <v/>
      </c>
      <c r="D171" s="14" t="str">
        <f t="shared" si="3"/>
        <v/>
      </c>
      <c r="E171" s="14" t="str">
        <f t="shared" si="4"/>
        <v/>
      </c>
      <c r="F171" s="6" t="str">
        <f>IF($A171&lt;&gt;"",MAXIFS(#REF!,Token!$A:$A,$D171),)</f>
        <v/>
      </c>
    </row>
    <row r="172">
      <c r="A172" s="35" t="str">
        <f t="shared" si="1"/>
        <v/>
      </c>
      <c r="B172" s="22" t="str">
        <f t="shared" si="2"/>
        <v/>
      </c>
      <c r="C172" s="14" t="str">
        <f>IF($A172&lt;&gt;"",MINIFS(Merchant!$A:$A,Merchant!$B:$B,$G$2),)</f>
        <v/>
      </c>
      <c r="D172" s="14" t="str">
        <f t="shared" si="3"/>
        <v/>
      </c>
      <c r="E172" s="14" t="str">
        <f t="shared" si="4"/>
        <v/>
      </c>
      <c r="F172" s="6" t="str">
        <f>IF($A172&lt;&gt;"",MAXIFS(#REF!,Token!$A:$A,$D172),)</f>
        <v/>
      </c>
    </row>
    <row r="173">
      <c r="A173" s="35" t="str">
        <f t="shared" si="1"/>
        <v/>
      </c>
      <c r="B173" s="22" t="str">
        <f t="shared" si="2"/>
        <v/>
      </c>
      <c r="C173" s="14" t="str">
        <f>IF($A173&lt;&gt;"",MINIFS(Merchant!$A:$A,Merchant!$B:$B,$G$2),)</f>
        <v/>
      </c>
      <c r="D173" s="14" t="str">
        <f t="shared" si="3"/>
        <v/>
      </c>
      <c r="E173" s="14" t="str">
        <f t="shared" si="4"/>
        <v/>
      </c>
      <c r="F173" s="6" t="str">
        <f>IF($A173&lt;&gt;"",MAXIFS(#REF!,Token!$A:$A,$D173),)</f>
        <v/>
      </c>
    </row>
    <row r="174">
      <c r="A174" s="35" t="str">
        <f t="shared" si="1"/>
        <v/>
      </c>
      <c r="B174" s="22" t="str">
        <f t="shared" si="2"/>
        <v/>
      </c>
      <c r="C174" s="14" t="str">
        <f>IF($A174&lt;&gt;"",MINIFS(Merchant!$A:$A,Merchant!$B:$B,$G$2),)</f>
        <v/>
      </c>
      <c r="D174" s="14" t="str">
        <f t="shared" si="3"/>
        <v/>
      </c>
      <c r="E174" s="14" t="str">
        <f t="shared" si="4"/>
        <v/>
      </c>
      <c r="F174" s="6" t="str">
        <f>IF($A174&lt;&gt;"",MAXIFS(#REF!,Token!$A:$A,$D174),)</f>
        <v/>
      </c>
    </row>
    <row r="175">
      <c r="A175" s="35" t="str">
        <f t="shared" si="1"/>
        <v/>
      </c>
      <c r="B175" s="22" t="str">
        <f t="shared" si="2"/>
        <v/>
      </c>
      <c r="C175" s="14" t="str">
        <f>IF($A175&lt;&gt;"",MINIFS(Merchant!$A:$A,Merchant!$B:$B,$G$2),)</f>
        <v/>
      </c>
      <c r="D175" s="14" t="str">
        <f t="shared" si="3"/>
        <v/>
      </c>
      <c r="E175" s="14" t="str">
        <f t="shared" si="4"/>
        <v/>
      </c>
      <c r="F175" s="6" t="str">
        <f>IF($A175&lt;&gt;"",MAXIFS(#REF!,Token!$A:$A,$D175),)</f>
        <v/>
      </c>
    </row>
    <row r="176">
      <c r="A176" s="35" t="str">
        <f t="shared" si="1"/>
        <v/>
      </c>
      <c r="B176" s="22" t="str">
        <f t="shared" si="2"/>
        <v/>
      </c>
      <c r="C176" s="14" t="str">
        <f>IF($A176&lt;&gt;"",MINIFS(Merchant!$A:$A,Merchant!$B:$B,$G$2),)</f>
        <v/>
      </c>
      <c r="D176" s="14" t="str">
        <f t="shared" si="3"/>
        <v/>
      </c>
      <c r="E176" s="14" t="str">
        <f t="shared" si="4"/>
        <v/>
      </c>
      <c r="F176" s="6" t="str">
        <f>IF($A176&lt;&gt;"",MAXIFS(#REF!,Token!$A:$A,$D176),)</f>
        <v/>
      </c>
    </row>
    <row r="177">
      <c r="A177" s="35" t="str">
        <f t="shared" si="1"/>
        <v/>
      </c>
      <c r="B177" s="22" t="str">
        <f t="shared" si="2"/>
        <v/>
      </c>
      <c r="C177" s="14" t="str">
        <f>IF($A177&lt;&gt;"",MINIFS(Merchant!$A:$A,Merchant!$B:$B,$G$2),)</f>
        <v/>
      </c>
      <c r="D177" s="14" t="str">
        <f t="shared" si="3"/>
        <v/>
      </c>
      <c r="E177" s="14" t="str">
        <f t="shared" si="4"/>
        <v/>
      </c>
      <c r="F177" s="6" t="str">
        <f>IF($A177&lt;&gt;"",MAXIFS(#REF!,Token!$A:$A,$D177),)</f>
        <v/>
      </c>
    </row>
    <row r="178">
      <c r="A178" s="35" t="str">
        <f t="shared" si="1"/>
        <v/>
      </c>
      <c r="B178" s="22" t="str">
        <f t="shared" si="2"/>
        <v/>
      </c>
      <c r="C178" s="14" t="str">
        <f>IF($A178&lt;&gt;"",MINIFS(Merchant!$A:$A,Merchant!$B:$B,$G$2),)</f>
        <v/>
      </c>
      <c r="D178" s="14" t="str">
        <f t="shared" si="3"/>
        <v/>
      </c>
      <c r="E178" s="14" t="str">
        <f t="shared" si="4"/>
        <v/>
      </c>
      <c r="F178" s="6" t="str">
        <f>IF($A178&lt;&gt;"",MAXIFS(#REF!,Token!$A:$A,$D178),)</f>
        <v/>
      </c>
    </row>
    <row r="179">
      <c r="A179" s="35" t="str">
        <f t="shared" si="1"/>
        <v/>
      </c>
      <c r="B179" s="22" t="str">
        <f t="shared" si="2"/>
        <v/>
      </c>
      <c r="C179" s="14" t="str">
        <f>IF($A179&lt;&gt;"",MINIFS(Merchant!$A:$A,Merchant!$B:$B,$G$2),)</f>
        <v/>
      </c>
      <c r="D179" s="14" t="str">
        <f t="shared" si="3"/>
        <v/>
      </c>
      <c r="E179" s="14" t="str">
        <f t="shared" si="4"/>
        <v/>
      </c>
      <c r="F179" s="6" t="str">
        <f>IF($A179&lt;&gt;"",MAXIFS(#REF!,Token!$A:$A,$D179),)</f>
        <v/>
      </c>
    </row>
    <row r="180">
      <c r="A180" s="35" t="str">
        <f t="shared" si="1"/>
        <v/>
      </c>
      <c r="B180" s="22" t="str">
        <f t="shared" si="2"/>
        <v/>
      </c>
      <c r="C180" s="14" t="str">
        <f>IF($A180&lt;&gt;"",MINIFS(Merchant!$A:$A,Merchant!$B:$B,$G$2),)</f>
        <v/>
      </c>
      <c r="D180" s="14" t="str">
        <f t="shared" si="3"/>
        <v/>
      </c>
      <c r="E180" s="14" t="str">
        <f t="shared" si="4"/>
        <v/>
      </c>
      <c r="F180" s="6" t="str">
        <f>IF($A180&lt;&gt;"",MAXIFS(#REF!,Token!$A:$A,$D180),)</f>
        <v/>
      </c>
    </row>
    <row r="181">
      <c r="A181" s="35" t="str">
        <f t="shared" si="1"/>
        <v/>
      </c>
      <c r="B181" s="22" t="str">
        <f t="shared" si="2"/>
        <v/>
      </c>
      <c r="C181" s="14" t="str">
        <f>IF($A181&lt;&gt;"",MINIFS(Merchant!$A:$A,Merchant!$B:$B,$G$2),)</f>
        <v/>
      </c>
      <c r="D181" s="14" t="str">
        <f t="shared" si="3"/>
        <v/>
      </c>
      <c r="E181" s="14" t="str">
        <f t="shared" si="4"/>
        <v/>
      </c>
      <c r="F181" s="6" t="str">
        <f>IF($A181&lt;&gt;"",MAXIFS(#REF!,Token!$A:$A,$D181),)</f>
        <v/>
      </c>
    </row>
    <row r="182">
      <c r="A182" s="35" t="str">
        <f t="shared" si="1"/>
        <v/>
      </c>
      <c r="B182" s="22" t="str">
        <f t="shared" si="2"/>
        <v/>
      </c>
      <c r="C182" s="14" t="str">
        <f>IF($A182&lt;&gt;"",MINIFS(Merchant!$A:$A,Merchant!$B:$B,$G$2),)</f>
        <v/>
      </c>
      <c r="D182" s="14" t="str">
        <f t="shared" si="3"/>
        <v/>
      </c>
      <c r="E182" s="14" t="str">
        <f t="shared" si="4"/>
        <v/>
      </c>
      <c r="F182" s="6" t="str">
        <f>IF($A182&lt;&gt;"",MAXIFS(#REF!,Token!$A:$A,$D182),)</f>
        <v/>
      </c>
    </row>
    <row r="183">
      <c r="A183" s="35" t="str">
        <f t="shared" si="1"/>
        <v/>
      </c>
      <c r="B183" s="22" t="str">
        <f t="shared" si="2"/>
        <v/>
      </c>
      <c r="C183" s="14" t="str">
        <f>IF($A183&lt;&gt;"",MINIFS(Merchant!$A:$A,Merchant!$B:$B,$G$2),)</f>
        <v/>
      </c>
      <c r="D183" s="14" t="str">
        <f t="shared" si="3"/>
        <v/>
      </c>
      <c r="E183" s="14" t="str">
        <f t="shared" si="4"/>
        <v/>
      </c>
      <c r="F183" s="6" t="str">
        <f>IF($A183&lt;&gt;"",MAXIFS(#REF!,Token!$A:$A,$D183),)</f>
        <v/>
      </c>
    </row>
    <row r="184">
      <c r="A184" s="35" t="str">
        <f t="shared" si="1"/>
        <v/>
      </c>
      <c r="B184" s="22" t="str">
        <f t="shared" si="2"/>
        <v/>
      </c>
      <c r="C184" s="14" t="str">
        <f>IF($A184&lt;&gt;"",MINIFS(Merchant!$A:$A,Merchant!$B:$B,$G$2),)</f>
        <v/>
      </c>
      <c r="D184" s="14" t="str">
        <f t="shared" si="3"/>
        <v/>
      </c>
      <c r="E184" s="14" t="str">
        <f t="shared" si="4"/>
        <v/>
      </c>
      <c r="F184" s="6" t="str">
        <f>IF($A184&lt;&gt;"",MAXIFS(#REF!,Token!$A:$A,$D184),)</f>
        <v/>
      </c>
    </row>
    <row r="185">
      <c r="A185" s="35" t="str">
        <f t="shared" si="1"/>
        <v/>
      </c>
      <c r="B185" s="22" t="str">
        <f t="shared" si="2"/>
        <v/>
      </c>
      <c r="C185" s="14" t="str">
        <f>IF($A185&lt;&gt;"",MINIFS(Merchant!$A:$A,Merchant!$B:$B,$G$2),)</f>
        <v/>
      </c>
      <c r="D185" s="14" t="str">
        <f t="shared" si="3"/>
        <v/>
      </c>
      <c r="E185" s="14" t="str">
        <f t="shared" si="4"/>
        <v/>
      </c>
      <c r="F185" s="6" t="str">
        <f>IF($A185&lt;&gt;"",MAXIFS(#REF!,Token!$A:$A,$D185),)</f>
        <v/>
      </c>
    </row>
    <row r="186">
      <c r="A186" s="35" t="str">
        <f t="shared" si="1"/>
        <v/>
      </c>
      <c r="B186" s="22" t="str">
        <f t="shared" si="2"/>
        <v/>
      </c>
      <c r="C186" s="14" t="str">
        <f>IF($A186&lt;&gt;"",MINIFS(Merchant!$A:$A,Merchant!$B:$B,$G$2),)</f>
        <v/>
      </c>
      <c r="D186" s="14" t="str">
        <f t="shared" si="3"/>
        <v/>
      </c>
      <c r="E186" s="14" t="str">
        <f t="shared" si="4"/>
        <v/>
      </c>
      <c r="F186" s="6" t="str">
        <f>IF($A186&lt;&gt;"",MAXIFS(#REF!,Token!$A:$A,$D186),)</f>
        <v/>
      </c>
    </row>
    <row r="187">
      <c r="A187" s="35" t="str">
        <f t="shared" si="1"/>
        <v/>
      </c>
      <c r="B187" s="22" t="str">
        <f t="shared" si="2"/>
        <v/>
      </c>
      <c r="C187" s="14" t="str">
        <f>IF($A187&lt;&gt;"",MINIFS(Merchant!$A:$A,Merchant!$B:$B,$G$2),)</f>
        <v/>
      </c>
      <c r="D187" s="14" t="str">
        <f t="shared" si="3"/>
        <v/>
      </c>
      <c r="E187" s="14" t="str">
        <f t="shared" si="4"/>
        <v/>
      </c>
      <c r="F187" s="6" t="str">
        <f>IF($A187&lt;&gt;"",MAXIFS(#REF!,Token!$A:$A,$D187),)</f>
        <v/>
      </c>
    </row>
    <row r="188">
      <c r="A188" s="35" t="str">
        <f t="shared" si="1"/>
        <v/>
      </c>
      <c r="B188" s="22" t="str">
        <f t="shared" si="2"/>
        <v/>
      </c>
      <c r="C188" s="14" t="str">
        <f>IF($A188&lt;&gt;"",MINIFS(Merchant!$A:$A,Merchant!$B:$B,$G$2),)</f>
        <v/>
      </c>
      <c r="D188" s="14" t="str">
        <f t="shared" si="3"/>
        <v/>
      </c>
      <c r="E188" s="14" t="str">
        <f t="shared" si="4"/>
        <v/>
      </c>
      <c r="F188" s="6" t="str">
        <f>IF($A188&lt;&gt;"",MAXIFS(#REF!,Token!$A:$A,$D188),)</f>
        <v/>
      </c>
    </row>
    <row r="189">
      <c r="A189" s="35" t="str">
        <f t="shared" si="1"/>
        <v/>
      </c>
      <c r="B189" s="22" t="str">
        <f t="shared" si="2"/>
        <v/>
      </c>
      <c r="C189" s="14" t="str">
        <f>IF($A189&lt;&gt;"",MINIFS(Merchant!$A:$A,Merchant!$B:$B,$G$2),)</f>
        <v/>
      </c>
      <c r="D189" s="14" t="str">
        <f t="shared" si="3"/>
        <v/>
      </c>
      <c r="E189" s="14" t="str">
        <f t="shared" si="4"/>
        <v/>
      </c>
      <c r="F189" s="6" t="str">
        <f>IF($A189&lt;&gt;"",MAXIFS(#REF!,Token!$A:$A,$D189),)</f>
        <v/>
      </c>
    </row>
    <row r="190">
      <c r="A190" s="35" t="str">
        <f t="shared" si="1"/>
        <v/>
      </c>
      <c r="B190" s="22" t="str">
        <f t="shared" si="2"/>
        <v/>
      </c>
      <c r="C190" s="14" t="str">
        <f>IF($A190&lt;&gt;"",MINIFS(Merchant!$A:$A,Merchant!$B:$B,$G$2),)</f>
        <v/>
      </c>
      <c r="D190" s="14" t="str">
        <f t="shared" si="3"/>
        <v/>
      </c>
      <c r="E190" s="14" t="str">
        <f t="shared" si="4"/>
        <v/>
      </c>
      <c r="F190" s="6" t="str">
        <f>IF($A190&lt;&gt;"",MAXIFS(#REF!,Token!$A:$A,$D190),)</f>
        <v/>
      </c>
    </row>
    <row r="191">
      <c r="A191" s="35" t="str">
        <f t="shared" si="1"/>
        <v/>
      </c>
      <c r="B191" s="22" t="str">
        <f t="shared" si="2"/>
        <v/>
      </c>
      <c r="C191" s="14" t="str">
        <f>IF($A191&lt;&gt;"",MINIFS(Merchant!$A:$A,Merchant!$B:$B,$G$2),)</f>
        <v/>
      </c>
      <c r="D191" s="14" t="str">
        <f t="shared" si="3"/>
        <v/>
      </c>
      <c r="E191" s="14" t="str">
        <f t="shared" si="4"/>
        <v/>
      </c>
      <c r="F191" s="6" t="str">
        <f>IF($A191&lt;&gt;"",MAXIFS(#REF!,Token!$A:$A,$D191),)</f>
        <v/>
      </c>
    </row>
    <row r="192">
      <c r="A192" s="35" t="str">
        <f t="shared" si="1"/>
        <v/>
      </c>
      <c r="B192" s="22" t="str">
        <f t="shared" si="2"/>
        <v/>
      </c>
      <c r="C192" s="14" t="str">
        <f>IF($A192&lt;&gt;"",MINIFS(Merchant!$A:$A,Merchant!$B:$B,$G$2),)</f>
        <v/>
      </c>
      <c r="D192" s="14" t="str">
        <f t="shared" si="3"/>
        <v/>
      </c>
      <c r="E192" s="14" t="str">
        <f t="shared" si="4"/>
        <v/>
      </c>
      <c r="F192" s="6" t="str">
        <f>IF($A192&lt;&gt;"",MAXIFS(#REF!,Token!$A:$A,$D192),)</f>
        <v/>
      </c>
    </row>
    <row r="193">
      <c r="A193" s="35" t="str">
        <f t="shared" si="1"/>
        <v/>
      </c>
      <c r="B193" s="22" t="str">
        <f t="shared" si="2"/>
        <v/>
      </c>
      <c r="C193" s="14" t="str">
        <f>IF($A193&lt;&gt;"",MINIFS(Merchant!$A:$A,Merchant!$B:$B,$G$2),)</f>
        <v/>
      </c>
      <c r="D193" s="14" t="str">
        <f t="shared" si="3"/>
        <v/>
      </c>
      <c r="E193" s="14" t="str">
        <f t="shared" si="4"/>
        <v/>
      </c>
      <c r="F193" s="6" t="str">
        <f>IF($A193&lt;&gt;"",MAXIFS(#REF!,Token!$A:$A,$D193),)</f>
        <v/>
      </c>
    </row>
    <row r="194">
      <c r="A194" s="35" t="str">
        <f t="shared" si="1"/>
        <v/>
      </c>
      <c r="B194" s="22" t="str">
        <f t="shared" si="2"/>
        <v/>
      </c>
      <c r="C194" s="14" t="str">
        <f>IF($A194&lt;&gt;"",MINIFS(Merchant!$A:$A,Merchant!$B:$B,$G$2),)</f>
        <v/>
      </c>
      <c r="D194" s="14" t="str">
        <f t="shared" si="3"/>
        <v/>
      </c>
      <c r="E194" s="14" t="str">
        <f t="shared" si="4"/>
        <v/>
      </c>
      <c r="F194" s="6" t="str">
        <f>IF($A194&lt;&gt;"",MAXIFS(#REF!,Token!$A:$A,$D194),)</f>
        <v/>
      </c>
    </row>
    <row r="195">
      <c r="A195" s="35" t="str">
        <f t="shared" si="1"/>
        <v/>
      </c>
      <c r="B195" s="22" t="str">
        <f t="shared" si="2"/>
        <v/>
      </c>
      <c r="C195" s="14" t="str">
        <f>IF($A195&lt;&gt;"",MINIFS(Merchant!$A:$A,Merchant!$B:$B,$G$2),)</f>
        <v/>
      </c>
      <c r="D195" s="14" t="str">
        <f t="shared" si="3"/>
        <v/>
      </c>
      <c r="E195" s="14" t="str">
        <f t="shared" si="4"/>
        <v/>
      </c>
      <c r="F195" s="6" t="str">
        <f>IF($A195&lt;&gt;"",MAXIFS(#REF!,Token!$A:$A,$D195),)</f>
        <v/>
      </c>
    </row>
    <row r="196">
      <c r="A196" s="35" t="str">
        <f t="shared" si="1"/>
        <v/>
      </c>
      <c r="B196" s="22" t="str">
        <f t="shared" si="2"/>
        <v/>
      </c>
      <c r="C196" s="14" t="str">
        <f>IF($A196&lt;&gt;"",MINIFS(Merchant!$A:$A,Merchant!$B:$B,$G$2),)</f>
        <v/>
      </c>
      <c r="D196" s="14" t="str">
        <f t="shared" si="3"/>
        <v/>
      </c>
      <c r="E196" s="14" t="str">
        <f t="shared" si="4"/>
        <v/>
      </c>
      <c r="F196" s="6" t="str">
        <f>IF($A196&lt;&gt;"",MAXIFS(#REF!,Token!$A:$A,$D196),)</f>
        <v/>
      </c>
    </row>
    <row r="197">
      <c r="A197" s="35" t="str">
        <f t="shared" si="1"/>
        <v/>
      </c>
      <c r="B197" s="22" t="str">
        <f t="shared" si="2"/>
        <v/>
      </c>
      <c r="C197" s="14" t="str">
        <f>IF($A197&lt;&gt;"",MINIFS(Merchant!$A:$A,Merchant!$B:$B,$G$2),)</f>
        <v/>
      </c>
      <c r="D197" s="14" t="str">
        <f t="shared" si="3"/>
        <v/>
      </c>
      <c r="E197" s="14" t="str">
        <f t="shared" si="4"/>
        <v/>
      </c>
      <c r="F197" s="6" t="str">
        <f>IF($A197&lt;&gt;"",MAXIFS(#REF!,Token!$A:$A,$D197),)</f>
        <v/>
      </c>
    </row>
    <row r="198">
      <c r="A198" s="35" t="str">
        <f t="shared" si="1"/>
        <v/>
      </c>
      <c r="B198" s="22" t="str">
        <f t="shared" si="2"/>
        <v/>
      </c>
      <c r="C198" s="14" t="str">
        <f>IF($A198&lt;&gt;"",MINIFS(Merchant!$A:$A,Merchant!$B:$B,$G$2),)</f>
        <v/>
      </c>
      <c r="D198" s="14" t="str">
        <f t="shared" si="3"/>
        <v/>
      </c>
      <c r="E198" s="14" t="str">
        <f t="shared" si="4"/>
        <v/>
      </c>
      <c r="F198" s="6" t="str">
        <f>IF($A198&lt;&gt;"",MAXIFS(#REF!,Token!$A:$A,$D198),)</f>
        <v/>
      </c>
    </row>
    <row r="199">
      <c r="A199" s="35" t="str">
        <f t="shared" si="1"/>
        <v/>
      </c>
      <c r="B199" s="22" t="str">
        <f t="shared" si="2"/>
        <v/>
      </c>
      <c r="C199" s="14" t="str">
        <f>IF($A199&lt;&gt;"",MINIFS(Merchant!$A:$A,Merchant!$B:$B,$G$2),)</f>
        <v/>
      </c>
      <c r="D199" s="14" t="str">
        <f t="shared" si="3"/>
        <v/>
      </c>
      <c r="E199" s="14" t="str">
        <f t="shared" si="4"/>
        <v/>
      </c>
      <c r="F199" s="6" t="str">
        <f>IF($A199&lt;&gt;"",MAXIFS(#REF!,Token!$A:$A,$D199),)</f>
        <v/>
      </c>
    </row>
    <row r="200">
      <c r="A200" s="35" t="str">
        <f t="shared" si="1"/>
        <v/>
      </c>
      <c r="B200" s="22" t="str">
        <f t="shared" si="2"/>
        <v/>
      </c>
      <c r="C200" s="14" t="str">
        <f>IF($A200&lt;&gt;"",MINIFS(Merchant!$A:$A,Merchant!$B:$B,$G$2),)</f>
        <v/>
      </c>
      <c r="D200" s="14" t="str">
        <f t="shared" si="3"/>
        <v/>
      </c>
      <c r="E200" s="14" t="str">
        <f t="shared" si="4"/>
        <v/>
      </c>
      <c r="F200" s="6" t="str">
        <f>IF($A200&lt;&gt;"",MAXIFS(#REF!,Token!$A:$A,$D200),)</f>
        <v/>
      </c>
    </row>
    <row r="201">
      <c r="A201" s="35" t="str">
        <f t="shared" si="1"/>
        <v/>
      </c>
      <c r="B201" s="22" t="str">
        <f t="shared" si="2"/>
        <v/>
      </c>
      <c r="C201" s="14" t="str">
        <f>IF($A201&lt;&gt;"",MINIFS(Merchant!$A:$A,Merchant!$B:$B,$G$2),)</f>
        <v/>
      </c>
      <c r="D201" s="14" t="str">
        <f t="shared" si="3"/>
        <v/>
      </c>
      <c r="E201" s="14" t="str">
        <f t="shared" si="4"/>
        <v/>
      </c>
      <c r="F201" s="6" t="str">
        <f>IF($A201&lt;&gt;"",MAXIFS(#REF!,Token!$A:$A,$D201),)</f>
        <v/>
      </c>
    </row>
    <row r="202">
      <c r="A202" s="35" t="str">
        <f t="shared" si="1"/>
        <v/>
      </c>
      <c r="B202" s="22" t="str">
        <f t="shared" si="2"/>
        <v/>
      </c>
      <c r="C202" s="14" t="str">
        <f>IF($A202&lt;&gt;"",MINIFS(Merchant!$A:$A,Merchant!$B:$B,$G$2),)</f>
        <v/>
      </c>
      <c r="D202" s="14" t="str">
        <f t="shared" si="3"/>
        <v/>
      </c>
      <c r="E202" s="14" t="str">
        <f t="shared" si="4"/>
        <v/>
      </c>
      <c r="F202" s="6" t="str">
        <f>IF($A202&lt;&gt;"",MAXIFS(#REF!,Token!$A:$A,$D202),)</f>
        <v/>
      </c>
    </row>
    <row r="203">
      <c r="A203" s="35" t="str">
        <f t="shared" si="1"/>
        <v/>
      </c>
      <c r="B203" s="22" t="str">
        <f t="shared" si="2"/>
        <v/>
      </c>
      <c r="C203" s="14" t="str">
        <f>IF($A203&lt;&gt;"",MINIFS(Merchant!$A:$A,Merchant!$B:$B,$G$2),)</f>
        <v/>
      </c>
      <c r="D203" s="14" t="str">
        <f t="shared" si="3"/>
        <v/>
      </c>
      <c r="E203" s="14" t="str">
        <f t="shared" si="4"/>
        <v/>
      </c>
      <c r="F203" s="6" t="str">
        <f>IF($A203&lt;&gt;"",MAXIFS(#REF!,Token!$A:$A,$D203),)</f>
        <v/>
      </c>
    </row>
    <row r="204">
      <c r="A204" s="35" t="str">
        <f t="shared" si="1"/>
        <v/>
      </c>
      <c r="B204" s="22" t="str">
        <f t="shared" si="2"/>
        <v/>
      </c>
      <c r="C204" s="14" t="str">
        <f>IF($A204&lt;&gt;"",MINIFS(Merchant!$A:$A,Merchant!$B:$B,$G$2),)</f>
        <v/>
      </c>
      <c r="D204" s="14" t="str">
        <f t="shared" si="3"/>
        <v/>
      </c>
      <c r="E204" s="14" t="str">
        <f t="shared" si="4"/>
        <v/>
      </c>
      <c r="F204" s="6" t="str">
        <f>IF($A204&lt;&gt;"",MAXIFS(#REF!,Token!$A:$A,$D204),)</f>
        <v/>
      </c>
    </row>
    <row r="205">
      <c r="A205" s="35" t="str">
        <f t="shared" si="1"/>
        <v/>
      </c>
      <c r="B205" s="22" t="str">
        <f t="shared" si="2"/>
        <v/>
      </c>
      <c r="C205" s="14" t="str">
        <f>IF($A205&lt;&gt;"",MINIFS(Merchant!$A:$A,Merchant!$B:$B,$G$2),)</f>
        <v/>
      </c>
      <c r="D205" s="14" t="str">
        <f t="shared" si="3"/>
        <v/>
      </c>
      <c r="E205" s="14" t="str">
        <f t="shared" si="4"/>
        <v/>
      </c>
      <c r="F205" s="6" t="str">
        <f>IF($A205&lt;&gt;"",MAXIFS(#REF!,Token!$A:$A,$D205),)</f>
        <v/>
      </c>
    </row>
    <row r="206">
      <c r="A206" s="35" t="str">
        <f t="shared" si="1"/>
        <v/>
      </c>
      <c r="B206" s="22" t="str">
        <f t="shared" si="2"/>
        <v/>
      </c>
      <c r="C206" s="14" t="str">
        <f>IF($A206&lt;&gt;"",MINIFS(Merchant!$A:$A,Merchant!$B:$B,$G$2),)</f>
        <v/>
      </c>
      <c r="D206" s="14" t="str">
        <f t="shared" si="3"/>
        <v/>
      </c>
      <c r="E206" s="14" t="str">
        <f t="shared" si="4"/>
        <v/>
      </c>
      <c r="F206" s="6" t="str">
        <f>IF($A206&lt;&gt;"",MAXIFS(#REF!,Token!$A:$A,$D206),)</f>
        <v/>
      </c>
    </row>
    <row r="207">
      <c r="A207" s="35" t="str">
        <f t="shared" si="1"/>
        <v/>
      </c>
      <c r="B207" s="22" t="str">
        <f t="shared" si="2"/>
        <v/>
      </c>
      <c r="C207" s="14" t="str">
        <f>IF($A207&lt;&gt;"",MINIFS(Merchant!$A:$A,Merchant!$B:$B,$G$2),)</f>
        <v/>
      </c>
      <c r="D207" s="14" t="str">
        <f t="shared" si="3"/>
        <v/>
      </c>
      <c r="E207" s="14" t="str">
        <f t="shared" si="4"/>
        <v/>
      </c>
      <c r="F207" s="6" t="str">
        <f>IF($A207&lt;&gt;"",MAXIFS(#REF!,Token!$A:$A,$D207),)</f>
        <v/>
      </c>
    </row>
    <row r="208">
      <c r="A208" s="35" t="str">
        <f t="shared" si="1"/>
        <v/>
      </c>
      <c r="B208" s="22" t="str">
        <f t="shared" si="2"/>
        <v/>
      </c>
      <c r="C208" s="14" t="str">
        <f>IF($A208&lt;&gt;"",MINIFS(Merchant!$A:$A,Merchant!$B:$B,$G$2),)</f>
        <v/>
      </c>
      <c r="D208" s="14" t="str">
        <f t="shared" si="3"/>
        <v/>
      </c>
      <c r="E208" s="14" t="str">
        <f t="shared" si="4"/>
        <v/>
      </c>
      <c r="F208" s="6" t="str">
        <f>IF($A208&lt;&gt;"",MAXIFS(#REF!,Token!$A:$A,$D208),)</f>
        <v/>
      </c>
    </row>
    <row r="209">
      <c r="A209" s="35" t="str">
        <f t="shared" si="1"/>
        <v/>
      </c>
      <c r="B209" s="22" t="str">
        <f t="shared" si="2"/>
        <v/>
      </c>
      <c r="C209" s="14" t="str">
        <f>IF($A209&lt;&gt;"",MINIFS(Merchant!$A:$A,Merchant!$B:$B,$G$2),)</f>
        <v/>
      </c>
      <c r="D209" s="14" t="str">
        <f t="shared" si="3"/>
        <v/>
      </c>
      <c r="E209" s="14" t="str">
        <f t="shared" si="4"/>
        <v/>
      </c>
      <c r="F209" s="6" t="str">
        <f>IF($A209&lt;&gt;"",MAXIFS(#REF!,Token!$A:$A,$D209),)</f>
        <v/>
      </c>
    </row>
    <row r="210">
      <c r="A210" s="35" t="str">
        <f t="shared" si="1"/>
        <v/>
      </c>
      <c r="B210" s="22" t="str">
        <f t="shared" si="2"/>
        <v/>
      </c>
      <c r="C210" s="14" t="str">
        <f>IF($A210&lt;&gt;"",MINIFS(Merchant!$A:$A,Merchant!$B:$B,$G$2),)</f>
        <v/>
      </c>
      <c r="D210" s="14" t="str">
        <f t="shared" si="3"/>
        <v/>
      </c>
      <c r="E210" s="14" t="str">
        <f t="shared" si="4"/>
        <v/>
      </c>
      <c r="F210" s="6" t="str">
        <f>IF($A210&lt;&gt;"",MAXIFS(#REF!,Token!$A:$A,$D210),)</f>
        <v/>
      </c>
    </row>
    <row r="211">
      <c r="A211" s="35" t="str">
        <f t="shared" si="1"/>
        <v/>
      </c>
      <c r="B211" s="22" t="str">
        <f t="shared" si="2"/>
        <v/>
      </c>
      <c r="C211" s="14" t="str">
        <f>IF($A211&lt;&gt;"",MINIFS(Merchant!$A:$A,Merchant!$B:$B,$G$2),)</f>
        <v/>
      </c>
      <c r="D211" s="14" t="str">
        <f t="shared" si="3"/>
        <v/>
      </c>
      <c r="E211" s="14" t="str">
        <f t="shared" si="4"/>
        <v/>
      </c>
      <c r="F211" s="6" t="str">
        <f>IF($A211&lt;&gt;"",MAXIFS(#REF!,Token!$A:$A,$D211),)</f>
        <v/>
      </c>
    </row>
    <row r="212">
      <c r="A212" s="35" t="str">
        <f t="shared" si="1"/>
        <v/>
      </c>
      <c r="B212" s="22" t="str">
        <f t="shared" si="2"/>
        <v/>
      </c>
      <c r="C212" s="14" t="str">
        <f>IF($A212&lt;&gt;"",MINIFS(Merchant!$A:$A,Merchant!$B:$B,$G$2),)</f>
        <v/>
      </c>
      <c r="D212" s="14" t="str">
        <f t="shared" si="3"/>
        <v/>
      </c>
      <c r="E212" s="14" t="str">
        <f t="shared" si="4"/>
        <v/>
      </c>
      <c r="F212" s="6" t="str">
        <f>IF($A212&lt;&gt;"",MAXIFS(#REF!,Token!$A:$A,$D212),)</f>
        <v/>
      </c>
    </row>
    <row r="213">
      <c r="A213" s="35" t="str">
        <f t="shared" si="1"/>
        <v/>
      </c>
      <c r="B213" s="22" t="str">
        <f t="shared" si="2"/>
        <v/>
      </c>
      <c r="C213" s="14" t="str">
        <f>IF($A213&lt;&gt;"",MINIFS(Merchant!$A:$A,Merchant!$B:$B,$G$2),)</f>
        <v/>
      </c>
      <c r="D213" s="14" t="str">
        <f t="shared" si="3"/>
        <v/>
      </c>
      <c r="E213" s="14" t="str">
        <f t="shared" si="4"/>
        <v/>
      </c>
      <c r="F213" s="6" t="str">
        <f>IF($A213&lt;&gt;"",MAXIFS(#REF!,Token!$A:$A,$D213),)</f>
        <v/>
      </c>
    </row>
    <row r="214">
      <c r="A214" s="35" t="str">
        <f t="shared" si="1"/>
        <v/>
      </c>
      <c r="B214" s="22" t="str">
        <f t="shared" si="2"/>
        <v/>
      </c>
      <c r="C214" s="14" t="str">
        <f>IF($A214&lt;&gt;"",MINIFS(Merchant!$A:$A,Merchant!$B:$B,$G$2),)</f>
        <v/>
      </c>
      <c r="D214" s="14" t="str">
        <f t="shared" si="3"/>
        <v/>
      </c>
      <c r="E214" s="14" t="str">
        <f t="shared" si="4"/>
        <v/>
      </c>
      <c r="F214" s="6" t="str">
        <f>IF($A214&lt;&gt;"",MAXIFS(#REF!,Token!$A:$A,$D214),)</f>
        <v/>
      </c>
    </row>
    <row r="215">
      <c r="A215" s="35" t="str">
        <f t="shared" si="1"/>
        <v/>
      </c>
      <c r="B215" s="22" t="str">
        <f t="shared" si="2"/>
        <v/>
      </c>
      <c r="C215" s="14" t="str">
        <f>IF($A215&lt;&gt;"",MINIFS(Merchant!$A:$A,Merchant!$B:$B,$G$2),)</f>
        <v/>
      </c>
      <c r="D215" s="14" t="str">
        <f t="shared" si="3"/>
        <v/>
      </c>
      <c r="E215" s="14" t="str">
        <f t="shared" si="4"/>
        <v/>
      </c>
      <c r="F215" s="6" t="str">
        <f>IF($A215&lt;&gt;"",MAXIFS(#REF!,Token!$A:$A,$D215),)</f>
        <v/>
      </c>
    </row>
    <row r="216">
      <c r="A216" s="35" t="str">
        <f t="shared" si="1"/>
        <v/>
      </c>
      <c r="B216" s="22" t="str">
        <f t="shared" si="2"/>
        <v/>
      </c>
      <c r="C216" s="14" t="str">
        <f>IF($A216&lt;&gt;"",MINIFS(Merchant!$A:$A,Merchant!$B:$B,$G$2),)</f>
        <v/>
      </c>
      <c r="D216" s="14" t="str">
        <f t="shared" si="3"/>
        <v/>
      </c>
      <c r="E216" s="14" t="str">
        <f t="shared" si="4"/>
        <v/>
      </c>
      <c r="F216" s="6" t="str">
        <f>IF($A216&lt;&gt;"",MAXIFS(#REF!,Token!$A:$A,$D216),)</f>
        <v/>
      </c>
    </row>
    <row r="217">
      <c r="A217" s="35" t="str">
        <f t="shared" si="1"/>
        <v/>
      </c>
      <c r="B217" s="22" t="str">
        <f t="shared" si="2"/>
        <v/>
      </c>
      <c r="C217" s="14" t="str">
        <f>IF($A217&lt;&gt;"",MINIFS(Merchant!$A:$A,Merchant!$B:$B,$G$2),)</f>
        <v/>
      </c>
      <c r="D217" s="14" t="str">
        <f t="shared" si="3"/>
        <v/>
      </c>
      <c r="E217" s="14" t="str">
        <f t="shared" si="4"/>
        <v/>
      </c>
      <c r="F217" s="6" t="str">
        <f>IF($A217&lt;&gt;"",MAXIFS(#REF!,Token!$A:$A,$D217),)</f>
        <v/>
      </c>
    </row>
    <row r="218">
      <c r="A218" s="35" t="str">
        <f t="shared" si="1"/>
        <v/>
      </c>
      <c r="B218" s="22" t="str">
        <f t="shared" si="2"/>
        <v/>
      </c>
      <c r="C218" s="14" t="str">
        <f>IF($A218&lt;&gt;"",MINIFS(Merchant!$A:$A,Merchant!$B:$B,$G$2),)</f>
        <v/>
      </c>
      <c r="D218" s="14" t="str">
        <f t="shared" si="3"/>
        <v/>
      </c>
      <c r="E218" s="14" t="str">
        <f t="shared" si="4"/>
        <v/>
      </c>
      <c r="F218" s="6" t="str">
        <f>IF($A218&lt;&gt;"",MAXIFS(#REF!,Token!$A:$A,$D218),)</f>
        <v/>
      </c>
    </row>
    <row r="219">
      <c r="A219" s="35" t="str">
        <f t="shared" si="1"/>
        <v/>
      </c>
      <c r="B219" s="22" t="str">
        <f t="shared" si="2"/>
        <v/>
      </c>
      <c r="C219" s="14" t="str">
        <f>IF($A219&lt;&gt;"",MINIFS(Merchant!$A:$A,Merchant!$B:$B,$G$2),)</f>
        <v/>
      </c>
      <c r="D219" s="14" t="str">
        <f t="shared" si="3"/>
        <v/>
      </c>
      <c r="E219" s="14" t="str">
        <f t="shared" si="4"/>
        <v/>
      </c>
      <c r="F219" s="6" t="str">
        <f>IF($A219&lt;&gt;"",MAXIFS(#REF!,Token!$A:$A,$D219),)</f>
        <v/>
      </c>
    </row>
    <row r="220">
      <c r="A220" s="35" t="str">
        <f t="shared" si="1"/>
        <v/>
      </c>
      <c r="B220" s="22" t="str">
        <f t="shared" si="2"/>
        <v/>
      </c>
      <c r="C220" s="14" t="str">
        <f>IF($A220&lt;&gt;"",MINIFS(Merchant!$A:$A,Merchant!$B:$B,$G$2),)</f>
        <v/>
      </c>
      <c r="D220" s="14" t="str">
        <f t="shared" si="3"/>
        <v/>
      </c>
      <c r="E220" s="14" t="str">
        <f t="shared" si="4"/>
        <v/>
      </c>
      <c r="F220" s="6" t="str">
        <f>IF($A220&lt;&gt;"",MAXIFS(#REF!,Token!$A:$A,$D220),)</f>
        <v/>
      </c>
    </row>
    <row r="221">
      <c r="A221" s="35" t="str">
        <f t="shared" si="1"/>
        <v/>
      </c>
      <c r="B221" s="22" t="str">
        <f t="shared" si="2"/>
        <v/>
      </c>
      <c r="C221" s="14" t="str">
        <f>IF($A221&lt;&gt;"",MINIFS(Merchant!$A:$A,Merchant!$B:$B,$G$2),)</f>
        <v/>
      </c>
      <c r="D221" s="14" t="str">
        <f t="shared" si="3"/>
        <v/>
      </c>
      <c r="E221" s="14" t="str">
        <f t="shared" si="4"/>
        <v/>
      </c>
      <c r="F221" s="6" t="str">
        <f>IF($A221&lt;&gt;"",MAXIFS(#REF!,Token!$A:$A,$D221),)</f>
        <v/>
      </c>
    </row>
    <row r="222">
      <c r="A222" s="35" t="str">
        <f t="shared" si="1"/>
        <v/>
      </c>
      <c r="B222" s="22" t="str">
        <f t="shared" si="2"/>
        <v/>
      </c>
      <c r="C222" s="14" t="str">
        <f>IF($A222&lt;&gt;"",MINIFS(Merchant!$A:$A,Merchant!$B:$B,$G$2),)</f>
        <v/>
      </c>
      <c r="D222" s="14" t="str">
        <f t="shared" si="3"/>
        <v/>
      </c>
      <c r="E222" s="14" t="str">
        <f t="shared" si="4"/>
        <v/>
      </c>
      <c r="F222" s="6" t="str">
        <f>IF($A222&lt;&gt;"",MAXIFS(#REF!,Token!$A:$A,$D222),)</f>
        <v/>
      </c>
    </row>
    <row r="223">
      <c r="A223" s="35" t="str">
        <f t="shared" si="1"/>
        <v/>
      </c>
      <c r="B223" s="22" t="str">
        <f t="shared" si="2"/>
        <v/>
      </c>
      <c r="C223" s="14" t="str">
        <f>IF($A223&lt;&gt;"",MINIFS(Merchant!$A:$A,Merchant!$B:$B,$G$2),)</f>
        <v/>
      </c>
      <c r="D223" s="14" t="str">
        <f t="shared" si="3"/>
        <v/>
      </c>
      <c r="E223" s="14" t="str">
        <f t="shared" si="4"/>
        <v/>
      </c>
      <c r="F223" s="6" t="str">
        <f>IF($A223&lt;&gt;"",MAXIFS(#REF!,Token!$A:$A,$D223),)</f>
        <v/>
      </c>
    </row>
    <row r="224">
      <c r="A224" s="35" t="str">
        <f t="shared" si="1"/>
        <v/>
      </c>
      <c r="B224" s="22" t="str">
        <f t="shared" si="2"/>
        <v/>
      </c>
      <c r="C224" s="14" t="str">
        <f>IF($A224&lt;&gt;"",MINIFS(Merchant!$A:$A,Merchant!$B:$B,$G$2),)</f>
        <v/>
      </c>
      <c r="D224" s="14" t="str">
        <f t="shared" si="3"/>
        <v/>
      </c>
      <c r="E224" s="14" t="str">
        <f t="shared" si="4"/>
        <v/>
      </c>
      <c r="F224" s="6" t="str">
        <f>IF($A224&lt;&gt;"",MAXIFS(#REF!,Token!$A:$A,$D224),)</f>
        <v/>
      </c>
    </row>
    <row r="225">
      <c r="A225" s="35" t="str">
        <f t="shared" si="1"/>
        <v/>
      </c>
      <c r="B225" s="22" t="str">
        <f t="shared" si="2"/>
        <v/>
      </c>
      <c r="C225" s="14" t="str">
        <f>IF($A225&lt;&gt;"",MINIFS(Merchant!$A:$A,Merchant!$B:$B,$G$2),)</f>
        <v/>
      </c>
      <c r="D225" s="14" t="str">
        <f t="shared" si="3"/>
        <v/>
      </c>
      <c r="E225" s="14" t="str">
        <f t="shared" si="4"/>
        <v/>
      </c>
      <c r="F225" s="6" t="str">
        <f>IF($A225&lt;&gt;"",MAXIFS(#REF!,Token!$A:$A,$D225),)</f>
        <v/>
      </c>
    </row>
    <row r="226">
      <c r="A226" s="35" t="str">
        <f t="shared" si="1"/>
        <v/>
      </c>
      <c r="B226" s="22" t="str">
        <f t="shared" si="2"/>
        <v/>
      </c>
      <c r="C226" s="14" t="str">
        <f>IF($A226&lt;&gt;"",MINIFS(Merchant!$A:$A,Merchant!$B:$B,$G$2),)</f>
        <v/>
      </c>
      <c r="D226" s="14" t="str">
        <f t="shared" si="3"/>
        <v/>
      </c>
      <c r="E226" s="14" t="str">
        <f t="shared" si="4"/>
        <v/>
      </c>
      <c r="F226" s="6" t="str">
        <f>IF($A226&lt;&gt;"",MAXIFS(#REF!,Token!$A:$A,$D226),)</f>
        <v/>
      </c>
    </row>
    <row r="227">
      <c r="A227" s="35" t="str">
        <f t="shared" si="1"/>
        <v/>
      </c>
      <c r="B227" s="22" t="str">
        <f t="shared" si="2"/>
        <v/>
      </c>
      <c r="C227" s="14" t="str">
        <f>IF($A227&lt;&gt;"",MINIFS(Merchant!$A:$A,Merchant!$B:$B,$G$2),)</f>
        <v/>
      </c>
      <c r="D227" s="14" t="str">
        <f t="shared" si="3"/>
        <v/>
      </c>
      <c r="E227" s="14" t="str">
        <f t="shared" si="4"/>
        <v/>
      </c>
      <c r="F227" s="6" t="str">
        <f>IF($A227&lt;&gt;"",MAXIFS(#REF!,Token!$A:$A,$D227),)</f>
        <v/>
      </c>
    </row>
    <row r="228">
      <c r="A228" s="35" t="str">
        <f t="shared" si="1"/>
        <v/>
      </c>
      <c r="B228" s="22" t="str">
        <f t="shared" si="2"/>
        <v/>
      </c>
      <c r="C228" s="14" t="str">
        <f>IF($A228&lt;&gt;"",MINIFS(Merchant!$A:$A,Merchant!$B:$B,$G$2),)</f>
        <v/>
      </c>
      <c r="D228" s="14" t="str">
        <f t="shared" si="3"/>
        <v/>
      </c>
      <c r="E228" s="14" t="str">
        <f t="shared" si="4"/>
        <v/>
      </c>
      <c r="F228" s="6" t="str">
        <f>IF($A228&lt;&gt;"",MAXIFS(#REF!,Token!$A:$A,$D228),)</f>
        <v/>
      </c>
    </row>
    <row r="229">
      <c r="A229" s="35" t="str">
        <f t="shared" si="1"/>
        <v/>
      </c>
      <c r="B229" s="22" t="str">
        <f t="shared" si="2"/>
        <v/>
      </c>
      <c r="C229" s="14" t="str">
        <f>IF($A229&lt;&gt;"",MINIFS(Merchant!$A:$A,Merchant!$B:$B,$G$2),)</f>
        <v/>
      </c>
      <c r="D229" s="14" t="str">
        <f t="shared" si="3"/>
        <v/>
      </c>
      <c r="E229" s="14" t="str">
        <f t="shared" si="4"/>
        <v/>
      </c>
      <c r="F229" s="6" t="str">
        <f>IF($A229&lt;&gt;"",MAXIFS(#REF!,Token!$A:$A,$D229),)</f>
        <v/>
      </c>
    </row>
    <row r="230">
      <c r="A230" s="35" t="str">
        <f t="shared" si="1"/>
        <v/>
      </c>
      <c r="B230" s="22" t="str">
        <f t="shared" si="2"/>
        <v/>
      </c>
      <c r="C230" s="14" t="str">
        <f>IF($A230&lt;&gt;"",MINIFS(Merchant!$A:$A,Merchant!$B:$B,$G$2),)</f>
        <v/>
      </c>
      <c r="D230" s="14" t="str">
        <f t="shared" si="3"/>
        <v/>
      </c>
      <c r="E230" s="14" t="str">
        <f t="shared" si="4"/>
        <v/>
      </c>
      <c r="F230" s="6" t="str">
        <f>IF($A230&lt;&gt;"",MAXIFS(#REF!,Token!$A:$A,$D230),)</f>
        <v/>
      </c>
    </row>
    <row r="231">
      <c r="A231" s="35" t="str">
        <f t="shared" si="1"/>
        <v/>
      </c>
      <c r="B231" s="22" t="str">
        <f t="shared" si="2"/>
        <v/>
      </c>
      <c r="C231" s="14" t="str">
        <f>IF($A231&lt;&gt;"",MINIFS(Merchant!$A:$A,Merchant!$B:$B,$G$2),)</f>
        <v/>
      </c>
      <c r="D231" s="14" t="str">
        <f t="shared" si="3"/>
        <v/>
      </c>
      <c r="E231" s="14" t="str">
        <f t="shared" si="4"/>
        <v/>
      </c>
      <c r="F231" s="6" t="str">
        <f>IF($A231&lt;&gt;"",MAXIFS(#REF!,Token!$A:$A,$D231),)</f>
        <v/>
      </c>
    </row>
    <row r="232">
      <c r="A232" s="35" t="str">
        <f t="shared" si="1"/>
        <v/>
      </c>
      <c r="B232" s="22" t="str">
        <f t="shared" si="2"/>
        <v/>
      </c>
      <c r="C232" s="14" t="str">
        <f>IF($A232&lt;&gt;"",MINIFS(Merchant!$A:$A,Merchant!$B:$B,$G$2),)</f>
        <v/>
      </c>
      <c r="D232" s="14" t="str">
        <f t="shared" si="3"/>
        <v/>
      </c>
      <c r="E232" s="14" t="str">
        <f t="shared" si="4"/>
        <v/>
      </c>
      <c r="F232" s="6" t="str">
        <f>IF($A232&lt;&gt;"",MAXIFS(#REF!,Token!$A:$A,$D232),)</f>
        <v/>
      </c>
    </row>
    <row r="233">
      <c r="A233" s="35" t="str">
        <f t="shared" si="1"/>
        <v/>
      </c>
      <c r="B233" s="22" t="str">
        <f t="shared" si="2"/>
        <v/>
      </c>
      <c r="C233" s="14" t="str">
        <f>IF($A233&lt;&gt;"",MINIFS(Merchant!$A:$A,Merchant!$B:$B,$G$2),)</f>
        <v/>
      </c>
      <c r="D233" s="14" t="str">
        <f t="shared" si="3"/>
        <v/>
      </c>
      <c r="E233" s="14" t="str">
        <f t="shared" si="4"/>
        <v/>
      </c>
      <c r="F233" s="6" t="str">
        <f>IF($A233&lt;&gt;"",MAXIFS(#REF!,Token!$A:$A,$D233),)</f>
        <v/>
      </c>
    </row>
    <row r="234">
      <c r="A234" s="35" t="str">
        <f t="shared" si="1"/>
        <v/>
      </c>
      <c r="B234" s="22" t="str">
        <f t="shared" si="2"/>
        <v/>
      </c>
      <c r="C234" s="14" t="str">
        <f>IF($A234&lt;&gt;"",MINIFS(Merchant!$A:$A,Merchant!$B:$B,$G$2),)</f>
        <v/>
      </c>
      <c r="D234" s="14" t="str">
        <f t="shared" si="3"/>
        <v/>
      </c>
      <c r="E234" s="14" t="str">
        <f t="shared" si="4"/>
        <v/>
      </c>
      <c r="F234" s="6" t="str">
        <f>IF($A234&lt;&gt;"",MAXIFS(#REF!,Token!$A:$A,$D234),)</f>
        <v/>
      </c>
    </row>
    <row r="235">
      <c r="A235" s="35" t="str">
        <f t="shared" si="1"/>
        <v/>
      </c>
      <c r="B235" s="22" t="str">
        <f t="shared" si="2"/>
        <v/>
      </c>
      <c r="C235" s="14" t="str">
        <f>IF($A235&lt;&gt;"",MINIFS(Merchant!$A:$A,Merchant!$B:$B,$G$2),)</f>
        <v/>
      </c>
      <c r="D235" s="14" t="str">
        <f t="shared" si="3"/>
        <v/>
      </c>
      <c r="E235" s="14" t="str">
        <f t="shared" si="4"/>
        <v/>
      </c>
      <c r="F235" s="6" t="str">
        <f>IF($A235&lt;&gt;"",MAXIFS(#REF!,Token!$A:$A,$D235),)</f>
        <v/>
      </c>
    </row>
    <row r="236">
      <c r="A236" s="35" t="str">
        <f t="shared" si="1"/>
        <v/>
      </c>
      <c r="B236" s="22" t="str">
        <f t="shared" si="2"/>
        <v/>
      </c>
      <c r="C236" s="14" t="str">
        <f>IF($A236&lt;&gt;"",MINIFS(Merchant!$A:$A,Merchant!$B:$B,$G$2),)</f>
        <v/>
      </c>
      <c r="D236" s="14" t="str">
        <f t="shared" si="3"/>
        <v/>
      </c>
      <c r="E236" s="14" t="str">
        <f t="shared" si="4"/>
        <v/>
      </c>
      <c r="F236" s="6" t="str">
        <f>IF($A236&lt;&gt;"",MAXIFS(#REF!,Token!$A:$A,$D236),)</f>
        <v/>
      </c>
    </row>
    <row r="237">
      <c r="A237" s="35" t="str">
        <f t="shared" si="1"/>
        <v/>
      </c>
      <c r="B237" s="22" t="str">
        <f t="shared" si="2"/>
        <v/>
      </c>
      <c r="C237" s="14" t="str">
        <f>IF($A237&lt;&gt;"",MINIFS(Merchant!$A:$A,Merchant!$B:$B,$G$2),)</f>
        <v/>
      </c>
      <c r="D237" s="14" t="str">
        <f t="shared" si="3"/>
        <v/>
      </c>
      <c r="E237" s="14" t="str">
        <f t="shared" si="4"/>
        <v/>
      </c>
      <c r="F237" s="6" t="str">
        <f>IF($A237&lt;&gt;"",MAXIFS(#REF!,Token!$A:$A,$D237),)</f>
        <v/>
      </c>
    </row>
    <row r="238">
      <c r="A238" s="35" t="str">
        <f t="shared" si="1"/>
        <v/>
      </c>
      <c r="B238" s="22" t="str">
        <f t="shared" si="2"/>
        <v/>
      </c>
      <c r="C238" s="14" t="str">
        <f>IF($A238&lt;&gt;"",MINIFS(Merchant!$A:$A,Merchant!$B:$B,$G$2),)</f>
        <v/>
      </c>
      <c r="D238" s="14" t="str">
        <f t="shared" si="3"/>
        <v/>
      </c>
      <c r="E238" s="14" t="str">
        <f t="shared" si="4"/>
        <v/>
      </c>
      <c r="F238" s="6" t="str">
        <f>IF($A238&lt;&gt;"",MAXIFS(#REF!,Token!$A:$A,$D238),)</f>
        <v/>
      </c>
    </row>
    <row r="239">
      <c r="A239" s="35" t="str">
        <f t="shared" si="1"/>
        <v/>
      </c>
      <c r="B239" s="22" t="str">
        <f t="shared" si="2"/>
        <v/>
      </c>
      <c r="C239" s="14" t="str">
        <f>IF($A239&lt;&gt;"",MINIFS(Merchant!$A:$A,Merchant!$B:$B,$G$2),)</f>
        <v/>
      </c>
      <c r="D239" s="14" t="str">
        <f t="shared" si="3"/>
        <v/>
      </c>
      <c r="E239" s="14" t="str">
        <f t="shared" si="4"/>
        <v/>
      </c>
      <c r="F239" s="6" t="str">
        <f>IF($A239&lt;&gt;"",MAXIFS(#REF!,Token!$A:$A,$D239),)</f>
        <v/>
      </c>
    </row>
    <row r="240">
      <c r="A240" s="35" t="str">
        <f t="shared" si="1"/>
        <v/>
      </c>
      <c r="B240" s="22" t="str">
        <f t="shared" si="2"/>
        <v/>
      </c>
      <c r="C240" s="14" t="str">
        <f>IF($A240&lt;&gt;"",MINIFS(Merchant!$A:$A,Merchant!$B:$B,$G$2),)</f>
        <v/>
      </c>
      <c r="D240" s="14" t="str">
        <f t="shared" si="3"/>
        <v/>
      </c>
      <c r="E240" s="14" t="str">
        <f t="shared" si="4"/>
        <v/>
      </c>
      <c r="F240" s="6" t="str">
        <f>IF($A240&lt;&gt;"",MAXIFS(#REF!,Token!$A:$A,$D240),)</f>
        <v/>
      </c>
    </row>
    <row r="241">
      <c r="A241" s="35" t="str">
        <f t="shared" si="1"/>
        <v/>
      </c>
      <c r="B241" s="22" t="str">
        <f t="shared" si="2"/>
        <v/>
      </c>
      <c r="C241" s="14" t="str">
        <f>IF($A241&lt;&gt;"",MINIFS(Merchant!$A:$A,Merchant!$B:$B,$G$2),)</f>
        <v/>
      </c>
      <c r="D241" s="14" t="str">
        <f t="shared" si="3"/>
        <v/>
      </c>
      <c r="E241" s="14" t="str">
        <f t="shared" si="4"/>
        <v/>
      </c>
      <c r="F241" s="6" t="str">
        <f>IF($A241&lt;&gt;"",MAXIFS(#REF!,Token!$A:$A,$D241),)</f>
        <v/>
      </c>
    </row>
    <row r="242">
      <c r="A242" s="35" t="str">
        <f t="shared" si="1"/>
        <v/>
      </c>
      <c r="B242" s="22" t="str">
        <f t="shared" si="2"/>
        <v/>
      </c>
      <c r="C242" s="14" t="str">
        <f>IF($A242&lt;&gt;"",MINIFS(Merchant!$A:$A,Merchant!$B:$B,$G$2),)</f>
        <v/>
      </c>
      <c r="D242" s="14" t="str">
        <f t="shared" si="3"/>
        <v/>
      </c>
      <c r="E242" s="14" t="str">
        <f t="shared" si="4"/>
        <v/>
      </c>
      <c r="F242" s="6" t="str">
        <f>IF($A242&lt;&gt;"",MAXIFS(#REF!,Token!$A:$A,$D242),)</f>
        <v/>
      </c>
    </row>
    <row r="243">
      <c r="A243" s="35" t="str">
        <f t="shared" si="1"/>
        <v/>
      </c>
      <c r="B243" s="22" t="str">
        <f t="shared" si="2"/>
        <v/>
      </c>
      <c r="C243" s="14" t="str">
        <f>IF($A243&lt;&gt;"",MINIFS(Merchant!$A:$A,Merchant!$B:$B,$G$2),)</f>
        <v/>
      </c>
      <c r="D243" s="14" t="str">
        <f t="shared" si="3"/>
        <v/>
      </c>
      <c r="E243" s="14" t="str">
        <f t="shared" si="4"/>
        <v/>
      </c>
      <c r="F243" s="6" t="str">
        <f>IF($A243&lt;&gt;"",MAXIFS(#REF!,Token!$A:$A,$D243),)</f>
        <v/>
      </c>
    </row>
    <row r="244">
      <c r="A244" s="35" t="str">
        <f t="shared" si="1"/>
        <v/>
      </c>
      <c r="B244" s="22" t="str">
        <f t="shared" si="2"/>
        <v/>
      </c>
      <c r="C244" s="14" t="str">
        <f>IF($A244&lt;&gt;"",MINIFS(Merchant!$A:$A,Merchant!$B:$B,$G$2),)</f>
        <v/>
      </c>
      <c r="D244" s="14" t="str">
        <f t="shared" si="3"/>
        <v/>
      </c>
      <c r="E244" s="14" t="str">
        <f t="shared" si="4"/>
        <v/>
      </c>
      <c r="F244" s="6" t="str">
        <f>IF($A244&lt;&gt;"",MAXIFS(#REF!,Token!$A:$A,$D244),)</f>
        <v/>
      </c>
    </row>
    <row r="245">
      <c r="A245" s="35" t="str">
        <f t="shared" si="1"/>
        <v/>
      </c>
      <c r="B245" s="22" t="str">
        <f t="shared" si="2"/>
        <v/>
      </c>
      <c r="C245" s="14" t="str">
        <f>IF($A245&lt;&gt;"",MINIFS(Merchant!$A:$A,Merchant!$B:$B,$G$2),)</f>
        <v/>
      </c>
      <c r="D245" s="14" t="str">
        <f t="shared" si="3"/>
        <v/>
      </c>
      <c r="E245" s="14" t="str">
        <f t="shared" si="4"/>
        <v/>
      </c>
      <c r="F245" s="6" t="str">
        <f>IF($A245&lt;&gt;"",MAXIFS(#REF!,Token!$A:$A,$D245),)</f>
        <v/>
      </c>
    </row>
    <row r="246">
      <c r="A246" s="35" t="str">
        <f t="shared" si="1"/>
        <v/>
      </c>
      <c r="B246" s="22" t="str">
        <f t="shared" si="2"/>
        <v/>
      </c>
      <c r="C246" s="14" t="str">
        <f>IF($A246&lt;&gt;"",MINIFS(Merchant!$A:$A,Merchant!$B:$B,$G$2),)</f>
        <v/>
      </c>
      <c r="D246" s="14" t="str">
        <f t="shared" si="3"/>
        <v/>
      </c>
      <c r="E246" s="14" t="str">
        <f t="shared" si="4"/>
        <v/>
      </c>
      <c r="F246" s="6" t="str">
        <f>IF($A246&lt;&gt;"",MAXIFS(#REF!,Token!$A:$A,$D246),)</f>
        <v/>
      </c>
    </row>
    <row r="247">
      <c r="A247" s="35" t="str">
        <f t="shared" si="1"/>
        <v/>
      </c>
      <c r="B247" s="22" t="str">
        <f t="shared" si="2"/>
        <v/>
      </c>
      <c r="C247" s="14" t="str">
        <f>IF($A247&lt;&gt;"",MINIFS(Merchant!$A:$A,Merchant!$B:$B,$G$2),)</f>
        <v/>
      </c>
      <c r="D247" s="14" t="str">
        <f t="shared" si="3"/>
        <v/>
      </c>
      <c r="E247" s="14" t="str">
        <f t="shared" si="4"/>
        <v/>
      </c>
      <c r="F247" s="6" t="str">
        <f>IF($A247&lt;&gt;"",MAXIFS(#REF!,Token!$A:$A,$D247),)</f>
        <v/>
      </c>
    </row>
    <row r="248">
      <c r="A248" s="35" t="str">
        <f t="shared" si="1"/>
        <v/>
      </c>
      <c r="B248" s="22" t="str">
        <f t="shared" si="2"/>
        <v/>
      </c>
      <c r="C248" s="14" t="str">
        <f>IF($A248&lt;&gt;"",MINIFS(Merchant!$A:$A,Merchant!$B:$B,$G$2),)</f>
        <v/>
      </c>
      <c r="D248" s="14" t="str">
        <f t="shared" si="3"/>
        <v/>
      </c>
      <c r="E248" s="14" t="str">
        <f t="shared" si="4"/>
        <v/>
      </c>
      <c r="F248" s="6" t="str">
        <f>IF($A248&lt;&gt;"",MAXIFS(#REF!,Token!$A:$A,$D248),)</f>
        <v/>
      </c>
    </row>
    <row r="249">
      <c r="A249" s="35" t="str">
        <f t="shared" si="1"/>
        <v/>
      </c>
      <c r="B249" s="22" t="str">
        <f t="shared" si="2"/>
        <v/>
      </c>
      <c r="C249" s="14" t="str">
        <f>IF($A249&lt;&gt;"",MINIFS(Merchant!$A:$A,Merchant!$B:$B,$G$2),)</f>
        <v/>
      </c>
      <c r="D249" s="14" t="str">
        <f t="shared" si="3"/>
        <v/>
      </c>
      <c r="E249" s="14" t="str">
        <f t="shared" si="4"/>
        <v/>
      </c>
      <c r="F249" s="6" t="str">
        <f>IF($A249&lt;&gt;"",MAXIFS(#REF!,Token!$A:$A,$D249),)</f>
        <v/>
      </c>
    </row>
    <row r="250">
      <c r="A250" s="35" t="str">
        <f t="shared" si="1"/>
        <v/>
      </c>
      <c r="B250" s="22" t="str">
        <f t="shared" si="2"/>
        <v/>
      </c>
      <c r="C250" s="14" t="str">
        <f>IF($A250&lt;&gt;"",MINIFS(Merchant!$A:$A,Merchant!$B:$B,$G$2),)</f>
        <v/>
      </c>
      <c r="D250" s="14" t="str">
        <f t="shared" si="3"/>
        <v/>
      </c>
      <c r="E250" s="14" t="str">
        <f t="shared" si="4"/>
        <v/>
      </c>
      <c r="F250" s="6" t="str">
        <f>IF($A250&lt;&gt;"",MAXIFS(#REF!,Token!$A:$A,$D250),)</f>
        <v/>
      </c>
    </row>
    <row r="251">
      <c r="A251" s="35" t="str">
        <f t="shared" si="1"/>
        <v/>
      </c>
      <c r="B251" s="22" t="str">
        <f t="shared" si="2"/>
        <v/>
      </c>
      <c r="C251" s="14" t="str">
        <f>IF($A251&lt;&gt;"",MINIFS(Merchant!$A:$A,Merchant!$B:$B,$G$2),)</f>
        <v/>
      </c>
      <c r="D251" s="14" t="str">
        <f t="shared" si="3"/>
        <v/>
      </c>
      <c r="E251" s="14" t="str">
        <f t="shared" si="4"/>
        <v/>
      </c>
      <c r="F251" s="6" t="str">
        <f>IF($A251&lt;&gt;"",MAXIFS(#REF!,Token!$A:$A,$D251),)</f>
        <v/>
      </c>
    </row>
    <row r="252">
      <c r="A252" s="35" t="str">
        <f t="shared" si="1"/>
        <v/>
      </c>
      <c r="B252" s="22" t="str">
        <f t="shared" si="2"/>
        <v/>
      </c>
      <c r="C252" s="14" t="str">
        <f>IF($A252&lt;&gt;"",MINIFS(Merchant!$A:$A,Merchant!$B:$B,$G$2),)</f>
        <v/>
      </c>
      <c r="D252" s="14" t="str">
        <f t="shared" si="3"/>
        <v/>
      </c>
      <c r="E252" s="14" t="str">
        <f t="shared" si="4"/>
        <v/>
      </c>
      <c r="F252" s="6" t="str">
        <f>IF($A252&lt;&gt;"",MAXIFS(#REF!,Token!$A:$A,$D252),)</f>
        <v/>
      </c>
    </row>
    <row r="253">
      <c r="A253" s="35" t="str">
        <f t="shared" si="1"/>
        <v/>
      </c>
      <c r="B253" s="22" t="str">
        <f t="shared" si="2"/>
        <v/>
      </c>
      <c r="C253" s="14" t="str">
        <f>IF($A253&lt;&gt;"",MINIFS(Merchant!$A:$A,Merchant!$B:$B,$G$2),)</f>
        <v/>
      </c>
      <c r="D253" s="14" t="str">
        <f t="shared" si="3"/>
        <v/>
      </c>
      <c r="E253" s="14" t="str">
        <f t="shared" si="4"/>
        <v/>
      </c>
      <c r="F253" s="6" t="str">
        <f>IF($A253&lt;&gt;"",MAXIFS(#REF!,Token!$A:$A,$D253),)</f>
        <v/>
      </c>
    </row>
    <row r="254">
      <c r="A254" s="35" t="str">
        <f t="shared" si="1"/>
        <v/>
      </c>
      <c r="B254" s="22" t="str">
        <f t="shared" si="2"/>
        <v/>
      </c>
      <c r="C254" s="14" t="str">
        <f>IF($A254&lt;&gt;"",MINIFS(Merchant!$A:$A,Merchant!$B:$B,$G$2),)</f>
        <v/>
      </c>
      <c r="D254" s="14" t="str">
        <f t="shared" si="3"/>
        <v/>
      </c>
      <c r="E254" s="14" t="str">
        <f t="shared" si="4"/>
        <v/>
      </c>
      <c r="F254" s="6" t="str">
        <f>IF($A254&lt;&gt;"",MAXIFS(#REF!,Token!$A:$A,$D254),)</f>
        <v/>
      </c>
    </row>
    <row r="255">
      <c r="A255" s="35" t="str">
        <f t="shared" si="1"/>
        <v/>
      </c>
      <c r="B255" s="22" t="str">
        <f t="shared" si="2"/>
        <v/>
      </c>
      <c r="C255" s="14" t="str">
        <f>IF($A255&lt;&gt;"",MINIFS(Merchant!$A:$A,Merchant!$B:$B,$G$2),)</f>
        <v/>
      </c>
      <c r="D255" s="14" t="str">
        <f t="shared" si="3"/>
        <v/>
      </c>
      <c r="E255" s="14" t="str">
        <f t="shared" si="4"/>
        <v/>
      </c>
      <c r="F255" s="6" t="str">
        <f>IF($A255&lt;&gt;"",MAXIFS(#REF!,Token!$A:$A,$D255),)</f>
        <v/>
      </c>
    </row>
    <row r="256">
      <c r="A256" s="35" t="str">
        <f t="shared" si="1"/>
        <v/>
      </c>
      <c r="B256" s="22" t="str">
        <f t="shared" si="2"/>
        <v/>
      </c>
      <c r="C256" s="14" t="str">
        <f>IF($A256&lt;&gt;"",MINIFS(Merchant!$A:$A,Merchant!$B:$B,$G$2),)</f>
        <v/>
      </c>
      <c r="D256" s="14" t="str">
        <f t="shared" si="3"/>
        <v/>
      </c>
      <c r="E256" s="14" t="str">
        <f t="shared" si="4"/>
        <v/>
      </c>
      <c r="F256" s="6" t="str">
        <f>IF($A256&lt;&gt;"",MAXIFS(#REF!,Token!$A:$A,$D256),)</f>
        <v/>
      </c>
    </row>
    <row r="257">
      <c r="A257" s="35" t="str">
        <f t="shared" si="1"/>
        <v/>
      </c>
      <c r="B257" s="22" t="str">
        <f t="shared" si="2"/>
        <v/>
      </c>
      <c r="C257" s="14" t="str">
        <f>IF($A257&lt;&gt;"",MINIFS(Merchant!$A:$A,Merchant!$B:$B,$G$2),)</f>
        <v/>
      </c>
      <c r="D257" s="14" t="str">
        <f t="shared" si="3"/>
        <v/>
      </c>
      <c r="E257" s="14" t="str">
        <f t="shared" si="4"/>
        <v/>
      </c>
      <c r="F257" s="6" t="str">
        <f>IF($A257&lt;&gt;"",MAXIFS(#REF!,Token!$A:$A,$D257),)</f>
        <v/>
      </c>
    </row>
    <row r="258">
      <c r="A258" s="35" t="str">
        <f t="shared" si="1"/>
        <v/>
      </c>
      <c r="B258" s="22" t="str">
        <f t="shared" si="2"/>
        <v/>
      </c>
      <c r="C258" s="14" t="str">
        <f>IF($A258&lt;&gt;"",MINIFS(Merchant!$A:$A,Merchant!$B:$B,$G$2),)</f>
        <v/>
      </c>
      <c r="D258" s="14" t="str">
        <f t="shared" si="3"/>
        <v/>
      </c>
      <c r="E258" s="14" t="str">
        <f t="shared" si="4"/>
        <v/>
      </c>
      <c r="F258" s="6" t="str">
        <f>IF($A258&lt;&gt;"",MAXIFS(#REF!,Token!$A:$A,$D258),)</f>
        <v/>
      </c>
    </row>
    <row r="259">
      <c r="A259" s="35" t="str">
        <f t="shared" si="1"/>
        <v/>
      </c>
      <c r="B259" s="22" t="str">
        <f t="shared" si="2"/>
        <v/>
      </c>
      <c r="C259" s="14" t="str">
        <f>IF($A259&lt;&gt;"",MINIFS(Merchant!$A:$A,Merchant!$B:$B,$G$2),)</f>
        <v/>
      </c>
      <c r="D259" s="14" t="str">
        <f t="shared" si="3"/>
        <v/>
      </c>
      <c r="E259" s="14" t="str">
        <f t="shared" si="4"/>
        <v/>
      </c>
      <c r="F259" s="6" t="str">
        <f>IF($A259&lt;&gt;"",MAXIFS(#REF!,Token!$A:$A,$D259),)</f>
        <v/>
      </c>
    </row>
    <row r="260">
      <c r="A260" s="35" t="str">
        <f t="shared" si="1"/>
        <v/>
      </c>
      <c r="B260" s="22" t="str">
        <f t="shared" si="2"/>
        <v/>
      </c>
      <c r="C260" s="14" t="str">
        <f>IF($A260&lt;&gt;"",MINIFS(Merchant!$A:$A,Merchant!$B:$B,$G$2),)</f>
        <v/>
      </c>
      <c r="D260" s="14" t="str">
        <f t="shared" si="3"/>
        <v/>
      </c>
      <c r="E260" s="14" t="str">
        <f t="shared" si="4"/>
        <v/>
      </c>
      <c r="F260" s="6" t="str">
        <f>IF($A260&lt;&gt;"",MAXIFS(#REF!,Token!$A:$A,$D260),)</f>
        <v/>
      </c>
    </row>
    <row r="261">
      <c r="A261" s="35" t="str">
        <f t="shared" si="1"/>
        <v/>
      </c>
      <c r="B261" s="22" t="str">
        <f t="shared" si="2"/>
        <v/>
      </c>
      <c r="C261" s="14" t="str">
        <f>IF($A261&lt;&gt;"",MINIFS(Merchant!$A:$A,Merchant!$B:$B,$G$2),)</f>
        <v/>
      </c>
      <c r="D261" s="14" t="str">
        <f t="shared" si="3"/>
        <v/>
      </c>
      <c r="E261" s="14" t="str">
        <f t="shared" si="4"/>
        <v/>
      </c>
      <c r="F261" s="6" t="str">
        <f>IF($A261&lt;&gt;"",MAXIFS(#REF!,Token!$A:$A,$D261),)</f>
        <v/>
      </c>
    </row>
    <row r="262">
      <c r="A262" s="35" t="str">
        <f t="shared" si="1"/>
        <v/>
      </c>
      <c r="B262" s="22" t="str">
        <f t="shared" si="2"/>
        <v/>
      </c>
      <c r="C262" s="14" t="str">
        <f>IF($A262&lt;&gt;"",MINIFS(Merchant!$A:$A,Merchant!$B:$B,$G$2),)</f>
        <v/>
      </c>
      <c r="D262" s="14" t="str">
        <f t="shared" si="3"/>
        <v/>
      </c>
      <c r="E262" s="14" t="str">
        <f t="shared" si="4"/>
        <v/>
      </c>
      <c r="F262" s="6" t="str">
        <f>IF($A262&lt;&gt;"",MAXIFS(#REF!,Token!$A:$A,$D262),)</f>
        <v/>
      </c>
    </row>
    <row r="263">
      <c r="A263" s="35" t="str">
        <f t="shared" si="1"/>
        <v/>
      </c>
      <c r="B263" s="22" t="str">
        <f t="shared" si="2"/>
        <v/>
      </c>
      <c r="C263" s="14" t="str">
        <f>IF($A263&lt;&gt;"",MINIFS(Merchant!$A:$A,Merchant!$B:$B,$G$2),)</f>
        <v/>
      </c>
      <c r="D263" s="14" t="str">
        <f t="shared" si="3"/>
        <v/>
      </c>
      <c r="E263" s="14" t="str">
        <f t="shared" si="4"/>
        <v/>
      </c>
      <c r="F263" s="6" t="str">
        <f>IF($A263&lt;&gt;"",MAXIFS(#REF!,Token!$A:$A,$D263),)</f>
        <v/>
      </c>
    </row>
    <row r="264">
      <c r="A264" s="35" t="str">
        <f t="shared" si="1"/>
        <v/>
      </c>
      <c r="B264" s="22" t="str">
        <f t="shared" si="2"/>
        <v/>
      </c>
      <c r="C264" s="14" t="str">
        <f>IF($A264&lt;&gt;"",MINIFS(Merchant!$A:$A,Merchant!$B:$B,$G$2),)</f>
        <v/>
      </c>
      <c r="D264" s="14" t="str">
        <f t="shared" si="3"/>
        <v/>
      </c>
      <c r="E264" s="14" t="str">
        <f t="shared" si="4"/>
        <v/>
      </c>
      <c r="F264" s="6" t="str">
        <f>IF($A264&lt;&gt;"",MAXIFS(#REF!,Token!$A:$A,$D264),)</f>
        <v/>
      </c>
    </row>
    <row r="265">
      <c r="A265" s="35" t="str">
        <f t="shared" si="1"/>
        <v/>
      </c>
      <c r="B265" s="22" t="str">
        <f t="shared" si="2"/>
        <v/>
      </c>
      <c r="C265" s="14" t="str">
        <f>IF($A265&lt;&gt;"",MINIFS(Merchant!$A:$A,Merchant!$B:$B,$G$2),)</f>
        <v/>
      </c>
      <c r="D265" s="14" t="str">
        <f t="shared" si="3"/>
        <v/>
      </c>
      <c r="E265" s="14" t="str">
        <f t="shared" si="4"/>
        <v/>
      </c>
      <c r="F265" s="6" t="str">
        <f>IF($A265&lt;&gt;"",MAXIFS(#REF!,Token!$A:$A,$D265),)</f>
        <v/>
      </c>
    </row>
    <row r="266">
      <c r="A266" s="35" t="str">
        <f t="shared" si="1"/>
        <v/>
      </c>
      <c r="B266" s="22" t="str">
        <f t="shared" si="2"/>
        <v/>
      </c>
      <c r="C266" s="14" t="str">
        <f>IF($A266&lt;&gt;"",MINIFS(Merchant!$A:$A,Merchant!$B:$B,$G$2),)</f>
        <v/>
      </c>
      <c r="D266" s="14" t="str">
        <f t="shared" si="3"/>
        <v/>
      </c>
      <c r="E266" s="14" t="str">
        <f t="shared" si="4"/>
        <v/>
      </c>
      <c r="F266" s="6" t="str">
        <f>IF($A266&lt;&gt;"",MAXIFS(#REF!,Token!$A:$A,$D266),)</f>
        <v/>
      </c>
    </row>
    <row r="267">
      <c r="A267" s="35" t="str">
        <f t="shared" si="1"/>
        <v/>
      </c>
      <c r="B267" s="22" t="str">
        <f t="shared" si="2"/>
        <v/>
      </c>
      <c r="C267" s="14" t="str">
        <f>IF($A267&lt;&gt;"",MINIFS(Merchant!$A:$A,Merchant!$B:$B,$G$2),)</f>
        <v/>
      </c>
      <c r="D267" s="14" t="str">
        <f t="shared" si="3"/>
        <v/>
      </c>
      <c r="E267" s="14" t="str">
        <f t="shared" si="4"/>
        <v/>
      </c>
      <c r="F267" s="6" t="str">
        <f>IF($A267&lt;&gt;"",MAXIFS(#REF!,Token!$A:$A,$D267),)</f>
        <v/>
      </c>
    </row>
    <row r="268">
      <c r="A268" s="35" t="str">
        <f t="shared" si="1"/>
        <v/>
      </c>
      <c r="B268" s="22" t="str">
        <f t="shared" si="2"/>
        <v/>
      </c>
      <c r="C268" s="14" t="str">
        <f>IF($A268&lt;&gt;"",MINIFS(Merchant!$A:$A,Merchant!$B:$B,$G$2),)</f>
        <v/>
      </c>
      <c r="D268" s="14" t="str">
        <f t="shared" si="3"/>
        <v/>
      </c>
      <c r="E268" s="14" t="str">
        <f t="shared" si="4"/>
        <v/>
      </c>
      <c r="F268" s="6" t="str">
        <f>IF($A268&lt;&gt;"",MAXIFS(#REF!,Token!$A:$A,$D268),)</f>
        <v/>
      </c>
    </row>
    <row r="269">
      <c r="A269" s="35" t="str">
        <f t="shared" si="1"/>
        <v/>
      </c>
      <c r="B269" s="22" t="str">
        <f t="shared" si="2"/>
        <v/>
      </c>
      <c r="C269" s="14" t="str">
        <f>IF($A269&lt;&gt;"",MINIFS(Merchant!$A:$A,Merchant!$B:$B,$G$2),)</f>
        <v/>
      </c>
      <c r="D269" s="14" t="str">
        <f t="shared" si="3"/>
        <v/>
      </c>
      <c r="E269" s="14" t="str">
        <f t="shared" si="4"/>
        <v/>
      </c>
      <c r="F269" s="6" t="str">
        <f>IF($A269&lt;&gt;"",MAXIFS(#REF!,Token!$A:$A,$D269),)</f>
        <v/>
      </c>
    </row>
    <row r="270">
      <c r="A270" s="35" t="str">
        <f t="shared" si="1"/>
        <v/>
      </c>
      <c r="B270" s="22" t="str">
        <f t="shared" si="2"/>
        <v/>
      </c>
      <c r="C270" s="14" t="str">
        <f>IF($A270&lt;&gt;"",MINIFS(Merchant!$A:$A,Merchant!$B:$B,$G$2),)</f>
        <v/>
      </c>
      <c r="D270" s="14" t="str">
        <f t="shared" si="3"/>
        <v/>
      </c>
      <c r="E270" s="14" t="str">
        <f t="shared" si="4"/>
        <v/>
      </c>
      <c r="F270" s="6" t="str">
        <f>IF($A270&lt;&gt;"",MAXIFS(#REF!,Token!$A:$A,$D270),)</f>
        <v/>
      </c>
    </row>
    <row r="271">
      <c r="A271" s="35" t="str">
        <f t="shared" si="1"/>
        <v/>
      </c>
      <c r="B271" s="22" t="str">
        <f t="shared" si="2"/>
        <v/>
      </c>
      <c r="C271" s="14" t="str">
        <f>IF($A271&lt;&gt;"",MINIFS(Merchant!$A:$A,Merchant!$B:$B,$G$2),)</f>
        <v/>
      </c>
      <c r="D271" s="14" t="str">
        <f t="shared" si="3"/>
        <v/>
      </c>
      <c r="E271" s="14" t="str">
        <f t="shared" si="4"/>
        <v/>
      </c>
      <c r="F271" s="6" t="str">
        <f>IF($A271&lt;&gt;"",MAXIFS(#REF!,Token!$A:$A,$D271),)</f>
        <v/>
      </c>
    </row>
    <row r="272">
      <c r="A272" s="35" t="str">
        <f t="shared" si="1"/>
        <v/>
      </c>
      <c r="B272" s="22" t="str">
        <f t="shared" si="2"/>
        <v/>
      </c>
      <c r="C272" s="14" t="str">
        <f>IF($A272&lt;&gt;"",MINIFS(Merchant!$A:$A,Merchant!$B:$B,$G$2),)</f>
        <v/>
      </c>
      <c r="D272" s="14" t="str">
        <f t="shared" si="3"/>
        <v/>
      </c>
      <c r="E272" s="14" t="str">
        <f t="shared" si="4"/>
        <v/>
      </c>
      <c r="F272" s="6" t="str">
        <f>IF($A272&lt;&gt;"",MAXIFS(#REF!,Token!$A:$A,$D272),)</f>
        <v/>
      </c>
    </row>
    <row r="273">
      <c r="A273" s="35" t="str">
        <f t="shared" si="1"/>
        <v/>
      </c>
      <c r="B273" s="22" t="str">
        <f t="shared" si="2"/>
        <v/>
      </c>
      <c r="C273" s="14" t="str">
        <f>IF($A273&lt;&gt;"",MINIFS(Merchant!$A:$A,Merchant!$B:$B,$G$2),)</f>
        <v/>
      </c>
      <c r="D273" s="14" t="str">
        <f t="shared" si="3"/>
        <v/>
      </c>
      <c r="E273" s="14" t="str">
        <f t="shared" si="4"/>
        <v/>
      </c>
      <c r="F273" s="6" t="str">
        <f>IF($A273&lt;&gt;"",MAXIFS(#REF!,Token!$A:$A,$D273),)</f>
        <v/>
      </c>
    </row>
    <row r="274">
      <c r="A274" s="35" t="str">
        <f t="shared" si="1"/>
        <v/>
      </c>
      <c r="B274" s="22" t="str">
        <f t="shared" si="2"/>
        <v/>
      </c>
      <c r="C274" s="14" t="str">
        <f>IF($A274&lt;&gt;"",MINIFS(Merchant!$A:$A,Merchant!$B:$B,$G$2),)</f>
        <v/>
      </c>
      <c r="D274" s="14" t="str">
        <f t="shared" si="3"/>
        <v/>
      </c>
      <c r="E274" s="14" t="str">
        <f t="shared" si="4"/>
        <v/>
      </c>
      <c r="F274" s="6" t="str">
        <f>IF($A274&lt;&gt;"",MAXIFS(#REF!,Token!$A:$A,$D274),)</f>
        <v/>
      </c>
    </row>
    <row r="275">
      <c r="A275" s="35" t="str">
        <f t="shared" si="1"/>
        <v/>
      </c>
      <c r="B275" s="22" t="str">
        <f t="shared" si="2"/>
        <v/>
      </c>
      <c r="C275" s="14" t="str">
        <f>IF($A275&lt;&gt;"",MINIFS(Merchant!$A:$A,Merchant!$B:$B,$G$2),)</f>
        <v/>
      </c>
      <c r="D275" s="14" t="str">
        <f t="shared" si="3"/>
        <v/>
      </c>
      <c r="E275" s="14" t="str">
        <f t="shared" si="4"/>
        <v/>
      </c>
      <c r="F275" s="6" t="str">
        <f>IF($A275&lt;&gt;"",MAXIFS(#REF!,Token!$A:$A,$D275),)</f>
        <v/>
      </c>
    </row>
    <row r="276">
      <c r="A276" s="35" t="str">
        <f t="shared" si="1"/>
        <v/>
      </c>
      <c r="B276" s="22" t="str">
        <f t="shared" si="2"/>
        <v/>
      </c>
      <c r="C276" s="14" t="str">
        <f>IF($A276&lt;&gt;"",MINIFS(Merchant!$A:$A,Merchant!$B:$B,$G$2),)</f>
        <v/>
      </c>
      <c r="D276" s="14" t="str">
        <f t="shared" si="3"/>
        <v/>
      </c>
      <c r="E276" s="14" t="str">
        <f t="shared" si="4"/>
        <v/>
      </c>
      <c r="F276" s="6" t="str">
        <f>IF($A276&lt;&gt;"",MAXIFS(#REF!,Token!$A:$A,$D276),)</f>
        <v/>
      </c>
    </row>
    <row r="277">
      <c r="A277" s="35" t="str">
        <f t="shared" si="1"/>
        <v/>
      </c>
      <c r="B277" s="22" t="str">
        <f t="shared" si="2"/>
        <v/>
      </c>
      <c r="C277" s="14" t="str">
        <f>IF($A277&lt;&gt;"",MINIFS(Merchant!$A:$A,Merchant!$B:$B,$G$2),)</f>
        <v/>
      </c>
      <c r="D277" s="14" t="str">
        <f t="shared" si="3"/>
        <v/>
      </c>
      <c r="E277" s="14" t="str">
        <f t="shared" si="4"/>
        <v/>
      </c>
      <c r="F277" s="6" t="str">
        <f>IF($A277&lt;&gt;"",MAXIFS(#REF!,Token!$A:$A,$D277),)</f>
        <v/>
      </c>
    </row>
    <row r="278">
      <c r="A278" s="35" t="str">
        <f t="shared" si="1"/>
        <v/>
      </c>
      <c r="B278" s="22" t="str">
        <f t="shared" si="2"/>
        <v/>
      </c>
      <c r="C278" s="14" t="str">
        <f>IF($A278&lt;&gt;"",MINIFS(Merchant!$A:$A,Merchant!$B:$B,$G$2),)</f>
        <v/>
      </c>
      <c r="D278" s="14" t="str">
        <f t="shared" si="3"/>
        <v/>
      </c>
      <c r="E278" s="14" t="str">
        <f t="shared" si="4"/>
        <v/>
      </c>
      <c r="F278" s="6" t="str">
        <f>IF($A278&lt;&gt;"",MAXIFS(#REF!,Token!$A:$A,$D278),)</f>
        <v/>
      </c>
    </row>
    <row r="279">
      <c r="A279" s="35" t="str">
        <f t="shared" si="1"/>
        <v/>
      </c>
      <c r="B279" s="22" t="str">
        <f t="shared" si="2"/>
        <v/>
      </c>
      <c r="C279" s="14" t="str">
        <f>IF($A279&lt;&gt;"",MINIFS(Merchant!$A:$A,Merchant!$B:$B,$G$2),)</f>
        <v/>
      </c>
      <c r="D279" s="14" t="str">
        <f t="shared" si="3"/>
        <v/>
      </c>
      <c r="E279" s="14" t="str">
        <f t="shared" si="4"/>
        <v/>
      </c>
      <c r="F279" s="6" t="str">
        <f>IF($A279&lt;&gt;"",MAXIFS(#REF!,Token!$A:$A,$D279),)</f>
        <v/>
      </c>
    </row>
    <row r="280">
      <c r="A280" s="35" t="str">
        <f t="shared" si="1"/>
        <v/>
      </c>
      <c r="B280" s="22" t="str">
        <f t="shared" si="2"/>
        <v/>
      </c>
      <c r="C280" s="14" t="str">
        <f>IF($A280&lt;&gt;"",MINIFS(Merchant!$A:$A,Merchant!$B:$B,$G$2),)</f>
        <v/>
      </c>
      <c r="D280" s="14" t="str">
        <f t="shared" si="3"/>
        <v/>
      </c>
      <c r="E280" s="14" t="str">
        <f t="shared" si="4"/>
        <v/>
      </c>
      <c r="F280" s="6" t="str">
        <f>IF($A280&lt;&gt;"",MAXIFS(#REF!,Token!$A:$A,$D280),)</f>
        <v/>
      </c>
    </row>
    <row r="281">
      <c r="A281" s="35" t="str">
        <f t="shared" si="1"/>
        <v/>
      </c>
      <c r="B281" s="22" t="str">
        <f t="shared" si="2"/>
        <v/>
      </c>
      <c r="C281" s="14" t="str">
        <f>IF($A281&lt;&gt;"",MINIFS(Merchant!$A:$A,Merchant!$B:$B,$G$2),)</f>
        <v/>
      </c>
      <c r="D281" s="14" t="str">
        <f t="shared" si="3"/>
        <v/>
      </c>
      <c r="E281" s="14" t="str">
        <f t="shared" si="4"/>
        <v/>
      </c>
      <c r="F281" s="6" t="str">
        <f>IF($A281&lt;&gt;"",MAXIFS(#REF!,Token!$A:$A,$D281),)</f>
        <v/>
      </c>
    </row>
    <row r="282">
      <c r="A282" s="35" t="str">
        <f t="shared" si="1"/>
        <v/>
      </c>
      <c r="B282" s="22" t="str">
        <f t="shared" si="2"/>
        <v/>
      </c>
      <c r="C282" s="14" t="str">
        <f>IF($A282&lt;&gt;"",MINIFS(Merchant!$A:$A,Merchant!$B:$B,$G$2),)</f>
        <v/>
      </c>
      <c r="D282" s="14" t="str">
        <f t="shared" si="3"/>
        <v/>
      </c>
      <c r="E282" s="14" t="str">
        <f t="shared" si="4"/>
        <v/>
      </c>
      <c r="F282" s="6" t="str">
        <f>IF($A282&lt;&gt;"",MAXIFS(#REF!,Token!$A:$A,$D282),)</f>
        <v/>
      </c>
    </row>
    <row r="283">
      <c r="A283" s="35" t="str">
        <f t="shared" si="1"/>
        <v/>
      </c>
      <c r="B283" s="22" t="str">
        <f t="shared" si="2"/>
        <v/>
      </c>
      <c r="C283" s="14" t="str">
        <f>IF($A283&lt;&gt;"",MINIFS(Merchant!$A:$A,Merchant!$B:$B,$G$2),)</f>
        <v/>
      </c>
      <c r="D283" s="14" t="str">
        <f t="shared" si="3"/>
        <v/>
      </c>
      <c r="E283" s="14" t="str">
        <f t="shared" si="4"/>
        <v/>
      </c>
      <c r="F283" s="6" t="str">
        <f>IF($A283&lt;&gt;"",MAXIFS(#REF!,Token!$A:$A,$D283),)</f>
        <v/>
      </c>
    </row>
    <row r="284">
      <c r="A284" s="35" t="str">
        <f t="shared" si="1"/>
        <v/>
      </c>
      <c r="B284" s="22" t="str">
        <f t="shared" si="2"/>
        <v/>
      </c>
      <c r="C284" s="14" t="str">
        <f>IF($A284&lt;&gt;"",MINIFS(Merchant!$A:$A,Merchant!$B:$B,$G$2),)</f>
        <v/>
      </c>
      <c r="D284" s="14" t="str">
        <f t="shared" si="3"/>
        <v/>
      </c>
      <c r="E284" s="14" t="str">
        <f t="shared" si="4"/>
        <v/>
      </c>
      <c r="F284" s="6" t="str">
        <f>IF($A284&lt;&gt;"",MAXIFS(#REF!,Token!$A:$A,$D284),)</f>
        <v/>
      </c>
    </row>
    <row r="285">
      <c r="A285" s="35" t="str">
        <f t="shared" si="1"/>
        <v/>
      </c>
      <c r="B285" s="22" t="str">
        <f t="shared" si="2"/>
        <v/>
      </c>
      <c r="C285" s="14" t="str">
        <f>IF($A285&lt;&gt;"",MINIFS(Merchant!$A:$A,Merchant!$B:$B,$G$2),)</f>
        <v/>
      </c>
      <c r="D285" s="14" t="str">
        <f t="shared" si="3"/>
        <v/>
      </c>
      <c r="E285" s="14" t="str">
        <f t="shared" si="4"/>
        <v/>
      </c>
      <c r="F285" s="6" t="str">
        <f>IF($A285&lt;&gt;"",MAXIFS(#REF!,Token!$A:$A,$D285),)</f>
        <v/>
      </c>
    </row>
    <row r="286">
      <c r="A286" s="35" t="str">
        <f t="shared" si="1"/>
        <v/>
      </c>
      <c r="B286" s="22" t="str">
        <f t="shared" si="2"/>
        <v/>
      </c>
      <c r="C286" s="14" t="str">
        <f>IF($A286&lt;&gt;"",MINIFS(Merchant!$A:$A,Merchant!$B:$B,$G$2),)</f>
        <v/>
      </c>
      <c r="D286" s="14" t="str">
        <f t="shared" si="3"/>
        <v/>
      </c>
      <c r="E286" s="14" t="str">
        <f t="shared" si="4"/>
        <v/>
      </c>
      <c r="F286" s="6" t="str">
        <f>IF($A286&lt;&gt;"",MAXIFS(#REF!,Token!$A:$A,$D286),)</f>
        <v/>
      </c>
    </row>
    <row r="287">
      <c r="A287" s="35" t="str">
        <f t="shared" si="1"/>
        <v/>
      </c>
      <c r="B287" s="22" t="str">
        <f t="shared" si="2"/>
        <v/>
      </c>
      <c r="C287" s="14" t="str">
        <f>IF($A287&lt;&gt;"",MINIFS(Merchant!$A:$A,Merchant!$B:$B,$G$2),)</f>
        <v/>
      </c>
      <c r="D287" s="14" t="str">
        <f t="shared" si="3"/>
        <v/>
      </c>
      <c r="E287" s="14" t="str">
        <f t="shared" si="4"/>
        <v/>
      </c>
      <c r="F287" s="6" t="str">
        <f>IF($A287&lt;&gt;"",MAXIFS(#REF!,Token!$A:$A,$D287),)</f>
        <v/>
      </c>
    </row>
    <row r="288">
      <c r="A288" s="35" t="str">
        <f t="shared" si="1"/>
        <v/>
      </c>
      <c r="B288" s="22" t="str">
        <f t="shared" si="2"/>
        <v/>
      </c>
      <c r="C288" s="14" t="str">
        <f>IF($A288&lt;&gt;"",MINIFS(Merchant!$A:$A,Merchant!$B:$B,$G$2),)</f>
        <v/>
      </c>
      <c r="D288" s="14" t="str">
        <f t="shared" si="3"/>
        <v/>
      </c>
      <c r="E288" s="14" t="str">
        <f t="shared" si="4"/>
        <v/>
      </c>
      <c r="F288" s="6" t="str">
        <f>IF($A288&lt;&gt;"",MAXIFS(#REF!,Token!$A:$A,$D288),)</f>
        <v/>
      </c>
    </row>
    <row r="289">
      <c r="A289" s="35" t="str">
        <f t="shared" si="1"/>
        <v/>
      </c>
      <c r="B289" s="22" t="str">
        <f t="shared" si="2"/>
        <v/>
      </c>
      <c r="C289" s="14" t="str">
        <f>IF($A289&lt;&gt;"",MINIFS(Merchant!$A:$A,Merchant!$B:$B,$G$2),)</f>
        <v/>
      </c>
      <c r="D289" s="14" t="str">
        <f t="shared" si="3"/>
        <v/>
      </c>
      <c r="E289" s="14" t="str">
        <f t="shared" si="4"/>
        <v/>
      </c>
      <c r="F289" s="6" t="str">
        <f>IF($A289&lt;&gt;"",MAXIFS(#REF!,Token!$A:$A,$D289),)</f>
        <v/>
      </c>
    </row>
    <row r="290">
      <c r="A290" s="35" t="str">
        <f t="shared" si="1"/>
        <v/>
      </c>
      <c r="B290" s="22" t="str">
        <f t="shared" si="2"/>
        <v/>
      </c>
      <c r="C290" s="14" t="str">
        <f>IF($A290&lt;&gt;"",MINIFS(Merchant!$A:$A,Merchant!$B:$B,$G$2),)</f>
        <v/>
      </c>
      <c r="D290" s="14" t="str">
        <f t="shared" si="3"/>
        <v/>
      </c>
      <c r="E290" s="14" t="str">
        <f t="shared" si="4"/>
        <v/>
      </c>
      <c r="F290" s="6" t="str">
        <f>IF($A290&lt;&gt;"",MAXIFS(#REF!,Token!$A:$A,$D290),)</f>
        <v/>
      </c>
    </row>
    <row r="291">
      <c r="A291" s="35" t="str">
        <f t="shared" si="1"/>
        <v/>
      </c>
      <c r="B291" s="22" t="str">
        <f t="shared" si="2"/>
        <v/>
      </c>
      <c r="C291" s="14" t="str">
        <f>IF($A291&lt;&gt;"",MINIFS(Merchant!$A:$A,Merchant!$B:$B,$G$2),)</f>
        <v/>
      </c>
      <c r="D291" s="14" t="str">
        <f t="shared" si="3"/>
        <v/>
      </c>
      <c r="E291" s="14" t="str">
        <f t="shared" si="4"/>
        <v/>
      </c>
      <c r="F291" s="6" t="str">
        <f>IF($A291&lt;&gt;"",MAXIFS(#REF!,Token!$A:$A,$D291),)</f>
        <v/>
      </c>
    </row>
    <row r="292">
      <c r="A292" s="35" t="str">
        <f t="shared" si="1"/>
        <v/>
      </c>
      <c r="B292" s="22" t="str">
        <f t="shared" si="2"/>
        <v/>
      </c>
      <c r="C292" s="14" t="str">
        <f>IF($A292&lt;&gt;"",MINIFS(Merchant!$A:$A,Merchant!$B:$B,$G$2),)</f>
        <v/>
      </c>
      <c r="D292" s="14" t="str">
        <f t="shared" si="3"/>
        <v/>
      </c>
      <c r="E292" s="14" t="str">
        <f t="shared" si="4"/>
        <v/>
      </c>
      <c r="F292" s="6" t="str">
        <f>IF($A292&lt;&gt;"",MAXIFS(#REF!,Token!$A:$A,$D292),)</f>
        <v/>
      </c>
    </row>
    <row r="293">
      <c r="A293" s="35" t="str">
        <f t="shared" si="1"/>
        <v/>
      </c>
      <c r="B293" s="22" t="str">
        <f t="shared" si="2"/>
        <v/>
      </c>
      <c r="C293" s="14" t="str">
        <f>IF($A293&lt;&gt;"",MINIFS(Merchant!$A:$A,Merchant!$B:$B,$G$2),)</f>
        <v/>
      </c>
      <c r="D293" s="14" t="str">
        <f t="shared" si="3"/>
        <v/>
      </c>
      <c r="E293" s="14" t="str">
        <f t="shared" si="4"/>
        <v/>
      </c>
      <c r="F293" s="6" t="str">
        <f>IF($A293&lt;&gt;"",MAXIFS(#REF!,Token!$A:$A,$D293),)</f>
        <v/>
      </c>
    </row>
    <row r="294">
      <c r="A294" s="35" t="str">
        <f t="shared" si="1"/>
        <v/>
      </c>
      <c r="B294" s="22" t="str">
        <f t="shared" si="2"/>
        <v/>
      </c>
      <c r="C294" s="14" t="str">
        <f>IF($A294&lt;&gt;"",MINIFS(Merchant!$A:$A,Merchant!$B:$B,$G$2),)</f>
        <v/>
      </c>
      <c r="D294" s="14" t="str">
        <f t="shared" si="3"/>
        <v/>
      </c>
      <c r="E294" s="14" t="str">
        <f t="shared" si="4"/>
        <v/>
      </c>
      <c r="F294" s="6" t="str">
        <f>IF($A294&lt;&gt;"",MAXIFS(#REF!,Token!$A:$A,$D294),)</f>
        <v/>
      </c>
    </row>
    <row r="295">
      <c r="A295" s="35" t="str">
        <f t="shared" si="1"/>
        <v/>
      </c>
      <c r="B295" s="22" t="str">
        <f t="shared" si="2"/>
        <v/>
      </c>
      <c r="C295" s="14" t="str">
        <f>IF($A295&lt;&gt;"",MINIFS(Merchant!$A:$A,Merchant!$B:$B,$G$2),)</f>
        <v/>
      </c>
      <c r="D295" s="14" t="str">
        <f t="shared" si="3"/>
        <v/>
      </c>
      <c r="E295" s="14" t="str">
        <f t="shared" si="4"/>
        <v/>
      </c>
      <c r="F295" s="6" t="str">
        <f>IF($A295&lt;&gt;"",MAXIFS(#REF!,Token!$A:$A,$D295),)</f>
        <v/>
      </c>
    </row>
    <row r="296">
      <c r="A296" s="35" t="str">
        <f t="shared" si="1"/>
        <v/>
      </c>
      <c r="B296" s="22" t="str">
        <f t="shared" si="2"/>
        <v/>
      </c>
      <c r="C296" s="14" t="str">
        <f>IF($A296&lt;&gt;"",MINIFS(Merchant!$A:$A,Merchant!$B:$B,$G$2),)</f>
        <v/>
      </c>
      <c r="D296" s="14" t="str">
        <f t="shared" si="3"/>
        <v/>
      </c>
      <c r="E296" s="14" t="str">
        <f t="shared" si="4"/>
        <v/>
      </c>
      <c r="F296" s="6" t="str">
        <f>IF($A296&lt;&gt;"",MAXIFS(#REF!,Token!$A:$A,$D296),)</f>
        <v/>
      </c>
    </row>
    <row r="297">
      <c r="A297" s="35" t="str">
        <f t="shared" si="1"/>
        <v/>
      </c>
      <c r="B297" s="22" t="str">
        <f t="shared" si="2"/>
        <v/>
      </c>
      <c r="C297" s="14" t="str">
        <f>IF($A297&lt;&gt;"",MINIFS(Merchant!$A:$A,Merchant!$B:$B,$G$2),)</f>
        <v/>
      </c>
      <c r="D297" s="14" t="str">
        <f t="shared" si="3"/>
        <v/>
      </c>
      <c r="E297" s="14" t="str">
        <f t="shared" si="4"/>
        <v/>
      </c>
      <c r="F297" s="6" t="str">
        <f>IF($A297&lt;&gt;"",MAXIFS(#REF!,Token!$A:$A,$D297),)</f>
        <v/>
      </c>
    </row>
    <row r="298">
      <c r="A298" s="35" t="str">
        <f t="shared" si="1"/>
        <v/>
      </c>
      <c r="B298" s="22" t="str">
        <f t="shared" si="2"/>
        <v/>
      </c>
      <c r="C298" s="14" t="str">
        <f>IF($A298&lt;&gt;"",MINIFS(Merchant!$A:$A,Merchant!$B:$B,$G$2),)</f>
        <v/>
      </c>
      <c r="D298" s="14" t="str">
        <f t="shared" si="3"/>
        <v/>
      </c>
      <c r="E298" s="14" t="str">
        <f t="shared" si="4"/>
        <v/>
      </c>
      <c r="F298" s="6" t="str">
        <f>IF($A298&lt;&gt;"",MAXIFS(#REF!,Token!$A:$A,$D298),)</f>
        <v/>
      </c>
    </row>
    <row r="299">
      <c r="A299" s="35" t="str">
        <f t="shared" si="1"/>
        <v/>
      </c>
      <c r="B299" s="22" t="str">
        <f t="shared" si="2"/>
        <v/>
      </c>
      <c r="C299" s="14" t="str">
        <f>IF($A299&lt;&gt;"",MINIFS(Merchant!$A:$A,Merchant!$B:$B,$G$2),)</f>
        <v/>
      </c>
      <c r="D299" s="14" t="str">
        <f t="shared" si="3"/>
        <v/>
      </c>
      <c r="E299" s="14" t="str">
        <f t="shared" si="4"/>
        <v/>
      </c>
      <c r="F299" s="6" t="str">
        <f>IF($A299&lt;&gt;"",MAXIFS(#REF!,Token!$A:$A,$D299),)</f>
        <v/>
      </c>
    </row>
    <row r="300">
      <c r="A300" s="35" t="str">
        <f t="shared" si="1"/>
        <v/>
      </c>
      <c r="B300" s="22" t="str">
        <f t="shared" si="2"/>
        <v/>
      </c>
      <c r="C300" s="14" t="str">
        <f>IF($A300&lt;&gt;"",MINIFS(Merchant!$A:$A,Merchant!$B:$B,$G$2),)</f>
        <v/>
      </c>
      <c r="D300" s="14" t="str">
        <f t="shared" si="3"/>
        <v/>
      </c>
      <c r="E300" s="14" t="str">
        <f t="shared" si="4"/>
        <v/>
      </c>
      <c r="F300" s="6" t="str">
        <f>IF($A300&lt;&gt;"",MAXIFS(#REF!,Token!$A:$A,$D300),)</f>
        <v/>
      </c>
    </row>
    <row r="301">
      <c r="A301" s="35" t="str">
        <f t="shared" si="1"/>
        <v/>
      </c>
      <c r="B301" s="22" t="str">
        <f t="shared" si="2"/>
        <v/>
      </c>
      <c r="C301" s="14" t="str">
        <f>IF($A301&lt;&gt;"",MINIFS(Merchant!$A:$A,Merchant!$B:$B,$G$2),)</f>
        <v/>
      </c>
      <c r="D301" s="14" t="str">
        <f t="shared" si="3"/>
        <v/>
      </c>
      <c r="E301" s="14" t="str">
        <f t="shared" si="4"/>
        <v/>
      </c>
      <c r="F301" s="6" t="str">
        <f>IF($A301&lt;&gt;"",MAXIFS(#REF!,Token!$A:$A,$D301),)</f>
        <v/>
      </c>
    </row>
    <row r="302">
      <c r="A302" s="35" t="str">
        <f t="shared" si="1"/>
        <v/>
      </c>
      <c r="B302" s="22" t="str">
        <f t="shared" si="2"/>
        <v/>
      </c>
      <c r="C302" s="14" t="str">
        <f>IF($A302&lt;&gt;"",MINIFS(Merchant!$A:$A,Merchant!$B:$B,$G$2),)</f>
        <v/>
      </c>
      <c r="D302" s="14" t="str">
        <f t="shared" si="3"/>
        <v/>
      </c>
      <c r="E302" s="14" t="str">
        <f t="shared" si="4"/>
        <v/>
      </c>
      <c r="F302" s="6" t="str">
        <f>IF($A302&lt;&gt;"",MAXIFS(#REF!,Token!$A:$A,$D302),)</f>
        <v/>
      </c>
    </row>
    <row r="303">
      <c r="A303" s="35" t="str">
        <f t="shared" si="1"/>
        <v/>
      </c>
      <c r="B303" s="22" t="str">
        <f t="shared" si="2"/>
        <v/>
      </c>
      <c r="C303" s="14" t="str">
        <f>IF($A303&lt;&gt;"",MINIFS(Merchant!$A:$A,Merchant!$B:$B,$G$2),)</f>
        <v/>
      </c>
      <c r="D303" s="14" t="str">
        <f t="shared" si="3"/>
        <v/>
      </c>
      <c r="E303" s="14" t="str">
        <f t="shared" si="4"/>
        <v/>
      </c>
      <c r="F303" s="6" t="str">
        <f>IF($A303&lt;&gt;"",MAXIFS(#REF!,Token!$A:$A,$D303),)</f>
        <v/>
      </c>
    </row>
    <row r="304">
      <c r="A304" s="35" t="str">
        <f t="shared" si="1"/>
        <v/>
      </c>
      <c r="B304" s="22" t="str">
        <f t="shared" si="2"/>
        <v/>
      </c>
      <c r="C304" s="14" t="str">
        <f>IF($A304&lt;&gt;"",MINIFS(Merchant!$A:$A,Merchant!$B:$B,$G$2),)</f>
        <v/>
      </c>
      <c r="D304" s="14" t="str">
        <f t="shared" si="3"/>
        <v/>
      </c>
      <c r="E304" s="14" t="str">
        <f t="shared" si="4"/>
        <v/>
      </c>
      <c r="F304" s="6" t="str">
        <f>IF($A304&lt;&gt;"",MAXIFS(#REF!,Token!$A:$A,$D304),)</f>
        <v/>
      </c>
    </row>
    <row r="305">
      <c r="A305" s="35" t="str">
        <f t="shared" si="1"/>
        <v/>
      </c>
      <c r="B305" s="22" t="str">
        <f t="shared" si="2"/>
        <v/>
      </c>
      <c r="C305" s="14" t="str">
        <f>IF($A305&lt;&gt;"",MINIFS(Merchant!$A:$A,Merchant!$B:$B,$G$2),)</f>
        <v/>
      </c>
      <c r="D305" s="14" t="str">
        <f t="shared" si="3"/>
        <v/>
      </c>
      <c r="E305" s="14" t="str">
        <f t="shared" si="4"/>
        <v/>
      </c>
      <c r="F305" s="6" t="str">
        <f>IF($A305&lt;&gt;"",MAXIFS(#REF!,Token!$A:$A,$D305),)</f>
        <v/>
      </c>
    </row>
    <row r="306">
      <c r="A306" s="35" t="str">
        <f t="shared" si="1"/>
        <v/>
      </c>
      <c r="B306" s="22" t="str">
        <f t="shared" si="2"/>
        <v/>
      </c>
      <c r="C306" s="14" t="str">
        <f>IF($A306&lt;&gt;"",MINIFS(Merchant!$A:$A,Merchant!$B:$B,$G$2),)</f>
        <v/>
      </c>
      <c r="D306" s="14" t="str">
        <f t="shared" si="3"/>
        <v/>
      </c>
      <c r="E306" s="14" t="str">
        <f t="shared" si="4"/>
        <v/>
      </c>
      <c r="F306" s="6" t="str">
        <f>IF($A306&lt;&gt;"",MAXIFS(#REF!,Token!$A:$A,$D306),)</f>
        <v/>
      </c>
    </row>
    <row r="307">
      <c r="A307" s="35" t="str">
        <f t="shared" si="1"/>
        <v/>
      </c>
      <c r="B307" s="22" t="str">
        <f t="shared" si="2"/>
        <v/>
      </c>
      <c r="C307" s="14" t="str">
        <f>IF($A307&lt;&gt;"",MINIFS(Merchant!$A:$A,Merchant!$B:$B,$G$2),)</f>
        <v/>
      </c>
      <c r="D307" s="14" t="str">
        <f t="shared" si="3"/>
        <v/>
      </c>
      <c r="E307" s="14" t="str">
        <f t="shared" si="4"/>
        <v/>
      </c>
      <c r="F307" s="6" t="str">
        <f>IF($A307&lt;&gt;"",MAXIFS(#REF!,Token!$A:$A,$D307),)</f>
        <v/>
      </c>
    </row>
    <row r="308">
      <c r="A308" s="35" t="str">
        <f t="shared" si="1"/>
        <v/>
      </c>
      <c r="B308" s="22" t="str">
        <f t="shared" si="2"/>
        <v/>
      </c>
      <c r="C308" s="14" t="str">
        <f>IF($A308&lt;&gt;"",MINIFS(Merchant!$A:$A,Merchant!$B:$B,$G$2),)</f>
        <v/>
      </c>
      <c r="D308" s="14" t="str">
        <f t="shared" si="3"/>
        <v/>
      </c>
      <c r="E308" s="14" t="str">
        <f t="shared" si="4"/>
        <v/>
      </c>
      <c r="F308" s="6" t="str">
        <f>IF($A308&lt;&gt;"",MAXIFS(#REF!,Token!$A:$A,$D308),)</f>
        <v/>
      </c>
    </row>
    <row r="309">
      <c r="A309" s="35" t="str">
        <f t="shared" si="1"/>
        <v/>
      </c>
      <c r="B309" s="22" t="str">
        <f t="shared" si="2"/>
        <v/>
      </c>
      <c r="C309" s="14" t="str">
        <f>IF($A309&lt;&gt;"",MINIFS(Merchant!$A:$A,Merchant!$B:$B,$G$2),)</f>
        <v/>
      </c>
      <c r="D309" s="14" t="str">
        <f t="shared" si="3"/>
        <v/>
      </c>
      <c r="E309" s="14" t="str">
        <f t="shared" si="4"/>
        <v/>
      </c>
      <c r="F309" s="6" t="str">
        <f>IF($A309&lt;&gt;"",MAXIFS(#REF!,Token!$A:$A,$D309),)</f>
        <v/>
      </c>
    </row>
    <row r="310">
      <c r="A310" s="35" t="str">
        <f t="shared" si="1"/>
        <v/>
      </c>
      <c r="B310" s="22" t="str">
        <f t="shared" si="2"/>
        <v/>
      </c>
      <c r="C310" s="14" t="str">
        <f>IF($A310&lt;&gt;"",MINIFS(Merchant!$A:$A,Merchant!$B:$B,$G$2),)</f>
        <v/>
      </c>
      <c r="D310" s="14" t="str">
        <f t="shared" si="3"/>
        <v/>
      </c>
      <c r="E310" s="14" t="str">
        <f t="shared" si="4"/>
        <v/>
      </c>
      <c r="F310" s="6" t="str">
        <f>IF($A310&lt;&gt;"",MAXIFS(#REF!,Token!$A:$A,$D310),)</f>
        <v/>
      </c>
    </row>
    <row r="311">
      <c r="A311" s="35" t="str">
        <f t="shared" si="1"/>
        <v/>
      </c>
      <c r="B311" s="22" t="str">
        <f t="shared" si="2"/>
        <v/>
      </c>
      <c r="C311" s="14" t="str">
        <f>IF($A311&lt;&gt;"",MINIFS(Merchant!$A:$A,Merchant!$B:$B,$G$2),)</f>
        <v/>
      </c>
      <c r="D311" s="14" t="str">
        <f t="shared" si="3"/>
        <v/>
      </c>
      <c r="E311" s="14" t="str">
        <f t="shared" si="4"/>
        <v/>
      </c>
      <c r="F311" s="6" t="str">
        <f>IF($A311&lt;&gt;"",MAXIFS(#REF!,Token!$A:$A,$D311),)</f>
        <v/>
      </c>
    </row>
    <row r="312">
      <c r="A312" s="35" t="str">
        <f t="shared" si="1"/>
        <v/>
      </c>
      <c r="B312" s="22" t="str">
        <f t="shared" si="2"/>
        <v/>
      </c>
      <c r="C312" s="14" t="str">
        <f>IF($A312&lt;&gt;"",MINIFS(Merchant!$A:$A,Merchant!$B:$B,$G$2),)</f>
        <v/>
      </c>
      <c r="D312" s="14" t="str">
        <f t="shared" si="3"/>
        <v/>
      </c>
      <c r="E312" s="14" t="str">
        <f t="shared" si="4"/>
        <v/>
      </c>
      <c r="F312" s="6" t="str">
        <f>IF($A312&lt;&gt;"",MAXIFS(#REF!,Token!$A:$A,$D312),)</f>
        <v/>
      </c>
    </row>
    <row r="313">
      <c r="A313" s="35" t="str">
        <f t="shared" si="1"/>
        <v/>
      </c>
      <c r="B313" s="22" t="str">
        <f t="shared" si="2"/>
        <v/>
      </c>
      <c r="C313" s="14" t="str">
        <f>IF($A313&lt;&gt;"",MINIFS(Merchant!$A:$A,Merchant!$B:$B,$G$2),)</f>
        <v/>
      </c>
      <c r="D313" s="14" t="str">
        <f t="shared" si="3"/>
        <v/>
      </c>
      <c r="E313" s="14" t="str">
        <f t="shared" si="4"/>
        <v/>
      </c>
      <c r="F313" s="6" t="str">
        <f>IF($A313&lt;&gt;"",MAXIFS(#REF!,Token!$A:$A,$D313),)</f>
        <v/>
      </c>
    </row>
    <row r="314">
      <c r="A314" s="35" t="str">
        <f t="shared" si="1"/>
        <v/>
      </c>
      <c r="B314" s="22" t="str">
        <f t="shared" si="2"/>
        <v/>
      </c>
      <c r="C314" s="14" t="str">
        <f>IF($A314&lt;&gt;"",MINIFS(Merchant!$A:$A,Merchant!$B:$B,$G$2),)</f>
        <v/>
      </c>
      <c r="D314" s="14" t="str">
        <f t="shared" si="3"/>
        <v/>
      </c>
      <c r="E314" s="14" t="str">
        <f t="shared" si="4"/>
        <v/>
      </c>
      <c r="F314" s="6" t="str">
        <f>IF($A314&lt;&gt;"",MAXIFS(#REF!,Token!$A:$A,$D314),)</f>
        <v/>
      </c>
    </row>
    <row r="315">
      <c r="A315" s="35" t="str">
        <f t="shared" si="1"/>
        <v/>
      </c>
      <c r="B315" s="22" t="str">
        <f t="shared" si="2"/>
        <v/>
      </c>
      <c r="C315" s="14" t="str">
        <f>IF($A315&lt;&gt;"",MINIFS(Merchant!$A:$A,Merchant!$B:$B,$G$2),)</f>
        <v/>
      </c>
      <c r="D315" s="14" t="str">
        <f t="shared" si="3"/>
        <v/>
      </c>
      <c r="E315" s="14" t="str">
        <f t="shared" si="4"/>
        <v/>
      </c>
      <c r="F315" s="6" t="str">
        <f>IF($A315&lt;&gt;"",MAXIFS(#REF!,Token!$A:$A,$D315),)</f>
        <v/>
      </c>
    </row>
    <row r="316">
      <c r="A316" s="35" t="str">
        <f t="shared" si="1"/>
        <v/>
      </c>
      <c r="B316" s="22" t="str">
        <f t="shared" si="2"/>
        <v/>
      </c>
      <c r="C316" s="14" t="str">
        <f>IF($A316&lt;&gt;"",MINIFS(Merchant!$A:$A,Merchant!$B:$B,$G$2),)</f>
        <v/>
      </c>
      <c r="D316" s="14" t="str">
        <f t="shared" si="3"/>
        <v/>
      </c>
      <c r="E316" s="14" t="str">
        <f t="shared" si="4"/>
        <v/>
      </c>
      <c r="F316" s="6" t="str">
        <f>IF($A316&lt;&gt;"",MAXIFS(#REF!,Token!$A:$A,$D316),)</f>
        <v/>
      </c>
    </row>
    <row r="317">
      <c r="A317" s="35" t="str">
        <f t="shared" si="1"/>
        <v/>
      </c>
      <c r="B317" s="22" t="str">
        <f t="shared" si="2"/>
        <v/>
      </c>
      <c r="C317" s="14" t="str">
        <f>IF($A317&lt;&gt;"",MINIFS(Merchant!$A:$A,Merchant!$B:$B,$G$2),)</f>
        <v/>
      </c>
      <c r="D317" s="14" t="str">
        <f t="shared" si="3"/>
        <v/>
      </c>
      <c r="E317" s="14" t="str">
        <f t="shared" si="4"/>
        <v/>
      </c>
      <c r="F317" s="6" t="str">
        <f>IF($A317&lt;&gt;"",MAXIFS(#REF!,Token!$A:$A,$D317),)</f>
        <v/>
      </c>
    </row>
    <row r="318">
      <c r="A318" s="35" t="str">
        <f t="shared" si="1"/>
        <v/>
      </c>
      <c r="B318" s="22" t="str">
        <f t="shared" si="2"/>
        <v/>
      </c>
      <c r="C318" s="14" t="str">
        <f>IF($A318&lt;&gt;"",MINIFS(Merchant!$A:$A,Merchant!$B:$B,$G$2),)</f>
        <v/>
      </c>
      <c r="D318" s="14" t="str">
        <f t="shared" si="3"/>
        <v/>
      </c>
      <c r="E318" s="14" t="str">
        <f t="shared" si="4"/>
        <v/>
      </c>
      <c r="F318" s="6" t="str">
        <f>IF($A318&lt;&gt;"",MAXIFS(#REF!,Token!$A:$A,$D318),)</f>
        <v/>
      </c>
    </row>
    <row r="319">
      <c r="A319" s="35" t="str">
        <f t="shared" si="1"/>
        <v/>
      </c>
      <c r="B319" s="22" t="str">
        <f t="shared" si="2"/>
        <v/>
      </c>
      <c r="C319" s="14" t="str">
        <f>IF($A319&lt;&gt;"",MINIFS(Merchant!$A:$A,Merchant!$B:$B,$G$2),)</f>
        <v/>
      </c>
      <c r="D319" s="14" t="str">
        <f t="shared" si="3"/>
        <v/>
      </c>
      <c r="E319" s="14" t="str">
        <f t="shared" si="4"/>
        <v/>
      </c>
      <c r="F319" s="6" t="str">
        <f>IF($A319&lt;&gt;"",MAXIFS(#REF!,Token!$A:$A,$D319),)</f>
        <v/>
      </c>
    </row>
    <row r="320">
      <c r="A320" s="35" t="str">
        <f t="shared" si="1"/>
        <v/>
      </c>
      <c r="B320" s="22" t="str">
        <f t="shared" si="2"/>
        <v/>
      </c>
      <c r="C320" s="14" t="str">
        <f>IF($A320&lt;&gt;"",MINIFS(Merchant!$A:$A,Merchant!$B:$B,$G$2),)</f>
        <v/>
      </c>
      <c r="D320" s="14" t="str">
        <f t="shared" si="3"/>
        <v/>
      </c>
      <c r="E320" s="14" t="str">
        <f t="shared" si="4"/>
        <v/>
      </c>
      <c r="F320" s="6" t="str">
        <f>IF($A320&lt;&gt;"",MAXIFS(#REF!,Token!$A:$A,$D320),)</f>
        <v/>
      </c>
    </row>
    <row r="321">
      <c r="A321" s="35" t="str">
        <f t="shared" si="1"/>
        <v/>
      </c>
      <c r="B321" s="22" t="str">
        <f t="shared" si="2"/>
        <v/>
      </c>
      <c r="C321" s="14" t="str">
        <f>IF($A321&lt;&gt;"",MINIFS(Merchant!$A:$A,Merchant!$B:$B,$G$2),)</f>
        <v/>
      </c>
      <c r="D321" s="14" t="str">
        <f t="shared" si="3"/>
        <v/>
      </c>
      <c r="E321" s="14" t="str">
        <f t="shared" si="4"/>
        <v/>
      </c>
      <c r="F321" s="6" t="str">
        <f>IF($A321&lt;&gt;"",MAXIFS(#REF!,Token!$A:$A,$D321),)</f>
        <v/>
      </c>
    </row>
    <row r="322">
      <c r="A322" s="35" t="str">
        <f t="shared" si="1"/>
        <v/>
      </c>
      <c r="B322" s="22" t="str">
        <f t="shared" si="2"/>
        <v/>
      </c>
      <c r="C322" s="14" t="str">
        <f>IF($A322&lt;&gt;"",MINIFS(Merchant!$A:$A,Merchant!$B:$B,$G$2),)</f>
        <v/>
      </c>
      <c r="D322" s="14" t="str">
        <f t="shared" si="3"/>
        <v/>
      </c>
      <c r="E322" s="14" t="str">
        <f t="shared" si="4"/>
        <v/>
      </c>
      <c r="F322" s="6" t="str">
        <f>IF($A322&lt;&gt;"",MAXIFS(#REF!,Token!$A:$A,$D322),)</f>
        <v/>
      </c>
    </row>
    <row r="323">
      <c r="A323" s="35" t="str">
        <f t="shared" si="1"/>
        <v/>
      </c>
      <c r="B323" s="22" t="str">
        <f t="shared" si="2"/>
        <v/>
      </c>
      <c r="C323" s="14" t="str">
        <f>IF($A323&lt;&gt;"",MINIFS(Merchant!$A:$A,Merchant!$B:$B,$G$2),)</f>
        <v/>
      </c>
      <c r="D323" s="14" t="str">
        <f t="shared" si="3"/>
        <v/>
      </c>
      <c r="E323" s="14" t="str">
        <f t="shared" si="4"/>
        <v/>
      </c>
      <c r="F323" s="6" t="str">
        <f>IF($A323&lt;&gt;"",MAXIFS(#REF!,Token!$A:$A,$D323),)</f>
        <v/>
      </c>
    </row>
    <row r="324">
      <c r="A324" s="35" t="str">
        <f t="shared" si="1"/>
        <v/>
      </c>
      <c r="B324" s="22" t="str">
        <f t="shared" si="2"/>
        <v/>
      </c>
      <c r="C324" s="14" t="str">
        <f>IF($A324&lt;&gt;"",MINIFS(Merchant!$A:$A,Merchant!$B:$B,$G$2),)</f>
        <v/>
      </c>
      <c r="D324" s="14" t="str">
        <f t="shared" si="3"/>
        <v/>
      </c>
      <c r="E324" s="14" t="str">
        <f t="shared" si="4"/>
        <v/>
      </c>
      <c r="F324" s="6" t="str">
        <f>IF($A324&lt;&gt;"",MAXIFS(#REF!,Token!$A:$A,$D324),)</f>
        <v/>
      </c>
    </row>
    <row r="325">
      <c r="A325" s="35" t="str">
        <f t="shared" si="1"/>
        <v/>
      </c>
      <c r="B325" s="22" t="str">
        <f t="shared" si="2"/>
        <v/>
      </c>
      <c r="C325" s="14" t="str">
        <f>IF($A325&lt;&gt;"",MINIFS(Merchant!$A:$A,Merchant!$B:$B,$G$2),)</f>
        <v/>
      </c>
      <c r="D325" s="14" t="str">
        <f t="shared" si="3"/>
        <v/>
      </c>
      <c r="E325" s="14" t="str">
        <f t="shared" si="4"/>
        <v/>
      </c>
      <c r="F325" s="6" t="str">
        <f>IF($A325&lt;&gt;"",MAXIFS(#REF!,Token!$A:$A,$D325),)</f>
        <v/>
      </c>
    </row>
    <row r="326">
      <c r="A326" s="35" t="str">
        <f t="shared" si="1"/>
        <v/>
      </c>
      <c r="B326" s="22" t="str">
        <f t="shared" si="2"/>
        <v/>
      </c>
      <c r="C326" s="14" t="str">
        <f>IF($A326&lt;&gt;"",MINIFS(Merchant!$A:$A,Merchant!$B:$B,$G$2),)</f>
        <v/>
      </c>
      <c r="D326" s="14" t="str">
        <f t="shared" si="3"/>
        <v/>
      </c>
      <c r="E326" s="14" t="str">
        <f t="shared" si="4"/>
        <v/>
      </c>
      <c r="F326" s="6" t="str">
        <f>IF($A326&lt;&gt;"",MAXIFS(#REF!,Token!$A:$A,$D326),)</f>
        <v/>
      </c>
    </row>
    <row r="327">
      <c r="A327" s="35" t="str">
        <f t="shared" si="1"/>
        <v/>
      </c>
      <c r="B327" s="22" t="str">
        <f t="shared" si="2"/>
        <v/>
      </c>
      <c r="C327" s="14" t="str">
        <f>IF($A327&lt;&gt;"",MINIFS(Merchant!$A:$A,Merchant!$B:$B,$G$2),)</f>
        <v/>
      </c>
      <c r="D327" s="14" t="str">
        <f t="shared" si="3"/>
        <v/>
      </c>
      <c r="E327" s="14" t="str">
        <f t="shared" si="4"/>
        <v/>
      </c>
      <c r="F327" s="6" t="str">
        <f>IF($A327&lt;&gt;"",MAXIFS(#REF!,Token!$A:$A,$D327),)</f>
        <v/>
      </c>
    </row>
    <row r="328">
      <c r="A328" s="35" t="str">
        <f t="shared" si="1"/>
        <v/>
      </c>
      <c r="B328" s="22" t="str">
        <f t="shared" si="2"/>
        <v/>
      </c>
      <c r="C328" s="14" t="str">
        <f>IF($A328&lt;&gt;"",MINIFS(Merchant!$A:$A,Merchant!$B:$B,$G$2),)</f>
        <v/>
      </c>
      <c r="D328" s="14" t="str">
        <f t="shared" si="3"/>
        <v/>
      </c>
      <c r="E328" s="14" t="str">
        <f t="shared" si="4"/>
        <v/>
      </c>
      <c r="F328" s="6" t="str">
        <f>IF($A328&lt;&gt;"",MAXIFS(#REF!,Token!$A:$A,$D328),)</f>
        <v/>
      </c>
    </row>
    <row r="329">
      <c r="A329" s="35" t="str">
        <f t="shared" si="1"/>
        <v/>
      </c>
      <c r="B329" s="22" t="str">
        <f t="shared" si="2"/>
        <v/>
      </c>
      <c r="C329" s="14" t="str">
        <f>IF($A329&lt;&gt;"",MINIFS(Merchant!$A:$A,Merchant!$B:$B,$G$2),)</f>
        <v/>
      </c>
      <c r="D329" s="14" t="str">
        <f t="shared" si="3"/>
        <v/>
      </c>
      <c r="E329" s="14" t="str">
        <f t="shared" si="4"/>
        <v/>
      </c>
      <c r="F329" s="6" t="str">
        <f>IF($A329&lt;&gt;"",MAXIFS(#REF!,Token!$A:$A,$D329),)</f>
        <v/>
      </c>
    </row>
    <row r="330">
      <c r="A330" s="35" t="str">
        <f t="shared" si="1"/>
        <v/>
      </c>
      <c r="B330" s="22" t="str">
        <f t="shared" si="2"/>
        <v/>
      </c>
      <c r="C330" s="14" t="str">
        <f>IF($A330&lt;&gt;"",MINIFS(Merchant!$A:$A,Merchant!$B:$B,$G$2),)</f>
        <v/>
      </c>
      <c r="D330" s="14" t="str">
        <f t="shared" si="3"/>
        <v/>
      </c>
      <c r="E330" s="14" t="str">
        <f t="shared" si="4"/>
        <v/>
      </c>
      <c r="F330" s="6" t="str">
        <f>IF($A330&lt;&gt;"",MAXIFS(#REF!,Token!$A:$A,$D330),)</f>
        <v/>
      </c>
    </row>
    <row r="331">
      <c r="A331" s="35" t="str">
        <f t="shared" si="1"/>
        <v/>
      </c>
      <c r="B331" s="22" t="str">
        <f t="shared" si="2"/>
        <v/>
      </c>
      <c r="C331" s="14" t="str">
        <f>IF($A331&lt;&gt;"",MINIFS(Merchant!$A:$A,Merchant!$B:$B,$G$2),)</f>
        <v/>
      </c>
      <c r="D331" s="14" t="str">
        <f t="shared" si="3"/>
        <v/>
      </c>
      <c r="E331" s="14" t="str">
        <f t="shared" si="4"/>
        <v/>
      </c>
      <c r="F331" s="6" t="str">
        <f>IF($A331&lt;&gt;"",MAXIFS(#REF!,Token!$A:$A,$D331),)</f>
        <v/>
      </c>
    </row>
    <row r="332">
      <c r="A332" s="35" t="str">
        <f t="shared" si="1"/>
        <v/>
      </c>
      <c r="B332" s="22" t="str">
        <f t="shared" si="2"/>
        <v/>
      </c>
      <c r="C332" s="14" t="str">
        <f>IF($A332&lt;&gt;"",MINIFS(Merchant!$A:$A,Merchant!$B:$B,$G$2),)</f>
        <v/>
      </c>
      <c r="D332" s="14" t="str">
        <f t="shared" si="3"/>
        <v/>
      </c>
      <c r="E332" s="14" t="str">
        <f t="shared" si="4"/>
        <v/>
      </c>
      <c r="F332" s="6" t="str">
        <f>IF($A332&lt;&gt;"",MAXIFS(#REF!,Token!$A:$A,$D332),)</f>
        <v/>
      </c>
    </row>
    <row r="333">
      <c r="A333" s="35" t="str">
        <f t="shared" si="1"/>
        <v/>
      </c>
      <c r="B333" s="22" t="str">
        <f t="shared" si="2"/>
        <v/>
      </c>
      <c r="C333" s="14" t="str">
        <f>IF($A333&lt;&gt;"",MINIFS(Merchant!$A:$A,Merchant!$B:$B,$G$2),)</f>
        <v/>
      </c>
      <c r="D333" s="14" t="str">
        <f t="shared" si="3"/>
        <v/>
      </c>
      <c r="E333" s="14" t="str">
        <f t="shared" si="4"/>
        <v/>
      </c>
      <c r="F333" s="6" t="str">
        <f>IF($A333&lt;&gt;"",MAXIFS(#REF!,Token!$A:$A,$D333),)</f>
        <v/>
      </c>
    </row>
    <row r="334">
      <c r="A334" s="35" t="str">
        <f t="shared" si="1"/>
        <v/>
      </c>
      <c r="B334" s="22" t="str">
        <f t="shared" si="2"/>
        <v/>
      </c>
      <c r="C334" s="14" t="str">
        <f>IF($A334&lt;&gt;"",MINIFS(Merchant!$A:$A,Merchant!$B:$B,$G$2),)</f>
        <v/>
      </c>
      <c r="D334" s="14" t="str">
        <f t="shared" si="3"/>
        <v/>
      </c>
      <c r="E334" s="14" t="str">
        <f t="shared" si="4"/>
        <v/>
      </c>
      <c r="F334" s="6" t="str">
        <f>IF($A334&lt;&gt;"",MAXIFS(#REF!,Token!$A:$A,$D334),)</f>
        <v/>
      </c>
    </row>
    <row r="335">
      <c r="A335" s="35" t="str">
        <f t="shared" si="1"/>
        <v/>
      </c>
      <c r="B335" s="22" t="str">
        <f t="shared" si="2"/>
        <v/>
      </c>
      <c r="C335" s="14" t="str">
        <f>IF($A335&lt;&gt;"",MINIFS(Merchant!$A:$A,Merchant!$B:$B,$G$2),)</f>
        <v/>
      </c>
      <c r="D335" s="14" t="str">
        <f t="shared" si="3"/>
        <v/>
      </c>
      <c r="E335" s="14" t="str">
        <f t="shared" si="4"/>
        <v/>
      </c>
      <c r="F335" s="6" t="str">
        <f>IF($A335&lt;&gt;"",MAXIFS(#REF!,Token!$A:$A,$D335),)</f>
        <v/>
      </c>
    </row>
    <row r="336">
      <c r="A336" s="35" t="str">
        <f t="shared" si="1"/>
        <v/>
      </c>
      <c r="B336" s="22" t="str">
        <f t="shared" si="2"/>
        <v/>
      </c>
      <c r="C336" s="14" t="str">
        <f>IF($A336&lt;&gt;"",MINIFS(Merchant!$A:$A,Merchant!$B:$B,$G$2),)</f>
        <v/>
      </c>
      <c r="D336" s="14" t="str">
        <f t="shared" si="3"/>
        <v/>
      </c>
      <c r="E336" s="14" t="str">
        <f t="shared" si="4"/>
        <v/>
      </c>
      <c r="F336" s="6" t="str">
        <f>IF($A336&lt;&gt;"",MAXIFS(#REF!,Token!$A:$A,$D336),)</f>
        <v/>
      </c>
    </row>
    <row r="337">
      <c r="A337" s="35" t="str">
        <f t="shared" si="1"/>
        <v/>
      </c>
      <c r="B337" s="22" t="str">
        <f t="shared" si="2"/>
        <v/>
      </c>
      <c r="C337" s="14" t="str">
        <f>IF($A337&lt;&gt;"",MINIFS(Merchant!$A:$A,Merchant!$B:$B,$G$2),)</f>
        <v/>
      </c>
      <c r="D337" s="14" t="str">
        <f t="shared" si="3"/>
        <v/>
      </c>
      <c r="E337" s="14" t="str">
        <f t="shared" si="4"/>
        <v/>
      </c>
      <c r="F337" s="6" t="str">
        <f>IF($A337&lt;&gt;"",MAXIFS(#REF!,Token!$A:$A,$D337),)</f>
        <v/>
      </c>
    </row>
    <row r="338">
      <c r="A338" s="35" t="str">
        <f t="shared" si="1"/>
        <v/>
      </c>
      <c r="B338" s="22" t="str">
        <f t="shared" si="2"/>
        <v/>
      </c>
      <c r="C338" s="14" t="str">
        <f>IF($A338&lt;&gt;"",MINIFS(Merchant!$A:$A,Merchant!$B:$B,$G$2),)</f>
        <v/>
      </c>
      <c r="D338" s="14" t="str">
        <f t="shared" si="3"/>
        <v/>
      </c>
      <c r="E338" s="14" t="str">
        <f t="shared" si="4"/>
        <v/>
      </c>
      <c r="F338" s="6" t="str">
        <f>IF($A338&lt;&gt;"",MAXIFS(#REF!,Token!$A:$A,$D338),)</f>
        <v/>
      </c>
    </row>
    <row r="339">
      <c r="A339" s="35" t="str">
        <f t="shared" si="1"/>
        <v/>
      </c>
      <c r="B339" s="22" t="str">
        <f t="shared" si="2"/>
        <v/>
      </c>
      <c r="C339" s="14" t="str">
        <f>IF($A339&lt;&gt;"",MINIFS(Merchant!$A:$A,Merchant!$B:$B,$G$2),)</f>
        <v/>
      </c>
      <c r="D339" s="14" t="str">
        <f t="shared" si="3"/>
        <v/>
      </c>
      <c r="E339" s="14" t="str">
        <f t="shared" si="4"/>
        <v/>
      </c>
      <c r="F339" s="6" t="str">
        <f>IF($A339&lt;&gt;"",MAXIFS(#REF!,Token!$A:$A,$D339),)</f>
        <v/>
      </c>
    </row>
    <row r="340">
      <c r="A340" s="35" t="str">
        <f t="shared" si="1"/>
        <v/>
      </c>
      <c r="B340" s="22" t="str">
        <f t="shared" si="2"/>
        <v/>
      </c>
      <c r="C340" s="14" t="str">
        <f>IF($A340&lt;&gt;"",MINIFS(Merchant!$A:$A,Merchant!$B:$B,$G$2),)</f>
        <v/>
      </c>
      <c r="D340" s="14" t="str">
        <f t="shared" si="3"/>
        <v/>
      </c>
      <c r="E340" s="14" t="str">
        <f t="shared" si="4"/>
        <v/>
      </c>
      <c r="F340" s="6" t="str">
        <f>IF($A340&lt;&gt;"",MAXIFS(#REF!,Token!$A:$A,$D340),)</f>
        <v/>
      </c>
    </row>
    <row r="341">
      <c r="A341" s="35" t="str">
        <f t="shared" si="1"/>
        <v/>
      </c>
      <c r="B341" s="22" t="str">
        <f t="shared" si="2"/>
        <v/>
      </c>
      <c r="C341" s="14" t="str">
        <f>IF($A341&lt;&gt;"",MINIFS(Merchant!$A:$A,Merchant!$B:$B,$G$2),)</f>
        <v/>
      </c>
      <c r="D341" s="14" t="str">
        <f t="shared" si="3"/>
        <v/>
      </c>
      <c r="E341" s="14" t="str">
        <f t="shared" si="4"/>
        <v/>
      </c>
      <c r="F341" s="6" t="str">
        <f>IF($A341&lt;&gt;"",MAXIFS(#REF!,Token!$A:$A,$D341),)</f>
        <v/>
      </c>
    </row>
    <row r="342">
      <c r="A342" s="35" t="str">
        <f t="shared" si="1"/>
        <v/>
      </c>
      <c r="B342" s="22" t="str">
        <f t="shared" si="2"/>
        <v/>
      </c>
      <c r="C342" s="14" t="str">
        <f>IF($A342&lt;&gt;"",MINIFS(Merchant!$A:$A,Merchant!$B:$B,$G$2),)</f>
        <v/>
      </c>
      <c r="D342" s="14" t="str">
        <f t="shared" si="3"/>
        <v/>
      </c>
      <c r="E342" s="14" t="str">
        <f t="shared" si="4"/>
        <v/>
      </c>
      <c r="F342" s="6" t="str">
        <f>IF($A342&lt;&gt;"",MAXIFS(#REF!,Token!$A:$A,$D342),)</f>
        <v/>
      </c>
    </row>
    <row r="343">
      <c r="A343" s="35" t="str">
        <f t="shared" si="1"/>
        <v/>
      </c>
      <c r="B343" s="22" t="str">
        <f t="shared" si="2"/>
        <v/>
      </c>
      <c r="C343" s="14" t="str">
        <f>IF($A343&lt;&gt;"",MINIFS(Merchant!$A:$A,Merchant!$B:$B,$G$2),)</f>
        <v/>
      </c>
      <c r="D343" s="14" t="str">
        <f t="shared" si="3"/>
        <v/>
      </c>
      <c r="E343" s="14" t="str">
        <f t="shared" si="4"/>
        <v/>
      </c>
      <c r="F343" s="6" t="str">
        <f>IF($A343&lt;&gt;"",MAXIFS(#REF!,Token!$A:$A,$D343),)</f>
        <v/>
      </c>
    </row>
    <row r="344">
      <c r="A344" s="35" t="str">
        <f t="shared" si="1"/>
        <v/>
      </c>
      <c r="B344" s="22" t="str">
        <f t="shared" si="2"/>
        <v/>
      </c>
      <c r="C344" s="14" t="str">
        <f>IF($A344&lt;&gt;"",MINIFS(Merchant!$A:$A,Merchant!$B:$B,$G$2),)</f>
        <v/>
      </c>
      <c r="D344" s="14" t="str">
        <f t="shared" si="3"/>
        <v/>
      </c>
      <c r="E344" s="14" t="str">
        <f t="shared" si="4"/>
        <v/>
      </c>
      <c r="F344" s="6" t="str">
        <f>IF($A344&lt;&gt;"",MAXIFS(#REF!,Token!$A:$A,$D344),)</f>
        <v/>
      </c>
    </row>
    <row r="345">
      <c r="A345" s="35" t="str">
        <f t="shared" si="1"/>
        <v/>
      </c>
      <c r="B345" s="22" t="str">
        <f t="shared" si="2"/>
        <v/>
      </c>
      <c r="C345" s="14" t="str">
        <f>IF($A345&lt;&gt;"",MINIFS(Merchant!$A:$A,Merchant!$B:$B,$G$2),)</f>
        <v/>
      </c>
      <c r="D345" s="14" t="str">
        <f t="shared" si="3"/>
        <v/>
      </c>
      <c r="E345" s="14" t="str">
        <f t="shared" si="4"/>
        <v/>
      </c>
      <c r="F345" s="6" t="str">
        <f>IF($A345&lt;&gt;"",MAXIFS(#REF!,Token!$A:$A,$D345),)</f>
        <v/>
      </c>
    </row>
    <row r="346">
      <c r="A346" s="35" t="str">
        <f t="shared" si="1"/>
        <v/>
      </c>
      <c r="B346" s="22" t="str">
        <f t="shared" si="2"/>
        <v/>
      </c>
      <c r="C346" s="14" t="str">
        <f>IF($A346&lt;&gt;"",MINIFS(Merchant!$A:$A,Merchant!$B:$B,$G$2),)</f>
        <v/>
      </c>
      <c r="D346" s="14" t="str">
        <f t="shared" si="3"/>
        <v/>
      </c>
      <c r="E346" s="14" t="str">
        <f t="shared" si="4"/>
        <v/>
      </c>
      <c r="F346" s="6" t="str">
        <f>IF($A346&lt;&gt;"",MAXIFS(#REF!,Token!$A:$A,$D346),)</f>
        <v/>
      </c>
    </row>
    <row r="347">
      <c r="A347" s="35" t="str">
        <f t="shared" si="1"/>
        <v/>
      </c>
      <c r="B347" s="22" t="str">
        <f t="shared" si="2"/>
        <v/>
      </c>
      <c r="C347" s="14" t="str">
        <f>IF($A347&lt;&gt;"",MINIFS(Merchant!$A:$A,Merchant!$B:$B,$G$2),)</f>
        <v/>
      </c>
      <c r="D347" s="14" t="str">
        <f t="shared" si="3"/>
        <v/>
      </c>
      <c r="E347" s="14" t="str">
        <f t="shared" si="4"/>
        <v/>
      </c>
      <c r="F347" s="6" t="str">
        <f>IF($A347&lt;&gt;"",MAXIFS(#REF!,Token!$A:$A,$D347),)</f>
        <v/>
      </c>
    </row>
    <row r="348">
      <c r="A348" s="35" t="str">
        <f t="shared" si="1"/>
        <v/>
      </c>
      <c r="B348" s="22" t="str">
        <f t="shared" si="2"/>
        <v/>
      </c>
      <c r="C348" s="14" t="str">
        <f>IF($A348&lt;&gt;"",MINIFS(Merchant!$A:$A,Merchant!$B:$B,$G$2),)</f>
        <v/>
      </c>
      <c r="D348" s="14" t="str">
        <f t="shared" si="3"/>
        <v/>
      </c>
      <c r="E348" s="14" t="str">
        <f t="shared" si="4"/>
        <v/>
      </c>
      <c r="F348" s="6" t="str">
        <f>IF($A348&lt;&gt;"",MAXIFS(#REF!,Token!$A:$A,$D348),)</f>
        <v/>
      </c>
    </row>
    <row r="349">
      <c r="A349" s="35" t="str">
        <f t="shared" si="1"/>
        <v/>
      </c>
      <c r="B349" s="22" t="str">
        <f t="shared" si="2"/>
        <v/>
      </c>
      <c r="C349" s="14" t="str">
        <f>IF($A349&lt;&gt;"",MINIFS(Merchant!$A:$A,Merchant!$B:$B,$G$2),)</f>
        <v/>
      </c>
      <c r="D349" s="14" t="str">
        <f t="shared" si="3"/>
        <v/>
      </c>
      <c r="E349" s="14" t="str">
        <f t="shared" si="4"/>
        <v/>
      </c>
      <c r="F349" s="6" t="str">
        <f>IF($A349&lt;&gt;"",MAXIFS(#REF!,Token!$A:$A,$D349),)</f>
        <v/>
      </c>
    </row>
    <row r="350">
      <c r="A350" s="35" t="str">
        <f t="shared" si="1"/>
        <v/>
      </c>
      <c r="B350" s="22" t="str">
        <f t="shared" si="2"/>
        <v/>
      </c>
      <c r="C350" s="14" t="str">
        <f>IF($A350&lt;&gt;"",MINIFS(Merchant!$A:$A,Merchant!$B:$B,$G$2),)</f>
        <v/>
      </c>
      <c r="D350" s="14" t="str">
        <f t="shared" si="3"/>
        <v/>
      </c>
      <c r="E350" s="14" t="str">
        <f t="shared" si="4"/>
        <v/>
      </c>
      <c r="F350" s="6" t="str">
        <f>IF($A350&lt;&gt;"",MAXIFS(#REF!,Token!$A:$A,$D350),)</f>
        <v/>
      </c>
    </row>
    <row r="351">
      <c r="A351" s="35" t="str">
        <f t="shared" si="1"/>
        <v/>
      </c>
      <c r="B351" s="22" t="str">
        <f t="shared" si="2"/>
        <v/>
      </c>
      <c r="C351" s="14" t="str">
        <f>IF($A351&lt;&gt;"",MINIFS(Merchant!$A:$A,Merchant!$B:$B,$G$2),)</f>
        <v/>
      </c>
      <c r="D351" s="14" t="str">
        <f t="shared" si="3"/>
        <v/>
      </c>
      <c r="E351" s="14" t="str">
        <f t="shared" si="4"/>
        <v/>
      </c>
      <c r="F351" s="6" t="str">
        <f>IF($A351&lt;&gt;"",MAXIFS(#REF!,Token!$A:$A,$D351),)</f>
        <v/>
      </c>
    </row>
    <row r="352">
      <c r="A352" s="35" t="str">
        <f t="shared" si="1"/>
        <v/>
      </c>
      <c r="B352" s="22" t="str">
        <f t="shared" si="2"/>
        <v/>
      </c>
      <c r="C352" s="14" t="str">
        <f>IF($A352&lt;&gt;"",MINIFS(Merchant!$A:$A,Merchant!$B:$B,$G$2),)</f>
        <v/>
      </c>
      <c r="D352" s="14" t="str">
        <f t="shared" si="3"/>
        <v/>
      </c>
      <c r="E352" s="14" t="str">
        <f t="shared" si="4"/>
        <v/>
      </c>
      <c r="F352" s="6" t="str">
        <f>IF($A352&lt;&gt;"",MAXIFS(#REF!,Token!$A:$A,$D352),)</f>
        <v/>
      </c>
    </row>
    <row r="353">
      <c r="A353" s="35" t="str">
        <f t="shared" si="1"/>
        <v/>
      </c>
      <c r="B353" s="22" t="str">
        <f t="shared" si="2"/>
        <v/>
      </c>
      <c r="C353" s="14" t="str">
        <f>IF($A353&lt;&gt;"",MINIFS(Merchant!$A:$A,Merchant!$B:$B,$G$2),)</f>
        <v/>
      </c>
      <c r="D353" s="14" t="str">
        <f t="shared" si="3"/>
        <v/>
      </c>
      <c r="E353" s="14" t="str">
        <f t="shared" si="4"/>
        <v/>
      </c>
      <c r="F353" s="6" t="str">
        <f>IF($A353&lt;&gt;"",MAXIFS(#REF!,Token!$A:$A,$D353),)</f>
        <v/>
      </c>
    </row>
    <row r="354">
      <c r="A354" s="35" t="str">
        <f t="shared" si="1"/>
        <v/>
      </c>
      <c r="B354" s="22" t="str">
        <f t="shared" si="2"/>
        <v/>
      </c>
      <c r="C354" s="14" t="str">
        <f>IF($A354&lt;&gt;"",MINIFS(Merchant!$A:$A,Merchant!$B:$B,$G$2),)</f>
        <v/>
      </c>
      <c r="D354" s="14" t="str">
        <f t="shared" si="3"/>
        <v/>
      </c>
      <c r="E354" s="14" t="str">
        <f t="shared" si="4"/>
        <v/>
      </c>
      <c r="F354" s="6" t="str">
        <f>IF($A354&lt;&gt;"",MAXIFS(#REF!,Token!$A:$A,$D354),)</f>
        <v/>
      </c>
    </row>
    <row r="355">
      <c r="A355" s="35" t="str">
        <f t="shared" si="1"/>
        <v/>
      </c>
      <c r="B355" s="22" t="str">
        <f t="shared" si="2"/>
        <v/>
      </c>
      <c r="C355" s="14" t="str">
        <f>IF($A355&lt;&gt;"",MINIFS(Merchant!$A:$A,Merchant!$B:$B,$G$2),)</f>
        <v/>
      </c>
      <c r="D355" s="14" t="str">
        <f t="shared" si="3"/>
        <v/>
      </c>
      <c r="E355" s="14" t="str">
        <f t="shared" si="4"/>
        <v/>
      </c>
      <c r="F355" s="6" t="str">
        <f>IF($A355&lt;&gt;"",MAXIFS(#REF!,Token!$A:$A,$D355),)</f>
        <v/>
      </c>
    </row>
    <row r="356">
      <c r="A356" s="35" t="str">
        <f t="shared" si="1"/>
        <v/>
      </c>
      <c r="B356" s="22" t="str">
        <f t="shared" si="2"/>
        <v/>
      </c>
      <c r="C356" s="14" t="str">
        <f>IF($A356&lt;&gt;"",MINIFS(Merchant!$A:$A,Merchant!$B:$B,$G$2),)</f>
        <v/>
      </c>
      <c r="D356" s="14" t="str">
        <f t="shared" si="3"/>
        <v/>
      </c>
      <c r="E356" s="14" t="str">
        <f t="shared" si="4"/>
        <v/>
      </c>
      <c r="F356" s="6" t="str">
        <f>IF($A356&lt;&gt;"",MAXIFS(#REF!,Token!$A:$A,$D356),)</f>
        <v/>
      </c>
    </row>
    <row r="357">
      <c r="A357" s="35" t="str">
        <f t="shared" si="1"/>
        <v/>
      </c>
      <c r="B357" s="22" t="str">
        <f t="shared" si="2"/>
        <v/>
      </c>
      <c r="C357" s="14" t="str">
        <f>IF($A357&lt;&gt;"",MINIFS(Merchant!$A:$A,Merchant!$B:$B,$G$2),)</f>
        <v/>
      </c>
      <c r="D357" s="14" t="str">
        <f t="shared" si="3"/>
        <v/>
      </c>
      <c r="E357" s="14" t="str">
        <f t="shared" si="4"/>
        <v/>
      </c>
      <c r="F357" s="6" t="str">
        <f>IF($A357&lt;&gt;"",MAXIFS(#REF!,Token!$A:$A,$D357),)</f>
        <v/>
      </c>
    </row>
    <row r="358">
      <c r="A358" s="35" t="str">
        <f t="shared" si="1"/>
        <v/>
      </c>
      <c r="B358" s="22" t="str">
        <f t="shared" si="2"/>
        <v/>
      </c>
      <c r="C358" s="14" t="str">
        <f>IF($A358&lt;&gt;"",MINIFS(Merchant!$A:$A,Merchant!$B:$B,$G$2),)</f>
        <v/>
      </c>
      <c r="D358" s="14" t="str">
        <f t="shared" si="3"/>
        <v/>
      </c>
      <c r="E358" s="14" t="str">
        <f t="shared" si="4"/>
        <v/>
      </c>
      <c r="F358" s="6" t="str">
        <f>IF($A358&lt;&gt;"",MAXIFS(#REF!,Token!$A:$A,$D358),)</f>
        <v/>
      </c>
    </row>
    <row r="359">
      <c r="A359" s="35" t="str">
        <f t="shared" si="1"/>
        <v/>
      </c>
      <c r="B359" s="22" t="str">
        <f t="shared" si="2"/>
        <v/>
      </c>
      <c r="C359" s="14" t="str">
        <f>IF($A359&lt;&gt;"",MINIFS(Merchant!$A:$A,Merchant!$B:$B,$G$2),)</f>
        <v/>
      </c>
      <c r="D359" s="14" t="str">
        <f t="shared" si="3"/>
        <v/>
      </c>
      <c r="E359" s="14" t="str">
        <f t="shared" si="4"/>
        <v/>
      </c>
      <c r="F359" s="6" t="str">
        <f>IF($A359&lt;&gt;"",MAXIFS(#REF!,Token!$A:$A,$D359),)</f>
        <v/>
      </c>
    </row>
    <row r="360">
      <c r="A360" s="35" t="str">
        <f t="shared" si="1"/>
        <v/>
      </c>
      <c r="B360" s="22" t="str">
        <f t="shared" si="2"/>
        <v/>
      </c>
      <c r="C360" s="14" t="str">
        <f>IF($A360&lt;&gt;"",MINIFS(Merchant!$A:$A,Merchant!$B:$B,$G$2),)</f>
        <v/>
      </c>
      <c r="D360" s="14" t="str">
        <f t="shared" si="3"/>
        <v/>
      </c>
      <c r="E360" s="14" t="str">
        <f t="shared" si="4"/>
        <v/>
      </c>
      <c r="F360" s="6" t="str">
        <f>IF($A360&lt;&gt;"",MAXIFS(#REF!,Token!$A:$A,$D360),)</f>
        <v/>
      </c>
    </row>
    <row r="361">
      <c r="A361" s="35" t="str">
        <f t="shared" si="1"/>
        <v/>
      </c>
      <c r="B361" s="22" t="str">
        <f t="shared" si="2"/>
        <v/>
      </c>
      <c r="C361" s="14" t="str">
        <f>IF($A361&lt;&gt;"",MINIFS(Merchant!$A:$A,Merchant!$B:$B,$G$2),)</f>
        <v/>
      </c>
      <c r="D361" s="14" t="str">
        <f t="shared" si="3"/>
        <v/>
      </c>
      <c r="E361" s="14" t="str">
        <f t="shared" si="4"/>
        <v/>
      </c>
      <c r="F361" s="6" t="str">
        <f>IF($A361&lt;&gt;"",MAXIFS(#REF!,Token!$A:$A,$D361),)</f>
        <v/>
      </c>
    </row>
    <row r="362">
      <c r="A362" s="35" t="str">
        <f t="shared" si="1"/>
        <v/>
      </c>
      <c r="B362" s="22" t="str">
        <f t="shared" si="2"/>
        <v/>
      </c>
      <c r="C362" s="14" t="str">
        <f>IF($A362&lt;&gt;"",MINIFS(Merchant!$A:$A,Merchant!$B:$B,$G$2),)</f>
        <v/>
      </c>
      <c r="D362" s="14" t="str">
        <f t="shared" si="3"/>
        <v/>
      </c>
      <c r="E362" s="14" t="str">
        <f t="shared" si="4"/>
        <v/>
      </c>
      <c r="F362" s="6" t="str">
        <f>IF($A362&lt;&gt;"",MAXIFS(#REF!,Token!$A:$A,$D362),)</f>
        <v/>
      </c>
    </row>
    <row r="363">
      <c r="A363" s="35" t="str">
        <f t="shared" si="1"/>
        <v/>
      </c>
      <c r="B363" s="22" t="str">
        <f t="shared" si="2"/>
        <v/>
      </c>
      <c r="C363" s="14" t="str">
        <f>IF($A363&lt;&gt;"",MINIFS(Merchant!$A:$A,Merchant!$B:$B,$G$2),)</f>
        <v/>
      </c>
      <c r="D363" s="14" t="str">
        <f t="shared" si="3"/>
        <v/>
      </c>
      <c r="E363" s="14" t="str">
        <f t="shared" si="4"/>
        <v/>
      </c>
      <c r="F363" s="6" t="str">
        <f>IF($A363&lt;&gt;"",MAXIFS(#REF!,Token!$A:$A,$D363),)</f>
        <v/>
      </c>
    </row>
    <row r="364">
      <c r="A364" s="35" t="str">
        <f t="shared" si="1"/>
        <v/>
      </c>
      <c r="B364" s="22" t="str">
        <f t="shared" si="2"/>
        <v/>
      </c>
      <c r="C364" s="14" t="str">
        <f>IF($A364&lt;&gt;"",MINIFS(Merchant!$A:$A,Merchant!$B:$B,$G$2),)</f>
        <v/>
      </c>
      <c r="D364" s="14" t="str">
        <f t="shared" si="3"/>
        <v/>
      </c>
      <c r="E364" s="14" t="str">
        <f t="shared" si="4"/>
        <v/>
      </c>
      <c r="F364" s="6" t="str">
        <f>IF($A364&lt;&gt;"",MAXIFS(#REF!,Token!$A:$A,$D364),)</f>
        <v/>
      </c>
    </row>
    <row r="365">
      <c r="A365" s="35" t="str">
        <f t="shared" si="1"/>
        <v/>
      </c>
      <c r="B365" s="22" t="str">
        <f t="shared" si="2"/>
        <v/>
      </c>
      <c r="C365" s="14" t="str">
        <f>IF($A365&lt;&gt;"",MINIFS(Merchant!$A:$A,Merchant!$B:$B,$G$2),)</f>
        <v/>
      </c>
      <c r="D365" s="14" t="str">
        <f t="shared" si="3"/>
        <v/>
      </c>
      <c r="E365" s="14" t="str">
        <f t="shared" si="4"/>
        <v/>
      </c>
      <c r="F365" s="6" t="str">
        <f>IF($A365&lt;&gt;"",MAXIFS(#REF!,Token!$A:$A,$D365),)</f>
        <v/>
      </c>
    </row>
    <row r="366">
      <c r="A366" s="35" t="str">
        <f t="shared" si="1"/>
        <v/>
      </c>
      <c r="B366" s="22" t="str">
        <f t="shared" si="2"/>
        <v/>
      </c>
      <c r="C366" s="14" t="str">
        <f>IF($A366&lt;&gt;"",MINIFS(Merchant!$A:$A,Merchant!$B:$B,$G$2),)</f>
        <v/>
      </c>
      <c r="D366" s="14" t="str">
        <f t="shared" si="3"/>
        <v/>
      </c>
      <c r="E366" s="14" t="str">
        <f t="shared" si="4"/>
        <v/>
      </c>
      <c r="F366" s="6" t="str">
        <f>IF($A366&lt;&gt;"",MAXIFS(#REF!,Token!$A:$A,$D366),)</f>
        <v/>
      </c>
    </row>
    <row r="367">
      <c r="A367" s="35" t="str">
        <f t="shared" si="1"/>
        <v/>
      </c>
      <c r="B367" s="22" t="str">
        <f t="shared" si="2"/>
        <v/>
      </c>
      <c r="C367" s="14" t="str">
        <f>IF($A367&lt;&gt;"",MINIFS(Merchant!$A:$A,Merchant!$B:$B,$G$2),)</f>
        <v/>
      </c>
      <c r="D367" s="14" t="str">
        <f t="shared" si="3"/>
        <v/>
      </c>
      <c r="E367" s="14" t="str">
        <f t="shared" si="4"/>
        <v/>
      </c>
      <c r="F367" s="6" t="str">
        <f>IF($A367&lt;&gt;"",MAXIFS(#REF!,Token!$A:$A,$D367),)</f>
        <v/>
      </c>
    </row>
    <row r="368">
      <c r="A368" s="35" t="str">
        <f t="shared" si="1"/>
        <v/>
      </c>
      <c r="B368" s="22" t="str">
        <f t="shared" si="2"/>
        <v/>
      </c>
      <c r="C368" s="14" t="str">
        <f>IF($A368&lt;&gt;"",MINIFS(Merchant!$A:$A,Merchant!$B:$B,$G$2),)</f>
        <v/>
      </c>
      <c r="D368" s="14" t="str">
        <f t="shared" si="3"/>
        <v/>
      </c>
      <c r="E368" s="14" t="str">
        <f t="shared" si="4"/>
        <v/>
      </c>
      <c r="F368" s="6" t="str">
        <f>IF($A368&lt;&gt;"",MAXIFS(#REF!,Token!$A:$A,$D368),)</f>
        <v/>
      </c>
    </row>
    <row r="369">
      <c r="A369" s="35" t="str">
        <f t="shared" si="1"/>
        <v/>
      </c>
      <c r="B369" s="22" t="str">
        <f t="shared" si="2"/>
        <v/>
      </c>
      <c r="C369" s="14" t="str">
        <f>IF($A369&lt;&gt;"",MINIFS(Merchant!$A:$A,Merchant!$B:$B,$G$2),)</f>
        <v/>
      </c>
      <c r="D369" s="14" t="str">
        <f t="shared" si="3"/>
        <v/>
      </c>
      <c r="E369" s="14" t="str">
        <f t="shared" si="4"/>
        <v/>
      </c>
      <c r="F369" s="6" t="str">
        <f>IF($A369&lt;&gt;"",MAXIFS(#REF!,Token!$A:$A,$D369),)</f>
        <v/>
      </c>
    </row>
    <row r="370">
      <c r="A370" s="35" t="str">
        <f t="shared" si="1"/>
        <v/>
      </c>
      <c r="B370" s="22" t="str">
        <f t="shared" si="2"/>
        <v/>
      </c>
      <c r="C370" s="14" t="str">
        <f>IF($A370&lt;&gt;"",MINIFS(Merchant!$A:$A,Merchant!$B:$B,$G$2),)</f>
        <v/>
      </c>
      <c r="D370" s="14" t="str">
        <f t="shared" si="3"/>
        <v/>
      </c>
      <c r="E370" s="14" t="str">
        <f t="shared" si="4"/>
        <v/>
      </c>
      <c r="F370" s="6" t="str">
        <f>IF($A370&lt;&gt;"",MAXIFS(#REF!,Token!$A:$A,$D370),)</f>
        <v/>
      </c>
    </row>
    <row r="371">
      <c r="A371" s="35" t="str">
        <f t="shared" si="1"/>
        <v/>
      </c>
      <c r="B371" s="22" t="str">
        <f t="shared" si="2"/>
        <v/>
      </c>
      <c r="C371" s="14" t="str">
        <f>IF($A371&lt;&gt;"",MINIFS(Merchant!$A:$A,Merchant!$B:$B,$G$2),)</f>
        <v/>
      </c>
      <c r="D371" s="14" t="str">
        <f t="shared" si="3"/>
        <v/>
      </c>
      <c r="E371" s="14" t="str">
        <f t="shared" si="4"/>
        <v/>
      </c>
      <c r="F371" s="6" t="str">
        <f>IF($A371&lt;&gt;"",MAXIFS(#REF!,Token!$A:$A,$D371),)</f>
        <v/>
      </c>
    </row>
    <row r="372">
      <c r="A372" s="35" t="str">
        <f t="shared" si="1"/>
        <v/>
      </c>
      <c r="B372" s="22" t="str">
        <f t="shared" si="2"/>
        <v/>
      </c>
      <c r="C372" s="14" t="str">
        <f>IF($A372&lt;&gt;"",MINIFS(Merchant!$A:$A,Merchant!$B:$B,$G$2),)</f>
        <v/>
      </c>
      <c r="D372" s="14" t="str">
        <f t="shared" si="3"/>
        <v/>
      </c>
      <c r="E372" s="14" t="str">
        <f t="shared" si="4"/>
        <v/>
      </c>
      <c r="F372" s="6" t="str">
        <f>IF($A372&lt;&gt;"",MAXIFS(#REF!,Token!$A:$A,$D372),)</f>
        <v/>
      </c>
    </row>
    <row r="373">
      <c r="A373" s="35" t="str">
        <f t="shared" si="1"/>
        <v/>
      </c>
      <c r="B373" s="22" t="str">
        <f t="shared" si="2"/>
        <v/>
      </c>
      <c r="C373" s="14" t="str">
        <f>IF($A373&lt;&gt;"",MINIFS(Merchant!$A:$A,Merchant!$B:$B,$G$2),)</f>
        <v/>
      </c>
      <c r="D373" s="14" t="str">
        <f t="shared" si="3"/>
        <v/>
      </c>
      <c r="E373" s="14" t="str">
        <f t="shared" si="4"/>
        <v/>
      </c>
      <c r="F373" s="6" t="str">
        <f>IF($A373&lt;&gt;"",MAXIFS(#REF!,Token!$A:$A,$D373),)</f>
        <v/>
      </c>
    </row>
    <row r="374">
      <c r="A374" s="35" t="str">
        <f t="shared" si="1"/>
        <v/>
      </c>
      <c r="B374" s="22" t="str">
        <f t="shared" si="2"/>
        <v/>
      </c>
      <c r="C374" s="14" t="str">
        <f>IF($A374&lt;&gt;"",MINIFS(Merchant!$A:$A,Merchant!$B:$B,$G$2),)</f>
        <v/>
      </c>
      <c r="D374" s="14" t="str">
        <f t="shared" si="3"/>
        <v/>
      </c>
      <c r="E374" s="14" t="str">
        <f t="shared" si="4"/>
        <v/>
      </c>
      <c r="F374" s="6" t="str">
        <f>IF($A374&lt;&gt;"",MAXIFS(#REF!,Token!$A:$A,$D374),)</f>
        <v/>
      </c>
    </row>
    <row r="375">
      <c r="A375" s="35" t="str">
        <f t="shared" si="1"/>
        <v/>
      </c>
      <c r="B375" s="22" t="str">
        <f t="shared" si="2"/>
        <v/>
      </c>
      <c r="C375" s="14" t="str">
        <f>IF($A375&lt;&gt;"",MINIFS(Merchant!$A:$A,Merchant!$B:$B,$G$2),)</f>
        <v/>
      </c>
      <c r="D375" s="14" t="str">
        <f t="shared" si="3"/>
        <v/>
      </c>
      <c r="E375" s="14" t="str">
        <f t="shared" si="4"/>
        <v/>
      </c>
      <c r="F375" s="6" t="str">
        <f>IF($A375&lt;&gt;"",MAXIFS(#REF!,Token!$A:$A,$D375),)</f>
        <v/>
      </c>
    </row>
    <row r="376">
      <c r="A376" s="35" t="str">
        <f t="shared" si="1"/>
        <v/>
      </c>
      <c r="B376" s="22" t="str">
        <f t="shared" si="2"/>
        <v/>
      </c>
      <c r="C376" s="14" t="str">
        <f>IF($A376&lt;&gt;"",MINIFS(Merchant!$A:$A,Merchant!$B:$B,$G$2),)</f>
        <v/>
      </c>
      <c r="D376" s="14" t="str">
        <f t="shared" si="3"/>
        <v/>
      </c>
      <c r="E376" s="14" t="str">
        <f t="shared" si="4"/>
        <v/>
      </c>
      <c r="F376" s="6" t="str">
        <f>IF($A376&lt;&gt;"",MAXIFS(#REF!,Token!$A:$A,$D376),)</f>
        <v/>
      </c>
    </row>
    <row r="377">
      <c r="A377" s="35" t="str">
        <f t="shared" si="1"/>
        <v/>
      </c>
      <c r="B377" s="22" t="str">
        <f t="shared" si="2"/>
        <v/>
      </c>
      <c r="C377" s="14" t="str">
        <f>IF($A377&lt;&gt;"",MINIFS(Merchant!$A:$A,Merchant!$B:$B,$G$2),)</f>
        <v/>
      </c>
      <c r="D377" s="14" t="str">
        <f t="shared" si="3"/>
        <v/>
      </c>
      <c r="E377" s="14" t="str">
        <f t="shared" si="4"/>
        <v/>
      </c>
      <c r="F377" s="6" t="str">
        <f>IF($A377&lt;&gt;"",MAXIFS(#REF!,Token!$A:$A,$D377),)</f>
        <v/>
      </c>
    </row>
    <row r="378">
      <c r="A378" s="35" t="str">
        <f t="shared" si="1"/>
        <v/>
      </c>
      <c r="B378" s="22" t="str">
        <f t="shared" si="2"/>
        <v/>
      </c>
      <c r="C378" s="14" t="str">
        <f>IF($A378&lt;&gt;"",MINIFS(Merchant!$A:$A,Merchant!$B:$B,$G$2),)</f>
        <v/>
      </c>
      <c r="D378" s="14" t="str">
        <f t="shared" si="3"/>
        <v/>
      </c>
      <c r="E378" s="14" t="str">
        <f t="shared" si="4"/>
        <v/>
      </c>
      <c r="F378" s="6" t="str">
        <f>IF($A378&lt;&gt;"",MAXIFS(#REF!,Token!$A:$A,$D378),)</f>
        <v/>
      </c>
    </row>
    <row r="379">
      <c r="A379" s="35" t="str">
        <f t="shared" si="1"/>
        <v/>
      </c>
      <c r="B379" s="22" t="str">
        <f t="shared" si="2"/>
        <v/>
      </c>
      <c r="C379" s="14" t="str">
        <f>IF($A379&lt;&gt;"",MINIFS(Merchant!$A:$A,Merchant!$B:$B,$G$2),)</f>
        <v/>
      </c>
      <c r="D379" s="14" t="str">
        <f t="shared" si="3"/>
        <v/>
      </c>
      <c r="E379" s="14" t="str">
        <f t="shared" si="4"/>
        <v/>
      </c>
      <c r="F379" s="6" t="str">
        <f>IF($A379&lt;&gt;"",MAXIFS(#REF!,Token!$A:$A,$D379),)</f>
        <v/>
      </c>
    </row>
    <row r="380">
      <c r="A380" s="35" t="str">
        <f t="shared" si="1"/>
        <v/>
      </c>
      <c r="B380" s="22" t="str">
        <f t="shared" si="2"/>
        <v/>
      </c>
      <c r="C380" s="14" t="str">
        <f>IF($A380&lt;&gt;"",MINIFS(Merchant!$A:$A,Merchant!$B:$B,$G$2),)</f>
        <v/>
      </c>
      <c r="D380" s="14" t="str">
        <f t="shared" si="3"/>
        <v/>
      </c>
      <c r="E380" s="14" t="str">
        <f t="shared" si="4"/>
        <v/>
      </c>
      <c r="F380" s="6" t="str">
        <f>IF($A380&lt;&gt;"",MAXIFS(#REF!,Token!$A:$A,$D380),)</f>
        <v/>
      </c>
    </row>
    <row r="381">
      <c r="A381" s="35" t="str">
        <f t="shared" si="1"/>
        <v/>
      </c>
      <c r="B381" s="22" t="str">
        <f t="shared" si="2"/>
        <v/>
      </c>
      <c r="C381" s="14" t="str">
        <f>IF($A381&lt;&gt;"",MINIFS(Merchant!$A:$A,Merchant!$B:$B,$G$2),)</f>
        <v/>
      </c>
      <c r="D381" s="14" t="str">
        <f t="shared" si="3"/>
        <v/>
      </c>
      <c r="E381" s="14" t="str">
        <f t="shared" si="4"/>
        <v/>
      </c>
      <c r="F381" s="6" t="str">
        <f>IF($A381&lt;&gt;"",MAXIFS(#REF!,Token!$A:$A,$D381),)</f>
        <v/>
      </c>
    </row>
    <row r="382">
      <c r="A382" s="35" t="str">
        <f t="shared" si="1"/>
        <v/>
      </c>
      <c r="B382" s="22" t="str">
        <f t="shared" si="2"/>
        <v/>
      </c>
      <c r="C382" s="14" t="str">
        <f>IF($A382&lt;&gt;"",MINIFS(Merchant!$A:$A,Merchant!$B:$B,$G$2),)</f>
        <v/>
      </c>
      <c r="D382" s="14" t="str">
        <f t="shared" si="3"/>
        <v/>
      </c>
      <c r="E382" s="14" t="str">
        <f t="shared" si="4"/>
        <v/>
      </c>
      <c r="F382" s="6" t="str">
        <f>IF($A382&lt;&gt;"",MAXIFS(#REF!,Token!$A:$A,$D382),)</f>
        <v/>
      </c>
    </row>
    <row r="383">
      <c r="A383" s="35" t="str">
        <f t="shared" si="1"/>
        <v/>
      </c>
      <c r="B383" s="22" t="str">
        <f t="shared" si="2"/>
        <v/>
      </c>
      <c r="C383" s="14" t="str">
        <f>IF($A383&lt;&gt;"",MINIFS(Merchant!$A:$A,Merchant!$B:$B,$G$2),)</f>
        <v/>
      </c>
      <c r="D383" s="14" t="str">
        <f t="shared" si="3"/>
        <v/>
      </c>
      <c r="E383" s="14" t="str">
        <f t="shared" si="4"/>
        <v/>
      </c>
      <c r="F383" s="6" t="str">
        <f>IF($A383&lt;&gt;"",MAXIFS(#REF!,Token!$A:$A,$D383),)</f>
        <v/>
      </c>
    </row>
    <row r="384">
      <c r="A384" s="35" t="str">
        <f t="shared" si="1"/>
        <v/>
      </c>
      <c r="B384" s="22" t="str">
        <f t="shared" si="2"/>
        <v/>
      </c>
      <c r="C384" s="14" t="str">
        <f>IF($A384&lt;&gt;"",MINIFS(Merchant!$A:$A,Merchant!$B:$B,$G$2),)</f>
        <v/>
      </c>
      <c r="D384" s="14" t="str">
        <f t="shared" si="3"/>
        <v/>
      </c>
      <c r="E384" s="14" t="str">
        <f t="shared" si="4"/>
        <v/>
      </c>
      <c r="F384" s="6" t="str">
        <f>IF($A384&lt;&gt;"",MAXIFS(#REF!,Token!$A:$A,$D384),)</f>
        <v/>
      </c>
    </row>
    <row r="385">
      <c r="A385" s="35" t="str">
        <f t="shared" si="1"/>
        <v/>
      </c>
      <c r="B385" s="22" t="str">
        <f t="shared" si="2"/>
        <v/>
      </c>
      <c r="C385" s="14" t="str">
        <f>IF($A385&lt;&gt;"",MINIFS(Merchant!$A:$A,Merchant!$B:$B,$G$2),)</f>
        <v/>
      </c>
      <c r="D385" s="14" t="str">
        <f t="shared" si="3"/>
        <v/>
      </c>
      <c r="E385" s="14" t="str">
        <f t="shared" si="4"/>
        <v/>
      </c>
      <c r="F385" s="6" t="str">
        <f>IF($A385&lt;&gt;"",MAXIFS(#REF!,Token!$A:$A,$D385),)</f>
        <v/>
      </c>
    </row>
    <row r="386">
      <c r="A386" s="35" t="str">
        <f t="shared" si="1"/>
        <v/>
      </c>
      <c r="B386" s="22" t="str">
        <f t="shared" si="2"/>
        <v/>
      </c>
      <c r="C386" s="14" t="str">
        <f>IF($A386&lt;&gt;"",MINIFS(Merchant!$A:$A,Merchant!$B:$B,$G$2),)</f>
        <v/>
      </c>
      <c r="D386" s="14" t="str">
        <f t="shared" si="3"/>
        <v/>
      </c>
      <c r="E386" s="14" t="str">
        <f t="shared" si="4"/>
        <v/>
      </c>
      <c r="F386" s="6" t="str">
        <f>IF($A386&lt;&gt;"",MAXIFS(#REF!,Token!$A:$A,$D386),)</f>
        <v/>
      </c>
    </row>
    <row r="387">
      <c r="A387" s="35" t="str">
        <f t="shared" si="1"/>
        <v/>
      </c>
      <c r="B387" s="22" t="str">
        <f t="shared" si="2"/>
        <v/>
      </c>
      <c r="C387" s="14" t="str">
        <f>IF($A387&lt;&gt;"",MINIFS(Merchant!$A:$A,Merchant!$B:$B,$G$2),)</f>
        <v/>
      </c>
      <c r="D387" s="14" t="str">
        <f t="shared" si="3"/>
        <v/>
      </c>
      <c r="E387" s="14" t="str">
        <f t="shared" si="4"/>
        <v/>
      </c>
      <c r="F387" s="6" t="str">
        <f>IF($A387&lt;&gt;"",MAXIFS(#REF!,Token!$A:$A,$D387),)</f>
        <v/>
      </c>
    </row>
    <row r="388">
      <c r="A388" s="35" t="str">
        <f t="shared" si="1"/>
        <v/>
      </c>
      <c r="B388" s="22" t="str">
        <f t="shared" si="2"/>
        <v/>
      </c>
      <c r="C388" s="14" t="str">
        <f>IF($A388&lt;&gt;"",MINIFS(Merchant!$A:$A,Merchant!$B:$B,$G$2),)</f>
        <v/>
      </c>
      <c r="D388" s="14" t="str">
        <f t="shared" si="3"/>
        <v/>
      </c>
      <c r="E388" s="14" t="str">
        <f t="shared" si="4"/>
        <v/>
      </c>
      <c r="F388" s="6" t="str">
        <f>IF($A388&lt;&gt;"",MAXIFS(#REF!,Token!$A:$A,$D388),)</f>
        <v/>
      </c>
    </row>
    <row r="389">
      <c r="A389" s="35" t="str">
        <f t="shared" si="1"/>
        <v/>
      </c>
      <c r="B389" s="22" t="str">
        <f t="shared" si="2"/>
        <v/>
      </c>
      <c r="C389" s="14" t="str">
        <f>IF($A389&lt;&gt;"",MINIFS(Merchant!$A:$A,Merchant!$B:$B,$G$2),)</f>
        <v/>
      </c>
      <c r="D389" s="14" t="str">
        <f t="shared" si="3"/>
        <v/>
      </c>
      <c r="E389" s="14" t="str">
        <f t="shared" si="4"/>
        <v/>
      </c>
      <c r="F389" s="6" t="str">
        <f>IF($A389&lt;&gt;"",MAXIFS(#REF!,Token!$A:$A,$D389),)</f>
        <v/>
      </c>
    </row>
    <row r="390">
      <c r="A390" s="35" t="str">
        <f t="shared" si="1"/>
        <v/>
      </c>
      <c r="B390" s="22" t="str">
        <f t="shared" si="2"/>
        <v/>
      </c>
      <c r="C390" s="14" t="str">
        <f>IF($A390&lt;&gt;"",MINIFS(Merchant!$A:$A,Merchant!$B:$B,$G$2),)</f>
        <v/>
      </c>
      <c r="D390" s="14" t="str">
        <f t="shared" si="3"/>
        <v/>
      </c>
      <c r="E390" s="14" t="str">
        <f t="shared" si="4"/>
        <v/>
      </c>
      <c r="F390" s="6" t="str">
        <f>IF($A390&lt;&gt;"",MAXIFS(#REF!,Token!$A:$A,$D390),)</f>
        <v/>
      </c>
    </row>
    <row r="391">
      <c r="A391" s="35" t="str">
        <f t="shared" si="1"/>
        <v/>
      </c>
      <c r="B391" s="22" t="str">
        <f t="shared" si="2"/>
        <v/>
      </c>
      <c r="C391" s="14" t="str">
        <f>IF($A391&lt;&gt;"",MINIFS(Merchant!$A:$A,Merchant!$B:$B,$G$2),)</f>
        <v/>
      </c>
      <c r="D391" s="14" t="str">
        <f t="shared" si="3"/>
        <v/>
      </c>
      <c r="E391" s="14" t="str">
        <f t="shared" si="4"/>
        <v/>
      </c>
      <c r="F391" s="6" t="str">
        <f>IF($A391&lt;&gt;"",MAXIFS(#REF!,Token!$A:$A,$D391),)</f>
        <v/>
      </c>
    </row>
    <row r="392">
      <c r="A392" s="35" t="str">
        <f t="shared" si="1"/>
        <v/>
      </c>
      <c r="B392" s="22" t="str">
        <f t="shared" si="2"/>
        <v/>
      </c>
      <c r="C392" s="14" t="str">
        <f>IF($A392&lt;&gt;"",MINIFS(Merchant!$A:$A,Merchant!$B:$B,$G$2),)</f>
        <v/>
      </c>
      <c r="D392" s="14" t="str">
        <f t="shared" si="3"/>
        <v/>
      </c>
      <c r="E392" s="14" t="str">
        <f t="shared" si="4"/>
        <v/>
      </c>
      <c r="F392" s="6" t="str">
        <f>IF($A392&lt;&gt;"",MAXIFS(#REF!,Token!$A:$A,$D392),)</f>
        <v/>
      </c>
    </row>
    <row r="393">
      <c r="A393" s="35" t="str">
        <f t="shared" si="1"/>
        <v/>
      </c>
      <c r="B393" s="22" t="str">
        <f t="shared" si="2"/>
        <v/>
      </c>
      <c r="C393" s="14" t="str">
        <f>IF($A393&lt;&gt;"",MINIFS(Merchant!$A:$A,Merchant!$B:$B,$G$2),)</f>
        <v/>
      </c>
      <c r="D393" s="14" t="str">
        <f t="shared" si="3"/>
        <v/>
      </c>
      <c r="E393" s="14" t="str">
        <f t="shared" si="4"/>
        <v/>
      </c>
      <c r="F393" s="6" t="str">
        <f>IF($A393&lt;&gt;"",MAXIFS(#REF!,Token!$A:$A,$D393),)</f>
        <v/>
      </c>
    </row>
    <row r="394">
      <c r="A394" s="35" t="str">
        <f t="shared" si="1"/>
        <v/>
      </c>
      <c r="B394" s="22" t="str">
        <f t="shared" si="2"/>
        <v/>
      </c>
      <c r="C394" s="14" t="str">
        <f>IF($A394&lt;&gt;"",MINIFS(Merchant!$A:$A,Merchant!$B:$B,$G$2),)</f>
        <v/>
      </c>
      <c r="D394" s="14" t="str">
        <f t="shared" si="3"/>
        <v/>
      </c>
      <c r="E394" s="14" t="str">
        <f t="shared" si="4"/>
        <v/>
      </c>
      <c r="F394" s="6" t="str">
        <f>IF($A394&lt;&gt;"",MAXIFS(#REF!,Token!$A:$A,$D394),)</f>
        <v/>
      </c>
    </row>
    <row r="395">
      <c r="A395" s="35" t="str">
        <f t="shared" si="1"/>
        <v/>
      </c>
      <c r="B395" s="22" t="str">
        <f t="shared" si="2"/>
        <v/>
      </c>
      <c r="C395" s="14" t="str">
        <f>IF($A395&lt;&gt;"",MINIFS(Merchant!$A:$A,Merchant!$B:$B,$G$2),)</f>
        <v/>
      </c>
      <c r="D395" s="14" t="str">
        <f t="shared" si="3"/>
        <v/>
      </c>
      <c r="E395" s="14" t="str">
        <f t="shared" si="4"/>
        <v/>
      </c>
      <c r="F395" s="6" t="str">
        <f>IF($A395&lt;&gt;"",MAXIFS(#REF!,Token!$A:$A,$D395),)</f>
        <v/>
      </c>
    </row>
    <row r="396">
      <c r="A396" s="35" t="str">
        <f t="shared" si="1"/>
        <v/>
      </c>
      <c r="B396" s="22" t="str">
        <f t="shared" si="2"/>
        <v/>
      </c>
      <c r="C396" s="14" t="str">
        <f>IF($A396&lt;&gt;"",MINIFS(Merchant!$A:$A,Merchant!$B:$B,$G$2),)</f>
        <v/>
      </c>
      <c r="D396" s="14" t="str">
        <f t="shared" si="3"/>
        <v/>
      </c>
      <c r="E396" s="14" t="str">
        <f t="shared" si="4"/>
        <v/>
      </c>
      <c r="F396" s="6" t="str">
        <f>IF($A396&lt;&gt;"",MAXIFS(#REF!,Token!$A:$A,$D396),)</f>
        <v/>
      </c>
    </row>
    <row r="397">
      <c r="A397" s="35" t="str">
        <f t="shared" si="1"/>
        <v/>
      </c>
      <c r="B397" s="22" t="str">
        <f t="shared" si="2"/>
        <v/>
      </c>
      <c r="C397" s="14" t="str">
        <f>IF($A397&lt;&gt;"",MINIFS(Merchant!$A:$A,Merchant!$B:$B,$G$2),)</f>
        <v/>
      </c>
      <c r="D397" s="14" t="str">
        <f t="shared" si="3"/>
        <v/>
      </c>
      <c r="E397" s="14" t="str">
        <f t="shared" si="4"/>
        <v/>
      </c>
      <c r="F397" s="6" t="str">
        <f>IF($A397&lt;&gt;"",MAXIFS(#REF!,Token!$A:$A,$D397),)</f>
        <v/>
      </c>
    </row>
    <row r="398">
      <c r="A398" s="35" t="str">
        <f t="shared" si="1"/>
        <v/>
      </c>
      <c r="B398" s="22" t="str">
        <f t="shared" si="2"/>
        <v/>
      </c>
      <c r="C398" s="14" t="str">
        <f>IF($A398&lt;&gt;"",MINIFS(Merchant!$A:$A,Merchant!$B:$B,$G$2),)</f>
        <v/>
      </c>
      <c r="D398" s="14" t="str">
        <f t="shared" si="3"/>
        <v/>
      </c>
      <c r="E398" s="14" t="str">
        <f t="shared" si="4"/>
        <v/>
      </c>
      <c r="F398" s="6" t="str">
        <f>IF($A398&lt;&gt;"",MAXIFS(#REF!,Token!$A:$A,$D398),)</f>
        <v/>
      </c>
    </row>
    <row r="399">
      <c r="A399" s="35" t="str">
        <f t="shared" si="1"/>
        <v/>
      </c>
      <c r="B399" s="22" t="str">
        <f t="shared" si="2"/>
        <v/>
      </c>
      <c r="C399" s="14" t="str">
        <f>IF($A399&lt;&gt;"",MINIFS(Merchant!$A:$A,Merchant!$B:$B,$G$2),)</f>
        <v/>
      </c>
      <c r="D399" s="14" t="str">
        <f t="shared" si="3"/>
        <v/>
      </c>
      <c r="E399" s="14" t="str">
        <f t="shared" si="4"/>
        <v/>
      </c>
      <c r="F399" s="6" t="str">
        <f>IF($A399&lt;&gt;"",MAXIFS(#REF!,Token!$A:$A,$D399),)</f>
        <v/>
      </c>
    </row>
    <row r="400">
      <c r="A400" s="35" t="str">
        <f t="shared" si="1"/>
        <v/>
      </c>
      <c r="B400" s="22" t="str">
        <f t="shared" si="2"/>
        <v/>
      </c>
      <c r="C400" s="14" t="str">
        <f>IF($A400&lt;&gt;"",MINIFS(Merchant!$A:$A,Merchant!$B:$B,$G$2),)</f>
        <v/>
      </c>
      <c r="D400" s="14" t="str">
        <f t="shared" si="3"/>
        <v/>
      </c>
      <c r="E400" s="14" t="str">
        <f t="shared" si="4"/>
        <v/>
      </c>
      <c r="F400" s="6" t="str">
        <f>IF($A400&lt;&gt;"",MAXIFS(#REF!,Token!$A:$A,$D400),)</f>
        <v/>
      </c>
    </row>
    <row r="401">
      <c r="A401" s="35" t="str">
        <f t="shared" si="1"/>
        <v/>
      </c>
      <c r="B401" s="22" t="str">
        <f t="shared" si="2"/>
        <v/>
      </c>
      <c r="C401" s="14" t="str">
        <f>IF($A401&lt;&gt;"",MINIFS(Merchant!$A:$A,Merchant!$B:$B,$G$2),)</f>
        <v/>
      </c>
      <c r="D401" s="14" t="str">
        <f t="shared" si="3"/>
        <v/>
      </c>
      <c r="E401" s="14" t="str">
        <f t="shared" si="4"/>
        <v/>
      </c>
      <c r="F401" s="6" t="str">
        <f>IF($A401&lt;&gt;"",MAXIFS(#REF!,Token!$A:$A,$D401),)</f>
        <v/>
      </c>
    </row>
    <row r="402">
      <c r="A402" s="35" t="str">
        <f t="shared" si="1"/>
        <v/>
      </c>
      <c r="B402" s="22" t="str">
        <f t="shared" si="2"/>
        <v/>
      </c>
      <c r="C402" s="14" t="str">
        <f>IF($A402&lt;&gt;"",MINIFS(Merchant!$A:$A,Merchant!$B:$B,$G$2),)</f>
        <v/>
      </c>
      <c r="D402" s="14" t="str">
        <f t="shared" si="3"/>
        <v/>
      </c>
      <c r="E402" s="14" t="str">
        <f t="shared" si="4"/>
        <v/>
      </c>
      <c r="F402" s="6" t="str">
        <f>IF($A402&lt;&gt;"",MAXIFS(#REF!,Token!$A:$A,$D402),)</f>
        <v/>
      </c>
    </row>
    <row r="403">
      <c r="A403" s="35" t="str">
        <f t="shared" si="1"/>
        <v/>
      </c>
      <c r="B403" s="22" t="str">
        <f t="shared" si="2"/>
        <v/>
      </c>
      <c r="C403" s="14" t="str">
        <f>IF($A403&lt;&gt;"",MINIFS(Merchant!$A:$A,Merchant!$B:$B,$G$2),)</f>
        <v/>
      </c>
      <c r="D403" s="14" t="str">
        <f t="shared" si="3"/>
        <v/>
      </c>
      <c r="E403" s="14" t="str">
        <f t="shared" si="4"/>
        <v/>
      </c>
      <c r="F403" s="6" t="str">
        <f>IF($A403&lt;&gt;"",MAXIFS(#REF!,Token!$A:$A,$D403),)</f>
        <v/>
      </c>
    </row>
    <row r="404">
      <c r="A404" s="35" t="str">
        <f t="shared" si="1"/>
        <v/>
      </c>
      <c r="B404" s="22" t="str">
        <f t="shared" si="2"/>
        <v/>
      </c>
      <c r="C404" s="14" t="str">
        <f>IF($A404&lt;&gt;"",MINIFS(Merchant!$A:$A,Merchant!$B:$B,$G$2),)</f>
        <v/>
      </c>
      <c r="D404" s="14" t="str">
        <f t="shared" si="3"/>
        <v/>
      </c>
      <c r="E404" s="14" t="str">
        <f t="shared" si="4"/>
        <v/>
      </c>
      <c r="F404" s="6" t="str">
        <f>IF($A404&lt;&gt;"",MAXIFS(#REF!,Token!$A:$A,$D404),)</f>
        <v/>
      </c>
    </row>
    <row r="405">
      <c r="A405" s="35" t="str">
        <f t="shared" si="1"/>
        <v/>
      </c>
      <c r="B405" s="22" t="str">
        <f t="shared" si="2"/>
        <v/>
      </c>
      <c r="C405" s="14" t="str">
        <f>IF($A405&lt;&gt;"",MINIFS(Merchant!$A:$A,Merchant!$B:$B,$G$2),)</f>
        <v/>
      </c>
      <c r="D405" s="14" t="str">
        <f t="shared" si="3"/>
        <v/>
      </c>
      <c r="E405" s="14" t="str">
        <f t="shared" si="4"/>
        <v/>
      </c>
      <c r="F405" s="6" t="str">
        <f>IF($A405&lt;&gt;"",MAXIFS(#REF!,Token!$A:$A,$D405),)</f>
        <v/>
      </c>
    </row>
    <row r="406">
      <c r="A406" s="35" t="str">
        <f t="shared" si="1"/>
        <v/>
      </c>
      <c r="B406" s="22" t="str">
        <f t="shared" si="2"/>
        <v/>
      </c>
      <c r="C406" s="14" t="str">
        <f>IF($A406&lt;&gt;"",MINIFS(Merchant!$A:$A,Merchant!$B:$B,$G$2),)</f>
        <v/>
      </c>
      <c r="D406" s="14" t="str">
        <f t="shared" si="3"/>
        <v/>
      </c>
      <c r="E406" s="14" t="str">
        <f t="shared" si="4"/>
        <v/>
      </c>
      <c r="F406" s="6" t="str">
        <f>IF($A406&lt;&gt;"",MAXIFS(#REF!,Token!$A:$A,$D406),)</f>
        <v/>
      </c>
    </row>
    <row r="407">
      <c r="A407" s="35" t="str">
        <f t="shared" si="1"/>
        <v/>
      </c>
      <c r="B407" s="22" t="str">
        <f t="shared" si="2"/>
        <v/>
      </c>
      <c r="C407" s="14" t="str">
        <f>IF($A407&lt;&gt;"",MINIFS(Merchant!$A:$A,Merchant!$B:$B,$G$2),)</f>
        <v/>
      </c>
      <c r="D407" s="14" t="str">
        <f t="shared" si="3"/>
        <v/>
      </c>
      <c r="E407" s="14" t="str">
        <f t="shared" si="4"/>
        <v/>
      </c>
      <c r="F407" s="6" t="str">
        <f>IF($A407&lt;&gt;"",MAXIFS(#REF!,Token!$A:$A,$D407),)</f>
        <v/>
      </c>
    </row>
    <row r="408">
      <c r="A408" s="35" t="str">
        <f t="shared" si="1"/>
        <v/>
      </c>
      <c r="B408" s="22" t="str">
        <f t="shared" si="2"/>
        <v/>
      </c>
      <c r="C408" s="14" t="str">
        <f>IF($A408&lt;&gt;"",MINIFS(Merchant!$A:$A,Merchant!$B:$B,$G$2),)</f>
        <v/>
      </c>
      <c r="D408" s="14" t="str">
        <f t="shared" si="3"/>
        <v/>
      </c>
      <c r="E408" s="14" t="str">
        <f t="shared" si="4"/>
        <v/>
      </c>
      <c r="F408" s="6" t="str">
        <f>IF($A408&lt;&gt;"",MAXIFS(#REF!,Token!$A:$A,$D408),)</f>
        <v/>
      </c>
    </row>
    <row r="409">
      <c r="A409" s="35" t="str">
        <f t="shared" si="1"/>
        <v/>
      </c>
      <c r="B409" s="22" t="str">
        <f t="shared" si="2"/>
        <v/>
      </c>
      <c r="C409" s="14" t="str">
        <f>IF($A409&lt;&gt;"",MINIFS(Merchant!$A:$A,Merchant!$B:$B,$G$2),)</f>
        <v/>
      </c>
      <c r="D409" s="14" t="str">
        <f t="shared" si="3"/>
        <v/>
      </c>
      <c r="E409" s="14" t="str">
        <f t="shared" si="4"/>
        <v/>
      </c>
      <c r="F409" s="6" t="str">
        <f>IF($A409&lt;&gt;"",MAXIFS(#REF!,Token!$A:$A,$D409),)</f>
        <v/>
      </c>
    </row>
    <row r="410">
      <c r="A410" s="35" t="str">
        <f t="shared" si="1"/>
        <v/>
      </c>
      <c r="B410" s="22" t="str">
        <f t="shared" si="2"/>
        <v/>
      </c>
      <c r="C410" s="14" t="str">
        <f>IF($A410&lt;&gt;"",MINIFS(Merchant!$A:$A,Merchant!$B:$B,$G$2),)</f>
        <v/>
      </c>
      <c r="D410" s="14" t="str">
        <f t="shared" si="3"/>
        <v/>
      </c>
      <c r="E410" s="14" t="str">
        <f t="shared" si="4"/>
        <v/>
      </c>
      <c r="F410" s="6" t="str">
        <f>IF($A410&lt;&gt;"",MAXIFS(#REF!,Token!$A:$A,$D410),)</f>
        <v/>
      </c>
    </row>
    <row r="411">
      <c r="A411" s="35" t="str">
        <f t="shared" si="1"/>
        <v/>
      </c>
      <c r="B411" s="22" t="str">
        <f t="shared" si="2"/>
        <v/>
      </c>
      <c r="C411" s="14" t="str">
        <f>IF($A411&lt;&gt;"",MINIFS(Merchant!$A:$A,Merchant!$B:$B,$G$2),)</f>
        <v/>
      </c>
      <c r="D411" s="14" t="str">
        <f t="shared" si="3"/>
        <v/>
      </c>
      <c r="E411" s="14" t="str">
        <f t="shared" si="4"/>
        <v/>
      </c>
      <c r="F411" s="6" t="str">
        <f>IF($A411&lt;&gt;"",MAXIFS(#REF!,Token!$A:$A,$D411),)</f>
        <v/>
      </c>
    </row>
    <row r="412">
      <c r="A412" s="35" t="str">
        <f t="shared" si="1"/>
        <v/>
      </c>
      <c r="B412" s="22" t="str">
        <f t="shared" si="2"/>
        <v/>
      </c>
      <c r="C412" s="14" t="str">
        <f>IF($A412&lt;&gt;"",MINIFS(Merchant!$A:$A,Merchant!$B:$B,$G$2),)</f>
        <v/>
      </c>
      <c r="D412" s="14" t="str">
        <f t="shared" si="3"/>
        <v/>
      </c>
      <c r="E412" s="14" t="str">
        <f t="shared" si="4"/>
        <v/>
      </c>
      <c r="F412" s="6" t="str">
        <f>IF($A412&lt;&gt;"",MAXIFS(#REF!,Token!$A:$A,$D412),)</f>
        <v/>
      </c>
    </row>
    <row r="413">
      <c r="A413" s="35" t="str">
        <f t="shared" si="1"/>
        <v/>
      </c>
      <c r="B413" s="22" t="str">
        <f t="shared" si="2"/>
        <v/>
      </c>
      <c r="C413" s="14" t="str">
        <f>IF($A413&lt;&gt;"",MINIFS(Merchant!$A:$A,Merchant!$B:$B,$G$2),)</f>
        <v/>
      </c>
      <c r="D413" s="14" t="str">
        <f t="shared" si="3"/>
        <v/>
      </c>
      <c r="E413" s="14" t="str">
        <f t="shared" si="4"/>
        <v/>
      </c>
      <c r="F413" s="6" t="str">
        <f>IF($A413&lt;&gt;"",MAXIFS(#REF!,Token!$A:$A,$D413),)</f>
        <v/>
      </c>
    </row>
    <row r="414">
      <c r="A414" s="35" t="str">
        <f t="shared" si="1"/>
        <v/>
      </c>
      <c r="B414" s="22" t="str">
        <f t="shared" si="2"/>
        <v/>
      </c>
      <c r="C414" s="14" t="str">
        <f>IF($A414&lt;&gt;"",MINIFS(Merchant!$A:$A,Merchant!$B:$B,$G$2),)</f>
        <v/>
      </c>
      <c r="D414" s="14" t="str">
        <f t="shared" si="3"/>
        <v/>
      </c>
      <c r="E414" s="14" t="str">
        <f t="shared" si="4"/>
        <v/>
      </c>
      <c r="F414" s="6" t="str">
        <f>IF($A414&lt;&gt;"",MAXIFS(#REF!,Token!$A:$A,$D414),)</f>
        <v/>
      </c>
    </row>
    <row r="415">
      <c r="A415" s="35" t="str">
        <f t="shared" si="1"/>
        <v/>
      </c>
      <c r="B415" s="22" t="str">
        <f t="shared" si="2"/>
        <v/>
      </c>
      <c r="C415" s="14" t="str">
        <f>IF($A415&lt;&gt;"",MINIFS(Merchant!$A:$A,Merchant!$B:$B,$G$2),)</f>
        <v/>
      </c>
      <c r="D415" s="14" t="str">
        <f t="shared" si="3"/>
        <v/>
      </c>
      <c r="E415" s="14" t="str">
        <f t="shared" si="4"/>
        <v/>
      </c>
      <c r="F415" s="6" t="str">
        <f>IF($A415&lt;&gt;"",MAXIFS(#REF!,Token!$A:$A,$D415),)</f>
        <v/>
      </c>
    </row>
    <row r="416">
      <c r="A416" s="35" t="str">
        <f t="shared" si="1"/>
        <v/>
      </c>
      <c r="B416" s="22" t="str">
        <f t="shared" si="2"/>
        <v/>
      </c>
      <c r="C416" s="14" t="str">
        <f>IF($A416&lt;&gt;"",MINIFS(Merchant!$A:$A,Merchant!$B:$B,$G$2),)</f>
        <v/>
      </c>
      <c r="D416" s="14" t="str">
        <f t="shared" si="3"/>
        <v/>
      </c>
      <c r="E416" s="14" t="str">
        <f t="shared" si="4"/>
        <v/>
      </c>
      <c r="F416" s="6" t="str">
        <f>IF($A416&lt;&gt;"",MAXIFS(#REF!,Token!$A:$A,$D416),)</f>
        <v/>
      </c>
    </row>
    <row r="417">
      <c r="A417" s="35" t="str">
        <f t="shared" si="1"/>
        <v/>
      </c>
      <c r="B417" s="22" t="str">
        <f t="shared" si="2"/>
        <v/>
      </c>
      <c r="C417" s="14" t="str">
        <f>IF($A417&lt;&gt;"",MINIFS(Merchant!$A:$A,Merchant!$B:$B,$G$2),)</f>
        <v/>
      </c>
      <c r="D417" s="14" t="str">
        <f t="shared" si="3"/>
        <v/>
      </c>
      <c r="E417" s="14" t="str">
        <f t="shared" si="4"/>
        <v/>
      </c>
      <c r="F417" s="6" t="str">
        <f>IF($A417&lt;&gt;"",MAXIFS(#REF!,Token!$A:$A,$D417),)</f>
        <v/>
      </c>
    </row>
    <row r="418">
      <c r="A418" s="35" t="str">
        <f t="shared" si="1"/>
        <v/>
      </c>
      <c r="B418" s="22" t="str">
        <f t="shared" si="2"/>
        <v/>
      </c>
      <c r="C418" s="14" t="str">
        <f>IF($A418&lt;&gt;"",MINIFS(Merchant!$A:$A,Merchant!$B:$B,$G$2),)</f>
        <v/>
      </c>
      <c r="D418" s="14" t="str">
        <f t="shared" si="3"/>
        <v/>
      </c>
      <c r="E418" s="14" t="str">
        <f t="shared" si="4"/>
        <v/>
      </c>
      <c r="F418" s="6" t="str">
        <f>IF($A418&lt;&gt;"",MAXIFS(#REF!,Token!$A:$A,$D418),)</f>
        <v/>
      </c>
    </row>
    <row r="419">
      <c r="A419" s="35" t="str">
        <f t="shared" si="1"/>
        <v/>
      </c>
      <c r="B419" s="22" t="str">
        <f t="shared" si="2"/>
        <v/>
      </c>
      <c r="C419" s="14" t="str">
        <f>IF($A419&lt;&gt;"",MINIFS(Merchant!$A:$A,Merchant!$B:$B,$G$2),)</f>
        <v/>
      </c>
      <c r="D419" s="14" t="str">
        <f t="shared" si="3"/>
        <v/>
      </c>
      <c r="E419" s="14" t="str">
        <f t="shared" si="4"/>
        <v/>
      </c>
      <c r="F419" s="6" t="str">
        <f>IF($A419&lt;&gt;"",MAXIFS(#REF!,Token!$A:$A,$D419),)</f>
        <v/>
      </c>
    </row>
    <row r="420">
      <c r="A420" s="35" t="str">
        <f t="shared" si="1"/>
        <v/>
      </c>
      <c r="B420" s="22" t="str">
        <f t="shared" si="2"/>
        <v/>
      </c>
      <c r="C420" s="14" t="str">
        <f>IF($A420&lt;&gt;"",MINIFS(Merchant!$A:$A,Merchant!$B:$B,$G$2),)</f>
        <v/>
      </c>
      <c r="D420" s="14" t="str">
        <f t="shared" si="3"/>
        <v/>
      </c>
      <c r="E420" s="14" t="str">
        <f t="shared" si="4"/>
        <v/>
      </c>
      <c r="F420" s="6" t="str">
        <f>IF($A420&lt;&gt;"",MAXIFS(#REF!,Token!$A:$A,$D420),)</f>
        <v/>
      </c>
    </row>
    <row r="421">
      <c r="A421" s="35" t="str">
        <f t="shared" si="1"/>
        <v/>
      </c>
      <c r="B421" s="22" t="str">
        <f t="shared" si="2"/>
        <v/>
      </c>
      <c r="C421" s="14" t="str">
        <f>IF($A421&lt;&gt;"",MINIFS(Merchant!$A:$A,Merchant!$B:$B,$G$2),)</f>
        <v/>
      </c>
      <c r="D421" s="14" t="str">
        <f t="shared" si="3"/>
        <v/>
      </c>
      <c r="E421" s="14" t="str">
        <f t="shared" si="4"/>
        <v/>
      </c>
      <c r="F421" s="6" t="str">
        <f>IF($A421&lt;&gt;"",MAXIFS(#REF!,Token!$A:$A,$D421),)</f>
        <v/>
      </c>
    </row>
    <row r="422">
      <c r="A422" s="35" t="str">
        <f t="shared" si="1"/>
        <v/>
      </c>
      <c r="B422" s="22" t="str">
        <f t="shared" si="2"/>
        <v/>
      </c>
      <c r="C422" s="14" t="str">
        <f>IF($A422&lt;&gt;"",MINIFS(Merchant!$A:$A,Merchant!$B:$B,$G$2),)</f>
        <v/>
      </c>
      <c r="D422" s="14" t="str">
        <f t="shared" si="3"/>
        <v/>
      </c>
      <c r="E422" s="14" t="str">
        <f t="shared" si="4"/>
        <v/>
      </c>
      <c r="F422" s="6" t="str">
        <f>IF($A422&lt;&gt;"",MAXIFS(#REF!,Token!$A:$A,$D422),)</f>
        <v/>
      </c>
    </row>
    <row r="423">
      <c r="A423" s="35" t="str">
        <f t="shared" si="1"/>
        <v/>
      </c>
      <c r="B423" s="22" t="str">
        <f t="shared" si="2"/>
        <v/>
      </c>
      <c r="C423" s="14" t="str">
        <f>IF($A423&lt;&gt;"",MINIFS(Merchant!$A:$A,Merchant!$B:$B,$G$2),)</f>
        <v/>
      </c>
      <c r="D423" s="14" t="str">
        <f t="shared" si="3"/>
        <v/>
      </c>
      <c r="E423" s="14" t="str">
        <f t="shared" si="4"/>
        <v/>
      </c>
      <c r="F423" s="6" t="str">
        <f>IF($A423&lt;&gt;"",MAXIFS(#REF!,Token!$A:$A,$D423),)</f>
        <v/>
      </c>
    </row>
    <row r="424">
      <c r="A424" s="35" t="str">
        <f t="shared" si="1"/>
        <v/>
      </c>
      <c r="B424" s="22" t="str">
        <f t="shared" si="2"/>
        <v/>
      </c>
      <c r="C424" s="14" t="str">
        <f>IF($A424&lt;&gt;"",MINIFS(Merchant!$A:$A,Merchant!$B:$B,$G$2),)</f>
        <v/>
      </c>
      <c r="D424" s="14" t="str">
        <f t="shared" si="3"/>
        <v/>
      </c>
      <c r="E424" s="14" t="str">
        <f t="shared" si="4"/>
        <v/>
      </c>
      <c r="F424" s="6" t="str">
        <f>IF($A424&lt;&gt;"",MAXIFS(#REF!,Token!$A:$A,$D424),)</f>
        <v/>
      </c>
    </row>
    <row r="425">
      <c r="A425" s="35" t="str">
        <f t="shared" si="1"/>
        <v/>
      </c>
      <c r="B425" s="22" t="str">
        <f t="shared" si="2"/>
        <v/>
      </c>
      <c r="C425" s="14" t="str">
        <f>IF($A425&lt;&gt;"",MINIFS(Merchant!$A:$A,Merchant!$B:$B,$G$2),)</f>
        <v/>
      </c>
      <c r="D425" s="14" t="str">
        <f t="shared" si="3"/>
        <v/>
      </c>
      <c r="E425" s="14" t="str">
        <f t="shared" si="4"/>
        <v/>
      </c>
      <c r="F425" s="6" t="str">
        <f>IF($A425&lt;&gt;"",MAXIFS(#REF!,Token!$A:$A,$D425),)</f>
        <v/>
      </c>
    </row>
    <row r="426">
      <c r="A426" s="35" t="str">
        <f t="shared" si="1"/>
        <v/>
      </c>
      <c r="B426" s="22" t="str">
        <f t="shared" si="2"/>
        <v/>
      </c>
      <c r="C426" s="14" t="str">
        <f>IF($A426&lt;&gt;"",MINIFS(Merchant!$A:$A,Merchant!$B:$B,$G$2),)</f>
        <v/>
      </c>
      <c r="D426" s="14" t="str">
        <f t="shared" si="3"/>
        <v/>
      </c>
      <c r="E426" s="14" t="str">
        <f t="shared" si="4"/>
        <v/>
      </c>
      <c r="F426" s="6" t="str">
        <f>IF($A426&lt;&gt;"",MAXIFS(#REF!,Token!$A:$A,$D426),)</f>
        <v/>
      </c>
    </row>
    <row r="427">
      <c r="A427" s="35" t="str">
        <f t="shared" si="1"/>
        <v/>
      </c>
      <c r="B427" s="22" t="str">
        <f t="shared" si="2"/>
        <v/>
      </c>
      <c r="C427" s="14" t="str">
        <f>IF($A427&lt;&gt;"",MINIFS(Merchant!$A:$A,Merchant!$B:$B,$G$2),)</f>
        <v/>
      </c>
      <c r="D427" s="14" t="str">
        <f t="shared" si="3"/>
        <v/>
      </c>
      <c r="E427" s="14" t="str">
        <f t="shared" si="4"/>
        <v/>
      </c>
      <c r="F427" s="6" t="str">
        <f>IF($A427&lt;&gt;"",MAXIFS(#REF!,Token!$A:$A,$D427),)</f>
        <v/>
      </c>
    </row>
    <row r="428">
      <c r="A428" s="35" t="str">
        <f t="shared" si="1"/>
        <v/>
      </c>
      <c r="B428" s="22" t="str">
        <f t="shared" si="2"/>
        <v/>
      </c>
      <c r="C428" s="14" t="str">
        <f>IF($A428&lt;&gt;"",MINIFS(Merchant!$A:$A,Merchant!$B:$B,$G$2),)</f>
        <v/>
      </c>
      <c r="D428" s="14" t="str">
        <f t="shared" si="3"/>
        <v/>
      </c>
      <c r="E428" s="14" t="str">
        <f t="shared" si="4"/>
        <v/>
      </c>
      <c r="F428" s="6" t="str">
        <f>IF($A428&lt;&gt;"",MAXIFS(#REF!,Token!$A:$A,$D428),)</f>
        <v/>
      </c>
    </row>
    <row r="429">
      <c r="A429" s="35" t="str">
        <f t="shared" si="1"/>
        <v/>
      </c>
      <c r="B429" s="22" t="str">
        <f t="shared" si="2"/>
        <v/>
      </c>
      <c r="C429" s="14" t="str">
        <f>IF($A429&lt;&gt;"",MINIFS(Merchant!$A:$A,Merchant!$B:$B,$G$2),)</f>
        <v/>
      </c>
      <c r="D429" s="14" t="str">
        <f t="shared" si="3"/>
        <v/>
      </c>
      <c r="E429" s="14" t="str">
        <f t="shared" si="4"/>
        <v/>
      </c>
      <c r="F429" s="6" t="str">
        <f>IF($A429&lt;&gt;"",MAXIFS(#REF!,Token!$A:$A,$D429),)</f>
        <v/>
      </c>
    </row>
    <row r="430">
      <c r="A430" s="35" t="str">
        <f t="shared" si="1"/>
        <v/>
      </c>
      <c r="B430" s="22" t="str">
        <f t="shared" si="2"/>
        <v/>
      </c>
      <c r="C430" s="14" t="str">
        <f>IF($A430&lt;&gt;"",MINIFS(Merchant!$A:$A,Merchant!$B:$B,$G$2),)</f>
        <v/>
      </c>
      <c r="D430" s="14" t="str">
        <f t="shared" si="3"/>
        <v/>
      </c>
      <c r="E430" s="14" t="str">
        <f t="shared" si="4"/>
        <v/>
      </c>
      <c r="F430" s="6" t="str">
        <f>IF($A430&lt;&gt;"",MAXIFS(#REF!,Token!$A:$A,$D430),)</f>
        <v/>
      </c>
    </row>
    <row r="431">
      <c r="A431" s="35" t="str">
        <f t="shared" si="1"/>
        <v/>
      </c>
      <c r="B431" s="22" t="str">
        <f t="shared" si="2"/>
        <v/>
      </c>
      <c r="C431" s="14" t="str">
        <f>IF($A431&lt;&gt;"",MINIFS(Merchant!$A:$A,Merchant!$B:$B,$G$2),)</f>
        <v/>
      </c>
      <c r="D431" s="14" t="str">
        <f t="shared" si="3"/>
        <v/>
      </c>
      <c r="E431" s="14" t="str">
        <f t="shared" si="4"/>
        <v/>
      </c>
      <c r="F431" s="6" t="str">
        <f>IF($A431&lt;&gt;"",MAXIFS(#REF!,Token!$A:$A,$D431),)</f>
        <v/>
      </c>
    </row>
    <row r="432">
      <c r="A432" s="35" t="str">
        <f t="shared" si="1"/>
        <v/>
      </c>
      <c r="B432" s="22" t="str">
        <f t="shared" si="2"/>
        <v/>
      </c>
      <c r="C432" s="14" t="str">
        <f>IF($A432&lt;&gt;"",MINIFS(Merchant!$A:$A,Merchant!$B:$B,$G$2),)</f>
        <v/>
      </c>
      <c r="D432" s="14" t="str">
        <f t="shared" si="3"/>
        <v/>
      </c>
      <c r="E432" s="14" t="str">
        <f t="shared" si="4"/>
        <v/>
      </c>
      <c r="F432" s="6" t="str">
        <f>IF($A432&lt;&gt;"",MAXIFS(#REF!,Token!$A:$A,$D432),)</f>
        <v/>
      </c>
    </row>
    <row r="433">
      <c r="A433" s="35" t="str">
        <f t="shared" si="1"/>
        <v/>
      </c>
      <c r="B433" s="22" t="str">
        <f t="shared" si="2"/>
        <v/>
      </c>
      <c r="C433" s="14" t="str">
        <f>IF($A433&lt;&gt;"",MINIFS(Merchant!$A:$A,Merchant!$B:$B,$G$2),)</f>
        <v/>
      </c>
      <c r="D433" s="14" t="str">
        <f t="shared" si="3"/>
        <v/>
      </c>
      <c r="E433" s="14" t="str">
        <f t="shared" si="4"/>
        <v/>
      </c>
      <c r="F433" s="6" t="str">
        <f>IF($A433&lt;&gt;"",MAXIFS(#REF!,Token!$A:$A,$D433),)</f>
        <v/>
      </c>
    </row>
    <row r="434">
      <c r="A434" s="35" t="str">
        <f t="shared" si="1"/>
        <v/>
      </c>
      <c r="B434" s="22" t="str">
        <f t="shared" si="2"/>
        <v/>
      </c>
      <c r="C434" s="14" t="str">
        <f>IF($A434&lt;&gt;"",MINIFS(Merchant!$A:$A,Merchant!$B:$B,$G$2),)</f>
        <v/>
      </c>
      <c r="D434" s="14" t="str">
        <f t="shared" si="3"/>
        <v/>
      </c>
      <c r="E434" s="14" t="str">
        <f t="shared" si="4"/>
        <v/>
      </c>
      <c r="F434" s="6" t="str">
        <f>IF($A434&lt;&gt;"",MAXIFS(#REF!,Token!$A:$A,$D434),)</f>
        <v/>
      </c>
    </row>
    <row r="435">
      <c r="A435" s="35" t="str">
        <f t="shared" si="1"/>
        <v/>
      </c>
      <c r="B435" s="22" t="str">
        <f t="shared" si="2"/>
        <v/>
      </c>
      <c r="C435" s="14" t="str">
        <f>IF($A435&lt;&gt;"",MINIFS(Merchant!$A:$A,Merchant!$B:$B,$G$2),)</f>
        <v/>
      </c>
      <c r="D435" s="14" t="str">
        <f t="shared" si="3"/>
        <v/>
      </c>
      <c r="E435" s="14" t="str">
        <f t="shared" si="4"/>
        <v/>
      </c>
      <c r="F435" s="6" t="str">
        <f>IF($A435&lt;&gt;"",MAXIFS(#REF!,Token!$A:$A,$D435),)</f>
        <v/>
      </c>
    </row>
    <row r="436">
      <c r="A436" s="35" t="str">
        <f t="shared" si="1"/>
        <v/>
      </c>
      <c r="B436" s="22" t="str">
        <f t="shared" si="2"/>
        <v/>
      </c>
      <c r="C436" s="14" t="str">
        <f>IF($A436&lt;&gt;"",MINIFS(Merchant!$A:$A,Merchant!$B:$B,$G$2),)</f>
        <v/>
      </c>
      <c r="D436" s="14" t="str">
        <f t="shared" si="3"/>
        <v/>
      </c>
      <c r="E436" s="14" t="str">
        <f t="shared" si="4"/>
        <v/>
      </c>
      <c r="F436" s="6" t="str">
        <f>IF($A436&lt;&gt;"",MAXIFS(#REF!,Token!$A:$A,$D436),)</f>
        <v/>
      </c>
    </row>
    <row r="437">
      <c r="A437" s="35" t="str">
        <f t="shared" si="1"/>
        <v/>
      </c>
      <c r="B437" s="22" t="str">
        <f t="shared" si="2"/>
        <v/>
      </c>
      <c r="C437" s="14" t="str">
        <f>IF($A437&lt;&gt;"",MINIFS(Merchant!$A:$A,Merchant!$B:$B,$G$2),)</f>
        <v/>
      </c>
      <c r="D437" s="14" t="str">
        <f t="shared" si="3"/>
        <v/>
      </c>
      <c r="E437" s="14" t="str">
        <f t="shared" si="4"/>
        <v/>
      </c>
      <c r="F437" s="6" t="str">
        <f>IF($A437&lt;&gt;"",MAXIFS(#REF!,Token!$A:$A,$D437),)</f>
        <v/>
      </c>
    </row>
    <row r="438">
      <c r="A438" s="35" t="str">
        <f t="shared" si="1"/>
        <v/>
      </c>
      <c r="B438" s="22" t="str">
        <f t="shared" si="2"/>
        <v/>
      </c>
      <c r="C438" s="14" t="str">
        <f>IF($A438&lt;&gt;"",MINIFS(Merchant!$A:$A,Merchant!$B:$B,$G$2),)</f>
        <v/>
      </c>
      <c r="D438" s="14" t="str">
        <f t="shared" si="3"/>
        <v/>
      </c>
      <c r="E438" s="14" t="str">
        <f t="shared" si="4"/>
        <v/>
      </c>
      <c r="F438" s="6" t="str">
        <f>IF($A438&lt;&gt;"",MAXIFS(#REF!,Token!$A:$A,$D438),)</f>
        <v/>
      </c>
    </row>
    <row r="439">
      <c r="A439" s="35" t="str">
        <f t="shared" si="1"/>
        <v/>
      </c>
      <c r="B439" s="22" t="str">
        <f t="shared" si="2"/>
        <v/>
      </c>
      <c r="C439" s="14" t="str">
        <f>IF($A439&lt;&gt;"",MINIFS(Merchant!$A:$A,Merchant!$B:$B,$G$2),)</f>
        <v/>
      </c>
      <c r="D439" s="14" t="str">
        <f t="shared" si="3"/>
        <v/>
      </c>
      <c r="E439" s="14" t="str">
        <f t="shared" si="4"/>
        <v/>
      </c>
      <c r="F439" s="6" t="str">
        <f>IF($A439&lt;&gt;"",MAXIFS(#REF!,Token!$A:$A,$D439),)</f>
        <v/>
      </c>
    </row>
    <row r="440">
      <c r="A440" s="35" t="str">
        <f t="shared" si="1"/>
        <v/>
      </c>
      <c r="B440" s="22" t="str">
        <f t="shared" si="2"/>
        <v/>
      </c>
      <c r="C440" s="14" t="str">
        <f>IF($A440&lt;&gt;"",MINIFS(Merchant!$A:$A,Merchant!$B:$B,$G$2),)</f>
        <v/>
      </c>
      <c r="D440" s="14" t="str">
        <f t="shared" si="3"/>
        <v/>
      </c>
      <c r="E440" s="14" t="str">
        <f t="shared" si="4"/>
        <v/>
      </c>
      <c r="F440" s="6" t="str">
        <f>IF($A440&lt;&gt;"",MAXIFS(#REF!,Token!$A:$A,$D440),)</f>
        <v/>
      </c>
    </row>
    <row r="441">
      <c r="A441" s="35" t="str">
        <f t="shared" si="1"/>
        <v/>
      </c>
      <c r="B441" s="22" t="str">
        <f t="shared" si="2"/>
        <v/>
      </c>
      <c r="C441" s="14" t="str">
        <f>IF($A441&lt;&gt;"",MINIFS(Merchant!$A:$A,Merchant!$B:$B,$G$2),)</f>
        <v/>
      </c>
      <c r="D441" s="14" t="str">
        <f t="shared" si="3"/>
        <v/>
      </c>
      <c r="E441" s="14" t="str">
        <f t="shared" si="4"/>
        <v/>
      </c>
      <c r="F441" s="6" t="str">
        <f>IF($A441&lt;&gt;"",MAXIFS(#REF!,Token!$A:$A,$D441),)</f>
        <v/>
      </c>
    </row>
    <row r="442">
      <c r="A442" s="35" t="str">
        <f t="shared" si="1"/>
        <v/>
      </c>
      <c r="B442" s="22" t="str">
        <f t="shared" si="2"/>
        <v/>
      </c>
      <c r="C442" s="14" t="str">
        <f>IF($A442&lt;&gt;"",MINIFS(Merchant!$A:$A,Merchant!$B:$B,$G$2),)</f>
        <v/>
      </c>
      <c r="D442" s="14" t="str">
        <f t="shared" si="3"/>
        <v/>
      </c>
      <c r="E442" s="14" t="str">
        <f t="shared" si="4"/>
        <v/>
      </c>
      <c r="F442" s="6" t="str">
        <f>IF($A442&lt;&gt;"",MAXIFS(#REF!,Token!$A:$A,$D442),)</f>
        <v/>
      </c>
    </row>
    <row r="443">
      <c r="A443" s="35" t="str">
        <f t="shared" si="1"/>
        <v/>
      </c>
      <c r="B443" s="22" t="str">
        <f t="shared" si="2"/>
        <v/>
      </c>
      <c r="C443" s="14" t="str">
        <f>IF($A443&lt;&gt;"",MINIFS(Merchant!$A:$A,Merchant!$B:$B,$G$2),)</f>
        <v/>
      </c>
      <c r="D443" s="14" t="str">
        <f t="shared" si="3"/>
        <v/>
      </c>
      <c r="E443" s="14" t="str">
        <f t="shared" si="4"/>
        <v/>
      </c>
      <c r="F443" s="6" t="str">
        <f>IF($A443&lt;&gt;"",MAXIFS(#REF!,Token!$A:$A,$D443),)</f>
        <v/>
      </c>
    </row>
    <row r="444">
      <c r="A444" s="35" t="str">
        <f t="shared" si="1"/>
        <v/>
      </c>
      <c r="B444" s="22" t="str">
        <f t="shared" si="2"/>
        <v/>
      </c>
      <c r="C444" s="14" t="str">
        <f>IF($A444&lt;&gt;"",MINIFS(Merchant!$A:$A,Merchant!$B:$B,$G$2),)</f>
        <v/>
      </c>
      <c r="D444" s="14" t="str">
        <f t="shared" si="3"/>
        <v/>
      </c>
      <c r="E444" s="14" t="str">
        <f t="shared" si="4"/>
        <v/>
      </c>
      <c r="F444" s="6" t="str">
        <f>IF($A444&lt;&gt;"",MAXIFS(#REF!,Token!$A:$A,$D444),)</f>
        <v/>
      </c>
    </row>
    <row r="445">
      <c r="A445" s="35" t="str">
        <f t="shared" si="1"/>
        <v/>
      </c>
      <c r="B445" s="22" t="str">
        <f t="shared" si="2"/>
        <v/>
      </c>
      <c r="C445" s="14" t="str">
        <f>IF($A445&lt;&gt;"",MINIFS(Merchant!$A:$A,Merchant!$B:$B,$G$2),)</f>
        <v/>
      </c>
      <c r="D445" s="14" t="str">
        <f t="shared" si="3"/>
        <v/>
      </c>
      <c r="E445" s="14" t="str">
        <f t="shared" si="4"/>
        <v/>
      </c>
      <c r="F445" s="6" t="str">
        <f>IF($A445&lt;&gt;"",MAXIFS(#REF!,Token!$A:$A,$D445),)</f>
        <v/>
      </c>
    </row>
    <row r="446">
      <c r="A446" s="35" t="str">
        <f t="shared" si="1"/>
        <v/>
      </c>
      <c r="B446" s="22" t="str">
        <f t="shared" si="2"/>
        <v/>
      </c>
      <c r="C446" s="14" t="str">
        <f>IF($A446&lt;&gt;"",MINIFS(Merchant!$A:$A,Merchant!$B:$B,$G$2),)</f>
        <v/>
      </c>
      <c r="D446" s="14" t="str">
        <f t="shared" si="3"/>
        <v/>
      </c>
      <c r="E446" s="14" t="str">
        <f t="shared" si="4"/>
        <v/>
      </c>
      <c r="F446" s="6" t="str">
        <f>IF($A446&lt;&gt;"",MAXIFS(#REF!,Token!$A:$A,$D446),)</f>
        <v/>
      </c>
    </row>
    <row r="447">
      <c r="A447" s="35" t="str">
        <f t="shared" si="1"/>
        <v/>
      </c>
      <c r="B447" s="22" t="str">
        <f t="shared" si="2"/>
        <v/>
      </c>
      <c r="C447" s="14" t="str">
        <f>IF($A447&lt;&gt;"",MINIFS(Merchant!$A:$A,Merchant!$B:$B,$G$2),)</f>
        <v/>
      </c>
      <c r="D447" s="14" t="str">
        <f t="shared" si="3"/>
        <v/>
      </c>
      <c r="E447" s="14" t="str">
        <f t="shared" si="4"/>
        <v/>
      </c>
      <c r="F447" s="6" t="str">
        <f>IF($A447&lt;&gt;"",MAXIFS(#REF!,Token!$A:$A,$D447),)</f>
        <v/>
      </c>
    </row>
    <row r="448">
      <c r="A448" s="35" t="str">
        <f t="shared" si="1"/>
        <v/>
      </c>
      <c r="B448" s="22" t="str">
        <f t="shared" si="2"/>
        <v/>
      </c>
      <c r="C448" s="14" t="str">
        <f>IF($A448&lt;&gt;"",MINIFS(Merchant!$A:$A,Merchant!$B:$B,$G$2),)</f>
        <v/>
      </c>
      <c r="D448" s="14" t="str">
        <f t="shared" si="3"/>
        <v/>
      </c>
      <c r="E448" s="14" t="str">
        <f t="shared" si="4"/>
        <v/>
      </c>
      <c r="F448" s="6" t="str">
        <f>IF($A448&lt;&gt;"",MAXIFS(#REF!,Token!$A:$A,$D448),)</f>
        <v/>
      </c>
    </row>
    <row r="449">
      <c r="A449" s="35" t="str">
        <f t="shared" si="1"/>
        <v/>
      </c>
      <c r="B449" s="22" t="str">
        <f t="shared" si="2"/>
        <v/>
      </c>
      <c r="C449" s="14" t="str">
        <f>IF($A449&lt;&gt;"",MINIFS(Merchant!$A:$A,Merchant!$B:$B,$G$2),)</f>
        <v/>
      </c>
      <c r="D449" s="14" t="str">
        <f t="shared" si="3"/>
        <v/>
      </c>
      <c r="E449" s="14" t="str">
        <f t="shared" si="4"/>
        <v/>
      </c>
      <c r="F449" s="6" t="str">
        <f>IF($A449&lt;&gt;"",MAXIFS(#REF!,Token!$A:$A,$D449),)</f>
        <v/>
      </c>
    </row>
    <row r="450">
      <c r="A450" s="35" t="str">
        <f t="shared" si="1"/>
        <v/>
      </c>
      <c r="B450" s="22" t="str">
        <f t="shared" si="2"/>
        <v/>
      </c>
      <c r="C450" s="14" t="str">
        <f>IF($A450&lt;&gt;"",MINIFS(Merchant!$A:$A,Merchant!$B:$B,$G$2),)</f>
        <v/>
      </c>
      <c r="D450" s="14" t="str">
        <f t="shared" si="3"/>
        <v/>
      </c>
      <c r="E450" s="14" t="str">
        <f t="shared" si="4"/>
        <v/>
      </c>
      <c r="F450" s="6" t="str">
        <f>IF($A450&lt;&gt;"",MAXIFS(#REF!,Token!$A:$A,$D450),)</f>
        <v/>
      </c>
    </row>
    <row r="451">
      <c r="A451" s="35" t="str">
        <f t="shared" si="1"/>
        <v/>
      </c>
      <c r="B451" s="22" t="str">
        <f t="shared" si="2"/>
        <v/>
      </c>
      <c r="C451" s="14" t="str">
        <f>IF($A451&lt;&gt;"",MINIFS(Merchant!$A:$A,Merchant!$B:$B,$G$2),)</f>
        <v/>
      </c>
      <c r="D451" s="14" t="str">
        <f t="shared" si="3"/>
        <v/>
      </c>
      <c r="E451" s="14" t="str">
        <f t="shared" si="4"/>
        <v/>
      </c>
      <c r="F451" s="6" t="str">
        <f>IF($A451&lt;&gt;"",MAXIFS(#REF!,Token!$A:$A,$D451),)</f>
        <v/>
      </c>
    </row>
    <row r="452">
      <c r="A452" s="35" t="str">
        <f t="shared" si="1"/>
        <v/>
      </c>
      <c r="B452" s="22" t="str">
        <f t="shared" si="2"/>
        <v/>
      </c>
      <c r="C452" s="14" t="str">
        <f>IF($A452&lt;&gt;"",MINIFS(Merchant!$A:$A,Merchant!$B:$B,$G$2),)</f>
        <v/>
      </c>
      <c r="D452" s="14" t="str">
        <f t="shared" si="3"/>
        <v/>
      </c>
      <c r="E452" s="14" t="str">
        <f t="shared" si="4"/>
        <v/>
      </c>
      <c r="F452" s="6" t="str">
        <f>IF($A452&lt;&gt;"",MAXIFS(#REF!,Token!$A:$A,$D452),)</f>
        <v/>
      </c>
    </row>
    <row r="453">
      <c r="A453" s="35" t="str">
        <f t="shared" si="1"/>
        <v/>
      </c>
      <c r="B453" s="22" t="str">
        <f t="shared" si="2"/>
        <v/>
      </c>
      <c r="C453" s="14" t="str">
        <f>IF($A453&lt;&gt;"",MINIFS(Merchant!$A:$A,Merchant!$B:$B,$G$2),)</f>
        <v/>
      </c>
      <c r="D453" s="14" t="str">
        <f t="shared" si="3"/>
        <v/>
      </c>
      <c r="E453" s="14" t="str">
        <f t="shared" si="4"/>
        <v/>
      </c>
      <c r="F453" s="6" t="str">
        <f>IF($A453&lt;&gt;"",MAXIFS(#REF!,Token!$A:$A,$D453),)</f>
        <v/>
      </c>
    </row>
    <row r="454">
      <c r="A454" s="35" t="str">
        <f t="shared" si="1"/>
        <v/>
      </c>
      <c r="B454" s="22" t="str">
        <f t="shared" si="2"/>
        <v/>
      </c>
      <c r="C454" s="14" t="str">
        <f>IF($A454&lt;&gt;"",MINIFS(Merchant!$A:$A,Merchant!$B:$B,$G$2),)</f>
        <v/>
      </c>
      <c r="D454" s="14" t="str">
        <f t="shared" si="3"/>
        <v/>
      </c>
      <c r="E454" s="14" t="str">
        <f t="shared" si="4"/>
        <v/>
      </c>
      <c r="F454" s="6" t="str">
        <f>IF($A454&lt;&gt;"",MAXIFS(#REF!,Token!$A:$A,$D454),)</f>
        <v/>
      </c>
    </row>
    <row r="455">
      <c r="A455" s="35" t="str">
        <f t="shared" si="1"/>
        <v/>
      </c>
      <c r="B455" s="22" t="str">
        <f t="shared" si="2"/>
        <v/>
      </c>
      <c r="C455" s="14" t="str">
        <f>IF($A455&lt;&gt;"",MINIFS(Merchant!$A:$A,Merchant!$B:$B,$G$2),)</f>
        <v/>
      </c>
      <c r="D455" s="14" t="str">
        <f t="shared" si="3"/>
        <v/>
      </c>
      <c r="E455" s="14" t="str">
        <f t="shared" si="4"/>
        <v/>
      </c>
      <c r="F455" s="6" t="str">
        <f>IF($A455&lt;&gt;"",MAXIFS(#REF!,Token!$A:$A,$D455),)</f>
        <v/>
      </c>
    </row>
    <row r="456">
      <c r="A456" s="35" t="str">
        <f t="shared" si="1"/>
        <v/>
      </c>
      <c r="B456" s="22" t="str">
        <f t="shared" si="2"/>
        <v/>
      </c>
      <c r="C456" s="14" t="str">
        <f>IF($A456&lt;&gt;"",MINIFS(Merchant!$A:$A,Merchant!$B:$B,$G$2),)</f>
        <v/>
      </c>
      <c r="D456" s="14" t="str">
        <f t="shared" si="3"/>
        <v/>
      </c>
      <c r="E456" s="14" t="str">
        <f t="shared" si="4"/>
        <v/>
      </c>
      <c r="F456" s="6" t="str">
        <f>IF($A456&lt;&gt;"",MAXIFS(#REF!,Token!$A:$A,$D456),)</f>
        <v/>
      </c>
    </row>
    <row r="457">
      <c r="A457" s="35" t="str">
        <f t="shared" si="1"/>
        <v/>
      </c>
      <c r="B457" s="22" t="str">
        <f t="shared" si="2"/>
        <v/>
      </c>
      <c r="C457" s="14" t="str">
        <f>IF($A457&lt;&gt;"",MINIFS(Merchant!$A:$A,Merchant!$B:$B,$G$2),)</f>
        <v/>
      </c>
      <c r="D457" s="14" t="str">
        <f t="shared" si="3"/>
        <v/>
      </c>
      <c r="E457" s="14" t="str">
        <f t="shared" si="4"/>
        <v/>
      </c>
      <c r="F457" s="6" t="str">
        <f>IF($A457&lt;&gt;"",MAXIFS(#REF!,Token!$A:$A,$D457),)</f>
        <v/>
      </c>
    </row>
    <row r="458">
      <c r="A458" s="35" t="str">
        <f t="shared" si="1"/>
        <v/>
      </c>
      <c r="B458" s="22" t="str">
        <f t="shared" si="2"/>
        <v/>
      </c>
      <c r="C458" s="14" t="str">
        <f>IF($A458&lt;&gt;"",MINIFS(Merchant!$A:$A,Merchant!$B:$B,$G$2),)</f>
        <v/>
      </c>
      <c r="D458" s="14" t="str">
        <f t="shared" si="3"/>
        <v/>
      </c>
      <c r="E458" s="14" t="str">
        <f t="shared" si="4"/>
        <v/>
      </c>
      <c r="F458" s="6" t="str">
        <f>IF($A458&lt;&gt;"",MAXIFS(#REF!,Token!$A:$A,$D458),)</f>
        <v/>
      </c>
    </row>
    <row r="459">
      <c r="A459" s="35" t="str">
        <f t="shared" si="1"/>
        <v/>
      </c>
      <c r="B459" s="22" t="str">
        <f t="shared" si="2"/>
        <v/>
      </c>
      <c r="C459" s="14" t="str">
        <f>IF($A459&lt;&gt;"",MINIFS(Merchant!$A:$A,Merchant!$B:$B,$G$2),)</f>
        <v/>
      </c>
      <c r="D459" s="14" t="str">
        <f t="shared" si="3"/>
        <v/>
      </c>
      <c r="E459" s="14" t="str">
        <f t="shared" si="4"/>
        <v/>
      </c>
      <c r="F459" s="6" t="str">
        <f>IF($A459&lt;&gt;"",MAXIFS(#REF!,Token!$A:$A,$D459),)</f>
        <v/>
      </c>
    </row>
    <row r="460">
      <c r="A460" s="35" t="str">
        <f t="shared" si="1"/>
        <v/>
      </c>
      <c r="B460" s="22" t="str">
        <f t="shared" si="2"/>
        <v/>
      </c>
      <c r="C460" s="14" t="str">
        <f>IF($A460&lt;&gt;"",MINIFS(Merchant!$A:$A,Merchant!$B:$B,$G$2),)</f>
        <v/>
      </c>
      <c r="D460" s="14" t="str">
        <f t="shared" si="3"/>
        <v/>
      </c>
      <c r="E460" s="14" t="str">
        <f t="shared" si="4"/>
        <v/>
      </c>
      <c r="F460" s="6" t="str">
        <f>IF($A460&lt;&gt;"",MAXIFS(#REF!,Token!$A:$A,$D460),)</f>
        <v/>
      </c>
    </row>
    <row r="461">
      <c r="A461" s="35" t="str">
        <f t="shared" si="1"/>
        <v/>
      </c>
      <c r="B461" s="22" t="str">
        <f t="shared" si="2"/>
        <v/>
      </c>
      <c r="C461" s="14" t="str">
        <f>IF($A461&lt;&gt;"",MINIFS(Merchant!$A:$A,Merchant!$B:$B,$G$2),)</f>
        <v/>
      </c>
      <c r="D461" s="14" t="str">
        <f t="shared" si="3"/>
        <v/>
      </c>
      <c r="E461" s="14" t="str">
        <f t="shared" si="4"/>
        <v/>
      </c>
      <c r="F461" s="6" t="str">
        <f>IF($A461&lt;&gt;"",MAXIFS(#REF!,Token!$A:$A,$D461),)</f>
        <v/>
      </c>
    </row>
    <row r="462">
      <c r="A462" s="35" t="str">
        <f t="shared" si="1"/>
        <v/>
      </c>
      <c r="B462" s="22" t="str">
        <f t="shared" si="2"/>
        <v/>
      </c>
      <c r="C462" s="14" t="str">
        <f>IF($A462&lt;&gt;"",MINIFS(Merchant!$A:$A,Merchant!$B:$B,$G$2),)</f>
        <v/>
      </c>
      <c r="D462" s="14" t="str">
        <f t="shared" si="3"/>
        <v/>
      </c>
      <c r="E462" s="14" t="str">
        <f t="shared" si="4"/>
        <v/>
      </c>
      <c r="F462" s="6" t="str">
        <f>IF($A462&lt;&gt;"",MAXIFS(#REF!,Token!$A:$A,$D462),)</f>
        <v/>
      </c>
    </row>
    <row r="463">
      <c r="A463" s="35" t="str">
        <f t="shared" si="1"/>
        <v/>
      </c>
      <c r="B463" s="22" t="str">
        <f t="shared" si="2"/>
        <v/>
      </c>
      <c r="C463" s="14" t="str">
        <f>IF($A463&lt;&gt;"",MINIFS(Merchant!$A:$A,Merchant!$B:$B,$G$2),)</f>
        <v/>
      </c>
      <c r="D463" s="14" t="str">
        <f t="shared" si="3"/>
        <v/>
      </c>
      <c r="E463" s="14" t="str">
        <f t="shared" si="4"/>
        <v/>
      </c>
      <c r="F463" s="6" t="str">
        <f>IF($A463&lt;&gt;"",MAXIFS(#REF!,Token!$A:$A,$D463),)</f>
        <v/>
      </c>
    </row>
    <row r="464">
      <c r="A464" s="35" t="str">
        <f t="shared" si="1"/>
        <v/>
      </c>
      <c r="B464" s="22" t="str">
        <f t="shared" si="2"/>
        <v/>
      </c>
      <c r="C464" s="14" t="str">
        <f>IF($A464&lt;&gt;"",MINIFS(Merchant!$A:$A,Merchant!$B:$B,$G$2),)</f>
        <v/>
      </c>
      <c r="D464" s="14" t="str">
        <f t="shared" si="3"/>
        <v/>
      </c>
      <c r="E464" s="14" t="str">
        <f t="shared" si="4"/>
        <v/>
      </c>
      <c r="F464" s="6" t="str">
        <f>IF($A464&lt;&gt;"",MAXIFS(#REF!,Token!$A:$A,$D464),)</f>
        <v/>
      </c>
    </row>
    <row r="465">
      <c r="A465" s="35" t="str">
        <f t="shared" si="1"/>
        <v/>
      </c>
      <c r="B465" s="22" t="str">
        <f t="shared" si="2"/>
        <v/>
      </c>
      <c r="C465" s="14" t="str">
        <f>IF($A465&lt;&gt;"",MINIFS(Merchant!$A:$A,Merchant!$B:$B,$G$2),)</f>
        <v/>
      </c>
      <c r="D465" s="14" t="str">
        <f t="shared" si="3"/>
        <v/>
      </c>
      <c r="E465" s="14" t="str">
        <f t="shared" si="4"/>
        <v/>
      </c>
      <c r="F465" s="6" t="str">
        <f>IF($A465&lt;&gt;"",MAXIFS(#REF!,Token!$A:$A,$D465),)</f>
        <v/>
      </c>
    </row>
    <row r="466">
      <c r="A466" s="35" t="str">
        <f t="shared" si="1"/>
        <v/>
      </c>
      <c r="B466" s="22" t="str">
        <f t="shared" si="2"/>
        <v/>
      </c>
      <c r="C466" s="14" t="str">
        <f>IF($A466&lt;&gt;"",MINIFS(Merchant!$A:$A,Merchant!$B:$B,$G$2),)</f>
        <v/>
      </c>
      <c r="D466" s="14" t="str">
        <f t="shared" si="3"/>
        <v/>
      </c>
      <c r="E466" s="14" t="str">
        <f t="shared" si="4"/>
        <v/>
      </c>
      <c r="F466" s="6" t="str">
        <f>IF($A466&lt;&gt;"",MAXIFS(#REF!,Token!$A:$A,$D466),)</f>
        <v/>
      </c>
    </row>
    <row r="467">
      <c r="A467" s="35" t="str">
        <f t="shared" si="1"/>
        <v/>
      </c>
      <c r="B467" s="22" t="str">
        <f t="shared" si="2"/>
        <v/>
      </c>
      <c r="C467" s="14" t="str">
        <f>IF($A467&lt;&gt;"",MINIFS(Merchant!$A:$A,Merchant!$B:$B,$G$2),)</f>
        <v/>
      </c>
      <c r="D467" s="14" t="str">
        <f t="shared" si="3"/>
        <v/>
      </c>
      <c r="E467" s="14" t="str">
        <f t="shared" si="4"/>
        <v/>
      </c>
      <c r="F467" s="6" t="str">
        <f>IF($A467&lt;&gt;"",MAXIFS(#REF!,Token!$A:$A,$D467),)</f>
        <v/>
      </c>
    </row>
    <row r="468">
      <c r="A468" s="35" t="str">
        <f t="shared" si="1"/>
        <v/>
      </c>
      <c r="B468" s="22" t="str">
        <f t="shared" si="2"/>
        <v/>
      </c>
      <c r="C468" s="14" t="str">
        <f>IF($A468&lt;&gt;"",MINIFS(Merchant!$A:$A,Merchant!$B:$B,$G$2),)</f>
        <v/>
      </c>
      <c r="D468" s="14" t="str">
        <f t="shared" si="3"/>
        <v/>
      </c>
      <c r="E468" s="14" t="str">
        <f t="shared" si="4"/>
        <v/>
      </c>
      <c r="F468" s="6" t="str">
        <f>IF($A468&lt;&gt;"",MAXIFS(#REF!,Token!$A:$A,$D468),)</f>
        <v/>
      </c>
    </row>
    <row r="469">
      <c r="A469" s="35" t="str">
        <f t="shared" si="1"/>
        <v/>
      </c>
      <c r="B469" s="22" t="str">
        <f t="shared" si="2"/>
        <v/>
      </c>
      <c r="C469" s="14" t="str">
        <f>IF($A469&lt;&gt;"",MINIFS(Merchant!$A:$A,Merchant!$B:$B,$G$2),)</f>
        <v/>
      </c>
      <c r="D469" s="14" t="str">
        <f t="shared" si="3"/>
        <v/>
      </c>
      <c r="E469" s="14" t="str">
        <f t="shared" si="4"/>
        <v/>
      </c>
      <c r="F469" s="6" t="str">
        <f>IF($A469&lt;&gt;"",MAXIFS(#REF!,Token!$A:$A,$D469),)</f>
        <v/>
      </c>
    </row>
    <row r="470">
      <c r="A470" s="35" t="str">
        <f t="shared" si="1"/>
        <v/>
      </c>
      <c r="B470" s="22" t="str">
        <f t="shared" si="2"/>
        <v/>
      </c>
      <c r="C470" s="14" t="str">
        <f>IF($A470&lt;&gt;"",MINIFS(Merchant!$A:$A,Merchant!$B:$B,$G$2),)</f>
        <v/>
      </c>
      <c r="D470" s="14" t="str">
        <f t="shared" si="3"/>
        <v/>
      </c>
      <c r="E470" s="14" t="str">
        <f t="shared" si="4"/>
        <v/>
      </c>
      <c r="F470" s="6" t="str">
        <f>IF($A470&lt;&gt;"",MAXIFS(#REF!,Token!$A:$A,$D470),)</f>
        <v/>
      </c>
    </row>
    <row r="471">
      <c r="A471" s="35" t="str">
        <f t="shared" si="1"/>
        <v/>
      </c>
      <c r="B471" s="22" t="str">
        <f t="shared" si="2"/>
        <v/>
      </c>
      <c r="C471" s="14" t="str">
        <f>IF($A471&lt;&gt;"",MINIFS(Merchant!$A:$A,Merchant!$B:$B,$G$2),)</f>
        <v/>
      </c>
      <c r="D471" s="14" t="str">
        <f t="shared" si="3"/>
        <v/>
      </c>
      <c r="E471" s="14" t="str">
        <f t="shared" si="4"/>
        <v/>
      </c>
      <c r="F471" s="6" t="str">
        <f>IF($A471&lt;&gt;"",MAXIFS(#REF!,Token!$A:$A,$D471),)</f>
        <v/>
      </c>
    </row>
    <row r="472">
      <c r="A472" s="35" t="str">
        <f t="shared" si="1"/>
        <v/>
      </c>
      <c r="B472" s="22" t="str">
        <f t="shared" si="2"/>
        <v/>
      </c>
      <c r="C472" s="14" t="str">
        <f>IF($A472&lt;&gt;"",MINIFS(Merchant!$A:$A,Merchant!$B:$B,$G$2),)</f>
        <v/>
      </c>
      <c r="D472" s="14" t="str">
        <f t="shared" si="3"/>
        <v/>
      </c>
      <c r="E472" s="14" t="str">
        <f t="shared" si="4"/>
        <v/>
      </c>
      <c r="F472" s="6" t="str">
        <f>IF($A472&lt;&gt;"",MAXIFS(#REF!,Token!$A:$A,$D472),)</f>
        <v/>
      </c>
    </row>
    <row r="473">
      <c r="A473" s="35" t="str">
        <f t="shared" si="1"/>
        <v/>
      </c>
      <c r="B473" s="22" t="str">
        <f t="shared" si="2"/>
        <v/>
      </c>
      <c r="C473" s="14" t="str">
        <f>IF($A473&lt;&gt;"",MINIFS(Merchant!$A:$A,Merchant!$B:$B,$G$2),)</f>
        <v/>
      </c>
      <c r="D473" s="14" t="str">
        <f t="shared" si="3"/>
        <v/>
      </c>
      <c r="E473" s="14" t="str">
        <f t="shared" si="4"/>
        <v/>
      </c>
      <c r="F473" s="6" t="str">
        <f>IF($A473&lt;&gt;"",MAXIFS(#REF!,Token!$A:$A,$D473),)</f>
        <v/>
      </c>
    </row>
    <row r="474">
      <c r="A474" s="35" t="str">
        <f t="shared" si="1"/>
        <v/>
      </c>
      <c r="B474" s="22" t="str">
        <f t="shared" si="2"/>
        <v/>
      </c>
      <c r="C474" s="14" t="str">
        <f>IF($A474&lt;&gt;"",MINIFS(Merchant!$A:$A,Merchant!$B:$B,$G$2),)</f>
        <v/>
      </c>
      <c r="D474" s="14" t="str">
        <f t="shared" si="3"/>
        <v/>
      </c>
      <c r="E474" s="14" t="str">
        <f t="shared" si="4"/>
        <v/>
      </c>
      <c r="F474" s="6" t="str">
        <f>IF($A474&lt;&gt;"",MAXIFS(#REF!,Token!$A:$A,$D474),)</f>
        <v/>
      </c>
    </row>
    <row r="475">
      <c r="A475" s="35" t="str">
        <f t="shared" si="1"/>
        <v/>
      </c>
      <c r="B475" s="22" t="str">
        <f t="shared" si="2"/>
        <v/>
      </c>
      <c r="C475" s="14" t="str">
        <f>IF($A475&lt;&gt;"",MINIFS(Merchant!$A:$A,Merchant!$B:$B,$G$2),)</f>
        <v/>
      </c>
      <c r="D475" s="14" t="str">
        <f t="shared" si="3"/>
        <v/>
      </c>
      <c r="E475" s="14" t="str">
        <f t="shared" si="4"/>
        <v/>
      </c>
      <c r="F475" s="6" t="str">
        <f>IF($A475&lt;&gt;"",MAXIFS(#REF!,Token!$A:$A,$D475),)</f>
        <v/>
      </c>
    </row>
    <row r="476">
      <c r="A476" s="35" t="str">
        <f t="shared" si="1"/>
        <v/>
      </c>
      <c r="B476" s="22" t="str">
        <f t="shared" si="2"/>
        <v/>
      </c>
      <c r="C476" s="14" t="str">
        <f>IF($A476&lt;&gt;"",MINIFS(Merchant!$A:$A,Merchant!$B:$B,$G$2),)</f>
        <v/>
      </c>
      <c r="D476" s="14" t="str">
        <f t="shared" si="3"/>
        <v/>
      </c>
      <c r="E476" s="14" t="str">
        <f t="shared" si="4"/>
        <v/>
      </c>
      <c r="F476" s="6" t="str">
        <f>IF($A476&lt;&gt;"",MAXIFS(#REF!,Token!$A:$A,$D476),)</f>
        <v/>
      </c>
    </row>
    <row r="477">
      <c r="A477" s="35" t="str">
        <f t="shared" si="1"/>
        <v/>
      </c>
      <c r="B477" s="22" t="str">
        <f t="shared" si="2"/>
        <v/>
      </c>
      <c r="C477" s="14" t="str">
        <f>IF($A477&lt;&gt;"",MINIFS(Merchant!$A:$A,Merchant!$B:$B,$G$2),)</f>
        <v/>
      </c>
      <c r="D477" s="14" t="str">
        <f t="shared" si="3"/>
        <v/>
      </c>
      <c r="E477" s="14" t="str">
        <f t="shared" si="4"/>
        <v/>
      </c>
      <c r="F477" s="6" t="str">
        <f>IF($A477&lt;&gt;"",MAXIFS(#REF!,Token!$A:$A,$D477),)</f>
        <v/>
      </c>
    </row>
    <row r="478">
      <c r="A478" s="35" t="str">
        <f t="shared" si="1"/>
        <v/>
      </c>
      <c r="B478" s="22" t="str">
        <f t="shared" si="2"/>
        <v/>
      </c>
      <c r="C478" s="14" t="str">
        <f>IF($A478&lt;&gt;"",MINIFS(Merchant!$A:$A,Merchant!$B:$B,$G$2),)</f>
        <v/>
      </c>
      <c r="D478" s="14" t="str">
        <f t="shared" si="3"/>
        <v/>
      </c>
      <c r="E478" s="14" t="str">
        <f t="shared" si="4"/>
        <v/>
      </c>
      <c r="F478" s="6" t="str">
        <f>IF($A478&lt;&gt;"",MAXIFS(#REF!,Token!$A:$A,$D478),)</f>
        <v/>
      </c>
    </row>
    <row r="479">
      <c r="A479" s="35" t="str">
        <f t="shared" si="1"/>
        <v/>
      </c>
      <c r="B479" s="22" t="str">
        <f t="shared" si="2"/>
        <v/>
      </c>
      <c r="C479" s="14" t="str">
        <f>IF($A479&lt;&gt;"",MINIFS(Merchant!$A:$A,Merchant!$B:$B,$G$2),)</f>
        <v/>
      </c>
      <c r="D479" s="14" t="str">
        <f t="shared" si="3"/>
        <v/>
      </c>
      <c r="E479" s="14" t="str">
        <f t="shared" si="4"/>
        <v/>
      </c>
      <c r="F479" s="6" t="str">
        <f>IF($A479&lt;&gt;"",MAXIFS(#REF!,Token!$A:$A,$D479),)</f>
        <v/>
      </c>
    </row>
    <row r="480">
      <c r="A480" s="35" t="str">
        <f t="shared" si="1"/>
        <v/>
      </c>
      <c r="B480" s="22" t="str">
        <f t="shared" si="2"/>
        <v/>
      </c>
      <c r="C480" s="14" t="str">
        <f>IF($A480&lt;&gt;"",MINIFS(Merchant!$A:$A,Merchant!$B:$B,$G$2),)</f>
        <v/>
      </c>
      <c r="D480" s="14" t="str">
        <f t="shared" si="3"/>
        <v/>
      </c>
      <c r="E480" s="14" t="str">
        <f t="shared" si="4"/>
        <v/>
      </c>
      <c r="F480" s="6" t="str">
        <f>IF($A480&lt;&gt;"",MAXIFS(#REF!,Token!$A:$A,$D480),)</f>
        <v/>
      </c>
    </row>
    <row r="481">
      <c r="A481" s="35" t="str">
        <f t="shared" si="1"/>
        <v/>
      </c>
      <c r="B481" s="22" t="str">
        <f t="shared" si="2"/>
        <v/>
      </c>
      <c r="C481" s="14" t="str">
        <f>IF($A481&lt;&gt;"",MINIFS(Merchant!$A:$A,Merchant!$B:$B,$G$2),)</f>
        <v/>
      </c>
      <c r="D481" s="14" t="str">
        <f t="shared" si="3"/>
        <v/>
      </c>
      <c r="E481" s="14" t="str">
        <f t="shared" si="4"/>
        <v/>
      </c>
      <c r="F481" s="6" t="str">
        <f>IF($A481&lt;&gt;"",MAXIFS(#REF!,Token!$A:$A,$D481),)</f>
        <v/>
      </c>
    </row>
    <row r="482">
      <c r="A482" s="35" t="str">
        <f t="shared" si="1"/>
        <v/>
      </c>
      <c r="B482" s="22" t="str">
        <f t="shared" si="2"/>
        <v/>
      </c>
      <c r="C482" s="14" t="str">
        <f>IF($A482&lt;&gt;"",MINIFS(Merchant!$A:$A,Merchant!$B:$B,$G$2),)</f>
        <v/>
      </c>
      <c r="D482" s="14" t="str">
        <f t="shared" si="3"/>
        <v/>
      </c>
      <c r="E482" s="14" t="str">
        <f t="shared" si="4"/>
        <v/>
      </c>
      <c r="F482" s="6" t="str">
        <f>IF($A482&lt;&gt;"",MAXIFS(#REF!,Token!$A:$A,$D482),)</f>
        <v/>
      </c>
    </row>
    <row r="483">
      <c r="A483" s="35" t="str">
        <f t="shared" si="1"/>
        <v/>
      </c>
      <c r="B483" s="22" t="str">
        <f t="shared" si="2"/>
        <v/>
      </c>
      <c r="C483" s="14" t="str">
        <f>IF($A483&lt;&gt;"",MINIFS(Merchant!$A:$A,Merchant!$B:$B,$G$2),)</f>
        <v/>
      </c>
      <c r="D483" s="14" t="str">
        <f t="shared" si="3"/>
        <v/>
      </c>
      <c r="E483" s="14" t="str">
        <f t="shared" si="4"/>
        <v/>
      </c>
      <c r="F483" s="6" t="str">
        <f>IF($A483&lt;&gt;"",MAXIFS(#REF!,Token!$A:$A,$D483),)</f>
        <v/>
      </c>
    </row>
    <row r="484">
      <c r="A484" s="35" t="str">
        <f t="shared" si="1"/>
        <v/>
      </c>
      <c r="B484" s="22" t="str">
        <f t="shared" si="2"/>
        <v/>
      </c>
      <c r="C484" s="14" t="str">
        <f>IF($A484&lt;&gt;"",MINIFS(Merchant!$A:$A,Merchant!$B:$B,$G$2),)</f>
        <v/>
      </c>
      <c r="D484" s="14" t="str">
        <f t="shared" si="3"/>
        <v/>
      </c>
      <c r="E484" s="14" t="str">
        <f t="shared" si="4"/>
        <v/>
      </c>
      <c r="F484" s="6" t="str">
        <f>IF($A484&lt;&gt;"",MAXIFS(#REF!,Token!$A:$A,$D484),)</f>
        <v/>
      </c>
    </row>
    <row r="485">
      <c r="A485" s="35" t="str">
        <f t="shared" si="1"/>
        <v/>
      </c>
      <c r="B485" s="22" t="str">
        <f t="shared" si="2"/>
        <v/>
      </c>
      <c r="C485" s="14" t="str">
        <f>IF($A485&lt;&gt;"",MINIFS(Merchant!$A:$A,Merchant!$B:$B,$G$2),)</f>
        <v/>
      </c>
      <c r="D485" s="14" t="str">
        <f t="shared" si="3"/>
        <v/>
      </c>
      <c r="E485" s="14" t="str">
        <f t="shared" si="4"/>
        <v/>
      </c>
      <c r="F485" s="6" t="str">
        <f>IF($A485&lt;&gt;"",MAXIFS(#REF!,Token!$A:$A,$D485),)</f>
        <v/>
      </c>
    </row>
    <row r="486">
      <c r="A486" s="35" t="str">
        <f t="shared" si="1"/>
        <v/>
      </c>
      <c r="B486" s="22" t="str">
        <f t="shared" si="2"/>
        <v/>
      </c>
      <c r="C486" s="14" t="str">
        <f>IF($A486&lt;&gt;"",MINIFS(Merchant!$A:$A,Merchant!$B:$B,$G$2),)</f>
        <v/>
      </c>
      <c r="D486" s="14" t="str">
        <f t="shared" si="3"/>
        <v/>
      </c>
      <c r="E486" s="14" t="str">
        <f t="shared" si="4"/>
        <v/>
      </c>
      <c r="F486" s="6" t="str">
        <f>IF($A486&lt;&gt;"",MAXIFS(#REF!,Token!$A:$A,$D486),)</f>
        <v/>
      </c>
    </row>
    <row r="487">
      <c r="A487" s="35" t="str">
        <f t="shared" si="1"/>
        <v/>
      </c>
      <c r="B487" s="22" t="str">
        <f t="shared" si="2"/>
        <v/>
      </c>
      <c r="C487" s="14" t="str">
        <f>IF($A487&lt;&gt;"",MINIFS(Merchant!$A:$A,Merchant!$B:$B,$G$2),)</f>
        <v/>
      </c>
      <c r="D487" s="14" t="str">
        <f t="shared" si="3"/>
        <v/>
      </c>
      <c r="E487" s="14" t="str">
        <f t="shared" si="4"/>
        <v/>
      </c>
      <c r="F487" s="6" t="str">
        <f>IF($A487&lt;&gt;"",MAXIFS(#REF!,Token!$A:$A,$D487),)</f>
        <v/>
      </c>
    </row>
    <row r="488">
      <c r="A488" s="35" t="str">
        <f t="shared" si="1"/>
        <v/>
      </c>
      <c r="B488" s="22" t="str">
        <f t="shared" si="2"/>
        <v/>
      </c>
      <c r="C488" s="14" t="str">
        <f>IF($A488&lt;&gt;"",MINIFS(Merchant!$A:$A,Merchant!$B:$B,$G$2),)</f>
        <v/>
      </c>
      <c r="D488" s="14" t="str">
        <f t="shared" si="3"/>
        <v/>
      </c>
      <c r="E488" s="14" t="str">
        <f t="shared" si="4"/>
        <v/>
      </c>
      <c r="F488" s="6" t="str">
        <f>IF($A488&lt;&gt;"",MAXIFS(#REF!,Token!$A:$A,$D488),)</f>
        <v/>
      </c>
    </row>
    <row r="489">
      <c r="A489" s="35" t="str">
        <f t="shared" si="1"/>
        <v/>
      </c>
      <c r="B489" s="22" t="str">
        <f t="shared" si="2"/>
        <v/>
      </c>
      <c r="C489" s="14" t="str">
        <f>IF($A489&lt;&gt;"",MINIFS(Merchant!$A:$A,Merchant!$B:$B,$G$2),)</f>
        <v/>
      </c>
      <c r="D489" s="14" t="str">
        <f t="shared" si="3"/>
        <v/>
      </c>
      <c r="E489" s="14" t="str">
        <f t="shared" si="4"/>
        <v/>
      </c>
      <c r="F489" s="6" t="str">
        <f>IF($A489&lt;&gt;"",MAXIFS(#REF!,Token!$A:$A,$D489),)</f>
        <v/>
      </c>
    </row>
    <row r="490">
      <c r="A490" s="35" t="str">
        <f t="shared" si="1"/>
        <v/>
      </c>
      <c r="B490" s="22" t="str">
        <f t="shared" si="2"/>
        <v/>
      </c>
      <c r="C490" s="14" t="str">
        <f>IF($A490&lt;&gt;"",MINIFS(Merchant!$A:$A,Merchant!$B:$B,$G$2),)</f>
        <v/>
      </c>
      <c r="D490" s="14" t="str">
        <f t="shared" si="3"/>
        <v/>
      </c>
      <c r="E490" s="14" t="str">
        <f t="shared" si="4"/>
        <v/>
      </c>
      <c r="F490" s="6" t="str">
        <f>IF($A490&lt;&gt;"",MAXIFS(#REF!,Token!$A:$A,$D490),)</f>
        <v/>
      </c>
    </row>
    <row r="491">
      <c r="A491" s="35" t="str">
        <f t="shared" si="1"/>
        <v/>
      </c>
      <c r="B491" s="22" t="str">
        <f t="shared" si="2"/>
        <v/>
      </c>
      <c r="C491" s="14" t="str">
        <f>IF($A491&lt;&gt;"",MINIFS(Merchant!$A:$A,Merchant!$B:$B,$G$2),)</f>
        <v/>
      </c>
      <c r="D491" s="14" t="str">
        <f t="shared" si="3"/>
        <v/>
      </c>
      <c r="E491" s="14" t="str">
        <f t="shared" si="4"/>
        <v/>
      </c>
      <c r="F491" s="6" t="str">
        <f>IF($A491&lt;&gt;"",MAXIFS(#REF!,Token!$A:$A,$D491),)</f>
        <v/>
      </c>
    </row>
    <row r="492">
      <c r="A492" s="35" t="str">
        <f t="shared" si="1"/>
        <v/>
      </c>
      <c r="B492" s="22" t="str">
        <f t="shared" si="2"/>
        <v/>
      </c>
      <c r="C492" s="14" t="str">
        <f>IF($A492&lt;&gt;"",MINIFS(Merchant!$A:$A,Merchant!$B:$B,$G$2),)</f>
        <v/>
      </c>
      <c r="D492" s="14" t="str">
        <f t="shared" si="3"/>
        <v/>
      </c>
      <c r="E492" s="14" t="str">
        <f t="shared" si="4"/>
        <v/>
      </c>
      <c r="F492" s="6" t="str">
        <f>IF($A492&lt;&gt;"",MAXIFS(#REF!,Token!$A:$A,$D492),)</f>
        <v/>
      </c>
    </row>
    <row r="493">
      <c r="A493" s="35" t="str">
        <f t="shared" si="1"/>
        <v/>
      </c>
      <c r="B493" s="22" t="str">
        <f t="shared" si="2"/>
        <v/>
      </c>
      <c r="C493" s="14" t="str">
        <f>IF($A493&lt;&gt;"",MINIFS(Merchant!$A:$A,Merchant!$B:$B,$G$2),)</f>
        <v/>
      </c>
      <c r="D493" s="14" t="str">
        <f t="shared" si="3"/>
        <v/>
      </c>
      <c r="E493" s="14" t="str">
        <f t="shared" si="4"/>
        <v/>
      </c>
      <c r="F493" s="6" t="str">
        <f>IF($A493&lt;&gt;"",MAXIFS(#REF!,Token!$A:$A,$D493),)</f>
        <v/>
      </c>
    </row>
    <row r="494">
      <c r="A494" s="35" t="str">
        <f t="shared" si="1"/>
        <v/>
      </c>
      <c r="B494" s="22" t="str">
        <f t="shared" si="2"/>
        <v/>
      </c>
      <c r="C494" s="14" t="str">
        <f>IF($A494&lt;&gt;"",MINIFS(Merchant!$A:$A,Merchant!$B:$B,$G$2),)</f>
        <v/>
      </c>
      <c r="D494" s="14" t="str">
        <f t="shared" si="3"/>
        <v/>
      </c>
      <c r="E494" s="14" t="str">
        <f t="shared" si="4"/>
        <v/>
      </c>
      <c r="F494" s="6" t="str">
        <f>IF($A494&lt;&gt;"",MAXIFS(#REF!,Token!$A:$A,$D494),)</f>
        <v/>
      </c>
    </row>
    <row r="495">
      <c r="A495" s="35" t="str">
        <f t="shared" si="1"/>
        <v/>
      </c>
      <c r="B495" s="22" t="str">
        <f t="shared" si="2"/>
        <v/>
      </c>
      <c r="C495" s="14" t="str">
        <f>IF($A495&lt;&gt;"",MINIFS(Merchant!$A:$A,Merchant!$B:$B,$G$2),)</f>
        <v/>
      </c>
      <c r="D495" s="14" t="str">
        <f t="shared" si="3"/>
        <v/>
      </c>
      <c r="E495" s="14" t="str">
        <f t="shared" si="4"/>
        <v/>
      </c>
      <c r="F495" s="6" t="str">
        <f>IF($A495&lt;&gt;"",MAXIFS(#REF!,Token!$A:$A,$D495),)</f>
        <v/>
      </c>
    </row>
    <row r="496">
      <c r="A496" s="35" t="str">
        <f t="shared" si="1"/>
        <v/>
      </c>
      <c r="B496" s="22" t="str">
        <f t="shared" si="2"/>
        <v/>
      </c>
      <c r="C496" s="14" t="str">
        <f>IF($A496&lt;&gt;"",MINIFS(Merchant!$A:$A,Merchant!$B:$B,$G$2),)</f>
        <v/>
      </c>
      <c r="D496" s="14" t="str">
        <f t="shared" si="3"/>
        <v/>
      </c>
      <c r="E496" s="14" t="str">
        <f t="shared" si="4"/>
        <v/>
      </c>
      <c r="F496" s="6" t="str">
        <f>IF($A496&lt;&gt;"",MAXIFS(#REF!,Token!$A:$A,$D496),)</f>
        <v/>
      </c>
    </row>
    <row r="497">
      <c r="A497" s="35" t="str">
        <f t="shared" si="1"/>
        <v/>
      </c>
      <c r="B497" s="22" t="str">
        <f t="shared" si="2"/>
        <v/>
      </c>
      <c r="C497" s="14" t="str">
        <f>IF($A497&lt;&gt;"",MINIFS(Merchant!$A:$A,Merchant!$B:$B,$G$2),)</f>
        <v/>
      </c>
      <c r="D497" s="14" t="str">
        <f t="shared" si="3"/>
        <v/>
      </c>
      <c r="E497" s="14" t="str">
        <f t="shared" si="4"/>
        <v/>
      </c>
      <c r="F497" s="6" t="str">
        <f>IF($A497&lt;&gt;"",MAXIFS(#REF!,Token!$A:$A,$D497),)</f>
        <v/>
      </c>
    </row>
    <row r="498">
      <c r="A498" s="35" t="str">
        <f t="shared" si="1"/>
        <v/>
      </c>
      <c r="B498" s="22" t="str">
        <f t="shared" si="2"/>
        <v/>
      </c>
      <c r="C498" s="14" t="str">
        <f>IF($A498&lt;&gt;"",MINIFS(Merchant!$A:$A,Merchant!$B:$B,$G$2),)</f>
        <v/>
      </c>
      <c r="D498" s="14" t="str">
        <f t="shared" si="3"/>
        <v/>
      </c>
      <c r="E498" s="14" t="str">
        <f t="shared" si="4"/>
        <v/>
      </c>
      <c r="F498" s="6" t="str">
        <f>IF($A498&lt;&gt;"",MAXIFS(#REF!,Token!$A:$A,$D498),)</f>
        <v/>
      </c>
    </row>
    <row r="499">
      <c r="A499" s="35" t="str">
        <f t="shared" si="1"/>
        <v/>
      </c>
      <c r="B499" s="22" t="str">
        <f t="shared" si="2"/>
        <v/>
      </c>
      <c r="C499" s="14" t="str">
        <f>IF($A499&lt;&gt;"",MINIFS(Merchant!$A:$A,Merchant!$B:$B,$G$2),)</f>
        <v/>
      </c>
      <c r="D499" s="14" t="str">
        <f t="shared" si="3"/>
        <v/>
      </c>
      <c r="E499" s="14" t="str">
        <f t="shared" si="4"/>
        <v/>
      </c>
      <c r="F499" s="6" t="str">
        <f>IF($A499&lt;&gt;"",MAXIFS(#REF!,Token!$A:$A,$D499),)</f>
        <v/>
      </c>
    </row>
    <row r="500">
      <c r="A500" s="35" t="str">
        <f t="shared" si="1"/>
        <v/>
      </c>
      <c r="B500" s="22" t="str">
        <f t="shared" si="2"/>
        <v/>
      </c>
      <c r="C500" s="14" t="str">
        <f>IF($A500&lt;&gt;"",MINIFS(Merchant!$A:$A,Merchant!$B:$B,$G$2),)</f>
        <v/>
      </c>
      <c r="D500" s="14" t="str">
        <f t="shared" si="3"/>
        <v/>
      </c>
      <c r="E500" s="14" t="str">
        <f t="shared" si="4"/>
        <v/>
      </c>
      <c r="F500" s="6" t="str">
        <f>IF($A500&lt;&gt;"",MAXIFS(#REF!,Token!$A:$A,$D500),)</f>
        <v/>
      </c>
    </row>
    <row r="501">
      <c r="A501" s="35" t="str">
        <f t="shared" si="1"/>
        <v/>
      </c>
      <c r="B501" s="22" t="str">
        <f t="shared" si="2"/>
        <v/>
      </c>
      <c r="C501" s="14" t="str">
        <f>IF($A501&lt;&gt;"",MINIFS(Merchant!$A:$A,Merchant!$B:$B,$G$2),)</f>
        <v/>
      </c>
      <c r="D501" s="14" t="str">
        <f t="shared" si="3"/>
        <v/>
      </c>
      <c r="E501" s="14" t="str">
        <f t="shared" si="4"/>
        <v/>
      </c>
      <c r="F501" s="6" t="str">
        <f>IF($A501&lt;&gt;"",MAXIFS(#REF!,Token!$A:$A,$D501),)</f>
        <v/>
      </c>
    </row>
    <row r="502">
      <c r="A502" s="35" t="str">
        <f t="shared" si="1"/>
        <v/>
      </c>
      <c r="B502" s="22" t="str">
        <f t="shared" si="2"/>
        <v/>
      </c>
      <c r="C502" s="14" t="str">
        <f>IF($A502&lt;&gt;"",MINIFS(Merchant!$A:$A,Merchant!$B:$B,$G$2),)</f>
        <v/>
      </c>
      <c r="D502" s="14" t="str">
        <f t="shared" si="3"/>
        <v/>
      </c>
      <c r="E502" s="14" t="str">
        <f t="shared" si="4"/>
        <v/>
      </c>
      <c r="F502" s="6" t="str">
        <f>IF($A502&lt;&gt;"",MAXIFS(#REF!,Token!$A:$A,$D502),)</f>
        <v/>
      </c>
    </row>
    <row r="503">
      <c r="A503" s="35" t="str">
        <f t="shared" si="1"/>
        <v/>
      </c>
      <c r="B503" s="22" t="str">
        <f t="shared" si="2"/>
        <v/>
      </c>
      <c r="C503" s="14" t="str">
        <f>IF($A503&lt;&gt;"",MINIFS(Merchant!$A:$A,Merchant!$B:$B,$G$2),)</f>
        <v/>
      </c>
      <c r="D503" s="14" t="str">
        <f t="shared" si="3"/>
        <v/>
      </c>
      <c r="E503" s="14" t="str">
        <f t="shared" si="4"/>
        <v/>
      </c>
      <c r="F503" s="6" t="str">
        <f>IF($A503&lt;&gt;"",MAXIFS(#REF!,Token!$A:$A,$D503),)</f>
        <v/>
      </c>
    </row>
    <row r="504">
      <c r="A504" s="35" t="str">
        <f t="shared" si="1"/>
        <v/>
      </c>
      <c r="B504" s="22" t="str">
        <f t="shared" si="2"/>
        <v/>
      </c>
      <c r="C504" s="14" t="str">
        <f>IF($A504&lt;&gt;"",MINIFS(Merchant!$A:$A,Merchant!$B:$B,$G$2),)</f>
        <v/>
      </c>
      <c r="D504" s="14" t="str">
        <f t="shared" si="3"/>
        <v/>
      </c>
      <c r="E504" s="14" t="str">
        <f t="shared" si="4"/>
        <v/>
      </c>
      <c r="F504" s="6" t="str">
        <f>IF($A504&lt;&gt;"",MAXIFS(#REF!,Token!$A:$A,$D504),)</f>
        <v/>
      </c>
    </row>
    <row r="505">
      <c r="A505" s="35" t="str">
        <f t="shared" si="1"/>
        <v/>
      </c>
      <c r="B505" s="22" t="str">
        <f t="shared" si="2"/>
        <v/>
      </c>
      <c r="C505" s="14" t="str">
        <f>IF($A505&lt;&gt;"",MINIFS(Merchant!$A:$A,Merchant!$B:$B,$G$2),)</f>
        <v/>
      </c>
      <c r="D505" s="14" t="str">
        <f t="shared" si="3"/>
        <v/>
      </c>
      <c r="E505" s="14" t="str">
        <f t="shared" si="4"/>
        <v/>
      </c>
      <c r="F505" s="6" t="str">
        <f>IF($A505&lt;&gt;"",MAXIFS(#REF!,Token!$A:$A,$D505),)</f>
        <v/>
      </c>
    </row>
    <row r="506">
      <c r="A506" s="35" t="str">
        <f t="shared" si="1"/>
        <v/>
      </c>
      <c r="B506" s="22" t="str">
        <f t="shared" si="2"/>
        <v/>
      </c>
      <c r="C506" s="14" t="str">
        <f>IF($A506&lt;&gt;"",MINIFS(Merchant!$A:$A,Merchant!$B:$B,$G$2),)</f>
        <v/>
      </c>
      <c r="D506" s="14" t="str">
        <f t="shared" si="3"/>
        <v/>
      </c>
      <c r="E506" s="14" t="str">
        <f t="shared" si="4"/>
        <v/>
      </c>
      <c r="F506" s="6" t="str">
        <f>IF($A506&lt;&gt;"",MAXIFS(#REF!,Token!$A:$A,$D506),)</f>
        <v/>
      </c>
    </row>
    <row r="507">
      <c r="A507" s="35" t="str">
        <f t="shared" si="1"/>
        <v/>
      </c>
      <c r="B507" s="22" t="str">
        <f t="shared" si="2"/>
        <v/>
      </c>
      <c r="C507" s="14" t="str">
        <f>IF($A507&lt;&gt;"",MINIFS(Merchant!$A:$A,Merchant!$B:$B,$G$2),)</f>
        <v/>
      </c>
      <c r="D507" s="14" t="str">
        <f t="shared" si="3"/>
        <v/>
      </c>
      <c r="E507" s="14" t="str">
        <f t="shared" si="4"/>
        <v/>
      </c>
      <c r="F507" s="6" t="str">
        <f>IF($A507&lt;&gt;"",MAXIFS(#REF!,Token!$A:$A,$D507),)</f>
        <v/>
      </c>
    </row>
    <row r="508">
      <c r="A508" s="35" t="str">
        <f t="shared" si="1"/>
        <v/>
      </c>
      <c r="B508" s="22" t="str">
        <f t="shared" si="2"/>
        <v/>
      </c>
      <c r="C508" s="14" t="str">
        <f>IF($A508&lt;&gt;"",MINIFS(Merchant!$A:$A,Merchant!$B:$B,$G$2),)</f>
        <v/>
      </c>
      <c r="D508" s="14" t="str">
        <f t="shared" si="3"/>
        <v/>
      </c>
      <c r="E508" s="14" t="str">
        <f t="shared" si="4"/>
        <v/>
      </c>
      <c r="F508" s="6" t="str">
        <f>IF($A508&lt;&gt;"",MAXIFS(#REF!,Token!$A:$A,$D508),)</f>
        <v/>
      </c>
    </row>
    <row r="509">
      <c r="A509" s="35" t="str">
        <f t="shared" si="1"/>
        <v/>
      </c>
      <c r="B509" s="22" t="str">
        <f t="shared" si="2"/>
        <v/>
      </c>
      <c r="C509" s="14" t="str">
        <f>IF($A509&lt;&gt;"",MINIFS(Merchant!$A:$A,Merchant!$B:$B,$G$2),)</f>
        <v/>
      </c>
      <c r="D509" s="14" t="str">
        <f t="shared" si="3"/>
        <v/>
      </c>
      <c r="E509" s="14" t="str">
        <f t="shared" si="4"/>
        <v/>
      </c>
      <c r="F509" s="6" t="str">
        <f>IF($A509&lt;&gt;"",MAXIFS(#REF!,Token!$A:$A,$D509),)</f>
        <v/>
      </c>
    </row>
    <row r="510">
      <c r="A510" s="35" t="str">
        <f t="shared" si="1"/>
        <v/>
      </c>
      <c r="B510" s="22" t="str">
        <f t="shared" si="2"/>
        <v/>
      </c>
      <c r="C510" s="14" t="str">
        <f>IF($A510&lt;&gt;"",MINIFS(Merchant!$A:$A,Merchant!$B:$B,$G$2),)</f>
        <v/>
      </c>
      <c r="D510" s="14" t="str">
        <f t="shared" si="3"/>
        <v/>
      </c>
      <c r="E510" s="14" t="str">
        <f t="shared" si="4"/>
        <v/>
      </c>
      <c r="F510" s="6" t="str">
        <f>IF($A510&lt;&gt;"",MAXIFS(#REF!,Token!$A:$A,$D510),)</f>
        <v/>
      </c>
    </row>
    <row r="511">
      <c r="A511" s="35" t="str">
        <f t="shared" si="1"/>
        <v/>
      </c>
      <c r="B511" s="22" t="str">
        <f t="shared" si="2"/>
        <v/>
      </c>
      <c r="C511" s="14" t="str">
        <f>IF($A511&lt;&gt;"",MINIFS(Merchant!$A:$A,Merchant!$B:$B,$G$2),)</f>
        <v/>
      </c>
      <c r="D511" s="14" t="str">
        <f t="shared" si="3"/>
        <v/>
      </c>
      <c r="E511" s="14" t="str">
        <f t="shared" si="4"/>
        <v/>
      </c>
      <c r="F511" s="6" t="str">
        <f>IF($A511&lt;&gt;"",MAXIFS(#REF!,Token!$A:$A,$D511),)</f>
        <v/>
      </c>
    </row>
    <row r="512">
      <c r="A512" s="35" t="str">
        <f t="shared" si="1"/>
        <v/>
      </c>
      <c r="B512" s="22" t="str">
        <f t="shared" si="2"/>
        <v/>
      </c>
      <c r="C512" s="14" t="str">
        <f>IF($A512&lt;&gt;"",MINIFS(Merchant!$A:$A,Merchant!$B:$B,$G$2),)</f>
        <v/>
      </c>
      <c r="D512" s="14" t="str">
        <f t="shared" si="3"/>
        <v/>
      </c>
      <c r="E512" s="14" t="str">
        <f t="shared" si="4"/>
        <v/>
      </c>
      <c r="F512" s="6" t="str">
        <f>IF($A512&lt;&gt;"",MAXIFS(#REF!,Token!$A:$A,$D512),)</f>
        <v/>
      </c>
    </row>
    <row r="513">
      <c r="A513" s="35" t="str">
        <f t="shared" si="1"/>
        <v/>
      </c>
      <c r="B513" s="22" t="str">
        <f t="shared" si="2"/>
        <v/>
      </c>
      <c r="C513" s="14" t="str">
        <f>IF($A513&lt;&gt;"",MINIFS(Merchant!$A:$A,Merchant!$B:$B,$G$2),)</f>
        <v/>
      </c>
      <c r="D513" s="14" t="str">
        <f t="shared" si="3"/>
        <v/>
      </c>
      <c r="E513" s="14" t="str">
        <f t="shared" si="4"/>
        <v/>
      </c>
      <c r="F513" s="6" t="str">
        <f>IF($A513&lt;&gt;"",MAXIFS(#REF!,Token!$A:$A,$D513),)</f>
        <v/>
      </c>
    </row>
    <row r="514">
      <c r="A514" s="35" t="str">
        <f t="shared" si="1"/>
        <v/>
      </c>
      <c r="B514" s="22" t="str">
        <f t="shared" si="2"/>
        <v/>
      </c>
      <c r="C514" s="14" t="str">
        <f>IF($A514&lt;&gt;"",MINIFS(Merchant!$A:$A,Merchant!$B:$B,$G$2),)</f>
        <v/>
      </c>
      <c r="D514" s="14" t="str">
        <f t="shared" si="3"/>
        <v/>
      </c>
      <c r="E514" s="14" t="str">
        <f t="shared" si="4"/>
        <v/>
      </c>
      <c r="F514" s="6" t="str">
        <f>IF($A514&lt;&gt;"",MAXIFS(#REF!,Token!$A:$A,$D514),)</f>
        <v/>
      </c>
    </row>
    <row r="515">
      <c r="A515" s="35" t="str">
        <f t="shared" si="1"/>
        <v/>
      </c>
      <c r="B515" s="22" t="str">
        <f t="shared" si="2"/>
        <v/>
      </c>
      <c r="C515" s="14" t="str">
        <f>IF($A515&lt;&gt;"",MINIFS(Merchant!$A:$A,Merchant!$B:$B,$G$2),)</f>
        <v/>
      </c>
      <c r="D515" s="14" t="str">
        <f t="shared" si="3"/>
        <v/>
      </c>
      <c r="E515" s="14" t="str">
        <f t="shared" si="4"/>
        <v/>
      </c>
      <c r="F515" s="6" t="str">
        <f>IF($A515&lt;&gt;"",MAXIFS(#REF!,Token!$A:$A,$D515),)</f>
        <v/>
      </c>
    </row>
    <row r="516">
      <c r="A516" s="35" t="str">
        <f t="shared" si="1"/>
        <v/>
      </c>
      <c r="B516" s="22" t="str">
        <f t="shared" si="2"/>
        <v/>
      </c>
      <c r="C516" s="14" t="str">
        <f>IF($A516&lt;&gt;"",MINIFS(Merchant!$A:$A,Merchant!$B:$B,$G$2),)</f>
        <v/>
      </c>
      <c r="D516" s="14" t="str">
        <f t="shared" si="3"/>
        <v/>
      </c>
      <c r="E516" s="14" t="str">
        <f t="shared" si="4"/>
        <v/>
      </c>
      <c r="F516" s="6" t="str">
        <f>IF($A516&lt;&gt;"",MAXIFS(#REF!,Token!$A:$A,$D516),)</f>
        <v/>
      </c>
    </row>
    <row r="517">
      <c r="A517" s="35" t="str">
        <f t="shared" si="1"/>
        <v/>
      </c>
      <c r="B517" s="22" t="str">
        <f t="shared" si="2"/>
        <v/>
      </c>
      <c r="C517" s="14" t="str">
        <f>IF($A517&lt;&gt;"",MINIFS(Merchant!$A:$A,Merchant!$B:$B,$G$2),)</f>
        <v/>
      </c>
      <c r="D517" s="14" t="str">
        <f t="shared" si="3"/>
        <v/>
      </c>
      <c r="E517" s="14" t="str">
        <f t="shared" si="4"/>
        <v/>
      </c>
      <c r="F517" s="6" t="str">
        <f>IF($A517&lt;&gt;"",MAXIFS(#REF!,Token!$A:$A,$D517),)</f>
        <v/>
      </c>
    </row>
    <row r="518">
      <c r="A518" s="35" t="str">
        <f t="shared" si="1"/>
        <v/>
      </c>
      <c r="B518" s="22" t="str">
        <f t="shared" si="2"/>
        <v/>
      </c>
      <c r="C518" s="14" t="str">
        <f>IF($A518&lt;&gt;"",MINIFS(Merchant!$A:$A,Merchant!$B:$B,$G$2),)</f>
        <v/>
      </c>
      <c r="D518" s="14" t="str">
        <f t="shared" si="3"/>
        <v/>
      </c>
      <c r="E518" s="14" t="str">
        <f t="shared" si="4"/>
        <v/>
      </c>
      <c r="F518" s="6" t="str">
        <f>IF($A518&lt;&gt;"",MAXIFS(#REF!,Token!$A:$A,$D518),)</f>
        <v/>
      </c>
    </row>
    <row r="519">
      <c r="A519" s="35" t="str">
        <f t="shared" si="1"/>
        <v/>
      </c>
      <c r="B519" s="22" t="str">
        <f t="shared" si="2"/>
        <v/>
      </c>
      <c r="C519" s="14" t="str">
        <f>IF($A519&lt;&gt;"",MINIFS(Merchant!$A:$A,Merchant!$B:$B,$G$2),)</f>
        <v/>
      </c>
      <c r="D519" s="14" t="str">
        <f t="shared" si="3"/>
        <v/>
      </c>
      <c r="E519" s="14" t="str">
        <f t="shared" si="4"/>
        <v/>
      </c>
      <c r="F519" s="6" t="str">
        <f>IF($A519&lt;&gt;"",MAXIFS(#REF!,Token!$A:$A,$D519),)</f>
        <v/>
      </c>
    </row>
    <row r="520">
      <c r="A520" s="35" t="str">
        <f t="shared" si="1"/>
        <v/>
      </c>
      <c r="B520" s="22" t="str">
        <f t="shared" si="2"/>
        <v/>
      </c>
      <c r="C520" s="14" t="str">
        <f>IF($A520&lt;&gt;"",MINIFS(Merchant!$A:$A,Merchant!$B:$B,$G$2),)</f>
        <v/>
      </c>
      <c r="D520" s="14" t="str">
        <f t="shared" si="3"/>
        <v/>
      </c>
      <c r="E520" s="14" t="str">
        <f t="shared" si="4"/>
        <v/>
      </c>
      <c r="F520" s="6" t="str">
        <f>IF($A520&lt;&gt;"",MAXIFS(#REF!,Token!$A:$A,$D520),)</f>
        <v/>
      </c>
    </row>
    <row r="521">
      <c r="A521" s="35" t="str">
        <f t="shared" si="1"/>
        <v/>
      </c>
      <c r="B521" s="22" t="str">
        <f t="shared" si="2"/>
        <v/>
      </c>
      <c r="C521" s="14" t="str">
        <f>IF($A521&lt;&gt;"",MINIFS(Merchant!$A:$A,Merchant!$B:$B,$G$2),)</f>
        <v/>
      </c>
      <c r="D521" s="14" t="str">
        <f t="shared" si="3"/>
        <v/>
      </c>
      <c r="E521" s="14" t="str">
        <f t="shared" si="4"/>
        <v/>
      </c>
      <c r="F521" s="6" t="str">
        <f>IF($A521&lt;&gt;"",MAXIFS(#REF!,Token!$A:$A,$D521),)</f>
        <v/>
      </c>
    </row>
    <row r="522">
      <c r="A522" s="35" t="str">
        <f t="shared" si="1"/>
        <v/>
      </c>
      <c r="B522" s="22" t="str">
        <f t="shared" si="2"/>
        <v/>
      </c>
      <c r="C522" s="14" t="str">
        <f>IF($A522&lt;&gt;"",MINIFS(Merchant!$A:$A,Merchant!$B:$B,$G$2),)</f>
        <v/>
      </c>
      <c r="D522" s="14" t="str">
        <f t="shared" si="3"/>
        <v/>
      </c>
      <c r="E522" s="14" t="str">
        <f t="shared" si="4"/>
        <v/>
      </c>
      <c r="F522" s="6" t="str">
        <f>IF($A522&lt;&gt;"",MAXIFS(#REF!,Token!$A:$A,$D522),)</f>
        <v/>
      </c>
    </row>
    <row r="523">
      <c r="A523" s="35" t="str">
        <f t="shared" si="1"/>
        <v/>
      </c>
      <c r="B523" s="22" t="str">
        <f t="shared" si="2"/>
        <v/>
      </c>
      <c r="C523" s="14" t="str">
        <f>IF($A523&lt;&gt;"",MINIFS(Merchant!$A:$A,Merchant!$B:$B,$G$2),)</f>
        <v/>
      </c>
      <c r="D523" s="14" t="str">
        <f t="shared" si="3"/>
        <v/>
      </c>
      <c r="E523" s="14" t="str">
        <f t="shared" si="4"/>
        <v/>
      </c>
      <c r="F523" s="6" t="str">
        <f>IF($A523&lt;&gt;"",MAXIFS(#REF!,Token!$A:$A,$D523),)</f>
        <v/>
      </c>
    </row>
    <row r="524">
      <c r="A524" s="35" t="str">
        <f t="shared" si="1"/>
        <v/>
      </c>
      <c r="B524" s="22" t="str">
        <f t="shared" si="2"/>
        <v/>
      </c>
      <c r="C524" s="14" t="str">
        <f>IF($A524&lt;&gt;"",MINIFS(Merchant!$A:$A,Merchant!$B:$B,$G$2),)</f>
        <v/>
      </c>
      <c r="D524" s="14" t="str">
        <f t="shared" si="3"/>
        <v/>
      </c>
      <c r="E524" s="14" t="str">
        <f t="shared" si="4"/>
        <v/>
      </c>
      <c r="F524" s="6" t="str">
        <f>IF($A524&lt;&gt;"",MAXIFS(#REF!,Token!$A:$A,$D524),)</f>
        <v/>
      </c>
    </row>
    <row r="525">
      <c r="A525" s="35" t="str">
        <f t="shared" si="1"/>
        <v/>
      </c>
      <c r="B525" s="22" t="str">
        <f t="shared" si="2"/>
        <v/>
      </c>
      <c r="C525" s="14" t="str">
        <f>IF($A525&lt;&gt;"",MINIFS(Merchant!$A:$A,Merchant!$B:$B,$G$2),)</f>
        <v/>
      </c>
      <c r="D525" s="14" t="str">
        <f t="shared" si="3"/>
        <v/>
      </c>
      <c r="E525" s="14" t="str">
        <f t="shared" si="4"/>
        <v/>
      </c>
      <c r="F525" s="6" t="str">
        <f>IF($A525&lt;&gt;"",MAXIFS(#REF!,Token!$A:$A,$D525),)</f>
        <v/>
      </c>
    </row>
    <row r="526">
      <c r="A526" s="35" t="str">
        <f t="shared" si="1"/>
        <v/>
      </c>
      <c r="B526" s="22" t="str">
        <f t="shared" si="2"/>
        <v/>
      </c>
      <c r="C526" s="14" t="str">
        <f>IF($A526&lt;&gt;"",MINIFS(Merchant!$A:$A,Merchant!$B:$B,$G$2),)</f>
        <v/>
      </c>
      <c r="D526" s="14" t="str">
        <f t="shared" si="3"/>
        <v/>
      </c>
      <c r="E526" s="14" t="str">
        <f t="shared" si="4"/>
        <v/>
      </c>
      <c r="F526" s="6" t="str">
        <f>IF($A526&lt;&gt;"",MAXIFS(#REF!,Token!$A:$A,$D526),)</f>
        <v/>
      </c>
    </row>
    <row r="527">
      <c r="A527" s="35" t="str">
        <f t="shared" si="1"/>
        <v/>
      </c>
      <c r="B527" s="22" t="str">
        <f t="shared" si="2"/>
        <v/>
      </c>
      <c r="C527" s="14" t="str">
        <f>IF($A527&lt;&gt;"",MINIFS(Merchant!$A:$A,Merchant!$B:$B,$G$2),)</f>
        <v/>
      </c>
      <c r="D527" s="14" t="str">
        <f t="shared" si="3"/>
        <v/>
      </c>
      <c r="E527" s="14" t="str">
        <f t="shared" si="4"/>
        <v/>
      </c>
      <c r="F527" s="6" t="str">
        <f>IF($A527&lt;&gt;"",MAXIFS(#REF!,Token!$A:$A,$D527),)</f>
        <v/>
      </c>
    </row>
    <row r="528">
      <c r="A528" s="35" t="str">
        <f t="shared" si="1"/>
        <v/>
      </c>
      <c r="B528" s="22" t="str">
        <f t="shared" si="2"/>
        <v/>
      </c>
      <c r="C528" s="14" t="str">
        <f>IF($A528&lt;&gt;"",MINIFS(Merchant!$A:$A,Merchant!$B:$B,$G$2),)</f>
        <v/>
      </c>
      <c r="D528" s="14" t="str">
        <f t="shared" si="3"/>
        <v/>
      </c>
      <c r="E528" s="14" t="str">
        <f t="shared" si="4"/>
        <v/>
      </c>
      <c r="F528" s="6" t="str">
        <f>IF($A528&lt;&gt;"",MAXIFS(#REF!,Token!$A:$A,$D528),)</f>
        <v/>
      </c>
    </row>
    <row r="529">
      <c r="A529" s="35" t="str">
        <f t="shared" si="1"/>
        <v/>
      </c>
      <c r="B529" s="22" t="str">
        <f t="shared" si="2"/>
        <v/>
      </c>
      <c r="C529" s="14" t="str">
        <f>IF($A529&lt;&gt;"",MINIFS(Merchant!$A:$A,Merchant!$B:$B,$G$2),)</f>
        <v/>
      </c>
      <c r="D529" s="14" t="str">
        <f t="shared" si="3"/>
        <v/>
      </c>
      <c r="E529" s="14" t="str">
        <f t="shared" si="4"/>
        <v/>
      </c>
      <c r="F529" s="6" t="str">
        <f>IF($A529&lt;&gt;"",MAXIFS(#REF!,Token!$A:$A,$D529),)</f>
        <v/>
      </c>
    </row>
    <row r="530">
      <c r="A530" s="35" t="str">
        <f t="shared" si="1"/>
        <v/>
      </c>
      <c r="B530" s="22" t="str">
        <f t="shared" si="2"/>
        <v/>
      </c>
      <c r="C530" s="14" t="str">
        <f>IF($A530&lt;&gt;"",MINIFS(Merchant!$A:$A,Merchant!$B:$B,$G$2),)</f>
        <v/>
      </c>
      <c r="D530" s="14" t="str">
        <f t="shared" si="3"/>
        <v/>
      </c>
      <c r="E530" s="14" t="str">
        <f t="shared" si="4"/>
        <v/>
      </c>
      <c r="F530" s="6" t="str">
        <f>IF($A530&lt;&gt;"",MAXIFS(#REF!,Token!$A:$A,$D530),)</f>
        <v/>
      </c>
    </row>
    <row r="531">
      <c r="A531" s="35" t="str">
        <f t="shared" si="1"/>
        <v/>
      </c>
      <c r="B531" s="22" t="str">
        <f t="shared" si="2"/>
        <v/>
      </c>
      <c r="C531" s="14" t="str">
        <f>IF($A531&lt;&gt;"",MINIFS(Merchant!$A:$A,Merchant!$B:$B,$G$2),)</f>
        <v/>
      </c>
      <c r="D531" s="14" t="str">
        <f t="shared" si="3"/>
        <v/>
      </c>
      <c r="E531" s="14" t="str">
        <f t="shared" si="4"/>
        <v/>
      </c>
      <c r="F531" s="6" t="str">
        <f>IF($A531&lt;&gt;"",MAXIFS(#REF!,Token!$A:$A,$D531),)</f>
        <v/>
      </c>
    </row>
    <row r="532">
      <c r="A532" s="35" t="str">
        <f t="shared" si="1"/>
        <v/>
      </c>
      <c r="B532" s="22" t="str">
        <f t="shared" si="2"/>
        <v/>
      </c>
      <c r="C532" s="14" t="str">
        <f>IF($A532&lt;&gt;"",MINIFS(Merchant!$A:$A,Merchant!$B:$B,$G$2),)</f>
        <v/>
      </c>
      <c r="D532" s="14" t="str">
        <f t="shared" si="3"/>
        <v/>
      </c>
      <c r="E532" s="14" t="str">
        <f t="shared" si="4"/>
        <v/>
      </c>
      <c r="F532" s="6" t="str">
        <f>IF($A532&lt;&gt;"",MAXIFS(#REF!,Token!$A:$A,$D532),)</f>
        <v/>
      </c>
    </row>
    <row r="533">
      <c r="A533" s="35" t="str">
        <f t="shared" si="1"/>
        <v/>
      </c>
      <c r="B533" s="22" t="str">
        <f t="shared" si="2"/>
        <v/>
      </c>
      <c r="C533" s="14" t="str">
        <f>IF($A533&lt;&gt;"",MINIFS(Merchant!$A:$A,Merchant!$B:$B,$G$2),)</f>
        <v/>
      </c>
      <c r="D533" s="14" t="str">
        <f t="shared" si="3"/>
        <v/>
      </c>
      <c r="E533" s="14" t="str">
        <f t="shared" si="4"/>
        <v/>
      </c>
      <c r="F533" s="6" t="str">
        <f>IF($A533&lt;&gt;"",MAXIFS(#REF!,Token!$A:$A,$D533),)</f>
        <v/>
      </c>
    </row>
    <row r="534">
      <c r="A534" s="35" t="str">
        <f t="shared" si="1"/>
        <v/>
      </c>
      <c r="B534" s="22" t="str">
        <f t="shared" si="2"/>
        <v/>
      </c>
      <c r="C534" s="14" t="str">
        <f>IF($A534&lt;&gt;"",MINIFS(Merchant!$A:$A,Merchant!$B:$B,$G$2),)</f>
        <v/>
      </c>
      <c r="D534" s="14" t="str">
        <f t="shared" si="3"/>
        <v/>
      </c>
      <c r="E534" s="14" t="str">
        <f t="shared" si="4"/>
        <v/>
      </c>
      <c r="F534" s="6" t="str">
        <f>IF($A534&lt;&gt;"",MAXIFS(#REF!,Token!$A:$A,$D534),)</f>
        <v/>
      </c>
    </row>
    <row r="535">
      <c r="A535" s="35" t="str">
        <f t="shared" si="1"/>
        <v/>
      </c>
      <c r="B535" s="22" t="str">
        <f t="shared" si="2"/>
        <v/>
      </c>
      <c r="C535" s="14" t="str">
        <f>IF($A535&lt;&gt;"",MINIFS(Merchant!$A:$A,Merchant!$B:$B,$G$2),)</f>
        <v/>
      </c>
      <c r="D535" s="14" t="str">
        <f t="shared" si="3"/>
        <v/>
      </c>
      <c r="E535" s="14" t="str">
        <f t="shared" si="4"/>
        <v/>
      </c>
      <c r="F535" s="6" t="str">
        <f>IF($A535&lt;&gt;"",MAXIFS(#REF!,Token!$A:$A,$D535),)</f>
        <v/>
      </c>
    </row>
    <row r="536">
      <c r="A536" s="35" t="str">
        <f t="shared" si="1"/>
        <v/>
      </c>
      <c r="B536" s="22" t="str">
        <f t="shared" si="2"/>
        <v/>
      </c>
      <c r="C536" s="14" t="str">
        <f>IF($A536&lt;&gt;"",MINIFS(Merchant!$A:$A,Merchant!$B:$B,$G$2),)</f>
        <v/>
      </c>
      <c r="D536" s="14" t="str">
        <f t="shared" si="3"/>
        <v/>
      </c>
      <c r="E536" s="14" t="str">
        <f t="shared" si="4"/>
        <v/>
      </c>
      <c r="F536" s="6" t="str">
        <f>IF($A536&lt;&gt;"",MAXIFS(#REF!,Token!$A:$A,$D536),)</f>
        <v/>
      </c>
    </row>
    <row r="537">
      <c r="A537" s="35" t="str">
        <f t="shared" si="1"/>
        <v/>
      </c>
      <c r="B537" s="22" t="str">
        <f t="shared" si="2"/>
        <v/>
      </c>
      <c r="C537" s="14" t="str">
        <f>IF($A537&lt;&gt;"",MINIFS(Merchant!$A:$A,Merchant!$B:$B,$G$2),)</f>
        <v/>
      </c>
      <c r="D537" s="14" t="str">
        <f t="shared" si="3"/>
        <v/>
      </c>
      <c r="E537" s="14" t="str">
        <f t="shared" si="4"/>
        <v/>
      </c>
      <c r="F537" s="6" t="str">
        <f>IF($A537&lt;&gt;"",MAXIFS(#REF!,Token!$A:$A,$D537),)</f>
        <v/>
      </c>
    </row>
    <row r="538">
      <c r="A538" s="35" t="str">
        <f t="shared" si="1"/>
        <v/>
      </c>
      <c r="B538" s="22" t="str">
        <f t="shared" si="2"/>
        <v/>
      </c>
      <c r="C538" s="14" t="str">
        <f>IF($A538&lt;&gt;"",MINIFS(Merchant!$A:$A,Merchant!$B:$B,$G$2),)</f>
        <v/>
      </c>
      <c r="D538" s="14" t="str">
        <f t="shared" si="3"/>
        <v/>
      </c>
      <c r="E538" s="14" t="str">
        <f t="shared" si="4"/>
        <v/>
      </c>
      <c r="F538" s="6" t="str">
        <f>IF($A538&lt;&gt;"",MAXIFS(#REF!,Token!$A:$A,$D538),)</f>
        <v/>
      </c>
    </row>
    <row r="539">
      <c r="A539" s="35" t="str">
        <f t="shared" si="1"/>
        <v/>
      </c>
      <c r="B539" s="22" t="str">
        <f t="shared" si="2"/>
        <v/>
      </c>
      <c r="C539" s="14" t="str">
        <f>IF($A539&lt;&gt;"",MINIFS(Merchant!$A:$A,Merchant!$B:$B,$G$2),)</f>
        <v/>
      </c>
      <c r="D539" s="14" t="str">
        <f t="shared" si="3"/>
        <v/>
      </c>
      <c r="E539" s="14" t="str">
        <f t="shared" si="4"/>
        <v/>
      </c>
      <c r="F539" s="6" t="str">
        <f>IF($A539&lt;&gt;"",MAXIFS(#REF!,Token!$A:$A,$D539),)</f>
        <v/>
      </c>
    </row>
    <row r="540">
      <c r="A540" s="35" t="str">
        <f t="shared" si="1"/>
        <v/>
      </c>
      <c r="B540" s="22" t="str">
        <f t="shared" si="2"/>
        <v/>
      </c>
      <c r="C540" s="14" t="str">
        <f>IF($A540&lt;&gt;"",MINIFS(Merchant!$A:$A,Merchant!$B:$B,$G$2),)</f>
        <v/>
      </c>
      <c r="D540" s="14" t="str">
        <f t="shared" si="3"/>
        <v/>
      </c>
      <c r="E540" s="14" t="str">
        <f t="shared" si="4"/>
        <v/>
      </c>
      <c r="F540" s="6" t="str">
        <f>IF($A540&lt;&gt;"",MAXIFS(#REF!,Token!$A:$A,$D540),)</f>
        <v/>
      </c>
    </row>
    <row r="541">
      <c r="A541" s="35" t="str">
        <f t="shared" si="1"/>
        <v/>
      </c>
      <c r="B541" s="22" t="str">
        <f t="shared" si="2"/>
        <v/>
      </c>
      <c r="C541" s="14" t="str">
        <f>IF($A541&lt;&gt;"",MINIFS(Merchant!$A:$A,Merchant!$B:$B,$G$2),)</f>
        <v/>
      </c>
      <c r="D541" s="14" t="str">
        <f t="shared" si="3"/>
        <v/>
      </c>
      <c r="E541" s="14" t="str">
        <f t="shared" si="4"/>
        <v/>
      </c>
      <c r="F541" s="6" t="str">
        <f>IF($A541&lt;&gt;"",MAXIFS(#REF!,Token!$A:$A,$D541),)</f>
        <v/>
      </c>
    </row>
    <row r="542">
      <c r="A542" s="35" t="str">
        <f t="shared" si="1"/>
        <v/>
      </c>
      <c r="B542" s="22" t="str">
        <f t="shared" si="2"/>
        <v/>
      </c>
      <c r="C542" s="14" t="str">
        <f>IF($A542&lt;&gt;"",MINIFS(Merchant!$A:$A,Merchant!$B:$B,$G$2),)</f>
        <v/>
      </c>
      <c r="D542" s="14" t="str">
        <f t="shared" si="3"/>
        <v/>
      </c>
      <c r="E542" s="14" t="str">
        <f t="shared" si="4"/>
        <v/>
      </c>
      <c r="F542" s="6" t="str">
        <f>IF($A542&lt;&gt;"",MAXIFS(#REF!,Token!$A:$A,$D542),)</f>
        <v/>
      </c>
    </row>
    <row r="543">
      <c r="A543" s="35" t="str">
        <f t="shared" si="1"/>
        <v/>
      </c>
      <c r="B543" s="22" t="str">
        <f t="shared" si="2"/>
        <v/>
      </c>
      <c r="C543" s="14" t="str">
        <f>IF($A543&lt;&gt;"",MINIFS(Merchant!$A:$A,Merchant!$B:$B,$G$2),)</f>
        <v/>
      </c>
      <c r="D543" s="14" t="str">
        <f t="shared" si="3"/>
        <v/>
      </c>
      <c r="E543" s="14" t="str">
        <f t="shared" si="4"/>
        <v/>
      </c>
      <c r="F543" s="6" t="str">
        <f>IF($A543&lt;&gt;"",MAXIFS(#REF!,Token!$A:$A,$D543),)</f>
        <v/>
      </c>
    </row>
    <row r="544">
      <c r="A544" s="35" t="str">
        <f t="shared" si="1"/>
        <v/>
      </c>
      <c r="B544" s="22" t="str">
        <f t="shared" si="2"/>
        <v/>
      </c>
      <c r="C544" s="14" t="str">
        <f>IF($A544&lt;&gt;"",MINIFS(Merchant!$A:$A,Merchant!$B:$B,$G$2),)</f>
        <v/>
      </c>
      <c r="D544" s="14" t="str">
        <f t="shared" si="3"/>
        <v/>
      </c>
      <c r="E544" s="14" t="str">
        <f t="shared" si="4"/>
        <v/>
      </c>
      <c r="F544" s="6" t="str">
        <f>IF($A544&lt;&gt;"",MAXIFS(#REF!,Token!$A:$A,$D544),)</f>
        <v/>
      </c>
    </row>
    <row r="545">
      <c r="A545" s="35" t="str">
        <f t="shared" si="1"/>
        <v/>
      </c>
      <c r="B545" s="22" t="str">
        <f t="shared" si="2"/>
        <v/>
      </c>
      <c r="C545" s="14" t="str">
        <f>IF($A545&lt;&gt;"",MINIFS(Merchant!$A:$A,Merchant!$B:$B,$G$2),)</f>
        <v/>
      </c>
      <c r="D545" s="14" t="str">
        <f t="shared" si="3"/>
        <v/>
      </c>
      <c r="E545" s="14" t="str">
        <f t="shared" si="4"/>
        <v/>
      </c>
      <c r="F545" s="6" t="str">
        <f>IF($A545&lt;&gt;"",MAXIFS(#REF!,Token!$A:$A,$D545),)</f>
        <v/>
      </c>
    </row>
    <row r="546">
      <c r="A546" s="35" t="str">
        <f t="shared" si="1"/>
        <v/>
      </c>
      <c r="B546" s="22" t="str">
        <f t="shared" si="2"/>
        <v/>
      </c>
      <c r="C546" s="14" t="str">
        <f>IF($A546&lt;&gt;"",MINIFS(Merchant!$A:$A,Merchant!$B:$B,$G$2),)</f>
        <v/>
      </c>
      <c r="D546" s="14" t="str">
        <f t="shared" si="3"/>
        <v/>
      </c>
      <c r="E546" s="14" t="str">
        <f t="shared" si="4"/>
        <v/>
      </c>
      <c r="F546" s="6" t="str">
        <f>IF($A546&lt;&gt;"",MAXIFS(#REF!,Token!$A:$A,$D546),)</f>
        <v/>
      </c>
    </row>
    <row r="547">
      <c r="A547" s="35" t="str">
        <f t="shared" si="1"/>
        <v/>
      </c>
      <c r="B547" s="22" t="str">
        <f t="shared" si="2"/>
        <v/>
      </c>
      <c r="C547" s="14" t="str">
        <f>IF($A547&lt;&gt;"",MINIFS(Merchant!$A:$A,Merchant!$B:$B,$G$2),)</f>
        <v/>
      </c>
      <c r="D547" s="14" t="str">
        <f t="shared" si="3"/>
        <v/>
      </c>
      <c r="E547" s="14" t="str">
        <f t="shared" si="4"/>
        <v/>
      </c>
      <c r="F547" s="6" t="str">
        <f>IF($A547&lt;&gt;"",MAXIFS(#REF!,Token!$A:$A,$D547),)</f>
        <v/>
      </c>
    </row>
    <row r="548">
      <c r="A548" s="35" t="str">
        <f t="shared" si="1"/>
        <v/>
      </c>
      <c r="B548" s="22" t="str">
        <f t="shared" si="2"/>
        <v/>
      </c>
      <c r="C548" s="14" t="str">
        <f>IF($A548&lt;&gt;"",MINIFS(Merchant!$A:$A,Merchant!$B:$B,$G$2),)</f>
        <v/>
      </c>
      <c r="D548" s="14" t="str">
        <f t="shared" si="3"/>
        <v/>
      </c>
      <c r="E548" s="14" t="str">
        <f t="shared" si="4"/>
        <v/>
      </c>
      <c r="F548" s="6" t="str">
        <f>IF($A548&lt;&gt;"",MAXIFS(#REF!,Token!$A:$A,$D548),)</f>
        <v/>
      </c>
    </row>
    <row r="549">
      <c r="A549" s="35" t="str">
        <f t="shared" si="1"/>
        <v/>
      </c>
      <c r="B549" s="22" t="str">
        <f t="shared" si="2"/>
        <v/>
      </c>
      <c r="C549" s="14" t="str">
        <f>IF($A549&lt;&gt;"",MINIFS(Merchant!$A:$A,Merchant!$B:$B,$G$2),)</f>
        <v/>
      </c>
      <c r="D549" s="14" t="str">
        <f t="shared" si="3"/>
        <v/>
      </c>
      <c r="E549" s="14" t="str">
        <f t="shared" si="4"/>
        <v/>
      </c>
      <c r="F549" s="6" t="str">
        <f>IF($A549&lt;&gt;"",MAXIFS(#REF!,Token!$A:$A,$D549),)</f>
        <v/>
      </c>
    </row>
    <row r="550">
      <c r="A550" s="35" t="str">
        <f t="shared" si="1"/>
        <v/>
      </c>
      <c r="B550" s="22" t="str">
        <f t="shared" si="2"/>
        <v/>
      </c>
      <c r="C550" s="14" t="str">
        <f>IF($A550&lt;&gt;"",MINIFS(Merchant!$A:$A,Merchant!$B:$B,$G$2),)</f>
        <v/>
      </c>
      <c r="D550" s="14" t="str">
        <f t="shared" si="3"/>
        <v/>
      </c>
      <c r="E550" s="14" t="str">
        <f t="shared" si="4"/>
        <v/>
      </c>
      <c r="F550" s="6" t="str">
        <f>IF($A550&lt;&gt;"",MAXIFS(#REF!,Token!$A:$A,$D550),)</f>
        <v/>
      </c>
    </row>
    <row r="551">
      <c r="A551" s="35" t="str">
        <f t="shared" si="1"/>
        <v/>
      </c>
      <c r="B551" s="22" t="str">
        <f t="shared" si="2"/>
        <v/>
      </c>
      <c r="C551" s="14" t="str">
        <f>IF($A551&lt;&gt;"",MINIFS(Merchant!$A:$A,Merchant!$B:$B,$G$2),)</f>
        <v/>
      </c>
      <c r="D551" s="14" t="str">
        <f t="shared" si="3"/>
        <v/>
      </c>
      <c r="E551" s="14" t="str">
        <f t="shared" si="4"/>
        <v/>
      </c>
      <c r="F551" s="6" t="str">
        <f>IF($A551&lt;&gt;"",MAXIFS(#REF!,Token!$A:$A,$D551),)</f>
        <v/>
      </c>
    </row>
    <row r="552">
      <c r="A552" s="35" t="str">
        <f t="shared" si="1"/>
        <v/>
      </c>
      <c r="B552" s="22" t="str">
        <f t="shared" si="2"/>
        <v/>
      </c>
      <c r="C552" s="14" t="str">
        <f>IF($A552&lt;&gt;"",MINIFS(Merchant!$A:$A,Merchant!$B:$B,$G$2),)</f>
        <v/>
      </c>
      <c r="D552" s="14" t="str">
        <f t="shared" si="3"/>
        <v/>
      </c>
      <c r="E552" s="14" t="str">
        <f t="shared" si="4"/>
        <v/>
      </c>
      <c r="F552" s="6" t="str">
        <f>IF($A552&lt;&gt;"",MAXIFS(#REF!,Token!$A:$A,$D552),)</f>
        <v/>
      </c>
    </row>
    <row r="553">
      <c r="A553" s="35" t="str">
        <f t="shared" si="1"/>
        <v/>
      </c>
      <c r="B553" s="22" t="str">
        <f t="shared" si="2"/>
        <v/>
      </c>
      <c r="C553" s="14" t="str">
        <f>IF($A553&lt;&gt;"",MINIFS(Merchant!$A:$A,Merchant!$B:$B,$G$2),)</f>
        <v/>
      </c>
      <c r="D553" s="14" t="str">
        <f t="shared" si="3"/>
        <v/>
      </c>
      <c r="E553" s="14" t="str">
        <f t="shared" si="4"/>
        <v/>
      </c>
      <c r="F553" s="6" t="str">
        <f>IF($A553&lt;&gt;"",MAXIFS(#REF!,Token!$A:$A,$D553),)</f>
        <v/>
      </c>
    </row>
    <row r="554">
      <c r="A554" s="35" t="str">
        <f t="shared" si="1"/>
        <v/>
      </c>
      <c r="B554" s="22" t="str">
        <f t="shared" si="2"/>
        <v/>
      </c>
      <c r="C554" s="14" t="str">
        <f>IF($A554&lt;&gt;"",MINIFS(Merchant!$A:$A,Merchant!$B:$B,$G$2),)</f>
        <v/>
      </c>
      <c r="D554" s="14" t="str">
        <f t="shared" si="3"/>
        <v/>
      </c>
      <c r="E554" s="14" t="str">
        <f t="shared" si="4"/>
        <v/>
      </c>
      <c r="F554" s="6" t="str">
        <f>IF($A554&lt;&gt;"",MAXIFS(#REF!,Token!$A:$A,$D554),)</f>
        <v/>
      </c>
    </row>
    <row r="555">
      <c r="A555" s="35" t="str">
        <f t="shared" si="1"/>
        <v/>
      </c>
      <c r="B555" s="22" t="str">
        <f t="shared" si="2"/>
        <v/>
      </c>
      <c r="C555" s="14" t="str">
        <f>IF($A555&lt;&gt;"",MINIFS(Merchant!$A:$A,Merchant!$B:$B,$G$2),)</f>
        <v/>
      </c>
      <c r="D555" s="14" t="str">
        <f t="shared" si="3"/>
        <v/>
      </c>
      <c r="E555" s="14" t="str">
        <f t="shared" si="4"/>
        <v/>
      </c>
      <c r="F555" s="6" t="str">
        <f>IF($A555&lt;&gt;"",MAXIFS(#REF!,Token!$A:$A,$D555),)</f>
        <v/>
      </c>
    </row>
    <row r="556">
      <c r="A556" s="35" t="str">
        <f t="shared" si="1"/>
        <v/>
      </c>
      <c r="B556" s="22" t="str">
        <f t="shared" si="2"/>
        <v/>
      </c>
      <c r="C556" s="14" t="str">
        <f>IF($A556&lt;&gt;"",MINIFS(Merchant!$A:$A,Merchant!$B:$B,$G$2),)</f>
        <v/>
      </c>
      <c r="D556" s="14" t="str">
        <f t="shared" si="3"/>
        <v/>
      </c>
      <c r="E556" s="14" t="str">
        <f t="shared" si="4"/>
        <v/>
      </c>
      <c r="F556" s="6" t="str">
        <f>IF($A556&lt;&gt;"",MAXIFS(#REF!,Token!$A:$A,$D556),)</f>
        <v/>
      </c>
    </row>
    <row r="557">
      <c r="A557" s="35" t="str">
        <f t="shared" si="1"/>
        <v/>
      </c>
      <c r="B557" s="22" t="str">
        <f t="shared" si="2"/>
        <v/>
      </c>
      <c r="C557" s="14" t="str">
        <f>IF($A557&lt;&gt;"",MINIFS(Merchant!$A:$A,Merchant!$B:$B,$G$2),)</f>
        <v/>
      </c>
      <c r="D557" s="14" t="str">
        <f t="shared" si="3"/>
        <v/>
      </c>
      <c r="E557" s="14" t="str">
        <f t="shared" si="4"/>
        <v/>
      </c>
      <c r="F557" s="6" t="str">
        <f>IF($A557&lt;&gt;"",MAXIFS(#REF!,Token!$A:$A,$D557),)</f>
        <v/>
      </c>
    </row>
    <row r="558">
      <c r="A558" s="35" t="str">
        <f t="shared" si="1"/>
        <v/>
      </c>
      <c r="B558" s="22" t="str">
        <f t="shared" si="2"/>
        <v/>
      </c>
      <c r="C558" s="14" t="str">
        <f>IF($A558&lt;&gt;"",MINIFS(Merchant!$A:$A,Merchant!$B:$B,$G$2),)</f>
        <v/>
      </c>
      <c r="D558" s="14" t="str">
        <f t="shared" si="3"/>
        <v/>
      </c>
      <c r="E558" s="14" t="str">
        <f t="shared" si="4"/>
        <v/>
      </c>
      <c r="F558" s="6" t="str">
        <f>IF($A558&lt;&gt;"",MAXIFS(#REF!,Token!$A:$A,$D558),)</f>
        <v/>
      </c>
    </row>
    <row r="559">
      <c r="A559" s="35" t="str">
        <f t="shared" si="1"/>
        <v/>
      </c>
      <c r="B559" s="22" t="str">
        <f t="shared" si="2"/>
        <v/>
      </c>
      <c r="C559" s="14" t="str">
        <f>IF($A559&lt;&gt;"",MINIFS(Merchant!$A:$A,Merchant!$B:$B,$G$2),)</f>
        <v/>
      </c>
      <c r="D559" s="14" t="str">
        <f t="shared" si="3"/>
        <v/>
      </c>
      <c r="E559" s="14" t="str">
        <f t="shared" si="4"/>
        <v/>
      </c>
      <c r="F559" s="6" t="str">
        <f>IF($A559&lt;&gt;"",MAXIFS(#REF!,Token!$A:$A,$D559),)</f>
        <v/>
      </c>
    </row>
    <row r="560">
      <c r="A560" s="35" t="str">
        <f t="shared" si="1"/>
        <v/>
      </c>
      <c r="B560" s="22" t="str">
        <f t="shared" si="2"/>
        <v/>
      </c>
      <c r="C560" s="14" t="str">
        <f>IF($A560&lt;&gt;"",MINIFS(Merchant!$A:$A,Merchant!$B:$B,$G$2),)</f>
        <v/>
      </c>
      <c r="D560" s="14" t="str">
        <f t="shared" si="3"/>
        <v/>
      </c>
      <c r="E560" s="14" t="str">
        <f t="shared" si="4"/>
        <v/>
      </c>
      <c r="F560" s="6" t="str">
        <f>IF($A560&lt;&gt;"",MAXIFS(#REF!,Token!$A:$A,$D560),)</f>
        <v/>
      </c>
    </row>
    <row r="561">
      <c r="A561" s="35" t="str">
        <f t="shared" si="1"/>
        <v/>
      </c>
      <c r="B561" s="22" t="str">
        <f t="shared" si="2"/>
        <v/>
      </c>
      <c r="C561" s="14" t="str">
        <f>IF($A561&lt;&gt;"",MINIFS(Merchant!$A:$A,Merchant!$B:$B,$G$2),)</f>
        <v/>
      </c>
      <c r="D561" s="14" t="str">
        <f t="shared" si="3"/>
        <v/>
      </c>
      <c r="E561" s="14" t="str">
        <f t="shared" si="4"/>
        <v/>
      </c>
      <c r="F561" s="6" t="str">
        <f>IF($A561&lt;&gt;"",MAXIFS(#REF!,Token!$A:$A,$D561),)</f>
        <v/>
      </c>
    </row>
    <row r="562">
      <c r="A562" s="35" t="str">
        <f t="shared" si="1"/>
        <v/>
      </c>
      <c r="B562" s="22" t="str">
        <f t="shared" si="2"/>
        <v/>
      </c>
      <c r="C562" s="14" t="str">
        <f>IF($A562&lt;&gt;"",MINIFS(Merchant!$A:$A,Merchant!$B:$B,$G$2),)</f>
        <v/>
      </c>
      <c r="D562" s="14" t="str">
        <f t="shared" si="3"/>
        <v/>
      </c>
      <c r="E562" s="14" t="str">
        <f t="shared" si="4"/>
        <v/>
      </c>
      <c r="F562" s="6" t="str">
        <f>IF($A562&lt;&gt;"",MAXIFS(#REF!,Token!$A:$A,$D562),)</f>
        <v/>
      </c>
    </row>
    <row r="563">
      <c r="A563" s="35" t="str">
        <f t="shared" si="1"/>
        <v/>
      </c>
      <c r="B563" s="22" t="str">
        <f t="shared" si="2"/>
        <v/>
      </c>
      <c r="C563" s="14" t="str">
        <f>IF($A563&lt;&gt;"",MINIFS(Merchant!$A:$A,Merchant!$B:$B,$G$2),)</f>
        <v/>
      </c>
      <c r="D563" s="14" t="str">
        <f t="shared" si="3"/>
        <v/>
      </c>
      <c r="E563" s="14" t="str">
        <f t="shared" si="4"/>
        <v/>
      </c>
      <c r="F563" s="6" t="str">
        <f>IF($A563&lt;&gt;"",MAXIFS(#REF!,Token!$A:$A,$D563),)</f>
        <v/>
      </c>
    </row>
    <row r="564">
      <c r="A564" s="35" t="str">
        <f t="shared" si="1"/>
        <v/>
      </c>
      <c r="B564" s="22" t="str">
        <f t="shared" si="2"/>
        <v/>
      </c>
      <c r="C564" s="14" t="str">
        <f>IF($A564&lt;&gt;"",MINIFS(Merchant!$A:$A,Merchant!$B:$B,$G$2),)</f>
        <v/>
      </c>
      <c r="D564" s="14" t="str">
        <f t="shared" si="3"/>
        <v/>
      </c>
      <c r="E564" s="14" t="str">
        <f t="shared" si="4"/>
        <v/>
      </c>
      <c r="F564" s="6" t="str">
        <f>IF($A564&lt;&gt;"",MAXIFS(#REF!,Token!$A:$A,$D564),)</f>
        <v/>
      </c>
    </row>
    <row r="565">
      <c r="A565" s="35" t="str">
        <f t="shared" si="1"/>
        <v/>
      </c>
      <c r="B565" s="22" t="str">
        <f t="shared" si="2"/>
        <v/>
      </c>
      <c r="C565" s="14" t="str">
        <f>IF($A565&lt;&gt;"",MINIFS(Merchant!$A:$A,Merchant!$B:$B,$G$2),)</f>
        <v/>
      </c>
      <c r="D565" s="14" t="str">
        <f t="shared" si="3"/>
        <v/>
      </c>
      <c r="E565" s="14" t="str">
        <f t="shared" si="4"/>
        <v/>
      </c>
      <c r="F565" s="6" t="str">
        <f>IF($A565&lt;&gt;"",MAXIFS(#REF!,Token!$A:$A,$D565),)</f>
        <v/>
      </c>
    </row>
    <row r="566">
      <c r="A566" s="35" t="str">
        <f t="shared" si="1"/>
        <v/>
      </c>
      <c r="B566" s="22" t="str">
        <f t="shared" si="2"/>
        <v/>
      </c>
      <c r="C566" s="14" t="str">
        <f>IF($A566&lt;&gt;"",MINIFS(Merchant!$A:$A,Merchant!$B:$B,$G$2),)</f>
        <v/>
      </c>
      <c r="D566" s="14" t="str">
        <f t="shared" si="3"/>
        <v/>
      </c>
      <c r="E566" s="14" t="str">
        <f t="shared" si="4"/>
        <v/>
      </c>
      <c r="F566" s="6" t="str">
        <f>IF($A566&lt;&gt;"",MAXIFS(#REF!,Token!$A:$A,$D566),)</f>
        <v/>
      </c>
    </row>
    <row r="567">
      <c r="A567" s="35" t="str">
        <f t="shared" si="1"/>
        <v/>
      </c>
      <c r="B567" s="22" t="str">
        <f t="shared" si="2"/>
        <v/>
      </c>
      <c r="C567" s="14" t="str">
        <f>IF($A567&lt;&gt;"",MINIFS(Merchant!$A:$A,Merchant!$B:$B,$G$2),)</f>
        <v/>
      </c>
      <c r="D567" s="14" t="str">
        <f t="shared" si="3"/>
        <v/>
      </c>
      <c r="E567" s="14" t="str">
        <f t="shared" si="4"/>
        <v/>
      </c>
      <c r="F567" s="6" t="str">
        <f>IF($A567&lt;&gt;"",MAXIFS(#REF!,Token!$A:$A,$D567),)</f>
        <v/>
      </c>
    </row>
    <row r="568">
      <c r="A568" s="35" t="str">
        <f t="shared" si="1"/>
        <v/>
      </c>
      <c r="B568" s="22" t="str">
        <f t="shared" si="2"/>
        <v/>
      </c>
      <c r="C568" s="14" t="str">
        <f>IF($A568&lt;&gt;"",MINIFS(Merchant!$A:$A,Merchant!$B:$B,$G$2),)</f>
        <v/>
      </c>
      <c r="D568" s="14" t="str">
        <f t="shared" si="3"/>
        <v/>
      </c>
      <c r="E568" s="14" t="str">
        <f t="shared" si="4"/>
        <v/>
      </c>
      <c r="F568" s="6" t="str">
        <f>IF($A568&lt;&gt;"",MAXIFS(#REF!,Token!$A:$A,$D568),)</f>
        <v/>
      </c>
    </row>
    <row r="569">
      <c r="A569" s="35" t="str">
        <f t="shared" si="1"/>
        <v/>
      </c>
      <c r="B569" s="22" t="str">
        <f t="shared" si="2"/>
        <v/>
      </c>
      <c r="C569" s="14" t="str">
        <f>IF($A569&lt;&gt;"",MINIFS(Merchant!$A:$A,Merchant!$B:$B,$G$2),)</f>
        <v/>
      </c>
      <c r="D569" s="14" t="str">
        <f t="shared" si="3"/>
        <v/>
      </c>
      <c r="E569" s="14" t="str">
        <f t="shared" si="4"/>
        <v/>
      </c>
      <c r="F569" s="6" t="str">
        <f>IF($A569&lt;&gt;"",MAXIFS(#REF!,Token!$A:$A,$D569),)</f>
        <v/>
      </c>
    </row>
    <row r="570">
      <c r="A570" s="35" t="str">
        <f t="shared" si="1"/>
        <v/>
      </c>
      <c r="B570" s="22" t="str">
        <f t="shared" si="2"/>
        <v/>
      </c>
      <c r="C570" s="14" t="str">
        <f>IF($A570&lt;&gt;"",MINIFS(Merchant!$A:$A,Merchant!$B:$B,$G$2),)</f>
        <v/>
      </c>
      <c r="D570" s="14" t="str">
        <f t="shared" si="3"/>
        <v/>
      </c>
      <c r="E570" s="14" t="str">
        <f t="shared" si="4"/>
        <v/>
      </c>
      <c r="F570" s="6" t="str">
        <f>IF($A570&lt;&gt;"",MAXIFS(#REF!,Token!$A:$A,$D570),)</f>
        <v/>
      </c>
    </row>
    <row r="571">
      <c r="A571" s="35" t="str">
        <f t="shared" si="1"/>
        <v/>
      </c>
      <c r="B571" s="22" t="str">
        <f t="shared" si="2"/>
        <v/>
      </c>
      <c r="C571" s="14" t="str">
        <f>IF($A571&lt;&gt;"",MINIFS(Merchant!$A:$A,Merchant!$B:$B,$G$2),)</f>
        <v/>
      </c>
      <c r="D571" s="14" t="str">
        <f t="shared" si="3"/>
        <v/>
      </c>
      <c r="E571" s="14" t="str">
        <f t="shared" si="4"/>
        <v/>
      </c>
      <c r="F571" s="6" t="str">
        <f>IF($A571&lt;&gt;"",MAXIFS(#REF!,Token!$A:$A,$D571),)</f>
        <v/>
      </c>
    </row>
    <row r="572">
      <c r="A572" s="35" t="str">
        <f t="shared" si="1"/>
        <v/>
      </c>
      <c r="B572" s="22" t="str">
        <f t="shared" si="2"/>
        <v/>
      </c>
      <c r="C572" s="14" t="str">
        <f>IF($A572&lt;&gt;"",MINIFS(Merchant!$A:$A,Merchant!$B:$B,$G$2),)</f>
        <v/>
      </c>
      <c r="D572" s="14" t="str">
        <f t="shared" si="3"/>
        <v/>
      </c>
      <c r="E572" s="14" t="str">
        <f t="shared" si="4"/>
        <v/>
      </c>
      <c r="F572" s="6" t="str">
        <f>IF($A572&lt;&gt;"",MAXIFS(#REF!,Token!$A:$A,$D572),)</f>
        <v/>
      </c>
    </row>
    <row r="573">
      <c r="A573" s="35" t="str">
        <f t="shared" si="1"/>
        <v/>
      </c>
      <c r="B573" s="22" t="str">
        <f t="shared" si="2"/>
        <v/>
      </c>
      <c r="C573" s="14" t="str">
        <f>IF($A573&lt;&gt;"",MINIFS(Merchant!$A:$A,Merchant!$B:$B,$G$2),)</f>
        <v/>
      </c>
      <c r="D573" s="14" t="str">
        <f t="shared" si="3"/>
        <v/>
      </c>
      <c r="E573" s="14" t="str">
        <f t="shared" si="4"/>
        <v/>
      </c>
      <c r="F573" s="6" t="str">
        <f>IF($A573&lt;&gt;"",MAXIFS(#REF!,Token!$A:$A,$D573),)</f>
        <v/>
      </c>
    </row>
    <row r="574">
      <c r="A574" s="35" t="str">
        <f t="shared" si="1"/>
        <v/>
      </c>
      <c r="B574" s="22" t="str">
        <f t="shared" si="2"/>
        <v/>
      </c>
      <c r="C574" s="14" t="str">
        <f>IF($A574&lt;&gt;"",MINIFS(Merchant!$A:$A,Merchant!$B:$B,$G$2),)</f>
        <v/>
      </c>
      <c r="D574" s="14" t="str">
        <f t="shared" si="3"/>
        <v/>
      </c>
      <c r="E574" s="14" t="str">
        <f t="shared" si="4"/>
        <v/>
      </c>
      <c r="F574" s="6" t="str">
        <f>IF($A574&lt;&gt;"",MAXIFS(#REF!,Token!$A:$A,$D574),)</f>
        <v/>
      </c>
    </row>
    <row r="575">
      <c r="A575" s="35" t="str">
        <f t="shared" si="1"/>
        <v/>
      </c>
      <c r="B575" s="22" t="str">
        <f t="shared" si="2"/>
        <v/>
      </c>
      <c r="C575" s="14" t="str">
        <f>IF($A575&lt;&gt;"",MINIFS(Merchant!$A:$A,Merchant!$B:$B,$G$2),)</f>
        <v/>
      </c>
      <c r="D575" s="14" t="str">
        <f t="shared" si="3"/>
        <v/>
      </c>
      <c r="E575" s="14" t="str">
        <f t="shared" si="4"/>
        <v/>
      </c>
      <c r="F575" s="6" t="str">
        <f>IF($A575&lt;&gt;"",MAXIFS(#REF!,Token!$A:$A,$D575),)</f>
        <v/>
      </c>
    </row>
    <row r="576">
      <c r="A576" s="35" t="str">
        <f t="shared" si="1"/>
        <v/>
      </c>
      <c r="B576" s="22" t="str">
        <f t="shared" si="2"/>
        <v/>
      </c>
      <c r="C576" s="14" t="str">
        <f>IF($A576&lt;&gt;"",MINIFS(Merchant!$A:$A,Merchant!$B:$B,$G$2),)</f>
        <v/>
      </c>
      <c r="D576" s="14" t="str">
        <f t="shared" si="3"/>
        <v/>
      </c>
      <c r="E576" s="14" t="str">
        <f t="shared" si="4"/>
        <v/>
      </c>
      <c r="F576" s="6" t="str">
        <f>IF($A576&lt;&gt;"",MAXIFS(#REF!,Token!$A:$A,$D576),)</f>
        <v/>
      </c>
    </row>
    <row r="577">
      <c r="A577" s="35" t="str">
        <f t="shared" si="1"/>
        <v/>
      </c>
      <c r="B577" s="22" t="str">
        <f t="shared" si="2"/>
        <v/>
      </c>
      <c r="C577" s="14" t="str">
        <f>IF($A577&lt;&gt;"",MINIFS(Merchant!$A:$A,Merchant!$B:$B,$G$2),)</f>
        <v/>
      </c>
      <c r="D577" s="14" t="str">
        <f t="shared" si="3"/>
        <v/>
      </c>
      <c r="E577" s="14" t="str">
        <f t="shared" si="4"/>
        <v/>
      </c>
      <c r="F577" s="6" t="str">
        <f>IF($A577&lt;&gt;"",MAXIFS(#REF!,Token!$A:$A,$D577),)</f>
        <v/>
      </c>
    </row>
    <row r="578">
      <c r="A578" s="35" t="str">
        <f t="shared" si="1"/>
        <v/>
      </c>
      <c r="B578" s="22" t="str">
        <f t="shared" si="2"/>
        <v/>
      </c>
      <c r="C578" s="14" t="str">
        <f>IF($A578&lt;&gt;"",MINIFS(Merchant!$A:$A,Merchant!$B:$B,$G$2),)</f>
        <v/>
      </c>
      <c r="D578" s="14" t="str">
        <f t="shared" si="3"/>
        <v/>
      </c>
      <c r="E578" s="14" t="str">
        <f t="shared" si="4"/>
        <v/>
      </c>
      <c r="F578" s="6" t="str">
        <f>IF($A578&lt;&gt;"",MAXIFS(#REF!,Token!$A:$A,$D578),)</f>
        <v/>
      </c>
    </row>
    <row r="579">
      <c r="A579" s="35" t="str">
        <f t="shared" si="1"/>
        <v/>
      </c>
      <c r="B579" s="22" t="str">
        <f t="shared" si="2"/>
        <v/>
      </c>
      <c r="C579" s="14" t="str">
        <f>IF($A579&lt;&gt;"",MINIFS(Merchant!$A:$A,Merchant!$B:$B,$G$2),)</f>
        <v/>
      </c>
      <c r="D579" s="14" t="str">
        <f t="shared" si="3"/>
        <v/>
      </c>
      <c r="E579" s="14" t="str">
        <f t="shared" si="4"/>
        <v/>
      </c>
      <c r="F579" s="6" t="str">
        <f>IF($A579&lt;&gt;"",MAXIFS(#REF!,Token!$A:$A,$D579),)</f>
        <v/>
      </c>
    </row>
    <row r="580">
      <c r="A580" s="35" t="str">
        <f t="shared" si="1"/>
        <v/>
      </c>
      <c r="B580" s="22" t="str">
        <f t="shared" si="2"/>
        <v/>
      </c>
      <c r="C580" s="14" t="str">
        <f>IF($A580&lt;&gt;"",MINIFS(Merchant!$A:$A,Merchant!$B:$B,$G$2),)</f>
        <v/>
      </c>
      <c r="D580" s="14" t="str">
        <f t="shared" si="3"/>
        <v/>
      </c>
      <c r="E580" s="14" t="str">
        <f t="shared" si="4"/>
        <v/>
      </c>
      <c r="F580" s="6" t="str">
        <f>IF($A580&lt;&gt;"",MAXIFS(#REF!,Token!$A:$A,$D580),)</f>
        <v/>
      </c>
    </row>
    <row r="581">
      <c r="A581" s="35" t="str">
        <f t="shared" si="1"/>
        <v/>
      </c>
      <c r="B581" s="22" t="str">
        <f t="shared" si="2"/>
        <v/>
      </c>
      <c r="C581" s="14" t="str">
        <f>IF($A581&lt;&gt;"",MINIFS(Merchant!$A:$A,Merchant!$B:$B,$G$2),)</f>
        <v/>
      </c>
      <c r="D581" s="14" t="str">
        <f t="shared" si="3"/>
        <v/>
      </c>
      <c r="E581" s="14" t="str">
        <f t="shared" si="4"/>
        <v/>
      </c>
      <c r="F581" s="6" t="str">
        <f>IF($A581&lt;&gt;"",MAXIFS(#REF!,Token!$A:$A,$D581),)</f>
        <v/>
      </c>
    </row>
    <row r="582">
      <c r="A582" s="35" t="str">
        <f t="shared" si="1"/>
        <v/>
      </c>
      <c r="B582" s="22" t="str">
        <f t="shared" si="2"/>
        <v/>
      </c>
      <c r="C582" s="14" t="str">
        <f>IF($A582&lt;&gt;"",MINIFS(Merchant!$A:$A,Merchant!$B:$B,$G$2),)</f>
        <v/>
      </c>
      <c r="D582" s="14" t="str">
        <f t="shared" si="3"/>
        <v/>
      </c>
      <c r="E582" s="14" t="str">
        <f t="shared" si="4"/>
        <v/>
      </c>
      <c r="F582" s="6" t="str">
        <f>IF($A582&lt;&gt;"",MAXIFS(#REF!,Token!$A:$A,$D582),)</f>
        <v/>
      </c>
    </row>
    <row r="583">
      <c r="A583" s="35" t="str">
        <f t="shared" si="1"/>
        <v/>
      </c>
      <c r="B583" s="22" t="str">
        <f t="shared" si="2"/>
        <v/>
      </c>
      <c r="C583" s="14" t="str">
        <f>IF($A583&lt;&gt;"",MINIFS(Merchant!$A:$A,Merchant!$B:$B,$G$2),)</f>
        <v/>
      </c>
      <c r="D583" s="14" t="str">
        <f t="shared" si="3"/>
        <v/>
      </c>
      <c r="E583" s="14" t="str">
        <f t="shared" si="4"/>
        <v/>
      </c>
      <c r="F583" s="6" t="str">
        <f>IF($A583&lt;&gt;"",MAXIFS(#REF!,Token!$A:$A,$D583),)</f>
        <v/>
      </c>
    </row>
    <row r="584">
      <c r="A584" s="35" t="str">
        <f t="shared" si="1"/>
        <v/>
      </c>
      <c r="B584" s="22" t="str">
        <f t="shared" si="2"/>
        <v/>
      </c>
      <c r="C584" s="14" t="str">
        <f>IF($A584&lt;&gt;"",MINIFS(Merchant!$A:$A,Merchant!$B:$B,$G$2),)</f>
        <v/>
      </c>
      <c r="D584" s="14" t="str">
        <f t="shared" si="3"/>
        <v/>
      </c>
      <c r="E584" s="14" t="str">
        <f t="shared" si="4"/>
        <v/>
      </c>
      <c r="F584" s="6" t="str">
        <f>IF($A584&lt;&gt;"",MAXIFS(#REF!,Token!$A:$A,$D584),)</f>
        <v/>
      </c>
    </row>
    <row r="585">
      <c r="A585" s="35" t="str">
        <f t="shared" si="1"/>
        <v/>
      </c>
      <c r="B585" s="22" t="str">
        <f t="shared" si="2"/>
        <v/>
      </c>
      <c r="C585" s="14" t="str">
        <f>IF($A585&lt;&gt;"",MINIFS(Merchant!$A:$A,Merchant!$B:$B,$G$2),)</f>
        <v/>
      </c>
      <c r="D585" s="14" t="str">
        <f t="shared" si="3"/>
        <v/>
      </c>
      <c r="E585" s="14" t="str">
        <f t="shared" si="4"/>
        <v/>
      </c>
      <c r="F585" s="6" t="str">
        <f>IF($A585&lt;&gt;"",MAXIFS(#REF!,Token!$A:$A,$D585),)</f>
        <v/>
      </c>
    </row>
    <row r="586">
      <c r="A586" s="35" t="str">
        <f t="shared" si="1"/>
        <v/>
      </c>
      <c r="B586" s="22" t="str">
        <f t="shared" si="2"/>
        <v/>
      </c>
      <c r="C586" s="14" t="str">
        <f>IF($A586&lt;&gt;"",MINIFS(Merchant!$A:$A,Merchant!$B:$B,$G$2),)</f>
        <v/>
      </c>
      <c r="D586" s="14" t="str">
        <f t="shared" si="3"/>
        <v/>
      </c>
      <c r="E586" s="14" t="str">
        <f t="shared" si="4"/>
        <v/>
      </c>
      <c r="F586" s="6" t="str">
        <f>IF($A586&lt;&gt;"",MAXIFS(#REF!,Token!$A:$A,$D586),)</f>
        <v/>
      </c>
    </row>
    <row r="587">
      <c r="A587" s="35" t="str">
        <f t="shared" si="1"/>
        <v/>
      </c>
      <c r="B587" s="22" t="str">
        <f t="shared" si="2"/>
        <v/>
      </c>
      <c r="C587" s="14" t="str">
        <f>IF($A587&lt;&gt;"",MINIFS(Merchant!$A:$A,Merchant!$B:$B,$G$2),)</f>
        <v/>
      </c>
      <c r="D587" s="14" t="str">
        <f t="shared" si="3"/>
        <v/>
      </c>
      <c r="E587" s="14" t="str">
        <f t="shared" si="4"/>
        <v/>
      </c>
      <c r="F587" s="6" t="str">
        <f>IF($A587&lt;&gt;"",MAXIFS(#REF!,Token!$A:$A,$D587),)</f>
        <v/>
      </c>
    </row>
    <row r="588">
      <c r="A588" s="35" t="str">
        <f t="shared" si="1"/>
        <v/>
      </c>
      <c r="B588" s="22" t="str">
        <f t="shared" si="2"/>
        <v/>
      </c>
      <c r="C588" s="14" t="str">
        <f>IF($A588&lt;&gt;"",MINIFS(Merchant!$A:$A,Merchant!$B:$B,$G$2),)</f>
        <v/>
      </c>
      <c r="D588" s="14" t="str">
        <f t="shared" si="3"/>
        <v/>
      </c>
      <c r="E588" s="14" t="str">
        <f t="shared" si="4"/>
        <v/>
      </c>
      <c r="F588" s="6" t="str">
        <f>IF($A588&lt;&gt;"",MAXIFS(#REF!,Token!$A:$A,$D588),)</f>
        <v/>
      </c>
    </row>
    <row r="589">
      <c r="A589" s="35" t="str">
        <f t="shared" si="1"/>
        <v/>
      </c>
      <c r="B589" s="22" t="str">
        <f t="shared" si="2"/>
        <v/>
      </c>
      <c r="C589" s="14" t="str">
        <f>IF($A589&lt;&gt;"",MINIFS(Merchant!$A:$A,Merchant!$B:$B,$G$2),)</f>
        <v/>
      </c>
      <c r="D589" s="14" t="str">
        <f t="shared" si="3"/>
        <v/>
      </c>
      <c r="E589" s="14" t="str">
        <f t="shared" si="4"/>
        <v/>
      </c>
      <c r="F589" s="6" t="str">
        <f>IF($A589&lt;&gt;"",MAXIFS(#REF!,Token!$A:$A,$D589),)</f>
        <v/>
      </c>
    </row>
    <row r="590">
      <c r="A590" s="35" t="str">
        <f t="shared" si="1"/>
        <v/>
      </c>
      <c r="B590" s="22" t="str">
        <f t="shared" si="2"/>
        <v/>
      </c>
      <c r="C590" s="14" t="str">
        <f>IF($A590&lt;&gt;"",MINIFS(Merchant!$A:$A,Merchant!$B:$B,$G$2),)</f>
        <v/>
      </c>
      <c r="D590" s="14" t="str">
        <f t="shared" si="3"/>
        <v/>
      </c>
      <c r="E590" s="14" t="str">
        <f t="shared" si="4"/>
        <v/>
      </c>
      <c r="F590" s="6" t="str">
        <f>IF($A590&lt;&gt;"",MAXIFS(#REF!,Token!$A:$A,$D590),)</f>
        <v/>
      </c>
    </row>
    <row r="591">
      <c r="A591" s="35" t="str">
        <f t="shared" si="1"/>
        <v/>
      </c>
      <c r="B591" s="22" t="str">
        <f t="shared" si="2"/>
        <v/>
      </c>
      <c r="C591" s="14" t="str">
        <f>IF($A591&lt;&gt;"",MINIFS(Merchant!$A:$A,Merchant!$B:$B,$G$2),)</f>
        <v/>
      </c>
      <c r="D591" s="14" t="str">
        <f t="shared" si="3"/>
        <v/>
      </c>
      <c r="E591" s="14" t="str">
        <f t="shared" si="4"/>
        <v/>
      </c>
      <c r="F591" s="6" t="str">
        <f>IF($A591&lt;&gt;"",MAXIFS(#REF!,Token!$A:$A,$D591),)</f>
        <v/>
      </c>
    </row>
    <row r="592">
      <c r="A592" s="35" t="str">
        <f t="shared" si="1"/>
        <v/>
      </c>
      <c r="B592" s="22" t="str">
        <f t="shared" si="2"/>
        <v/>
      </c>
      <c r="C592" s="14" t="str">
        <f>IF($A592&lt;&gt;"",MINIFS(Merchant!$A:$A,Merchant!$B:$B,$G$2),)</f>
        <v/>
      </c>
      <c r="D592" s="14" t="str">
        <f t="shared" si="3"/>
        <v/>
      </c>
      <c r="E592" s="14" t="str">
        <f t="shared" si="4"/>
        <v/>
      </c>
      <c r="F592" s="6" t="str">
        <f>IF($A592&lt;&gt;"",MAXIFS(#REF!,Token!$A:$A,$D592),)</f>
        <v/>
      </c>
    </row>
    <row r="593">
      <c r="A593" s="35" t="str">
        <f t="shared" si="1"/>
        <v/>
      </c>
      <c r="B593" s="22" t="str">
        <f t="shared" si="2"/>
        <v/>
      </c>
      <c r="C593" s="14" t="str">
        <f>IF($A593&lt;&gt;"",MINIFS(Merchant!$A:$A,Merchant!$B:$B,$G$2),)</f>
        <v/>
      </c>
      <c r="D593" s="14" t="str">
        <f t="shared" si="3"/>
        <v/>
      </c>
      <c r="E593" s="14" t="str">
        <f t="shared" si="4"/>
        <v/>
      </c>
      <c r="F593" s="6" t="str">
        <f>IF($A593&lt;&gt;"",MAXIFS(#REF!,Token!$A:$A,$D593),)</f>
        <v/>
      </c>
    </row>
    <row r="594">
      <c r="A594" s="35" t="str">
        <f t="shared" si="1"/>
        <v/>
      </c>
      <c r="B594" s="22" t="str">
        <f t="shared" si="2"/>
        <v/>
      </c>
      <c r="C594" s="14" t="str">
        <f>IF($A594&lt;&gt;"",MINIFS(Merchant!$A:$A,Merchant!$B:$B,$G$2),)</f>
        <v/>
      </c>
      <c r="D594" s="14" t="str">
        <f t="shared" si="3"/>
        <v/>
      </c>
      <c r="E594" s="14" t="str">
        <f t="shared" si="4"/>
        <v/>
      </c>
      <c r="F594" s="6" t="str">
        <f>IF($A594&lt;&gt;"",MAXIFS(#REF!,Token!$A:$A,$D594),)</f>
        <v/>
      </c>
    </row>
    <row r="595">
      <c r="A595" s="35" t="str">
        <f t="shared" si="1"/>
        <v/>
      </c>
      <c r="B595" s="22" t="str">
        <f t="shared" si="2"/>
        <v/>
      </c>
      <c r="C595" s="14" t="str">
        <f>IF($A595&lt;&gt;"",MINIFS(Merchant!$A:$A,Merchant!$B:$B,$G$2),)</f>
        <v/>
      </c>
      <c r="D595" s="14" t="str">
        <f t="shared" si="3"/>
        <v/>
      </c>
      <c r="E595" s="14" t="str">
        <f t="shared" si="4"/>
        <v/>
      </c>
      <c r="F595" s="6" t="str">
        <f>IF($A595&lt;&gt;"",MAXIFS(#REF!,Token!$A:$A,$D595),)</f>
        <v/>
      </c>
    </row>
    <row r="596">
      <c r="A596" s="35" t="str">
        <f t="shared" si="1"/>
        <v/>
      </c>
      <c r="B596" s="22" t="str">
        <f t="shared" si="2"/>
        <v/>
      </c>
      <c r="C596" s="14" t="str">
        <f>IF($A596&lt;&gt;"",MINIFS(Merchant!$A:$A,Merchant!$B:$B,$G$2),)</f>
        <v/>
      </c>
      <c r="D596" s="14" t="str">
        <f t="shared" si="3"/>
        <v/>
      </c>
      <c r="E596" s="14" t="str">
        <f t="shared" si="4"/>
        <v/>
      </c>
      <c r="F596" s="6" t="str">
        <f>IF($A596&lt;&gt;"",MAXIFS(#REF!,Token!$A:$A,$D596),)</f>
        <v/>
      </c>
    </row>
    <row r="597">
      <c r="A597" s="35" t="str">
        <f t="shared" si="1"/>
        <v/>
      </c>
      <c r="B597" s="22" t="str">
        <f t="shared" si="2"/>
        <v/>
      </c>
      <c r="C597" s="14" t="str">
        <f>IF($A597&lt;&gt;"",MINIFS(Merchant!$A:$A,Merchant!$B:$B,$G$2),)</f>
        <v/>
      </c>
      <c r="D597" s="14" t="str">
        <f t="shared" si="3"/>
        <v/>
      </c>
      <c r="E597" s="14" t="str">
        <f t="shared" si="4"/>
        <v/>
      </c>
      <c r="F597" s="6" t="str">
        <f>IF($A597&lt;&gt;"",MAXIFS(#REF!,Token!$A:$A,$D597),)</f>
        <v/>
      </c>
    </row>
    <row r="598">
      <c r="A598" s="35" t="str">
        <f t="shared" si="1"/>
        <v/>
      </c>
      <c r="B598" s="22" t="str">
        <f t="shared" si="2"/>
        <v/>
      </c>
      <c r="C598" s="14" t="str">
        <f>IF($A598&lt;&gt;"",MINIFS(Merchant!$A:$A,Merchant!$B:$B,$G$2),)</f>
        <v/>
      </c>
      <c r="D598" s="14" t="str">
        <f t="shared" si="3"/>
        <v/>
      </c>
      <c r="E598" s="14" t="str">
        <f t="shared" si="4"/>
        <v/>
      </c>
      <c r="F598" s="6" t="str">
        <f>IF($A598&lt;&gt;"",MAXIFS(#REF!,Token!$A:$A,$D598),)</f>
        <v/>
      </c>
    </row>
    <row r="599">
      <c r="A599" s="35" t="str">
        <f t="shared" si="1"/>
        <v/>
      </c>
      <c r="B599" s="22" t="str">
        <f t="shared" si="2"/>
        <v/>
      </c>
      <c r="C599" s="14" t="str">
        <f>IF($A599&lt;&gt;"",MINIFS(Merchant!$A:$A,Merchant!$B:$B,$G$2),)</f>
        <v/>
      </c>
      <c r="D599" s="14" t="str">
        <f t="shared" si="3"/>
        <v/>
      </c>
      <c r="E599" s="14" t="str">
        <f t="shared" si="4"/>
        <v/>
      </c>
      <c r="F599" s="6" t="str">
        <f>IF($A599&lt;&gt;"",MAXIFS(#REF!,Token!$A:$A,$D599),)</f>
        <v/>
      </c>
    </row>
    <row r="600">
      <c r="A600" s="35" t="str">
        <f t="shared" si="1"/>
        <v/>
      </c>
      <c r="B600" s="22" t="str">
        <f t="shared" si="2"/>
        <v/>
      </c>
      <c r="C600" s="14" t="str">
        <f>IF($A600&lt;&gt;"",MINIFS(Merchant!$A:$A,Merchant!$B:$B,$G$2),)</f>
        <v/>
      </c>
      <c r="D600" s="14" t="str">
        <f t="shared" si="3"/>
        <v/>
      </c>
      <c r="E600" s="14" t="str">
        <f t="shared" si="4"/>
        <v/>
      </c>
      <c r="F600" s="6" t="str">
        <f>IF($A600&lt;&gt;"",MAXIFS(#REF!,Token!$A:$A,$D600),)</f>
        <v/>
      </c>
    </row>
    <row r="601">
      <c r="A601" s="35" t="str">
        <f t="shared" si="1"/>
        <v/>
      </c>
      <c r="B601" s="22" t="str">
        <f t="shared" si="2"/>
        <v/>
      </c>
      <c r="C601" s="14" t="str">
        <f>IF($A601&lt;&gt;"",MINIFS(Merchant!$A:$A,Merchant!$B:$B,$G$2),)</f>
        <v/>
      </c>
      <c r="D601" s="14" t="str">
        <f t="shared" si="3"/>
        <v/>
      </c>
      <c r="E601" s="14" t="str">
        <f t="shared" si="4"/>
        <v/>
      </c>
      <c r="F601" s="6" t="str">
        <f>IF($A601&lt;&gt;"",MAXIFS(#REF!,Token!$A:$A,$D601),)</f>
        <v/>
      </c>
    </row>
    <row r="602">
      <c r="A602" s="35" t="str">
        <f t="shared" si="1"/>
        <v/>
      </c>
      <c r="B602" s="22" t="str">
        <f t="shared" si="2"/>
        <v/>
      </c>
      <c r="C602" s="14" t="str">
        <f>IF($A602&lt;&gt;"",MINIFS(Merchant!$A:$A,Merchant!$B:$B,$G$2),)</f>
        <v/>
      </c>
      <c r="D602" s="14" t="str">
        <f t="shared" si="3"/>
        <v/>
      </c>
      <c r="E602" s="14" t="str">
        <f t="shared" si="4"/>
        <v/>
      </c>
      <c r="F602" s="6" t="str">
        <f>IF($A602&lt;&gt;"",MAXIFS(#REF!,Token!$A:$A,$D602),)</f>
        <v/>
      </c>
    </row>
    <row r="603">
      <c r="A603" s="35" t="str">
        <f t="shared" si="1"/>
        <v/>
      </c>
      <c r="B603" s="22" t="str">
        <f t="shared" si="2"/>
        <v/>
      </c>
      <c r="C603" s="14" t="str">
        <f>IF($A603&lt;&gt;"",MINIFS(Merchant!$A:$A,Merchant!$B:$B,$G$2),)</f>
        <v/>
      </c>
      <c r="D603" s="14" t="str">
        <f t="shared" si="3"/>
        <v/>
      </c>
      <c r="E603" s="14" t="str">
        <f t="shared" si="4"/>
        <v/>
      </c>
      <c r="F603" s="6" t="str">
        <f>IF($A603&lt;&gt;"",MAXIFS(#REF!,Token!$A:$A,$D603),)</f>
        <v/>
      </c>
    </row>
    <row r="604">
      <c r="A604" s="35" t="str">
        <f t="shared" si="1"/>
        <v/>
      </c>
      <c r="B604" s="22" t="str">
        <f t="shared" si="2"/>
        <v/>
      </c>
      <c r="C604" s="14" t="str">
        <f>IF($A604&lt;&gt;"",MINIFS(Merchant!$A:$A,Merchant!$B:$B,$G$2),)</f>
        <v/>
      </c>
      <c r="D604" s="14" t="str">
        <f t="shared" si="3"/>
        <v/>
      </c>
      <c r="E604" s="14" t="str">
        <f t="shared" si="4"/>
        <v/>
      </c>
      <c r="F604" s="6" t="str">
        <f>IF($A604&lt;&gt;"",MAXIFS(#REF!,Token!$A:$A,$D604),)</f>
        <v/>
      </c>
    </row>
    <row r="605">
      <c r="A605" s="35" t="str">
        <f t="shared" si="1"/>
        <v/>
      </c>
      <c r="B605" s="22" t="str">
        <f t="shared" si="2"/>
        <v/>
      </c>
      <c r="C605" s="14" t="str">
        <f>IF($A605&lt;&gt;"",MINIFS(Merchant!$A:$A,Merchant!$B:$B,$G$2),)</f>
        <v/>
      </c>
      <c r="D605" s="14" t="str">
        <f t="shared" si="3"/>
        <v/>
      </c>
      <c r="E605" s="14" t="str">
        <f t="shared" si="4"/>
        <v/>
      </c>
      <c r="F605" s="6" t="str">
        <f>IF($A605&lt;&gt;"",MAXIFS(#REF!,Token!$A:$A,$D605),)</f>
        <v/>
      </c>
    </row>
    <row r="606">
      <c r="A606" s="35" t="str">
        <f t="shared" si="1"/>
        <v/>
      </c>
      <c r="B606" s="22" t="str">
        <f t="shared" si="2"/>
        <v/>
      </c>
      <c r="C606" s="14" t="str">
        <f>IF($A606&lt;&gt;"",MINIFS(Merchant!$A:$A,Merchant!$B:$B,$G$2),)</f>
        <v/>
      </c>
      <c r="D606" s="14" t="str">
        <f t="shared" si="3"/>
        <v/>
      </c>
      <c r="E606" s="14" t="str">
        <f t="shared" si="4"/>
        <v/>
      </c>
      <c r="F606" s="6" t="str">
        <f>IF($A606&lt;&gt;"",MAXIFS(#REF!,Token!$A:$A,$D606),)</f>
        <v/>
      </c>
    </row>
    <row r="607">
      <c r="A607" s="35" t="str">
        <f t="shared" si="1"/>
        <v/>
      </c>
      <c r="B607" s="22" t="str">
        <f t="shared" si="2"/>
        <v/>
      </c>
      <c r="C607" s="14" t="str">
        <f>IF($A607&lt;&gt;"",MINIFS(Merchant!$A:$A,Merchant!$B:$B,$G$2),)</f>
        <v/>
      </c>
      <c r="D607" s="14" t="str">
        <f t="shared" si="3"/>
        <v/>
      </c>
      <c r="E607" s="14" t="str">
        <f t="shared" si="4"/>
        <v/>
      </c>
      <c r="F607" s="6" t="str">
        <f>IF($A607&lt;&gt;"",MAXIFS(#REF!,Token!$A:$A,$D607),)</f>
        <v/>
      </c>
    </row>
    <row r="608">
      <c r="A608" s="35" t="str">
        <f t="shared" si="1"/>
        <v/>
      </c>
      <c r="B608" s="22" t="str">
        <f t="shared" si="2"/>
        <v/>
      </c>
      <c r="C608" s="14" t="str">
        <f>IF($A608&lt;&gt;"",MINIFS(Merchant!$A:$A,Merchant!$B:$B,$G$2),)</f>
        <v/>
      </c>
      <c r="D608" s="14" t="str">
        <f t="shared" si="3"/>
        <v/>
      </c>
      <c r="E608" s="14" t="str">
        <f t="shared" si="4"/>
        <v/>
      </c>
      <c r="F608" s="6" t="str">
        <f>IF($A608&lt;&gt;"",MAXIFS(#REF!,Token!$A:$A,$D608),)</f>
        <v/>
      </c>
    </row>
    <row r="609">
      <c r="A609" s="35" t="str">
        <f t="shared" si="1"/>
        <v/>
      </c>
      <c r="B609" s="22" t="str">
        <f t="shared" si="2"/>
        <v/>
      </c>
      <c r="C609" s="14" t="str">
        <f>IF($A609&lt;&gt;"",MINIFS(Merchant!$A:$A,Merchant!$B:$B,$G$2),)</f>
        <v/>
      </c>
      <c r="D609" s="14" t="str">
        <f t="shared" si="3"/>
        <v/>
      </c>
      <c r="E609" s="14" t="str">
        <f t="shared" si="4"/>
        <v/>
      </c>
      <c r="F609" s="6" t="str">
        <f>IF($A609&lt;&gt;"",MAXIFS(#REF!,Token!$A:$A,$D609),)</f>
        <v/>
      </c>
    </row>
    <row r="610">
      <c r="A610" s="35" t="str">
        <f t="shared" si="1"/>
        <v/>
      </c>
      <c r="B610" s="22" t="str">
        <f t="shared" si="2"/>
        <v/>
      </c>
      <c r="C610" s="14" t="str">
        <f>IF($A610&lt;&gt;"",MINIFS(Merchant!$A:$A,Merchant!$B:$B,$G$2),)</f>
        <v/>
      </c>
      <c r="D610" s="14" t="str">
        <f t="shared" si="3"/>
        <v/>
      </c>
      <c r="E610" s="14" t="str">
        <f t="shared" si="4"/>
        <v/>
      </c>
      <c r="F610" s="6" t="str">
        <f>IF($A610&lt;&gt;"",MAXIFS(#REF!,Token!$A:$A,$D610),)</f>
        <v/>
      </c>
    </row>
    <row r="611">
      <c r="A611" s="35" t="str">
        <f t="shared" si="1"/>
        <v/>
      </c>
      <c r="B611" s="22" t="str">
        <f t="shared" si="2"/>
        <v/>
      </c>
      <c r="C611" s="14" t="str">
        <f>IF($A611&lt;&gt;"",MINIFS(Merchant!$A:$A,Merchant!$B:$B,$G$2),)</f>
        <v/>
      </c>
      <c r="D611" s="14" t="str">
        <f t="shared" si="3"/>
        <v/>
      </c>
      <c r="E611" s="14" t="str">
        <f t="shared" si="4"/>
        <v/>
      </c>
      <c r="F611" s="6" t="str">
        <f>IF($A611&lt;&gt;"",MAXIFS(#REF!,Token!$A:$A,$D611),)</f>
        <v/>
      </c>
    </row>
    <row r="612">
      <c r="A612" s="35" t="str">
        <f t="shared" si="1"/>
        <v/>
      </c>
      <c r="B612" s="22" t="str">
        <f t="shared" si="2"/>
        <v/>
      </c>
      <c r="C612" s="14" t="str">
        <f>IF($A612&lt;&gt;"",MINIFS(Merchant!$A:$A,Merchant!$B:$B,$G$2),)</f>
        <v/>
      </c>
      <c r="D612" s="14" t="str">
        <f t="shared" si="3"/>
        <v/>
      </c>
      <c r="E612" s="14" t="str">
        <f t="shared" si="4"/>
        <v/>
      </c>
      <c r="F612" s="6" t="str">
        <f>IF($A612&lt;&gt;"",MAXIFS(#REF!,Token!$A:$A,$D612),)</f>
        <v/>
      </c>
    </row>
    <row r="613">
      <c r="A613" s="35" t="str">
        <f t="shared" si="1"/>
        <v/>
      </c>
      <c r="B613" s="22" t="str">
        <f t="shared" si="2"/>
        <v/>
      </c>
      <c r="C613" s="14" t="str">
        <f>IF($A613&lt;&gt;"",MINIFS(Merchant!$A:$A,Merchant!$B:$B,$G$2),)</f>
        <v/>
      </c>
      <c r="D613" s="14" t="str">
        <f t="shared" si="3"/>
        <v/>
      </c>
      <c r="E613" s="14" t="str">
        <f t="shared" si="4"/>
        <v/>
      </c>
      <c r="F613" s="6" t="str">
        <f>IF($A613&lt;&gt;"",MAXIFS(#REF!,Token!$A:$A,$D613),)</f>
        <v/>
      </c>
    </row>
    <row r="614">
      <c r="A614" s="35" t="str">
        <f t="shared" si="1"/>
        <v/>
      </c>
      <c r="B614" s="22" t="str">
        <f t="shared" si="2"/>
        <v/>
      </c>
      <c r="C614" s="14" t="str">
        <f>IF($A614&lt;&gt;"",MINIFS(Merchant!$A:$A,Merchant!$B:$B,$G$2),)</f>
        <v/>
      </c>
      <c r="D614" s="14" t="str">
        <f t="shared" si="3"/>
        <v/>
      </c>
      <c r="E614" s="14" t="str">
        <f t="shared" si="4"/>
        <v/>
      </c>
      <c r="F614" s="6" t="str">
        <f>IF($A614&lt;&gt;"",MAXIFS(#REF!,Token!$A:$A,$D614),)</f>
        <v/>
      </c>
    </row>
    <row r="615">
      <c r="A615" s="35" t="str">
        <f t="shared" si="1"/>
        <v/>
      </c>
      <c r="B615" s="22" t="str">
        <f t="shared" si="2"/>
        <v/>
      </c>
      <c r="C615" s="14" t="str">
        <f>IF($A615&lt;&gt;"",MINIFS(Merchant!$A:$A,Merchant!$B:$B,$G$2),)</f>
        <v/>
      </c>
      <c r="D615" s="14" t="str">
        <f t="shared" si="3"/>
        <v/>
      </c>
      <c r="E615" s="14" t="str">
        <f t="shared" si="4"/>
        <v/>
      </c>
      <c r="F615" s="6" t="str">
        <f>IF($A615&lt;&gt;"",MAXIFS(#REF!,Token!$A:$A,$D615),)</f>
        <v/>
      </c>
    </row>
    <row r="616">
      <c r="A616" s="35" t="str">
        <f t="shared" si="1"/>
        <v/>
      </c>
      <c r="B616" s="22" t="str">
        <f t="shared" si="2"/>
        <v/>
      </c>
      <c r="C616" s="14" t="str">
        <f>IF($A616&lt;&gt;"",MINIFS(Merchant!$A:$A,Merchant!$B:$B,$G$2),)</f>
        <v/>
      </c>
      <c r="D616" s="14" t="str">
        <f t="shared" si="3"/>
        <v/>
      </c>
      <c r="E616" s="14" t="str">
        <f t="shared" si="4"/>
        <v/>
      </c>
      <c r="F616" s="6" t="str">
        <f>IF($A616&lt;&gt;"",MAXIFS(#REF!,Token!$A:$A,$D616),)</f>
        <v/>
      </c>
    </row>
    <row r="617">
      <c r="A617" s="35" t="str">
        <f t="shared" si="1"/>
        <v/>
      </c>
      <c r="B617" s="22" t="str">
        <f t="shared" si="2"/>
        <v/>
      </c>
      <c r="C617" s="14" t="str">
        <f>IF($A617&lt;&gt;"",MINIFS(Merchant!$A:$A,Merchant!$B:$B,$G$2),)</f>
        <v/>
      </c>
      <c r="D617" s="14" t="str">
        <f t="shared" si="3"/>
        <v/>
      </c>
      <c r="E617" s="14" t="str">
        <f t="shared" si="4"/>
        <v/>
      </c>
      <c r="F617" s="6" t="str">
        <f>IF($A617&lt;&gt;"",MAXIFS(#REF!,Token!$A:$A,$D617),)</f>
        <v/>
      </c>
    </row>
    <row r="618">
      <c r="A618" s="35" t="str">
        <f t="shared" si="1"/>
        <v/>
      </c>
      <c r="B618" s="22" t="str">
        <f t="shared" si="2"/>
        <v/>
      </c>
      <c r="C618" s="14" t="str">
        <f>IF($A618&lt;&gt;"",MINIFS(Merchant!$A:$A,Merchant!$B:$B,$G$2),)</f>
        <v/>
      </c>
      <c r="D618" s="14" t="str">
        <f t="shared" si="3"/>
        <v/>
      </c>
      <c r="E618" s="14" t="str">
        <f t="shared" si="4"/>
        <v/>
      </c>
      <c r="F618" s="6" t="str">
        <f>IF($A618&lt;&gt;"",MAXIFS(#REF!,Token!$A:$A,$D618),)</f>
        <v/>
      </c>
    </row>
    <row r="619">
      <c r="A619" s="35" t="str">
        <f t="shared" si="1"/>
        <v/>
      </c>
      <c r="B619" s="22" t="str">
        <f t="shared" si="2"/>
        <v/>
      </c>
      <c r="C619" s="14" t="str">
        <f>IF($A619&lt;&gt;"",MINIFS(Merchant!$A:$A,Merchant!$B:$B,$G$2),)</f>
        <v/>
      </c>
      <c r="D619" s="14" t="str">
        <f t="shared" si="3"/>
        <v/>
      </c>
      <c r="E619" s="14" t="str">
        <f t="shared" si="4"/>
        <v/>
      </c>
      <c r="F619" s="6" t="str">
        <f>IF($A619&lt;&gt;"",MAXIFS(#REF!,Token!$A:$A,$D619),)</f>
        <v/>
      </c>
    </row>
    <row r="620">
      <c r="A620" s="35" t="str">
        <f t="shared" si="1"/>
        <v/>
      </c>
      <c r="B620" s="22" t="str">
        <f t="shared" si="2"/>
        <v/>
      </c>
      <c r="C620" s="14" t="str">
        <f>IF($A620&lt;&gt;"",MINIFS(Merchant!$A:$A,Merchant!$B:$B,$G$2),)</f>
        <v/>
      </c>
      <c r="D620" s="14" t="str">
        <f t="shared" si="3"/>
        <v/>
      </c>
      <c r="E620" s="14" t="str">
        <f t="shared" si="4"/>
        <v/>
      </c>
      <c r="F620" s="6" t="str">
        <f>IF($A620&lt;&gt;"",MAXIFS(#REF!,Token!$A:$A,$D620),)</f>
        <v/>
      </c>
    </row>
    <row r="621">
      <c r="A621" s="35" t="str">
        <f t="shared" si="1"/>
        <v/>
      </c>
      <c r="B621" s="22" t="str">
        <f t="shared" si="2"/>
        <v/>
      </c>
      <c r="C621" s="14" t="str">
        <f>IF($A621&lt;&gt;"",MINIFS(Merchant!$A:$A,Merchant!$B:$B,$G$2),)</f>
        <v/>
      </c>
      <c r="D621" s="14" t="str">
        <f t="shared" si="3"/>
        <v/>
      </c>
      <c r="E621" s="14" t="str">
        <f t="shared" si="4"/>
        <v/>
      </c>
      <c r="F621" s="6" t="str">
        <f>IF($A621&lt;&gt;"",MAXIFS(#REF!,Token!$A:$A,$D621),)</f>
        <v/>
      </c>
    </row>
    <row r="622">
      <c r="A622" s="35" t="str">
        <f t="shared" si="1"/>
        <v/>
      </c>
      <c r="B622" s="22" t="str">
        <f t="shared" si="2"/>
        <v/>
      </c>
      <c r="C622" s="14" t="str">
        <f>IF($A622&lt;&gt;"",MINIFS(Merchant!$A:$A,Merchant!$B:$B,$G$2),)</f>
        <v/>
      </c>
      <c r="D622" s="14" t="str">
        <f t="shared" si="3"/>
        <v/>
      </c>
      <c r="E622" s="14" t="str">
        <f t="shared" si="4"/>
        <v/>
      </c>
      <c r="F622" s="6" t="str">
        <f>IF($A622&lt;&gt;"",MAXIFS(#REF!,Token!$A:$A,$D622),)</f>
        <v/>
      </c>
    </row>
    <row r="623">
      <c r="A623" s="35" t="str">
        <f t="shared" si="1"/>
        <v/>
      </c>
      <c r="B623" s="22" t="str">
        <f t="shared" si="2"/>
        <v/>
      </c>
      <c r="C623" s="14" t="str">
        <f>IF($A623&lt;&gt;"",MINIFS(Merchant!$A:$A,Merchant!$B:$B,$G$2),)</f>
        <v/>
      </c>
      <c r="D623" s="14" t="str">
        <f t="shared" si="3"/>
        <v/>
      </c>
      <c r="E623" s="14" t="str">
        <f t="shared" si="4"/>
        <v/>
      </c>
      <c r="F623" s="6" t="str">
        <f>IF($A623&lt;&gt;"",MAXIFS(#REF!,Token!$A:$A,$D623),)</f>
        <v/>
      </c>
    </row>
    <row r="624">
      <c r="A624" s="35" t="str">
        <f t="shared" si="1"/>
        <v/>
      </c>
      <c r="B624" s="22" t="str">
        <f t="shared" si="2"/>
        <v/>
      </c>
      <c r="C624" s="14" t="str">
        <f>IF($A624&lt;&gt;"",MINIFS(Merchant!$A:$A,Merchant!$B:$B,$G$2),)</f>
        <v/>
      </c>
      <c r="D624" s="14" t="str">
        <f t="shared" si="3"/>
        <v/>
      </c>
      <c r="E624" s="14" t="str">
        <f t="shared" si="4"/>
        <v/>
      </c>
      <c r="F624" s="6" t="str">
        <f>IF($A624&lt;&gt;"",MAXIFS(#REF!,Token!$A:$A,$D624),)</f>
        <v/>
      </c>
    </row>
    <row r="625">
      <c r="A625" s="35" t="str">
        <f t="shared" si="1"/>
        <v/>
      </c>
      <c r="B625" s="22" t="str">
        <f t="shared" si="2"/>
        <v/>
      </c>
      <c r="C625" s="14" t="str">
        <f>IF($A625&lt;&gt;"",MINIFS(Merchant!$A:$A,Merchant!$B:$B,$G$2),)</f>
        <v/>
      </c>
      <c r="D625" s="14" t="str">
        <f t="shared" si="3"/>
        <v/>
      </c>
      <c r="E625" s="14" t="str">
        <f t="shared" si="4"/>
        <v/>
      </c>
      <c r="F625" s="6" t="str">
        <f>IF($A625&lt;&gt;"",MAXIFS(#REF!,Token!$A:$A,$D625),)</f>
        <v/>
      </c>
    </row>
    <row r="626">
      <c r="A626" s="35" t="str">
        <f t="shared" si="1"/>
        <v/>
      </c>
      <c r="B626" s="22" t="str">
        <f t="shared" si="2"/>
        <v/>
      </c>
      <c r="C626" s="14" t="str">
        <f>IF($A626&lt;&gt;"",MINIFS(Merchant!$A:$A,Merchant!$B:$B,$G$2),)</f>
        <v/>
      </c>
      <c r="D626" s="14" t="str">
        <f t="shared" si="3"/>
        <v/>
      </c>
      <c r="E626" s="14" t="str">
        <f t="shared" si="4"/>
        <v/>
      </c>
      <c r="F626" s="6" t="str">
        <f>IF($A626&lt;&gt;"",MAXIFS(#REF!,Token!$A:$A,$D626),)</f>
        <v/>
      </c>
    </row>
    <row r="627">
      <c r="A627" s="35" t="str">
        <f t="shared" si="1"/>
        <v/>
      </c>
      <c r="B627" s="22" t="str">
        <f t="shared" si="2"/>
        <v/>
      </c>
      <c r="C627" s="14" t="str">
        <f>IF($A627&lt;&gt;"",MINIFS(Merchant!$A:$A,Merchant!$B:$B,$G$2),)</f>
        <v/>
      </c>
      <c r="D627" s="14" t="str">
        <f t="shared" si="3"/>
        <v/>
      </c>
      <c r="E627" s="14" t="str">
        <f t="shared" si="4"/>
        <v/>
      </c>
      <c r="F627" s="6" t="str">
        <f>IF($A627&lt;&gt;"",MAXIFS(#REF!,Token!$A:$A,$D627),)</f>
        <v/>
      </c>
    </row>
    <row r="628">
      <c r="A628" s="35" t="str">
        <f t="shared" si="1"/>
        <v/>
      </c>
      <c r="B628" s="22" t="str">
        <f t="shared" si="2"/>
        <v/>
      </c>
      <c r="C628" s="14" t="str">
        <f>IF($A628&lt;&gt;"",MINIFS(Merchant!$A:$A,Merchant!$B:$B,$G$2),)</f>
        <v/>
      </c>
      <c r="D628" s="14" t="str">
        <f t="shared" si="3"/>
        <v/>
      </c>
      <c r="E628" s="14" t="str">
        <f t="shared" si="4"/>
        <v/>
      </c>
      <c r="F628" s="6" t="str">
        <f>IF($A628&lt;&gt;"",MAXIFS(#REF!,Token!$A:$A,$D628),)</f>
        <v/>
      </c>
    </row>
    <row r="629">
      <c r="A629" s="35" t="str">
        <f t="shared" si="1"/>
        <v/>
      </c>
      <c r="B629" s="22" t="str">
        <f t="shared" si="2"/>
        <v/>
      </c>
      <c r="C629" s="14" t="str">
        <f>IF($A629&lt;&gt;"",MINIFS(Merchant!$A:$A,Merchant!$B:$B,$G$2),)</f>
        <v/>
      </c>
      <c r="D629" s="14" t="str">
        <f t="shared" si="3"/>
        <v/>
      </c>
      <c r="E629" s="14" t="str">
        <f t="shared" si="4"/>
        <v/>
      </c>
      <c r="F629" s="6" t="str">
        <f>IF($A629&lt;&gt;"",MAXIFS(#REF!,Token!$A:$A,$D629),)</f>
        <v/>
      </c>
    </row>
    <row r="630">
      <c r="A630" s="35" t="str">
        <f t="shared" si="1"/>
        <v/>
      </c>
      <c r="B630" s="22" t="str">
        <f t="shared" si="2"/>
        <v/>
      </c>
      <c r="C630" s="14" t="str">
        <f>IF($A630&lt;&gt;"",MINIFS(Merchant!$A:$A,Merchant!$B:$B,$G$2),)</f>
        <v/>
      </c>
      <c r="D630" s="14" t="str">
        <f t="shared" si="3"/>
        <v/>
      </c>
      <c r="E630" s="14" t="str">
        <f t="shared" si="4"/>
        <v/>
      </c>
      <c r="F630" s="6" t="str">
        <f>IF($A630&lt;&gt;"",MAXIFS(#REF!,Token!$A:$A,$D630),)</f>
        <v/>
      </c>
    </row>
    <row r="631">
      <c r="A631" s="35" t="str">
        <f t="shared" si="1"/>
        <v/>
      </c>
      <c r="B631" s="22" t="str">
        <f t="shared" si="2"/>
        <v/>
      </c>
      <c r="C631" s="14" t="str">
        <f>IF($A631&lt;&gt;"",MINIFS(Merchant!$A:$A,Merchant!$B:$B,$G$2),)</f>
        <v/>
      </c>
      <c r="D631" s="14" t="str">
        <f t="shared" si="3"/>
        <v/>
      </c>
      <c r="E631" s="14" t="str">
        <f t="shared" si="4"/>
        <v/>
      </c>
      <c r="F631" s="6" t="str">
        <f>IF($A631&lt;&gt;"",MAXIFS(#REF!,Token!$A:$A,$D631),)</f>
        <v/>
      </c>
    </row>
    <row r="632">
      <c r="A632" s="35" t="str">
        <f t="shared" si="1"/>
        <v/>
      </c>
      <c r="B632" s="22" t="str">
        <f t="shared" si="2"/>
        <v/>
      </c>
      <c r="C632" s="14" t="str">
        <f>IF($A632&lt;&gt;"",MINIFS(Merchant!$A:$A,Merchant!$B:$B,$G$2),)</f>
        <v/>
      </c>
      <c r="D632" s="14" t="str">
        <f t="shared" si="3"/>
        <v/>
      </c>
      <c r="E632" s="14" t="str">
        <f t="shared" si="4"/>
        <v/>
      </c>
      <c r="F632" s="6" t="str">
        <f>IF($A632&lt;&gt;"",MAXIFS(#REF!,Token!$A:$A,$D632),)</f>
        <v/>
      </c>
    </row>
    <row r="633">
      <c r="A633" s="35" t="str">
        <f t="shared" si="1"/>
        <v/>
      </c>
      <c r="B633" s="22" t="str">
        <f t="shared" si="2"/>
        <v/>
      </c>
      <c r="C633" s="14" t="str">
        <f>IF($A633&lt;&gt;"",MINIFS(Merchant!$A:$A,Merchant!$B:$B,$G$2),)</f>
        <v/>
      </c>
      <c r="D633" s="14" t="str">
        <f t="shared" si="3"/>
        <v/>
      </c>
      <c r="E633" s="14" t="str">
        <f t="shared" si="4"/>
        <v/>
      </c>
      <c r="F633" s="6" t="str">
        <f>IF($A633&lt;&gt;"",MAXIFS(#REF!,Token!$A:$A,$D633),)</f>
        <v/>
      </c>
    </row>
    <row r="634">
      <c r="A634" s="35" t="str">
        <f t="shared" si="1"/>
        <v/>
      </c>
      <c r="B634" s="22" t="str">
        <f t="shared" si="2"/>
        <v/>
      </c>
      <c r="C634" s="14" t="str">
        <f>IF($A634&lt;&gt;"",MINIFS(Merchant!$A:$A,Merchant!$B:$B,$G$2),)</f>
        <v/>
      </c>
      <c r="D634" s="14" t="str">
        <f t="shared" si="3"/>
        <v/>
      </c>
      <c r="E634" s="14" t="str">
        <f t="shared" si="4"/>
        <v/>
      </c>
      <c r="F634" s="6" t="str">
        <f>IF($A634&lt;&gt;"",MAXIFS(#REF!,Token!$A:$A,$D634),)</f>
        <v/>
      </c>
    </row>
    <row r="635">
      <c r="A635" s="35" t="str">
        <f t="shared" si="1"/>
        <v/>
      </c>
      <c r="B635" s="22" t="str">
        <f t="shared" si="2"/>
        <v/>
      </c>
      <c r="C635" s="14" t="str">
        <f>IF($A635&lt;&gt;"",MINIFS(Merchant!$A:$A,Merchant!$B:$B,$G$2),)</f>
        <v/>
      </c>
      <c r="D635" s="14" t="str">
        <f t="shared" si="3"/>
        <v/>
      </c>
      <c r="E635" s="14" t="str">
        <f t="shared" si="4"/>
        <v/>
      </c>
      <c r="F635" s="6" t="str">
        <f>IF($A635&lt;&gt;"",MAXIFS(#REF!,Token!$A:$A,$D635),)</f>
        <v/>
      </c>
    </row>
    <row r="636">
      <c r="A636" s="35" t="str">
        <f t="shared" si="1"/>
        <v/>
      </c>
      <c r="B636" s="22" t="str">
        <f t="shared" si="2"/>
        <v/>
      </c>
      <c r="C636" s="14" t="str">
        <f>IF($A636&lt;&gt;"",MINIFS(Merchant!$A:$A,Merchant!$B:$B,$G$2),)</f>
        <v/>
      </c>
      <c r="D636" s="14" t="str">
        <f t="shared" si="3"/>
        <v/>
      </c>
      <c r="E636" s="14" t="str">
        <f t="shared" si="4"/>
        <v/>
      </c>
      <c r="F636" s="6" t="str">
        <f>IF($A636&lt;&gt;"",MAXIFS(#REF!,Token!$A:$A,$D636),)</f>
        <v/>
      </c>
    </row>
    <row r="637">
      <c r="A637" s="35" t="str">
        <f t="shared" si="1"/>
        <v/>
      </c>
      <c r="B637" s="22" t="str">
        <f t="shared" si="2"/>
        <v/>
      </c>
      <c r="C637" s="14" t="str">
        <f>IF($A637&lt;&gt;"",MINIFS(Merchant!$A:$A,Merchant!$B:$B,$G$2),)</f>
        <v/>
      </c>
      <c r="D637" s="14" t="str">
        <f t="shared" si="3"/>
        <v/>
      </c>
      <c r="E637" s="14" t="str">
        <f t="shared" si="4"/>
        <v/>
      </c>
      <c r="F637" s="6" t="str">
        <f>IF($A637&lt;&gt;"",MAXIFS(#REF!,Token!$A:$A,$D637),)</f>
        <v/>
      </c>
    </row>
    <row r="638">
      <c r="A638" s="35" t="str">
        <f t="shared" si="1"/>
        <v/>
      </c>
      <c r="B638" s="22" t="str">
        <f t="shared" si="2"/>
        <v/>
      </c>
      <c r="C638" s="14" t="str">
        <f>IF($A638&lt;&gt;"",MINIFS(Merchant!$A:$A,Merchant!$B:$B,$G$2),)</f>
        <v/>
      </c>
      <c r="D638" s="14" t="str">
        <f t="shared" si="3"/>
        <v/>
      </c>
      <c r="E638" s="14" t="str">
        <f t="shared" si="4"/>
        <v/>
      </c>
      <c r="F638" s="6" t="str">
        <f>IF($A638&lt;&gt;"",MAXIFS(#REF!,Token!$A:$A,$D638),)</f>
        <v/>
      </c>
    </row>
    <row r="639">
      <c r="A639" s="35" t="str">
        <f t="shared" si="1"/>
        <v/>
      </c>
      <c r="B639" s="22" t="str">
        <f t="shared" si="2"/>
        <v/>
      </c>
      <c r="C639" s="14" t="str">
        <f>IF($A639&lt;&gt;"",MINIFS(Merchant!$A:$A,Merchant!$B:$B,$G$2),)</f>
        <v/>
      </c>
      <c r="D639" s="14" t="str">
        <f t="shared" si="3"/>
        <v/>
      </c>
      <c r="E639" s="14" t="str">
        <f t="shared" si="4"/>
        <v/>
      </c>
      <c r="F639" s="6" t="str">
        <f>IF($A639&lt;&gt;"",MAXIFS(#REF!,Token!$A:$A,$D639),)</f>
        <v/>
      </c>
    </row>
    <row r="640">
      <c r="A640" s="35" t="str">
        <f t="shared" si="1"/>
        <v/>
      </c>
      <c r="B640" s="22" t="str">
        <f t="shared" si="2"/>
        <v/>
      </c>
      <c r="C640" s="14" t="str">
        <f>IF($A640&lt;&gt;"",MINIFS(Merchant!$A:$A,Merchant!$B:$B,$G$2),)</f>
        <v/>
      </c>
      <c r="D640" s="14" t="str">
        <f t="shared" si="3"/>
        <v/>
      </c>
      <c r="E640" s="14" t="str">
        <f t="shared" si="4"/>
        <v/>
      </c>
      <c r="F640" s="6" t="str">
        <f>IF($A640&lt;&gt;"",MAXIFS(#REF!,Token!$A:$A,$D640),)</f>
        <v/>
      </c>
    </row>
    <row r="641">
      <c r="A641" s="35" t="str">
        <f t="shared" si="1"/>
        <v/>
      </c>
      <c r="B641" s="22" t="str">
        <f t="shared" si="2"/>
        <v/>
      </c>
      <c r="C641" s="14" t="str">
        <f>IF($A641&lt;&gt;"",MINIFS(Merchant!$A:$A,Merchant!$B:$B,$G$2),)</f>
        <v/>
      </c>
      <c r="D641" s="14" t="str">
        <f t="shared" si="3"/>
        <v/>
      </c>
      <c r="E641" s="14" t="str">
        <f t="shared" si="4"/>
        <v/>
      </c>
      <c r="F641" s="6" t="str">
        <f>IF($A641&lt;&gt;"",MAXIFS(#REF!,Token!$A:$A,$D641),)</f>
        <v/>
      </c>
    </row>
    <row r="642">
      <c r="A642" s="35" t="str">
        <f t="shared" si="1"/>
        <v/>
      </c>
      <c r="B642" s="22" t="str">
        <f t="shared" si="2"/>
        <v/>
      </c>
      <c r="C642" s="14" t="str">
        <f>IF($A642&lt;&gt;"",MINIFS(Merchant!$A:$A,Merchant!$B:$B,$G$2),)</f>
        <v/>
      </c>
      <c r="D642" s="14" t="str">
        <f t="shared" si="3"/>
        <v/>
      </c>
      <c r="E642" s="14" t="str">
        <f t="shared" si="4"/>
        <v/>
      </c>
      <c r="F642" s="6" t="str">
        <f>IF($A642&lt;&gt;"",MAXIFS(#REF!,Token!$A:$A,$D642),)</f>
        <v/>
      </c>
    </row>
    <row r="643">
      <c r="A643" s="35" t="str">
        <f t="shared" si="1"/>
        <v/>
      </c>
      <c r="B643" s="22" t="str">
        <f t="shared" si="2"/>
        <v/>
      </c>
      <c r="C643" s="14" t="str">
        <f>IF($A643&lt;&gt;"",MINIFS(Merchant!$A:$A,Merchant!$B:$B,$G$2),)</f>
        <v/>
      </c>
      <c r="D643" s="14" t="str">
        <f t="shared" si="3"/>
        <v/>
      </c>
      <c r="E643" s="14" t="str">
        <f t="shared" si="4"/>
        <v/>
      </c>
      <c r="F643" s="6" t="str">
        <f>IF($A643&lt;&gt;"",MAXIFS(#REF!,Token!$A:$A,$D643),)</f>
        <v/>
      </c>
    </row>
    <row r="644">
      <c r="A644" s="35" t="str">
        <f t="shared" si="1"/>
        <v/>
      </c>
      <c r="B644" s="22" t="str">
        <f t="shared" si="2"/>
        <v/>
      </c>
      <c r="C644" s="14" t="str">
        <f>IF($A644&lt;&gt;"",MINIFS(Merchant!$A:$A,Merchant!$B:$B,$G$2),)</f>
        <v/>
      </c>
      <c r="D644" s="14" t="str">
        <f t="shared" si="3"/>
        <v/>
      </c>
      <c r="E644" s="14" t="str">
        <f t="shared" si="4"/>
        <v/>
      </c>
      <c r="F644" s="6" t="str">
        <f>IF($A644&lt;&gt;"",MAXIFS(#REF!,Token!$A:$A,$D644),)</f>
        <v/>
      </c>
    </row>
    <row r="645">
      <c r="A645" s="35" t="str">
        <f t="shared" si="1"/>
        <v/>
      </c>
      <c r="B645" s="22" t="str">
        <f t="shared" si="2"/>
        <v/>
      </c>
      <c r="C645" s="14" t="str">
        <f>IF($A645&lt;&gt;"",MINIFS(Merchant!$A:$A,Merchant!$B:$B,$G$2),)</f>
        <v/>
      </c>
      <c r="D645" s="14" t="str">
        <f t="shared" si="3"/>
        <v/>
      </c>
      <c r="E645" s="14" t="str">
        <f t="shared" si="4"/>
        <v/>
      </c>
      <c r="F645" s="6" t="str">
        <f>IF($A645&lt;&gt;"",MAXIFS(#REF!,Token!$A:$A,$D645),)</f>
        <v/>
      </c>
    </row>
    <row r="646">
      <c r="A646" s="35" t="str">
        <f t="shared" si="1"/>
        <v/>
      </c>
      <c r="B646" s="22" t="str">
        <f t="shared" si="2"/>
        <v/>
      </c>
      <c r="C646" s="14" t="str">
        <f>IF($A646&lt;&gt;"",MINIFS(Merchant!$A:$A,Merchant!$B:$B,$G$2),)</f>
        <v/>
      </c>
      <c r="D646" s="14" t="str">
        <f t="shared" si="3"/>
        <v/>
      </c>
      <c r="E646" s="14" t="str">
        <f t="shared" si="4"/>
        <v/>
      </c>
      <c r="F646" s="6" t="str">
        <f>IF($A646&lt;&gt;"",MAXIFS(#REF!,Token!$A:$A,$D646),)</f>
        <v/>
      </c>
    </row>
    <row r="647">
      <c r="A647" s="35" t="str">
        <f t="shared" si="1"/>
        <v/>
      </c>
      <c r="B647" s="22" t="str">
        <f t="shared" si="2"/>
        <v/>
      </c>
      <c r="C647" s="14" t="str">
        <f>IF($A647&lt;&gt;"",MINIFS(Merchant!$A:$A,Merchant!$B:$B,$G$2),)</f>
        <v/>
      </c>
      <c r="D647" s="14" t="str">
        <f t="shared" si="3"/>
        <v/>
      </c>
      <c r="E647" s="14" t="str">
        <f t="shared" si="4"/>
        <v/>
      </c>
      <c r="F647" s="6" t="str">
        <f>IF($A647&lt;&gt;"",MAXIFS(#REF!,Token!$A:$A,$D647),)</f>
        <v/>
      </c>
    </row>
    <row r="648">
      <c r="A648" s="35" t="str">
        <f t="shared" si="1"/>
        <v/>
      </c>
      <c r="B648" s="22" t="str">
        <f t="shared" si="2"/>
        <v/>
      </c>
      <c r="C648" s="14" t="str">
        <f>IF($A648&lt;&gt;"",MINIFS(Merchant!$A:$A,Merchant!$B:$B,$G$2),)</f>
        <v/>
      </c>
      <c r="D648" s="14" t="str">
        <f t="shared" si="3"/>
        <v/>
      </c>
      <c r="E648" s="14" t="str">
        <f t="shared" si="4"/>
        <v/>
      </c>
      <c r="F648" s="6" t="str">
        <f>IF($A648&lt;&gt;"",MAXIFS(#REF!,Token!$A:$A,$D648),)</f>
        <v/>
      </c>
    </row>
    <row r="649">
      <c r="A649" s="35" t="str">
        <f t="shared" si="1"/>
        <v/>
      </c>
      <c r="B649" s="22" t="str">
        <f t="shared" si="2"/>
        <v/>
      </c>
      <c r="C649" s="14" t="str">
        <f>IF($A649&lt;&gt;"",MINIFS(Merchant!$A:$A,Merchant!$B:$B,$G$2),)</f>
        <v/>
      </c>
      <c r="D649" s="14" t="str">
        <f t="shared" si="3"/>
        <v/>
      </c>
      <c r="E649" s="14" t="str">
        <f t="shared" si="4"/>
        <v/>
      </c>
      <c r="F649" s="6" t="str">
        <f>IF($A649&lt;&gt;"",MAXIFS(#REF!,Token!$A:$A,$D649),)</f>
        <v/>
      </c>
    </row>
    <row r="650">
      <c r="A650" s="35" t="str">
        <f t="shared" si="1"/>
        <v/>
      </c>
      <c r="B650" s="22" t="str">
        <f t="shared" si="2"/>
        <v/>
      </c>
      <c r="C650" s="14" t="str">
        <f>IF($A650&lt;&gt;"",MINIFS(Merchant!$A:$A,Merchant!$B:$B,$G$2),)</f>
        <v/>
      </c>
      <c r="D650" s="14" t="str">
        <f t="shared" si="3"/>
        <v/>
      </c>
      <c r="E650" s="14" t="str">
        <f t="shared" si="4"/>
        <v/>
      </c>
      <c r="F650" s="6" t="str">
        <f>IF($A650&lt;&gt;"",MAXIFS(#REF!,Token!$A:$A,$D650),)</f>
        <v/>
      </c>
    </row>
    <row r="651">
      <c r="A651" s="35" t="str">
        <f t="shared" si="1"/>
        <v/>
      </c>
      <c r="B651" s="22" t="str">
        <f t="shared" si="2"/>
        <v/>
      </c>
      <c r="C651" s="14" t="str">
        <f>IF($A651&lt;&gt;"",MINIFS(Merchant!$A:$A,Merchant!$B:$B,$G$2),)</f>
        <v/>
      </c>
      <c r="D651" s="14" t="str">
        <f t="shared" si="3"/>
        <v/>
      </c>
      <c r="E651" s="14" t="str">
        <f t="shared" si="4"/>
        <v/>
      </c>
      <c r="F651" s="6" t="str">
        <f>IF($A651&lt;&gt;"",MAXIFS(#REF!,Token!$A:$A,$D651),)</f>
        <v/>
      </c>
    </row>
    <row r="652">
      <c r="A652" s="35" t="str">
        <f t="shared" si="1"/>
        <v/>
      </c>
      <c r="B652" s="22" t="str">
        <f t="shared" si="2"/>
        <v/>
      </c>
      <c r="C652" s="14" t="str">
        <f>IF($A652&lt;&gt;"",MINIFS(Merchant!$A:$A,Merchant!$B:$B,$G$2),)</f>
        <v/>
      </c>
      <c r="D652" s="14" t="str">
        <f t="shared" si="3"/>
        <v/>
      </c>
      <c r="E652" s="14" t="str">
        <f t="shared" si="4"/>
        <v/>
      </c>
      <c r="F652" s="6" t="str">
        <f>IF($A652&lt;&gt;"",MAXIFS(#REF!,Token!$A:$A,$D652),)</f>
        <v/>
      </c>
    </row>
    <row r="653">
      <c r="A653" s="35" t="str">
        <f t="shared" si="1"/>
        <v/>
      </c>
      <c r="B653" s="22" t="str">
        <f t="shared" si="2"/>
        <v/>
      </c>
      <c r="C653" s="14" t="str">
        <f>IF($A653&lt;&gt;"",MINIFS(Merchant!$A:$A,Merchant!$B:$B,$G$2),)</f>
        <v/>
      </c>
      <c r="D653" s="14" t="str">
        <f t="shared" si="3"/>
        <v/>
      </c>
      <c r="E653" s="14" t="str">
        <f t="shared" si="4"/>
        <v/>
      </c>
      <c r="F653" s="6" t="str">
        <f>IF($A653&lt;&gt;"",MAXIFS(#REF!,Token!$A:$A,$D653),)</f>
        <v/>
      </c>
    </row>
    <row r="654">
      <c r="A654" s="35" t="str">
        <f t="shared" si="1"/>
        <v/>
      </c>
      <c r="B654" s="22" t="str">
        <f t="shared" si="2"/>
        <v/>
      </c>
      <c r="C654" s="14" t="str">
        <f>IF($A654&lt;&gt;"",MINIFS(Merchant!$A:$A,Merchant!$B:$B,$G$2),)</f>
        <v/>
      </c>
      <c r="D654" s="14" t="str">
        <f t="shared" si="3"/>
        <v/>
      </c>
      <c r="E654" s="14" t="str">
        <f t="shared" si="4"/>
        <v/>
      </c>
      <c r="F654" s="6" t="str">
        <f>IF($A654&lt;&gt;"",MAXIFS(#REF!,Token!$A:$A,$D654),)</f>
        <v/>
      </c>
    </row>
    <row r="655">
      <c r="A655" s="35" t="str">
        <f t="shared" si="1"/>
        <v/>
      </c>
      <c r="B655" s="22" t="str">
        <f t="shared" si="2"/>
        <v/>
      </c>
      <c r="C655" s="14" t="str">
        <f>IF($A655&lt;&gt;"",MINIFS(Merchant!$A:$A,Merchant!$B:$B,$G$2),)</f>
        <v/>
      </c>
      <c r="D655" s="14" t="str">
        <f t="shared" si="3"/>
        <v/>
      </c>
      <c r="E655" s="14" t="str">
        <f t="shared" si="4"/>
        <v/>
      </c>
      <c r="F655" s="6" t="str">
        <f>IF($A655&lt;&gt;"",MAXIFS(#REF!,Token!$A:$A,$D655),)</f>
        <v/>
      </c>
    </row>
    <row r="656">
      <c r="A656" s="35" t="str">
        <f t="shared" si="1"/>
        <v/>
      </c>
      <c r="B656" s="22" t="str">
        <f t="shared" si="2"/>
        <v/>
      </c>
      <c r="C656" s="14" t="str">
        <f>IF($A656&lt;&gt;"",MINIFS(Merchant!$A:$A,Merchant!$B:$B,$G$2),)</f>
        <v/>
      </c>
      <c r="D656" s="14" t="str">
        <f t="shared" si="3"/>
        <v/>
      </c>
      <c r="E656" s="14" t="str">
        <f t="shared" si="4"/>
        <v/>
      </c>
      <c r="F656" s="6" t="str">
        <f>IF($A656&lt;&gt;"",MAXIFS(#REF!,Token!$A:$A,$D656),)</f>
        <v/>
      </c>
    </row>
    <row r="657">
      <c r="A657" s="35" t="str">
        <f t="shared" si="1"/>
        <v/>
      </c>
      <c r="B657" s="22" t="str">
        <f t="shared" si="2"/>
        <v/>
      </c>
      <c r="C657" s="14" t="str">
        <f>IF($A657&lt;&gt;"",MINIFS(Merchant!$A:$A,Merchant!$B:$B,$G$2),)</f>
        <v/>
      </c>
      <c r="D657" s="14" t="str">
        <f t="shared" si="3"/>
        <v/>
      </c>
      <c r="E657" s="14" t="str">
        <f t="shared" si="4"/>
        <v/>
      </c>
      <c r="F657" s="6" t="str">
        <f>IF($A657&lt;&gt;"",MAXIFS(#REF!,Token!$A:$A,$D657),)</f>
        <v/>
      </c>
    </row>
    <row r="658">
      <c r="A658" s="35" t="str">
        <f t="shared" si="1"/>
        <v/>
      </c>
      <c r="B658" s="22" t="str">
        <f t="shared" si="2"/>
        <v/>
      </c>
      <c r="C658" s="14" t="str">
        <f>IF($A658&lt;&gt;"",MINIFS(Merchant!$A:$A,Merchant!$B:$B,$G$2),)</f>
        <v/>
      </c>
      <c r="D658" s="14" t="str">
        <f t="shared" si="3"/>
        <v/>
      </c>
      <c r="E658" s="14" t="str">
        <f t="shared" si="4"/>
        <v/>
      </c>
      <c r="F658" s="6" t="str">
        <f>IF($A658&lt;&gt;"",MAXIFS(#REF!,Token!$A:$A,$D658),)</f>
        <v/>
      </c>
    </row>
    <row r="659">
      <c r="A659" s="35" t="str">
        <f t="shared" si="1"/>
        <v/>
      </c>
      <c r="B659" s="22" t="str">
        <f t="shared" si="2"/>
        <v/>
      </c>
      <c r="C659" s="14" t="str">
        <f>IF($A659&lt;&gt;"",MINIFS(Merchant!$A:$A,Merchant!$B:$B,$G$2),)</f>
        <v/>
      </c>
      <c r="D659" s="14" t="str">
        <f t="shared" si="3"/>
        <v/>
      </c>
      <c r="E659" s="14" t="str">
        <f t="shared" si="4"/>
        <v/>
      </c>
      <c r="F659" s="6" t="str">
        <f>IF($A659&lt;&gt;"",MAXIFS(#REF!,Token!$A:$A,$D659),)</f>
        <v/>
      </c>
    </row>
    <row r="660">
      <c r="A660" s="35" t="str">
        <f t="shared" si="1"/>
        <v/>
      </c>
      <c r="B660" s="22" t="str">
        <f t="shared" si="2"/>
        <v/>
      </c>
      <c r="C660" s="14" t="str">
        <f>IF($A660&lt;&gt;"",MINIFS(Merchant!$A:$A,Merchant!$B:$B,$G$2),)</f>
        <v/>
      </c>
      <c r="D660" s="14" t="str">
        <f t="shared" si="3"/>
        <v/>
      </c>
      <c r="E660" s="14" t="str">
        <f t="shared" si="4"/>
        <v/>
      </c>
      <c r="F660" s="6" t="str">
        <f>IF($A660&lt;&gt;"",MAXIFS(#REF!,Token!$A:$A,$D660),)</f>
        <v/>
      </c>
    </row>
    <row r="661">
      <c r="A661" s="35" t="str">
        <f t="shared" si="1"/>
        <v/>
      </c>
      <c r="B661" s="22" t="str">
        <f t="shared" si="2"/>
        <v/>
      </c>
      <c r="C661" s="14" t="str">
        <f>IF($A661&lt;&gt;"",MINIFS(Merchant!$A:$A,Merchant!$B:$B,$G$2),)</f>
        <v/>
      </c>
      <c r="D661" s="14" t="str">
        <f t="shared" si="3"/>
        <v/>
      </c>
      <c r="E661" s="14" t="str">
        <f t="shared" si="4"/>
        <v/>
      </c>
      <c r="F661" s="6" t="str">
        <f>IF($A661&lt;&gt;"",MAXIFS(#REF!,Token!$A:$A,$D661),)</f>
        <v/>
      </c>
    </row>
    <row r="662">
      <c r="A662" s="35" t="str">
        <f t="shared" si="1"/>
        <v/>
      </c>
      <c r="B662" s="22" t="str">
        <f t="shared" si="2"/>
        <v/>
      </c>
      <c r="C662" s="14" t="str">
        <f>IF($A662&lt;&gt;"",MINIFS(Merchant!$A:$A,Merchant!$B:$B,$G$2),)</f>
        <v/>
      </c>
      <c r="D662" s="14" t="str">
        <f t="shared" si="3"/>
        <v/>
      </c>
      <c r="E662" s="14" t="str">
        <f t="shared" si="4"/>
        <v/>
      </c>
      <c r="F662" s="6" t="str">
        <f>IF($A662&lt;&gt;"",MAXIFS(#REF!,Token!$A:$A,$D662),)</f>
        <v/>
      </c>
    </row>
    <row r="663">
      <c r="A663" s="35" t="str">
        <f t="shared" si="1"/>
        <v/>
      </c>
      <c r="B663" s="22" t="str">
        <f t="shared" si="2"/>
        <v/>
      </c>
      <c r="C663" s="14" t="str">
        <f>IF($A663&lt;&gt;"",MINIFS(Merchant!$A:$A,Merchant!$B:$B,$G$2),)</f>
        <v/>
      </c>
      <c r="D663" s="14" t="str">
        <f t="shared" si="3"/>
        <v/>
      </c>
      <c r="E663" s="14" t="str">
        <f t="shared" si="4"/>
        <v/>
      </c>
      <c r="F663" s="6" t="str">
        <f>IF($A663&lt;&gt;"",MAXIFS(#REF!,Token!$A:$A,$D663),)</f>
        <v/>
      </c>
    </row>
    <row r="664">
      <c r="A664" s="35" t="str">
        <f t="shared" si="1"/>
        <v/>
      </c>
      <c r="B664" s="22" t="str">
        <f t="shared" si="2"/>
        <v/>
      </c>
      <c r="C664" s="14" t="str">
        <f>IF($A664&lt;&gt;"",MINIFS(Merchant!$A:$A,Merchant!$B:$B,$G$2),)</f>
        <v/>
      </c>
      <c r="D664" s="14" t="str">
        <f t="shared" si="3"/>
        <v/>
      </c>
      <c r="E664" s="14" t="str">
        <f t="shared" si="4"/>
        <v/>
      </c>
      <c r="F664" s="6" t="str">
        <f>IF($A664&lt;&gt;"",MAXIFS(#REF!,Token!$A:$A,$D664),)</f>
        <v/>
      </c>
    </row>
    <row r="665">
      <c r="A665" s="35" t="str">
        <f t="shared" si="1"/>
        <v/>
      </c>
      <c r="B665" s="22" t="str">
        <f t="shared" si="2"/>
        <v/>
      </c>
      <c r="C665" s="14" t="str">
        <f>IF($A665&lt;&gt;"",MINIFS(Merchant!$A:$A,Merchant!$B:$B,$G$2),)</f>
        <v/>
      </c>
      <c r="D665" s="14" t="str">
        <f t="shared" si="3"/>
        <v/>
      </c>
      <c r="E665" s="14" t="str">
        <f t="shared" si="4"/>
        <v/>
      </c>
      <c r="F665" s="6" t="str">
        <f>IF($A665&lt;&gt;"",MAXIFS(#REF!,Token!$A:$A,$D665),)</f>
        <v/>
      </c>
    </row>
    <row r="666">
      <c r="A666" s="35" t="str">
        <f t="shared" si="1"/>
        <v/>
      </c>
      <c r="B666" s="22" t="str">
        <f t="shared" si="2"/>
        <v/>
      </c>
      <c r="C666" s="14" t="str">
        <f>IF($A666&lt;&gt;"",MINIFS(Merchant!$A:$A,Merchant!$B:$B,$G$2),)</f>
        <v/>
      </c>
      <c r="D666" s="14" t="str">
        <f t="shared" si="3"/>
        <v/>
      </c>
      <c r="E666" s="14" t="str">
        <f t="shared" si="4"/>
        <v/>
      </c>
      <c r="F666" s="6" t="str">
        <f>IF($A666&lt;&gt;"",MAXIFS(#REF!,Token!$A:$A,$D666),)</f>
        <v/>
      </c>
    </row>
    <row r="667">
      <c r="A667" s="35" t="str">
        <f t="shared" si="1"/>
        <v/>
      </c>
      <c r="B667" s="22" t="str">
        <f t="shared" si="2"/>
        <v/>
      </c>
      <c r="C667" s="14" t="str">
        <f>IF($A667&lt;&gt;"",MINIFS(Merchant!$A:$A,Merchant!$B:$B,$G$2),)</f>
        <v/>
      </c>
      <c r="D667" s="14" t="str">
        <f t="shared" si="3"/>
        <v/>
      </c>
      <c r="E667" s="14" t="str">
        <f t="shared" si="4"/>
        <v/>
      </c>
      <c r="F667" s="6" t="str">
        <f>IF($A667&lt;&gt;"",MAXIFS(#REF!,Token!$A:$A,$D667),)</f>
        <v/>
      </c>
    </row>
    <row r="668">
      <c r="A668" s="35" t="str">
        <f t="shared" si="1"/>
        <v/>
      </c>
      <c r="B668" s="22" t="str">
        <f t="shared" si="2"/>
        <v/>
      </c>
      <c r="C668" s="14" t="str">
        <f>IF($A668&lt;&gt;"",MINIFS(Merchant!$A:$A,Merchant!$B:$B,$G$2),)</f>
        <v/>
      </c>
      <c r="D668" s="14" t="str">
        <f t="shared" si="3"/>
        <v/>
      </c>
      <c r="E668" s="14" t="str">
        <f t="shared" si="4"/>
        <v/>
      </c>
      <c r="F668" s="6" t="str">
        <f>IF($A668&lt;&gt;"",MAXIFS(#REF!,Token!$A:$A,$D668),)</f>
        <v/>
      </c>
    </row>
    <row r="669">
      <c r="A669" s="35" t="str">
        <f t="shared" si="1"/>
        <v/>
      </c>
      <c r="B669" s="22" t="str">
        <f t="shared" si="2"/>
        <v/>
      </c>
      <c r="C669" s="14" t="str">
        <f>IF($A669&lt;&gt;"",MINIFS(Merchant!$A:$A,Merchant!$B:$B,$G$2),)</f>
        <v/>
      </c>
      <c r="D669" s="14" t="str">
        <f t="shared" si="3"/>
        <v/>
      </c>
      <c r="E669" s="14" t="str">
        <f t="shared" si="4"/>
        <v/>
      </c>
      <c r="F669" s="6" t="str">
        <f>IF($A669&lt;&gt;"",MAXIFS(#REF!,Token!$A:$A,$D669),)</f>
        <v/>
      </c>
    </row>
    <row r="670">
      <c r="A670" s="35" t="str">
        <f t="shared" si="1"/>
        <v/>
      </c>
      <c r="B670" s="22" t="str">
        <f t="shared" si="2"/>
        <v/>
      </c>
      <c r="C670" s="14" t="str">
        <f>IF($A670&lt;&gt;"",MINIFS(Merchant!$A:$A,Merchant!$B:$B,$G$2),)</f>
        <v/>
      </c>
      <c r="D670" s="14" t="str">
        <f t="shared" si="3"/>
        <v/>
      </c>
      <c r="E670" s="14" t="str">
        <f t="shared" si="4"/>
        <v/>
      </c>
      <c r="F670" s="6" t="str">
        <f>IF($A670&lt;&gt;"",MAXIFS(#REF!,Token!$A:$A,$D670),)</f>
        <v/>
      </c>
    </row>
    <row r="671">
      <c r="A671" s="35" t="str">
        <f t="shared" si="1"/>
        <v/>
      </c>
      <c r="B671" s="22" t="str">
        <f t="shared" si="2"/>
        <v/>
      </c>
      <c r="C671" s="14" t="str">
        <f>IF($A671&lt;&gt;"",MINIFS(Merchant!$A:$A,Merchant!$B:$B,$G$2),)</f>
        <v/>
      </c>
      <c r="D671" s="14" t="str">
        <f t="shared" si="3"/>
        <v/>
      </c>
      <c r="E671" s="14" t="str">
        <f t="shared" si="4"/>
        <v/>
      </c>
      <c r="F671" s="6" t="str">
        <f>IF($A671&lt;&gt;"",MAXIFS(#REF!,Token!$A:$A,$D671),)</f>
        <v/>
      </c>
    </row>
    <row r="672">
      <c r="A672" s="35" t="str">
        <f t="shared" si="1"/>
        <v/>
      </c>
      <c r="B672" s="22" t="str">
        <f t="shared" si="2"/>
        <v/>
      </c>
      <c r="C672" s="14" t="str">
        <f>IF($A672&lt;&gt;"",MINIFS(Merchant!$A:$A,Merchant!$B:$B,$G$2),)</f>
        <v/>
      </c>
      <c r="D672" s="14" t="str">
        <f t="shared" si="3"/>
        <v/>
      </c>
      <c r="E672" s="14" t="str">
        <f t="shared" si="4"/>
        <v/>
      </c>
      <c r="F672" s="6" t="str">
        <f>IF($A672&lt;&gt;"",MAXIFS(#REF!,Token!$A:$A,$D672),)</f>
        <v/>
      </c>
    </row>
    <row r="673">
      <c r="A673" s="35" t="str">
        <f t="shared" si="1"/>
        <v/>
      </c>
      <c r="B673" s="22" t="str">
        <f t="shared" si="2"/>
        <v/>
      </c>
      <c r="C673" s="14" t="str">
        <f>IF($A673&lt;&gt;"",MINIFS(Merchant!$A:$A,Merchant!$B:$B,$G$2),)</f>
        <v/>
      </c>
      <c r="D673" s="14" t="str">
        <f t="shared" si="3"/>
        <v/>
      </c>
      <c r="E673" s="14" t="str">
        <f t="shared" si="4"/>
        <v/>
      </c>
      <c r="F673" s="6" t="str">
        <f>IF($A673&lt;&gt;"",MAXIFS(#REF!,Token!$A:$A,$D673),)</f>
        <v/>
      </c>
    </row>
    <row r="674">
      <c r="A674" s="35" t="str">
        <f t="shared" si="1"/>
        <v/>
      </c>
      <c r="B674" s="22" t="str">
        <f t="shared" si="2"/>
        <v/>
      </c>
      <c r="C674" s="14" t="str">
        <f>IF($A674&lt;&gt;"",MINIFS(Merchant!$A:$A,Merchant!$B:$B,$G$2),)</f>
        <v/>
      </c>
      <c r="D674" s="14" t="str">
        <f t="shared" si="3"/>
        <v/>
      </c>
      <c r="E674" s="14" t="str">
        <f t="shared" si="4"/>
        <v/>
      </c>
      <c r="F674" s="6" t="str">
        <f>IF($A674&lt;&gt;"",MAXIFS(#REF!,Token!$A:$A,$D674),)</f>
        <v/>
      </c>
    </row>
    <row r="675">
      <c r="A675" s="35" t="str">
        <f t="shared" si="1"/>
        <v/>
      </c>
      <c r="B675" s="22" t="str">
        <f t="shared" si="2"/>
        <v/>
      </c>
      <c r="C675" s="14" t="str">
        <f>IF($A675&lt;&gt;"",MINIFS(Merchant!$A:$A,Merchant!$B:$B,$G$2),)</f>
        <v/>
      </c>
      <c r="D675" s="14" t="str">
        <f t="shared" si="3"/>
        <v/>
      </c>
      <c r="E675" s="14" t="str">
        <f t="shared" si="4"/>
        <v/>
      </c>
      <c r="F675" s="6" t="str">
        <f>IF($A675&lt;&gt;"",MAXIFS(#REF!,Token!$A:$A,$D675),)</f>
        <v/>
      </c>
    </row>
    <row r="676">
      <c r="A676" s="35" t="str">
        <f t="shared" si="1"/>
        <v/>
      </c>
      <c r="B676" s="22" t="str">
        <f t="shared" si="2"/>
        <v/>
      </c>
      <c r="C676" s="14" t="str">
        <f>IF($A676&lt;&gt;"",MINIFS(Merchant!$A:$A,Merchant!$B:$B,$G$2),)</f>
        <v/>
      </c>
      <c r="D676" s="14" t="str">
        <f t="shared" si="3"/>
        <v/>
      </c>
      <c r="E676" s="14" t="str">
        <f t="shared" si="4"/>
        <v/>
      </c>
      <c r="F676" s="6" t="str">
        <f>IF($A676&lt;&gt;"",MAXIFS(#REF!,Token!$A:$A,$D676),)</f>
        <v/>
      </c>
    </row>
    <row r="677">
      <c r="A677" s="35" t="str">
        <f t="shared" si="1"/>
        <v/>
      </c>
      <c r="B677" s="22" t="str">
        <f t="shared" si="2"/>
        <v/>
      </c>
      <c r="C677" s="14" t="str">
        <f>IF($A677&lt;&gt;"",MINIFS(Merchant!$A:$A,Merchant!$B:$B,$G$2),)</f>
        <v/>
      </c>
      <c r="D677" s="14" t="str">
        <f t="shared" si="3"/>
        <v/>
      </c>
      <c r="E677" s="14" t="str">
        <f t="shared" si="4"/>
        <v/>
      </c>
      <c r="F677" s="6" t="str">
        <f>IF($A677&lt;&gt;"",MAXIFS(#REF!,Token!$A:$A,$D677),)</f>
        <v/>
      </c>
    </row>
    <row r="678">
      <c r="A678" s="35" t="str">
        <f t="shared" si="1"/>
        <v/>
      </c>
      <c r="B678" s="22" t="str">
        <f t="shared" si="2"/>
        <v/>
      </c>
      <c r="C678" s="14" t="str">
        <f>IF($A678&lt;&gt;"",MINIFS(Merchant!$A:$A,Merchant!$B:$B,$G$2),)</f>
        <v/>
      </c>
      <c r="D678" s="14" t="str">
        <f t="shared" si="3"/>
        <v/>
      </c>
      <c r="E678" s="14" t="str">
        <f t="shared" si="4"/>
        <v/>
      </c>
      <c r="F678" s="6" t="str">
        <f>IF($A678&lt;&gt;"",MAXIFS(#REF!,Token!$A:$A,$D678),)</f>
        <v/>
      </c>
    </row>
    <row r="679">
      <c r="A679" s="35" t="str">
        <f t="shared" si="1"/>
        <v/>
      </c>
      <c r="B679" s="22" t="str">
        <f t="shared" si="2"/>
        <v/>
      </c>
      <c r="C679" s="14" t="str">
        <f>IF($A679&lt;&gt;"",MINIFS(Merchant!$A:$A,Merchant!$B:$B,$G$2),)</f>
        <v/>
      </c>
      <c r="D679" s="14" t="str">
        <f t="shared" si="3"/>
        <v/>
      </c>
      <c r="E679" s="14" t="str">
        <f t="shared" si="4"/>
        <v/>
      </c>
      <c r="F679" s="6" t="str">
        <f>IF($A679&lt;&gt;"",MAXIFS(#REF!,Token!$A:$A,$D679),)</f>
        <v/>
      </c>
    </row>
    <row r="680">
      <c r="A680" s="35" t="str">
        <f t="shared" si="1"/>
        <v/>
      </c>
      <c r="B680" s="22" t="str">
        <f t="shared" si="2"/>
        <v/>
      </c>
      <c r="C680" s="14" t="str">
        <f>IF($A680&lt;&gt;"",MINIFS(Merchant!$A:$A,Merchant!$B:$B,$G$2),)</f>
        <v/>
      </c>
      <c r="D680" s="14" t="str">
        <f t="shared" si="3"/>
        <v/>
      </c>
      <c r="E680" s="14" t="str">
        <f t="shared" si="4"/>
        <v/>
      </c>
      <c r="F680" s="6" t="str">
        <f>IF($A680&lt;&gt;"",MAXIFS(#REF!,Token!$A:$A,$D680),)</f>
        <v/>
      </c>
    </row>
    <row r="681">
      <c r="A681" s="35" t="str">
        <f t="shared" si="1"/>
        <v/>
      </c>
      <c r="B681" s="22" t="str">
        <f t="shared" si="2"/>
        <v/>
      </c>
      <c r="C681" s="14" t="str">
        <f>IF($A681&lt;&gt;"",MINIFS(Merchant!$A:$A,Merchant!$B:$B,$G$2),)</f>
        <v/>
      </c>
      <c r="D681" s="14" t="str">
        <f t="shared" si="3"/>
        <v/>
      </c>
      <c r="E681" s="14" t="str">
        <f t="shared" si="4"/>
        <v/>
      </c>
      <c r="F681" s="6" t="str">
        <f>IF($A681&lt;&gt;"",MAXIFS(#REF!,Token!$A:$A,$D681),)</f>
        <v/>
      </c>
    </row>
    <row r="682">
      <c r="A682" s="35" t="str">
        <f t="shared" si="1"/>
        <v/>
      </c>
      <c r="B682" s="22" t="str">
        <f t="shared" si="2"/>
        <v/>
      </c>
      <c r="C682" s="14" t="str">
        <f>IF($A682&lt;&gt;"",MINIFS(Merchant!$A:$A,Merchant!$B:$B,$G$2),)</f>
        <v/>
      </c>
      <c r="D682" s="14" t="str">
        <f t="shared" si="3"/>
        <v/>
      </c>
      <c r="E682" s="14" t="str">
        <f t="shared" si="4"/>
        <v/>
      </c>
      <c r="F682" s="6" t="str">
        <f>IF($A682&lt;&gt;"",MAXIFS(#REF!,Token!$A:$A,$D682),)</f>
        <v/>
      </c>
    </row>
    <row r="683">
      <c r="A683" s="35" t="str">
        <f t="shared" si="1"/>
        <v/>
      </c>
      <c r="B683" s="22" t="str">
        <f t="shared" si="2"/>
        <v/>
      </c>
      <c r="C683" s="14" t="str">
        <f>IF($A683&lt;&gt;"",MINIFS(Merchant!$A:$A,Merchant!$B:$B,$G$2),)</f>
        <v/>
      </c>
      <c r="D683" s="14" t="str">
        <f t="shared" si="3"/>
        <v/>
      </c>
      <c r="E683" s="14" t="str">
        <f t="shared" si="4"/>
        <v/>
      </c>
      <c r="F683" s="6" t="str">
        <f>IF($A683&lt;&gt;"",MAXIFS(#REF!,Token!$A:$A,$D683),)</f>
        <v/>
      </c>
    </row>
    <row r="684">
      <c r="A684" s="35" t="str">
        <f t="shared" si="1"/>
        <v/>
      </c>
      <c r="B684" s="22" t="str">
        <f t="shared" si="2"/>
        <v/>
      </c>
      <c r="C684" s="14" t="str">
        <f>IF($A684&lt;&gt;"",MINIFS(Merchant!$A:$A,Merchant!$B:$B,$G$2),)</f>
        <v/>
      </c>
      <c r="D684" s="14" t="str">
        <f t="shared" si="3"/>
        <v/>
      </c>
      <c r="E684" s="14" t="str">
        <f t="shared" si="4"/>
        <v/>
      </c>
      <c r="F684" s="6" t="str">
        <f>IF($A684&lt;&gt;"",MAXIFS(#REF!,Token!$A:$A,$D684),)</f>
        <v/>
      </c>
    </row>
    <row r="685">
      <c r="A685" s="35" t="str">
        <f t="shared" si="1"/>
        <v/>
      </c>
      <c r="B685" s="22" t="str">
        <f t="shared" si="2"/>
        <v/>
      </c>
      <c r="C685" s="14" t="str">
        <f>IF($A685&lt;&gt;"",MINIFS(Merchant!$A:$A,Merchant!$B:$B,$G$2),)</f>
        <v/>
      </c>
      <c r="D685" s="14" t="str">
        <f t="shared" si="3"/>
        <v/>
      </c>
      <c r="E685" s="14" t="str">
        <f t="shared" si="4"/>
        <v/>
      </c>
      <c r="F685" s="6" t="str">
        <f>IF($A685&lt;&gt;"",MAXIFS(#REF!,Token!$A:$A,$D685),)</f>
        <v/>
      </c>
    </row>
    <row r="686">
      <c r="A686" s="35" t="str">
        <f t="shared" si="1"/>
        <v/>
      </c>
      <c r="B686" s="22" t="str">
        <f t="shared" si="2"/>
        <v/>
      </c>
      <c r="C686" s="14" t="str">
        <f>IF($A686&lt;&gt;"",MINIFS(Merchant!$A:$A,Merchant!$B:$B,$G$2),)</f>
        <v/>
      </c>
      <c r="D686" s="14" t="str">
        <f t="shared" si="3"/>
        <v/>
      </c>
      <c r="E686" s="14" t="str">
        <f t="shared" si="4"/>
        <v/>
      </c>
      <c r="F686" s="6" t="str">
        <f>IF($A686&lt;&gt;"",MAXIFS(#REF!,Token!$A:$A,$D686),)</f>
        <v/>
      </c>
    </row>
    <row r="687">
      <c r="A687" s="35" t="str">
        <f t="shared" si="1"/>
        <v/>
      </c>
      <c r="B687" s="22" t="str">
        <f t="shared" si="2"/>
        <v/>
      </c>
      <c r="C687" s="14" t="str">
        <f>IF($A687&lt;&gt;"",MINIFS(Merchant!$A:$A,Merchant!$B:$B,$G$2),)</f>
        <v/>
      </c>
      <c r="D687" s="14" t="str">
        <f t="shared" si="3"/>
        <v/>
      </c>
      <c r="E687" s="14" t="str">
        <f t="shared" si="4"/>
        <v/>
      </c>
      <c r="F687" s="6" t="str">
        <f>IF($A687&lt;&gt;"",MAXIFS(#REF!,Token!$A:$A,$D687),)</f>
        <v/>
      </c>
    </row>
    <row r="688">
      <c r="A688" s="35" t="str">
        <f t="shared" si="1"/>
        <v/>
      </c>
      <c r="B688" s="22" t="str">
        <f t="shared" si="2"/>
        <v/>
      </c>
      <c r="C688" s="14" t="str">
        <f>IF($A688&lt;&gt;"",MINIFS(Merchant!$A:$A,Merchant!$B:$B,$G$2),)</f>
        <v/>
      </c>
      <c r="D688" s="14" t="str">
        <f t="shared" si="3"/>
        <v/>
      </c>
      <c r="E688" s="14" t="str">
        <f t="shared" si="4"/>
        <v/>
      </c>
      <c r="F688" s="6" t="str">
        <f>IF($A688&lt;&gt;"",MAXIFS(#REF!,Token!$A:$A,$D688),)</f>
        <v/>
      </c>
    </row>
    <row r="689">
      <c r="A689" s="35" t="str">
        <f t="shared" si="1"/>
        <v/>
      </c>
      <c r="B689" s="22" t="str">
        <f t="shared" si="2"/>
        <v/>
      </c>
      <c r="C689" s="14" t="str">
        <f>IF($A689&lt;&gt;"",MINIFS(Merchant!$A:$A,Merchant!$B:$B,$G$2),)</f>
        <v/>
      </c>
      <c r="D689" s="14" t="str">
        <f t="shared" si="3"/>
        <v/>
      </c>
      <c r="E689" s="14" t="str">
        <f t="shared" si="4"/>
        <v/>
      </c>
      <c r="F689" s="6" t="str">
        <f>IF($A689&lt;&gt;"",MAXIFS(#REF!,Token!$A:$A,$D689),)</f>
        <v/>
      </c>
    </row>
    <row r="690">
      <c r="A690" s="35" t="str">
        <f t="shared" si="1"/>
        <v/>
      </c>
      <c r="B690" s="22" t="str">
        <f t="shared" si="2"/>
        <v/>
      </c>
      <c r="C690" s="14" t="str">
        <f>IF($A690&lt;&gt;"",MINIFS(Merchant!$A:$A,Merchant!$B:$B,$G$2),)</f>
        <v/>
      </c>
      <c r="D690" s="14" t="str">
        <f t="shared" si="3"/>
        <v/>
      </c>
      <c r="E690" s="14" t="str">
        <f t="shared" si="4"/>
        <v/>
      </c>
      <c r="F690" s="6" t="str">
        <f>IF($A690&lt;&gt;"",MAXIFS(#REF!,Token!$A:$A,$D690),)</f>
        <v/>
      </c>
    </row>
    <row r="691">
      <c r="A691" s="35" t="str">
        <f t="shared" si="1"/>
        <v/>
      </c>
      <c r="B691" s="22" t="str">
        <f t="shared" si="2"/>
        <v/>
      </c>
      <c r="C691" s="14" t="str">
        <f>IF($A691&lt;&gt;"",MINIFS(Merchant!$A:$A,Merchant!$B:$B,$G$2),)</f>
        <v/>
      </c>
      <c r="D691" s="14" t="str">
        <f t="shared" si="3"/>
        <v/>
      </c>
      <c r="E691" s="14" t="str">
        <f t="shared" si="4"/>
        <v/>
      </c>
      <c r="F691" s="6" t="str">
        <f>IF($A691&lt;&gt;"",MAXIFS(#REF!,Token!$A:$A,$D691),)</f>
        <v/>
      </c>
    </row>
    <row r="692">
      <c r="A692" s="35" t="str">
        <f t="shared" si="1"/>
        <v/>
      </c>
      <c r="B692" s="22" t="str">
        <f t="shared" si="2"/>
        <v/>
      </c>
      <c r="C692" s="14" t="str">
        <f>IF($A692&lt;&gt;"",MINIFS(Merchant!$A:$A,Merchant!$B:$B,$G$2),)</f>
        <v/>
      </c>
      <c r="D692" s="14" t="str">
        <f t="shared" si="3"/>
        <v/>
      </c>
      <c r="E692" s="14" t="str">
        <f t="shared" si="4"/>
        <v/>
      </c>
      <c r="F692" s="6" t="str">
        <f>IF($A692&lt;&gt;"",MAXIFS(#REF!,Token!$A:$A,$D692),)</f>
        <v/>
      </c>
    </row>
    <row r="693">
      <c r="A693" s="35" t="str">
        <f t="shared" si="1"/>
        <v/>
      </c>
      <c r="B693" s="22" t="str">
        <f t="shared" si="2"/>
        <v/>
      </c>
      <c r="C693" s="14" t="str">
        <f>IF($A693&lt;&gt;"",MINIFS(Merchant!$A:$A,Merchant!$B:$B,$G$2),)</f>
        <v/>
      </c>
      <c r="D693" s="14" t="str">
        <f t="shared" si="3"/>
        <v/>
      </c>
      <c r="E693" s="14" t="str">
        <f t="shared" si="4"/>
        <v/>
      </c>
      <c r="F693" s="6" t="str">
        <f>IF($A693&lt;&gt;"",MAXIFS(#REF!,Token!$A:$A,$D693),)</f>
        <v/>
      </c>
    </row>
    <row r="694">
      <c r="A694" s="35" t="str">
        <f t="shared" si="1"/>
        <v/>
      </c>
      <c r="B694" s="22" t="str">
        <f t="shared" si="2"/>
        <v/>
      </c>
      <c r="C694" s="14" t="str">
        <f>IF($A694&lt;&gt;"",MINIFS(Merchant!$A:$A,Merchant!$B:$B,$G$2),)</f>
        <v/>
      </c>
      <c r="D694" s="14" t="str">
        <f t="shared" si="3"/>
        <v/>
      </c>
      <c r="E694" s="14" t="str">
        <f t="shared" si="4"/>
        <v/>
      </c>
      <c r="F694" s="6" t="str">
        <f>IF($A694&lt;&gt;"",MAXIFS(#REF!,Token!$A:$A,$D694),)</f>
        <v/>
      </c>
    </row>
    <row r="695">
      <c r="A695" s="35" t="str">
        <f t="shared" si="1"/>
        <v/>
      </c>
      <c r="B695" s="22" t="str">
        <f t="shared" si="2"/>
        <v/>
      </c>
      <c r="C695" s="14" t="str">
        <f>IF($A695&lt;&gt;"",MINIFS(Merchant!$A:$A,Merchant!$B:$B,$G$2),)</f>
        <v/>
      </c>
      <c r="D695" s="14" t="str">
        <f t="shared" si="3"/>
        <v/>
      </c>
      <c r="E695" s="14" t="str">
        <f t="shared" si="4"/>
        <v/>
      </c>
      <c r="F695" s="6" t="str">
        <f>IF($A695&lt;&gt;"",MAXIFS(#REF!,Token!$A:$A,$D695),)</f>
        <v/>
      </c>
    </row>
    <row r="696">
      <c r="A696" s="35" t="str">
        <f t="shared" si="1"/>
        <v/>
      </c>
      <c r="B696" s="22" t="str">
        <f t="shared" si="2"/>
        <v/>
      </c>
      <c r="C696" s="14" t="str">
        <f>IF($A696&lt;&gt;"",MINIFS(Merchant!$A:$A,Merchant!$B:$B,$G$2),)</f>
        <v/>
      </c>
      <c r="D696" s="14" t="str">
        <f t="shared" si="3"/>
        <v/>
      </c>
      <c r="E696" s="14" t="str">
        <f t="shared" si="4"/>
        <v/>
      </c>
      <c r="F696" s="6" t="str">
        <f>IF($A696&lt;&gt;"",MAXIFS(#REF!,Token!$A:$A,$D696),)</f>
        <v/>
      </c>
    </row>
    <row r="697">
      <c r="A697" s="35" t="str">
        <f t="shared" si="1"/>
        <v/>
      </c>
      <c r="B697" s="22" t="str">
        <f t="shared" si="2"/>
        <v/>
      </c>
      <c r="C697" s="14" t="str">
        <f>IF($A697&lt;&gt;"",MINIFS(Merchant!$A:$A,Merchant!$B:$B,$G$2),)</f>
        <v/>
      </c>
      <c r="D697" s="14" t="str">
        <f t="shared" si="3"/>
        <v/>
      </c>
      <c r="E697" s="14" t="str">
        <f t="shared" si="4"/>
        <v/>
      </c>
      <c r="F697" s="6" t="str">
        <f>IF($A697&lt;&gt;"",MAXIFS(#REF!,Token!$A:$A,$D697),)</f>
        <v/>
      </c>
    </row>
    <row r="698">
      <c r="A698" s="35" t="str">
        <f t="shared" si="1"/>
        <v/>
      </c>
      <c r="B698" s="22" t="str">
        <f t="shared" si="2"/>
        <v/>
      </c>
      <c r="C698" s="14" t="str">
        <f>IF($A698&lt;&gt;"",MINIFS(Merchant!$A:$A,Merchant!$B:$B,$G$2),)</f>
        <v/>
      </c>
      <c r="D698" s="14" t="str">
        <f t="shared" si="3"/>
        <v/>
      </c>
      <c r="E698" s="14" t="str">
        <f t="shared" si="4"/>
        <v/>
      </c>
      <c r="F698" s="6" t="str">
        <f>IF($A698&lt;&gt;"",MAXIFS(#REF!,Token!$A:$A,$D698),)</f>
        <v/>
      </c>
    </row>
    <row r="699">
      <c r="A699" s="35" t="str">
        <f t="shared" si="1"/>
        <v/>
      </c>
      <c r="B699" s="22" t="str">
        <f t="shared" si="2"/>
        <v/>
      </c>
      <c r="C699" s="14" t="str">
        <f>IF($A699&lt;&gt;"",MINIFS(Merchant!$A:$A,Merchant!$B:$B,$G$2),)</f>
        <v/>
      </c>
      <c r="D699" s="14" t="str">
        <f t="shared" si="3"/>
        <v/>
      </c>
      <c r="E699" s="14" t="str">
        <f t="shared" si="4"/>
        <v/>
      </c>
      <c r="F699" s="6" t="str">
        <f>IF($A699&lt;&gt;"",MAXIFS(#REF!,Token!$A:$A,$D699),)</f>
        <v/>
      </c>
    </row>
    <row r="700">
      <c r="A700" s="35" t="str">
        <f t="shared" si="1"/>
        <v/>
      </c>
      <c r="B700" s="22" t="str">
        <f t="shared" si="2"/>
        <v/>
      </c>
      <c r="C700" s="14" t="str">
        <f>IF($A700&lt;&gt;"",MINIFS(Merchant!$A:$A,Merchant!$B:$B,$G$2),)</f>
        <v/>
      </c>
      <c r="D700" s="14" t="str">
        <f t="shared" si="3"/>
        <v/>
      </c>
      <c r="E700" s="14" t="str">
        <f t="shared" si="4"/>
        <v/>
      </c>
      <c r="F700" s="6" t="str">
        <f>IF($A700&lt;&gt;"",MAXIFS(#REF!,Token!$A:$A,$D700),)</f>
        <v/>
      </c>
    </row>
    <row r="701">
      <c r="A701" s="35" t="str">
        <f t="shared" si="1"/>
        <v/>
      </c>
      <c r="B701" s="22" t="str">
        <f t="shared" si="2"/>
        <v/>
      </c>
      <c r="C701" s="14" t="str">
        <f>IF($A701&lt;&gt;"",MINIFS(Merchant!$A:$A,Merchant!$B:$B,$G$2),)</f>
        <v/>
      </c>
      <c r="D701" s="14" t="str">
        <f t="shared" si="3"/>
        <v/>
      </c>
      <c r="E701" s="14" t="str">
        <f t="shared" si="4"/>
        <v/>
      </c>
      <c r="F701" s="6" t="str">
        <f>IF($A701&lt;&gt;"",MAXIFS(#REF!,Token!$A:$A,$D701),)</f>
        <v/>
      </c>
    </row>
    <row r="702">
      <c r="A702" s="35" t="str">
        <f t="shared" si="1"/>
        <v/>
      </c>
      <c r="B702" s="22" t="str">
        <f t="shared" si="2"/>
        <v/>
      </c>
      <c r="C702" s="14" t="str">
        <f>IF($A702&lt;&gt;"",MINIFS(Merchant!$A:$A,Merchant!$B:$B,$G$2),)</f>
        <v/>
      </c>
      <c r="D702" s="14" t="str">
        <f t="shared" si="3"/>
        <v/>
      </c>
      <c r="E702" s="14" t="str">
        <f t="shared" si="4"/>
        <v/>
      </c>
      <c r="F702" s="6" t="str">
        <f>IF($A702&lt;&gt;"",MAXIFS(#REF!,Token!$A:$A,$D702),)</f>
        <v/>
      </c>
    </row>
    <row r="703">
      <c r="A703" s="35" t="str">
        <f t="shared" si="1"/>
        <v/>
      </c>
      <c r="B703" s="22" t="str">
        <f t="shared" si="2"/>
        <v/>
      </c>
      <c r="C703" s="14" t="str">
        <f>IF($A703&lt;&gt;"",MINIFS(Merchant!$A:$A,Merchant!$B:$B,$G$2),)</f>
        <v/>
      </c>
      <c r="D703" s="14" t="str">
        <f t="shared" si="3"/>
        <v/>
      </c>
      <c r="E703" s="14" t="str">
        <f t="shared" si="4"/>
        <v/>
      </c>
      <c r="F703" s="6" t="str">
        <f>IF($A703&lt;&gt;"",MAXIFS(#REF!,Token!$A:$A,$D703),)</f>
        <v/>
      </c>
    </row>
    <row r="704">
      <c r="A704" s="35" t="str">
        <f t="shared" si="1"/>
        <v/>
      </c>
      <c r="B704" s="22" t="str">
        <f t="shared" si="2"/>
        <v/>
      </c>
      <c r="C704" s="14" t="str">
        <f>IF($A704&lt;&gt;"",MINIFS(Merchant!$A:$A,Merchant!$B:$B,$G$2),)</f>
        <v/>
      </c>
      <c r="D704" s="14" t="str">
        <f t="shared" si="3"/>
        <v/>
      </c>
      <c r="E704" s="14" t="str">
        <f t="shared" si="4"/>
        <v/>
      </c>
      <c r="F704" s="6" t="str">
        <f>IF($A704&lt;&gt;"",MAXIFS(#REF!,Token!$A:$A,$D704),)</f>
        <v/>
      </c>
    </row>
    <row r="705">
      <c r="A705" s="35" t="str">
        <f t="shared" si="1"/>
        <v/>
      </c>
      <c r="B705" s="22" t="str">
        <f t="shared" si="2"/>
        <v/>
      </c>
      <c r="C705" s="14" t="str">
        <f>IF($A705&lt;&gt;"",MINIFS(Merchant!$A:$A,Merchant!$B:$B,$G$2),)</f>
        <v/>
      </c>
      <c r="D705" s="14" t="str">
        <f t="shared" si="3"/>
        <v/>
      </c>
      <c r="E705" s="14" t="str">
        <f t="shared" si="4"/>
        <v/>
      </c>
      <c r="F705" s="6" t="str">
        <f>IF($A705&lt;&gt;"",MAXIFS(#REF!,Token!$A:$A,$D705),)</f>
        <v/>
      </c>
    </row>
    <row r="706">
      <c r="A706" s="35" t="str">
        <f t="shared" si="1"/>
        <v/>
      </c>
      <c r="B706" s="22" t="str">
        <f t="shared" si="2"/>
        <v/>
      </c>
      <c r="C706" s="14" t="str">
        <f>IF($A706&lt;&gt;"",MINIFS(Merchant!$A:$A,Merchant!$B:$B,$G$2),)</f>
        <v/>
      </c>
      <c r="D706" s="14" t="str">
        <f t="shared" si="3"/>
        <v/>
      </c>
      <c r="E706" s="14" t="str">
        <f t="shared" si="4"/>
        <v/>
      </c>
      <c r="F706" s="6" t="str">
        <f>IF($A706&lt;&gt;"",MAXIFS(#REF!,Token!$A:$A,$D706),)</f>
        <v/>
      </c>
    </row>
    <row r="707">
      <c r="A707" s="35" t="str">
        <f t="shared" si="1"/>
        <v/>
      </c>
      <c r="B707" s="22" t="str">
        <f t="shared" si="2"/>
        <v/>
      </c>
      <c r="C707" s="14" t="str">
        <f>IF($A707&lt;&gt;"",MINIFS(Merchant!$A:$A,Merchant!$B:$B,$G$2),)</f>
        <v/>
      </c>
      <c r="D707" s="14" t="str">
        <f t="shared" si="3"/>
        <v/>
      </c>
      <c r="E707" s="14" t="str">
        <f t="shared" si="4"/>
        <v/>
      </c>
      <c r="F707" s="6" t="str">
        <f>IF($A707&lt;&gt;"",MAXIFS(#REF!,Token!$A:$A,$D707),)</f>
        <v/>
      </c>
    </row>
    <row r="708">
      <c r="A708" s="35" t="str">
        <f t="shared" si="1"/>
        <v/>
      </c>
      <c r="B708" s="22" t="str">
        <f t="shared" si="2"/>
        <v/>
      </c>
      <c r="C708" s="14" t="str">
        <f>IF($A708&lt;&gt;"",MINIFS(Merchant!$A:$A,Merchant!$B:$B,$G$2),)</f>
        <v/>
      </c>
      <c r="D708" s="14" t="str">
        <f t="shared" si="3"/>
        <v/>
      </c>
      <c r="E708" s="14" t="str">
        <f t="shared" si="4"/>
        <v/>
      </c>
      <c r="F708" s="6" t="str">
        <f>IF($A708&lt;&gt;"",MAXIFS(#REF!,Token!$A:$A,$D708),)</f>
        <v/>
      </c>
    </row>
    <row r="709">
      <c r="A709" s="35" t="str">
        <f t="shared" si="1"/>
        <v/>
      </c>
      <c r="B709" s="22" t="str">
        <f t="shared" si="2"/>
        <v/>
      </c>
      <c r="C709" s="14" t="str">
        <f>IF($A709&lt;&gt;"",MINIFS(Merchant!$A:$A,Merchant!$B:$B,$G$2),)</f>
        <v/>
      </c>
      <c r="D709" s="14" t="str">
        <f t="shared" si="3"/>
        <v/>
      </c>
      <c r="E709" s="14" t="str">
        <f t="shared" si="4"/>
        <v/>
      </c>
      <c r="F709" s="6" t="str">
        <f>IF($A709&lt;&gt;"",MAXIFS(#REF!,Token!$A:$A,$D709),)</f>
        <v/>
      </c>
    </row>
    <row r="710">
      <c r="A710" s="35" t="str">
        <f t="shared" si="1"/>
        <v/>
      </c>
      <c r="B710" s="22" t="str">
        <f t="shared" si="2"/>
        <v/>
      </c>
      <c r="C710" s="14" t="str">
        <f>IF($A710&lt;&gt;"",MINIFS(Merchant!$A:$A,Merchant!$B:$B,$G$2),)</f>
        <v/>
      </c>
      <c r="D710" s="14" t="str">
        <f t="shared" si="3"/>
        <v/>
      </c>
      <c r="E710" s="14" t="str">
        <f t="shared" si="4"/>
        <v/>
      </c>
      <c r="F710" s="6" t="str">
        <f>IF($A710&lt;&gt;"",MAXIFS(#REF!,Token!$A:$A,$D710),)</f>
        <v/>
      </c>
    </row>
    <row r="711">
      <c r="A711" s="35" t="str">
        <f t="shared" si="1"/>
        <v/>
      </c>
      <c r="B711" s="22" t="str">
        <f t="shared" si="2"/>
        <v/>
      </c>
      <c r="C711" s="14" t="str">
        <f>IF($A711&lt;&gt;"",MINIFS(Merchant!$A:$A,Merchant!$B:$B,$G$2),)</f>
        <v/>
      </c>
      <c r="D711" s="14" t="str">
        <f t="shared" si="3"/>
        <v/>
      </c>
      <c r="E711" s="14" t="str">
        <f t="shared" si="4"/>
        <v/>
      </c>
      <c r="F711" s="6" t="str">
        <f>IF($A711&lt;&gt;"",MAXIFS(#REF!,Token!$A:$A,$D711),)</f>
        <v/>
      </c>
    </row>
    <row r="712">
      <c r="A712" s="35" t="str">
        <f t="shared" si="1"/>
        <v/>
      </c>
      <c r="B712" s="22" t="str">
        <f t="shared" si="2"/>
        <v/>
      </c>
      <c r="C712" s="14" t="str">
        <f>IF($A712&lt;&gt;"",MINIFS(Merchant!$A:$A,Merchant!$B:$B,$G$2),)</f>
        <v/>
      </c>
      <c r="D712" s="14" t="str">
        <f t="shared" si="3"/>
        <v/>
      </c>
      <c r="E712" s="14" t="str">
        <f t="shared" si="4"/>
        <v/>
      </c>
      <c r="F712" s="6" t="str">
        <f>IF($A712&lt;&gt;"",MAXIFS(#REF!,Token!$A:$A,$D712),)</f>
        <v/>
      </c>
    </row>
    <row r="713">
      <c r="A713" s="35" t="str">
        <f t="shared" si="1"/>
        <v/>
      </c>
      <c r="B713" s="22" t="str">
        <f t="shared" si="2"/>
        <v/>
      </c>
      <c r="C713" s="14" t="str">
        <f>IF($A713&lt;&gt;"",MINIFS(Merchant!$A:$A,Merchant!$B:$B,$G$2),)</f>
        <v/>
      </c>
      <c r="D713" s="14" t="str">
        <f t="shared" si="3"/>
        <v/>
      </c>
      <c r="E713" s="14" t="str">
        <f t="shared" si="4"/>
        <v/>
      </c>
      <c r="F713" s="6" t="str">
        <f>IF($A713&lt;&gt;"",MAXIFS(#REF!,Token!$A:$A,$D713),)</f>
        <v/>
      </c>
    </row>
    <row r="714">
      <c r="A714" s="35" t="str">
        <f t="shared" si="1"/>
        <v/>
      </c>
      <c r="B714" s="22" t="str">
        <f t="shared" si="2"/>
        <v/>
      </c>
      <c r="C714" s="14" t="str">
        <f>IF($A714&lt;&gt;"",MINIFS(Merchant!$A:$A,Merchant!$B:$B,$G$2),)</f>
        <v/>
      </c>
      <c r="D714" s="14" t="str">
        <f t="shared" si="3"/>
        <v/>
      </c>
      <c r="E714" s="14" t="str">
        <f t="shared" si="4"/>
        <v/>
      </c>
      <c r="F714" s="6" t="str">
        <f>IF($A714&lt;&gt;"",MAXIFS(#REF!,Token!$A:$A,$D714),)</f>
        <v/>
      </c>
    </row>
    <row r="715">
      <c r="A715" s="35" t="str">
        <f t="shared" si="1"/>
        <v/>
      </c>
      <c r="B715" s="22" t="str">
        <f t="shared" si="2"/>
        <v/>
      </c>
      <c r="C715" s="14" t="str">
        <f>IF($A715&lt;&gt;"",MINIFS(Merchant!$A:$A,Merchant!$B:$B,$G$2),)</f>
        <v/>
      </c>
      <c r="D715" s="14" t="str">
        <f t="shared" si="3"/>
        <v/>
      </c>
      <c r="E715" s="14" t="str">
        <f t="shared" si="4"/>
        <v/>
      </c>
      <c r="F715" s="6" t="str">
        <f>IF($A715&lt;&gt;"",MAXIFS(#REF!,Token!$A:$A,$D715),)</f>
        <v/>
      </c>
    </row>
    <row r="716">
      <c r="A716" s="35" t="str">
        <f t="shared" si="1"/>
        <v/>
      </c>
      <c r="B716" s="22" t="str">
        <f t="shared" si="2"/>
        <v/>
      </c>
      <c r="C716" s="14" t="str">
        <f>IF($A716&lt;&gt;"",MINIFS(Merchant!$A:$A,Merchant!$B:$B,$G$2),)</f>
        <v/>
      </c>
      <c r="D716" s="14" t="str">
        <f t="shared" si="3"/>
        <v/>
      </c>
      <c r="E716" s="14" t="str">
        <f t="shared" si="4"/>
        <v/>
      </c>
      <c r="F716" s="6" t="str">
        <f>IF($A716&lt;&gt;"",MAXIFS(#REF!,Token!$A:$A,$D716),)</f>
        <v/>
      </c>
    </row>
    <row r="717">
      <c r="A717" s="35" t="str">
        <f t="shared" si="1"/>
        <v/>
      </c>
      <c r="B717" s="22" t="str">
        <f t="shared" si="2"/>
        <v/>
      </c>
      <c r="C717" s="14" t="str">
        <f>IF($A717&lt;&gt;"",MINIFS(Merchant!$A:$A,Merchant!$B:$B,$G$2),)</f>
        <v/>
      </c>
      <c r="D717" s="14" t="str">
        <f t="shared" si="3"/>
        <v/>
      </c>
      <c r="E717" s="14" t="str">
        <f t="shared" si="4"/>
        <v/>
      </c>
      <c r="F717" s="6" t="str">
        <f>IF($A717&lt;&gt;"",MAXIFS(#REF!,Token!$A:$A,$D717),)</f>
        <v/>
      </c>
    </row>
    <row r="718">
      <c r="A718" s="35" t="str">
        <f t="shared" si="1"/>
        <v/>
      </c>
      <c r="B718" s="22" t="str">
        <f t="shared" si="2"/>
        <v/>
      </c>
      <c r="C718" s="14" t="str">
        <f>IF($A718&lt;&gt;"",MINIFS(Merchant!$A:$A,Merchant!$B:$B,$G$2),)</f>
        <v/>
      </c>
      <c r="D718" s="14" t="str">
        <f t="shared" si="3"/>
        <v/>
      </c>
      <c r="E718" s="14" t="str">
        <f t="shared" si="4"/>
        <v/>
      </c>
      <c r="F718" s="6" t="str">
        <f>IF($A718&lt;&gt;"",MAXIFS(#REF!,Token!$A:$A,$D718),)</f>
        <v/>
      </c>
    </row>
    <row r="719">
      <c r="A719" s="35" t="str">
        <f t="shared" si="1"/>
        <v/>
      </c>
      <c r="B719" s="22" t="str">
        <f t="shared" si="2"/>
        <v/>
      </c>
      <c r="C719" s="14" t="str">
        <f>IF($A719&lt;&gt;"",MINIFS(Merchant!$A:$A,Merchant!$B:$B,$G$2),)</f>
        <v/>
      </c>
      <c r="D719" s="14" t="str">
        <f t="shared" si="3"/>
        <v/>
      </c>
      <c r="E719" s="14" t="str">
        <f t="shared" si="4"/>
        <v/>
      </c>
      <c r="F719" s="6" t="str">
        <f>IF($A719&lt;&gt;"",MAXIFS(#REF!,Token!$A:$A,$D719),)</f>
        <v/>
      </c>
    </row>
    <row r="720">
      <c r="A720" s="35" t="str">
        <f t="shared" si="1"/>
        <v/>
      </c>
      <c r="B720" s="22" t="str">
        <f t="shared" si="2"/>
        <v/>
      </c>
      <c r="C720" s="14" t="str">
        <f>IF($A720&lt;&gt;"",MINIFS(Merchant!$A:$A,Merchant!$B:$B,$G$2),)</f>
        <v/>
      </c>
      <c r="D720" s="14" t="str">
        <f t="shared" si="3"/>
        <v/>
      </c>
      <c r="E720" s="14" t="str">
        <f t="shared" si="4"/>
        <v/>
      </c>
      <c r="F720" s="6" t="str">
        <f>IF($A720&lt;&gt;"",MAXIFS(#REF!,Token!$A:$A,$D720),)</f>
        <v/>
      </c>
    </row>
    <row r="721">
      <c r="A721" s="35" t="str">
        <f t="shared" si="1"/>
        <v/>
      </c>
      <c r="B721" s="22" t="str">
        <f t="shared" si="2"/>
        <v/>
      </c>
      <c r="C721" s="14" t="str">
        <f>IF($A721&lt;&gt;"",MINIFS(Merchant!$A:$A,Merchant!$B:$B,$G$2),)</f>
        <v/>
      </c>
      <c r="D721" s="14" t="str">
        <f t="shared" si="3"/>
        <v/>
      </c>
      <c r="E721" s="14" t="str">
        <f t="shared" si="4"/>
        <v/>
      </c>
      <c r="F721" s="6" t="str">
        <f>IF($A721&lt;&gt;"",MAXIFS(#REF!,Token!$A:$A,$D721),)</f>
        <v/>
      </c>
    </row>
    <row r="722">
      <c r="A722" s="35" t="str">
        <f t="shared" si="1"/>
        <v/>
      </c>
      <c r="B722" s="22" t="str">
        <f t="shared" si="2"/>
        <v/>
      </c>
      <c r="C722" s="14" t="str">
        <f>IF($A722&lt;&gt;"",MINIFS(Merchant!$A:$A,Merchant!$B:$B,$G$2),)</f>
        <v/>
      </c>
      <c r="D722" s="14" t="str">
        <f t="shared" si="3"/>
        <v/>
      </c>
      <c r="E722" s="14" t="str">
        <f t="shared" si="4"/>
        <v/>
      </c>
      <c r="F722" s="6" t="str">
        <f>IF($A722&lt;&gt;"",MAXIFS(#REF!,Token!$A:$A,$D722),)</f>
        <v/>
      </c>
    </row>
    <row r="723">
      <c r="A723" s="35" t="str">
        <f t="shared" si="1"/>
        <v/>
      </c>
      <c r="B723" s="22" t="str">
        <f t="shared" si="2"/>
        <v/>
      </c>
      <c r="C723" s="14" t="str">
        <f>IF($A723&lt;&gt;"",MINIFS(Merchant!$A:$A,Merchant!$B:$B,$G$2),)</f>
        <v/>
      </c>
      <c r="D723" s="14" t="str">
        <f t="shared" si="3"/>
        <v/>
      </c>
      <c r="E723" s="14" t="str">
        <f t="shared" si="4"/>
        <v/>
      </c>
      <c r="F723" s="6" t="str">
        <f>IF($A723&lt;&gt;"",MAXIFS(#REF!,Token!$A:$A,$D723),)</f>
        <v/>
      </c>
    </row>
    <row r="724">
      <c r="A724" s="35" t="str">
        <f t="shared" si="1"/>
        <v/>
      </c>
      <c r="B724" s="22" t="str">
        <f t="shared" si="2"/>
        <v/>
      </c>
      <c r="C724" s="14" t="str">
        <f>IF($A724&lt;&gt;"",MINIFS(Merchant!$A:$A,Merchant!$B:$B,$G$2),)</f>
        <v/>
      </c>
      <c r="D724" s="14" t="str">
        <f t="shared" si="3"/>
        <v/>
      </c>
      <c r="E724" s="14" t="str">
        <f t="shared" si="4"/>
        <v/>
      </c>
      <c r="F724" s="6" t="str">
        <f>IF($A724&lt;&gt;"",MAXIFS(#REF!,Token!$A:$A,$D724),)</f>
        <v/>
      </c>
    </row>
    <row r="725">
      <c r="A725" s="35" t="str">
        <f t="shared" si="1"/>
        <v/>
      </c>
      <c r="B725" s="22" t="str">
        <f t="shared" si="2"/>
        <v/>
      </c>
      <c r="C725" s="14" t="str">
        <f>IF($A725&lt;&gt;"",MINIFS(Merchant!$A:$A,Merchant!$B:$B,$G$2),)</f>
        <v/>
      </c>
      <c r="D725" s="14" t="str">
        <f t="shared" si="3"/>
        <v/>
      </c>
      <c r="E725" s="14" t="str">
        <f t="shared" si="4"/>
        <v/>
      </c>
      <c r="F725" s="6" t="str">
        <f>IF($A725&lt;&gt;"",MAXIFS(#REF!,Token!$A:$A,$D725),)</f>
        <v/>
      </c>
    </row>
    <row r="726">
      <c r="A726" s="35" t="str">
        <f t="shared" si="1"/>
        <v/>
      </c>
      <c r="B726" s="22" t="str">
        <f t="shared" si="2"/>
        <v/>
      </c>
      <c r="C726" s="14" t="str">
        <f>IF($A726&lt;&gt;"",MINIFS(Merchant!$A:$A,Merchant!$B:$B,$G$2),)</f>
        <v/>
      </c>
      <c r="D726" s="14" t="str">
        <f t="shared" si="3"/>
        <v/>
      </c>
      <c r="E726" s="14" t="str">
        <f t="shared" si="4"/>
        <v/>
      </c>
      <c r="F726" s="6" t="str">
        <f>IF($A726&lt;&gt;"",MAXIFS(#REF!,Token!$A:$A,$D726),)</f>
        <v/>
      </c>
    </row>
    <row r="727">
      <c r="A727" s="35" t="str">
        <f t="shared" si="1"/>
        <v/>
      </c>
      <c r="B727" s="22" t="str">
        <f t="shared" si="2"/>
        <v/>
      </c>
      <c r="C727" s="14" t="str">
        <f>IF($A727&lt;&gt;"",MINIFS(Merchant!$A:$A,Merchant!$B:$B,$G$2),)</f>
        <v/>
      </c>
      <c r="D727" s="14" t="str">
        <f t="shared" si="3"/>
        <v/>
      </c>
      <c r="E727" s="14" t="str">
        <f t="shared" si="4"/>
        <v/>
      </c>
      <c r="F727" s="6" t="str">
        <f>IF($A727&lt;&gt;"",MAXIFS(#REF!,Token!$A:$A,$D727),)</f>
        <v/>
      </c>
    </row>
    <row r="728">
      <c r="A728" s="35" t="str">
        <f t="shared" si="1"/>
        <v/>
      </c>
      <c r="B728" s="22" t="str">
        <f t="shared" si="2"/>
        <v/>
      </c>
      <c r="C728" s="14" t="str">
        <f>IF($A728&lt;&gt;"",MINIFS(Merchant!$A:$A,Merchant!$B:$B,$G$2),)</f>
        <v/>
      </c>
      <c r="D728" s="14" t="str">
        <f t="shared" si="3"/>
        <v/>
      </c>
      <c r="E728" s="14" t="str">
        <f t="shared" si="4"/>
        <v/>
      </c>
      <c r="F728" s="6" t="str">
        <f>IF($A728&lt;&gt;"",MAXIFS(#REF!,Token!$A:$A,$D728),)</f>
        <v/>
      </c>
    </row>
    <row r="729">
      <c r="A729" s="35" t="str">
        <f t="shared" si="1"/>
        <v/>
      </c>
      <c r="B729" s="22" t="str">
        <f t="shared" si="2"/>
        <v/>
      </c>
      <c r="C729" s="14" t="str">
        <f>IF($A729&lt;&gt;"",MINIFS(Merchant!$A:$A,Merchant!$B:$B,$G$2),)</f>
        <v/>
      </c>
      <c r="D729" s="14" t="str">
        <f t="shared" si="3"/>
        <v/>
      </c>
      <c r="E729" s="14" t="str">
        <f t="shared" si="4"/>
        <v/>
      </c>
      <c r="F729" s="6" t="str">
        <f>IF($A729&lt;&gt;"",MAXIFS(#REF!,Token!$A:$A,$D729),)</f>
        <v/>
      </c>
    </row>
    <row r="730">
      <c r="A730" s="35" t="str">
        <f t="shared" si="1"/>
        <v/>
      </c>
      <c r="B730" s="22" t="str">
        <f t="shared" si="2"/>
        <v/>
      </c>
      <c r="C730" s="14" t="str">
        <f>IF($A730&lt;&gt;"",MINIFS(Merchant!$A:$A,Merchant!$B:$B,$G$2),)</f>
        <v/>
      </c>
      <c r="D730" s="14" t="str">
        <f t="shared" si="3"/>
        <v/>
      </c>
      <c r="E730" s="14" t="str">
        <f t="shared" si="4"/>
        <v/>
      </c>
      <c r="F730" s="6" t="str">
        <f>IF($A730&lt;&gt;"",MAXIFS(#REF!,Token!$A:$A,$D730),)</f>
        <v/>
      </c>
    </row>
    <row r="731">
      <c r="A731" s="35" t="str">
        <f t="shared" si="1"/>
        <v/>
      </c>
      <c r="B731" s="22" t="str">
        <f t="shared" si="2"/>
        <v/>
      </c>
      <c r="C731" s="14" t="str">
        <f>IF($A731&lt;&gt;"",MINIFS(Merchant!$A:$A,Merchant!$B:$B,$G$2),)</f>
        <v/>
      </c>
      <c r="D731" s="14" t="str">
        <f t="shared" si="3"/>
        <v/>
      </c>
      <c r="E731" s="14" t="str">
        <f t="shared" si="4"/>
        <v/>
      </c>
      <c r="F731" s="6" t="str">
        <f>IF($A731&lt;&gt;"",MAXIFS(#REF!,Token!$A:$A,$D731),)</f>
        <v/>
      </c>
    </row>
    <row r="732">
      <c r="A732" s="35" t="str">
        <f t="shared" si="1"/>
        <v/>
      </c>
      <c r="B732" s="22" t="str">
        <f t="shared" si="2"/>
        <v/>
      </c>
      <c r="C732" s="14" t="str">
        <f>IF($A732&lt;&gt;"",MINIFS(Merchant!$A:$A,Merchant!$B:$B,$G$2),)</f>
        <v/>
      </c>
      <c r="D732" s="14" t="str">
        <f t="shared" si="3"/>
        <v/>
      </c>
      <c r="E732" s="14" t="str">
        <f t="shared" si="4"/>
        <v/>
      </c>
      <c r="F732" s="6" t="str">
        <f>IF($A732&lt;&gt;"",MAXIFS(#REF!,Token!$A:$A,$D732),)</f>
        <v/>
      </c>
    </row>
    <row r="733">
      <c r="A733" s="35" t="str">
        <f t="shared" si="1"/>
        <v/>
      </c>
      <c r="B733" s="22" t="str">
        <f t="shared" si="2"/>
        <v/>
      </c>
      <c r="C733" s="14" t="str">
        <f>IF($A733&lt;&gt;"",MINIFS(Merchant!$A:$A,Merchant!$B:$B,$G$2),)</f>
        <v/>
      </c>
      <c r="D733" s="14" t="str">
        <f t="shared" si="3"/>
        <v/>
      </c>
      <c r="E733" s="14" t="str">
        <f t="shared" si="4"/>
        <v/>
      </c>
      <c r="F733" s="6" t="str">
        <f>IF($A733&lt;&gt;"",MAXIFS(#REF!,Token!$A:$A,$D733),)</f>
        <v/>
      </c>
    </row>
    <row r="734">
      <c r="A734" s="35" t="str">
        <f t="shared" si="1"/>
        <v/>
      </c>
      <c r="B734" s="22" t="str">
        <f t="shared" si="2"/>
        <v/>
      </c>
      <c r="C734" s="14" t="str">
        <f>IF($A734&lt;&gt;"",MINIFS(Merchant!$A:$A,Merchant!$B:$B,$G$2),)</f>
        <v/>
      </c>
      <c r="D734" s="14" t="str">
        <f t="shared" si="3"/>
        <v/>
      </c>
      <c r="E734" s="14" t="str">
        <f t="shared" si="4"/>
        <v/>
      </c>
      <c r="F734" s="6" t="str">
        <f>IF($A734&lt;&gt;"",MAXIFS(#REF!,Token!$A:$A,$D734),)</f>
        <v/>
      </c>
    </row>
    <row r="735">
      <c r="A735" s="35" t="str">
        <f t="shared" si="1"/>
        <v/>
      </c>
      <c r="B735" s="22" t="str">
        <f t="shared" si="2"/>
        <v/>
      </c>
      <c r="C735" s="14" t="str">
        <f>IF($A735&lt;&gt;"",MINIFS(Merchant!$A:$A,Merchant!$B:$B,$G$2),)</f>
        <v/>
      </c>
      <c r="D735" s="14" t="str">
        <f t="shared" si="3"/>
        <v/>
      </c>
      <c r="E735" s="14" t="str">
        <f t="shared" si="4"/>
        <v/>
      </c>
      <c r="F735" s="6" t="str">
        <f>IF($A735&lt;&gt;"",MAXIFS(#REF!,Token!$A:$A,$D735),)</f>
        <v/>
      </c>
    </row>
    <row r="736">
      <c r="A736" s="35" t="str">
        <f t="shared" si="1"/>
        <v/>
      </c>
      <c r="B736" s="22" t="str">
        <f t="shared" si="2"/>
        <v/>
      </c>
      <c r="C736" s="14" t="str">
        <f>IF($A736&lt;&gt;"",MINIFS(Merchant!$A:$A,Merchant!$B:$B,$G$2),)</f>
        <v/>
      </c>
      <c r="D736" s="14" t="str">
        <f t="shared" si="3"/>
        <v/>
      </c>
      <c r="E736" s="14" t="str">
        <f t="shared" si="4"/>
        <v/>
      </c>
      <c r="F736" s="6" t="str">
        <f>IF($A736&lt;&gt;"",MAXIFS(#REF!,Token!$A:$A,$D736),)</f>
        <v/>
      </c>
    </row>
    <row r="737">
      <c r="A737" s="35" t="str">
        <f t="shared" si="1"/>
        <v/>
      </c>
      <c r="B737" s="22" t="str">
        <f t="shared" si="2"/>
        <v/>
      </c>
      <c r="C737" s="14" t="str">
        <f>IF($A737&lt;&gt;"",MINIFS(Merchant!$A:$A,Merchant!$B:$B,$G$2),)</f>
        <v/>
      </c>
      <c r="D737" s="14" t="str">
        <f t="shared" si="3"/>
        <v/>
      </c>
      <c r="E737" s="14" t="str">
        <f t="shared" si="4"/>
        <v/>
      </c>
      <c r="F737" s="6" t="str">
        <f>IF($A737&lt;&gt;"",MAXIFS(#REF!,Token!$A:$A,$D737),)</f>
        <v/>
      </c>
    </row>
    <row r="738">
      <c r="A738" s="35" t="str">
        <f t="shared" si="1"/>
        <v/>
      </c>
      <c r="B738" s="22" t="str">
        <f t="shared" si="2"/>
        <v/>
      </c>
      <c r="C738" s="14" t="str">
        <f>IF($A738&lt;&gt;"",MINIFS(Merchant!$A:$A,Merchant!$B:$B,$G$2),)</f>
        <v/>
      </c>
      <c r="D738" s="14" t="str">
        <f t="shared" si="3"/>
        <v/>
      </c>
      <c r="E738" s="14" t="str">
        <f t="shared" si="4"/>
        <v/>
      </c>
      <c r="F738" s="6" t="str">
        <f>IF($A738&lt;&gt;"",MAXIFS(#REF!,Token!$A:$A,$D738),)</f>
        <v/>
      </c>
    </row>
    <row r="739">
      <c r="A739" s="35" t="str">
        <f t="shared" si="1"/>
        <v/>
      </c>
      <c r="B739" s="22" t="str">
        <f t="shared" si="2"/>
        <v/>
      </c>
      <c r="C739" s="14" t="str">
        <f>IF($A739&lt;&gt;"",MINIFS(Merchant!$A:$A,Merchant!$B:$B,$G$2),)</f>
        <v/>
      </c>
      <c r="D739" s="14" t="str">
        <f t="shared" si="3"/>
        <v/>
      </c>
      <c r="E739" s="14" t="str">
        <f t="shared" si="4"/>
        <v/>
      </c>
      <c r="F739" s="6" t="str">
        <f>IF($A739&lt;&gt;"",MAXIFS(#REF!,Token!$A:$A,$D739),)</f>
        <v/>
      </c>
    </row>
    <row r="740">
      <c r="A740" s="35" t="str">
        <f t="shared" si="1"/>
        <v/>
      </c>
      <c r="B740" s="22" t="str">
        <f t="shared" si="2"/>
        <v/>
      </c>
      <c r="C740" s="14" t="str">
        <f>IF($A740&lt;&gt;"",MINIFS(Merchant!$A:$A,Merchant!$B:$B,$G$2),)</f>
        <v/>
      </c>
      <c r="D740" s="14" t="str">
        <f t="shared" si="3"/>
        <v/>
      </c>
      <c r="E740" s="14" t="str">
        <f t="shared" si="4"/>
        <v/>
      </c>
      <c r="F740" s="6" t="str">
        <f>IF($A740&lt;&gt;"",MAXIFS(#REF!,Token!$A:$A,$D740),)</f>
        <v/>
      </c>
    </row>
    <row r="741">
      <c r="A741" s="35" t="str">
        <f t="shared" si="1"/>
        <v/>
      </c>
      <c r="B741" s="22" t="str">
        <f t="shared" si="2"/>
        <v/>
      </c>
      <c r="C741" s="14" t="str">
        <f>IF($A741&lt;&gt;"",MINIFS(Merchant!$A:$A,Merchant!$B:$B,$G$2),)</f>
        <v/>
      </c>
      <c r="D741" s="14" t="str">
        <f t="shared" si="3"/>
        <v/>
      </c>
      <c r="E741" s="14" t="str">
        <f t="shared" si="4"/>
        <v/>
      </c>
      <c r="F741" s="6" t="str">
        <f>IF($A741&lt;&gt;"",MAXIFS(#REF!,Token!$A:$A,$D741),)</f>
        <v/>
      </c>
    </row>
    <row r="742">
      <c r="A742" s="35" t="str">
        <f t="shared" si="1"/>
        <v/>
      </c>
      <c r="B742" s="22" t="str">
        <f t="shared" si="2"/>
        <v/>
      </c>
      <c r="C742" s="14" t="str">
        <f>IF($A742&lt;&gt;"",MINIFS(Merchant!$A:$A,Merchant!$B:$B,$G$2),)</f>
        <v/>
      </c>
      <c r="D742" s="14" t="str">
        <f t="shared" si="3"/>
        <v/>
      </c>
      <c r="E742" s="14" t="str">
        <f t="shared" si="4"/>
        <v/>
      </c>
      <c r="F742" s="6" t="str">
        <f>IF($A742&lt;&gt;"",MAXIFS(#REF!,Token!$A:$A,$D742),)</f>
        <v/>
      </c>
    </row>
    <row r="743">
      <c r="A743" s="35" t="str">
        <f t="shared" si="1"/>
        <v/>
      </c>
      <c r="B743" s="22" t="str">
        <f t="shared" si="2"/>
        <v/>
      </c>
      <c r="C743" s="14" t="str">
        <f>IF($A743&lt;&gt;"",MINIFS(Merchant!$A:$A,Merchant!$B:$B,$G$2),)</f>
        <v/>
      </c>
      <c r="D743" s="14" t="str">
        <f t="shared" si="3"/>
        <v/>
      </c>
      <c r="E743" s="14" t="str">
        <f t="shared" si="4"/>
        <v/>
      </c>
      <c r="F743" s="6" t="str">
        <f>IF($A743&lt;&gt;"",MAXIFS(#REF!,Token!$A:$A,$D743),)</f>
        <v/>
      </c>
    </row>
    <row r="744">
      <c r="A744" s="35" t="str">
        <f t="shared" si="1"/>
        <v/>
      </c>
      <c r="B744" s="22" t="str">
        <f t="shared" si="2"/>
        <v/>
      </c>
      <c r="C744" s="14" t="str">
        <f>IF($A744&lt;&gt;"",MINIFS(Merchant!$A:$A,Merchant!$B:$B,$G$2),)</f>
        <v/>
      </c>
      <c r="D744" s="14" t="str">
        <f t="shared" si="3"/>
        <v/>
      </c>
      <c r="E744" s="14" t="str">
        <f t="shared" si="4"/>
        <v/>
      </c>
      <c r="F744" s="6" t="str">
        <f>IF($A744&lt;&gt;"",MAXIFS(#REF!,Token!$A:$A,$D744),)</f>
        <v/>
      </c>
    </row>
    <row r="745">
      <c r="A745" s="35" t="str">
        <f t="shared" si="1"/>
        <v/>
      </c>
      <c r="B745" s="22" t="str">
        <f t="shared" si="2"/>
        <v/>
      </c>
      <c r="C745" s="14" t="str">
        <f>IF($A745&lt;&gt;"",MINIFS(Merchant!$A:$A,Merchant!$B:$B,$G$2),)</f>
        <v/>
      </c>
      <c r="D745" s="14" t="str">
        <f t="shared" si="3"/>
        <v/>
      </c>
      <c r="E745" s="14" t="str">
        <f t="shared" si="4"/>
        <v/>
      </c>
      <c r="F745" s="6" t="str">
        <f>IF($A745&lt;&gt;"",MAXIFS(#REF!,Token!$A:$A,$D745),)</f>
        <v/>
      </c>
    </row>
    <row r="746">
      <c r="A746" s="35" t="str">
        <f t="shared" si="1"/>
        <v/>
      </c>
      <c r="B746" s="22" t="str">
        <f t="shared" si="2"/>
        <v/>
      </c>
      <c r="C746" s="14" t="str">
        <f>IF($A746&lt;&gt;"",MINIFS(Merchant!$A:$A,Merchant!$B:$B,$G$2),)</f>
        <v/>
      </c>
      <c r="D746" s="14" t="str">
        <f t="shared" si="3"/>
        <v/>
      </c>
      <c r="E746" s="14" t="str">
        <f t="shared" si="4"/>
        <v/>
      </c>
      <c r="F746" s="6" t="str">
        <f>IF($A746&lt;&gt;"",MAXIFS(#REF!,Token!$A:$A,$D746),)</f>
        <v/>
      </c>
    </row>
    <row r="747">
      <c r="A747" s="35" t="str">
        <f t="shared" si="1"/>
        <v/>
      </c>
      <c r="B747" s="22" t="str">
        <f t="shared" si="2"/>
        <v/>
      </c>
      <c r="C747" s="14" t="str">
        <f>IF($A747&lt;&gt;"",MINIFS(Merchant!$A:$A,Merchant!$B:$B,$G$2),)</f>
        <v/>
      </c>
      <c r="D747" s="14" t="str">
        <f t="shared" si="3"/>
        <v/>
      </c>
      <c r="E747" s="14" t="str">
        <f t="shared" si="4"/>
        <v/>
      </c>
      <c r="F747" s="6" t="str">
        <f>IF($A747&lt;&gt;"",MAXIFS(#REF!,Token!$A:$A,$D747),)</f>
        <v/>
      </c>
    </row>
    <row r="748">
      <c r="A748" s="35" t="str">
        <f t="shared" si="1"/>
        <v/>
      </c>
      <c r="B748" s="22" t="str">
        <f t="shared" si="2"/>
        <v/>
      </c>
      <c r="C748" s="14" t="str">
        <f>IF($A748&lt;&gt;"",MINIFS(Merchant!$A:$A,Merchant!$B:$B,$G$2),)</f>
        <v/>
      </c>
      <c r="D748" s="14" t="str">
        <f t="shared" si="3"/>
        <v/>
      </c>
      <c r="E748" s="14" t="str">
        <f t="shared" si="4"/>
        <v/>
      </c>
      <c r="F748" s="6" t="str">
        <f>IF($A748&lt;&gt;"",MAXIFS(#REF!,Token!$A:$A,$D748),)</f>
        <v/>
      </c>
    </row>
    <row r="749">
      <c r="A749" s="35" t="str">
        <f t="shared" si="1"/>
        <v/>
      </c>
      <c r="B749" s="22" t="str">
        <f t="shared" si="2"/>
        <v/>
      </c>
      <c r="C749" s="14" t="str">
        <f>IF($A749&lt;&gt;"",MINIFS(Merchant!$A:$A,Merchant!$B:$B,$G$2),)</f>
        <v/>
      </c>
      <c r="D749" s="14" t="str">
        <f t="shared" si="3"/>
        <v/>
      </c>
      <c r="E749" s="14" t="str">
        <f t="shared" si="4"/>
        <v/>
      </c>
      <c r="F749" s="6" t="str">
        <f>IF($A749&lt;&gt;"",MAXIFS(#REF!,Token!$A:$A,$D749),)</f>
        <v/>
      </c>
    </row>
    <row r="750">
      <c r="A750" s="35" t="str">
        <f t="shared" si="1"/>
        <v/>
      </c>
      <c r="B750" s="22" t="str">
        <f t="shared" si="2"/>
        <v/>
      </c>
      <c r="C750" s="14" t="str">
        <f>IF($A750&lt;&gt;"",MINIFS(Merchant!$A:$A,Merchant!$B:$B,$G$2),)</f>
        <v/>
      </c>
      <c r="D750" s="14" t="str">
        <f t="shared" si="3"/>
        <v/>
      </c>
      <c r="E750" s="14" t="str">
        <f t="shared" si="4"/>
        <v/>
      </c>
      <c r="F750" s="6" t="str">
        <f>IF($A750&lt;&gt;"",MAXIFS(#REF!,Token!$A:$A,$D750),)</f>
        <v/>
      </c>
    </row>
    <row r="751">
      <c r="A751" s="35" t="str">
        <f t="shared" si="1"/>
        <v/>
      </c>
      <c r="B751" s="22" t="str">
        <f t="shared" si="2"/>
        <v/>
      </c>
      <c r="C751" s="14" t="str">
        <f>IF($A751&lt;&gt;"",MINIFS(Merchant!$A:$A,Merchant!$B:$B,$G$2),)</f>
        <v/>
      </c>
      <c r="D751" s="14" t="str">
        <f t="shared" si="3"/>
        <v/>
      </c>
      <c r="E751" s="14" t="str">
        <f t="shared" si="4"/>
        <v/>
      </c>
      <c r="F751" s="6" t="str">
        <f>IF($A751&lt;&gt;"",MAXIFS(#REF!,Token!$A:$A,$D751),)</f>
        <v/>
      </c>
    </row>
    <row r="752">
      <c r="A752" s="35" t="str">
        <f t="shared" si="1"/>
        <v/>
      </c>
      <c r="B752" s="22" t="str">
        <f t="shared" si="2"/>
        <v/>
      </c>
      <c r="C752" s="14" t="str">
        <f>IF($A752&lt;&gt;"",MINIFS(Merchant!$A:$A,Merchant!$B:$B,$G$2),)</f>
        <v/>
      </c>
      <c r="D752" s="14" t="str">
        <f t="shared" si="3"/>
        <v/>
      </c>
      <c r="E752" s="14" t="str">
        <f t="shared" si="4"/>
        <v/>
      </c>
      <c r="F752" s="6" t="str">
        <f>IF($A752&lt;&gt;"",MAXIFS(#REF!,Token!$A:$A,$D752),)</f>
        <v/>
      </c>
    </row>
    <row r="753">
      <c r="A753" s="35" t="str">
        <f t="shared" si="1"/>
        <v/>
      </c>
      <c r="B753" s="22" t="str">
        <f t="shared" si="2"/>
        <v/>
      </c>
      <c r="C753" s="14" t="str">
        <f>IF($A753&lt;&gt;"",MINIFS(Merchant!$A:$A,Merchant!$B:$B,$G$2),)</f>
        <v/>
      </c>
      <c r="D753" s="14" t="str">
        <f t="shared" si="3"/>
        <v/>
      </c>
      <c r="E753" s="14" t="str">
        <f t="shared" si="4"/>
        <v/>
      </c>
      <c r="F753" s="6" t="str">
        <f>IF($A753&lt;&gt;"",MAXIFS(#REF!,Token!$A:$A,$D753),)</f>
        <v/>
      </c>
    </row>
    <row r="754">
      <c r="A754" s="35" t="str">
        <f t="shared" si="1"/>
        <v/>
      </c>
      <c r="B754" s="22" t="str">
        <f t="shared" si="2"/>
        <v/>
      </c>
      <c r="C754" s="14" t="str">
        <f>IF($A754&lt;&gt;"",MINIFS(Merchant!$A:$A,Merchant!$B:$B,$G$2),)</f>
        <v/>
      </c>
      <c r="D754" s="14" t="str">
        <f t="shared" si="3"/>
        <v/>
      </c>
      <c r="E754" s="14" t="str">
        <f t="shared" si="4"/>
        <v/>
      </c>
      <c r="F754" s="6" t="str">
        <f>IF($A754&lt;&gt;"",MAXIFS(#REF!,Token!$A:$A,$D754),)</f>
        <v/>
      </c>
    </row>
    <row r="755">
      <c r="A755" s="35" t="str">
        <f t="shared" si="1"/>
        <v/>
      </c>
      <c r="B755" s="22" t="str">
        <f t="shared" si="2"/>
        <v/>
      </c>
      <c r="C755" s="14" t="str">
        <f>IF($A755&lt;&gt;"",MINIFS(Merchant!$A:$A,Merchant!$B:$B,$G$2),)</f>
        <v/>
      </c>
      <c r="D755" s="14" t="str">
        <f t="shared" si="3"/>
        <v/>
      </c>
      <c r="E755" s="14" t="str">
        <f t="shared" si="4"/>
        <v/>
      </c>
      <c r="F755" s="6" t="str">
        <f>IF($A755&lt;&gt;"",MAXIFS(#REF!,Token!$A:$A,$D755),)</f>
        <v/>
      </c>
    </row>
    <row r="756">
      <c r="A756" s="35" t="str">
        <f t="shared" si="1"/>
        <v/>
      </c>
      <c r="B756" s="22" t="str">
        <f t="shared" si="2"/>
        <v/>
      </c>
      <c r="C756" s="14" t="str">
        <f>IF($A756&lt;&gt;"",MINIFS(Merchant!$A:$A,Merchant!$B:$B,$G$2),)</f>
        <v/>
      </c>
      <c r="D756" s="14" t="str">
        <f t="shared" si="3"/>
        <v/>
      </c>
      <c r="E756" s="14" t="str">
        <f t="shared" si="4"/>
        <v/>
      </c>
      <c r="F756" s="6" t="str">
        <f>IF($A756&lt;&gt;"",MAXIFS(#REF!,Token!$A:$A,$D756),)</f>
        <v/>
      </c>
    </row>
    <row r="757">
      <c r="A757" s="35" t="str">
        <f t="shared" si="1"/>
        <v/>
      </c>
      <c r="B757" s="22" t="str">
        <f t="shared" si="2"/>
        <v/>
      </c>
      <c r="C757" s="14" t="str">
        <f>IF($A757&lt;&gt;"",MINIFS(Merchant!$A:$A,Merchant!$B:$B,$G$2),)</f>
        <v/>
      </c>
      <c r="D757" s="14" t="str">
        <f t="shared" si="3"/>
        <v/>
      </c>
      <c r="E757" s="14" t="str">
        <f t="shared" si="4"/>
        <v/>
      </c>
      <c r="F757" s="6" t="str">
        <f>IF($A757&lt;&gt;"",MAXIFS(#REF!,Token!$A:$A,$D757),)</f>
        <v/>
      </c>
    </row>
    <row r="758">
      <c r="A758" s="35" t="str">
        <f t="shared" si="1"/>
        <v/>
      </c>
      <c r="B758" s="22" t="str">
        <f t="shared" si="2"/>
        <v/>
      </c>
      <c r="C758" s="14" t="str">
        <f>IF($A758&lt;&gt;"",MINIFS(Merchant!$A:$A,Merchant!$B:$B,$G$2),)</f>
        <v/>
      </c>
      <c r="D758" s="14" t="str">
        <f t="shared" si="3"/>
        <v/>
      </c>
      <c r="E758" s="14" t="str">
        <f t="shared" si="4"/>
        <v/>
      </c>
      <c r="F758" s="6" t="str">
        <f>IF($A758&lt;&gt;"",MAXIFS(#REF!,Token!$A:$A,$D758),)</f>
        <v/>
      </c>
    </row>
    <row r="759">
      <c r="A759" s="35" t="str">
        <f t="shared" si="1"/>
        <v/>
      </c>
      <c r="B759" s="22" t="str">
        <f t="shared" si="2"/>
        <v/>
      </c>
      <c r="C759" s="14" t="str">
        <f>IF($A759&lt;&gt;"",MINIFS(Merchant!$A:$A,Merchant!$B:$B,$G$2),)</f>
        <v/>
      </c>
      <c r="D759" s="14" t="str">
        <f t="shared" si="3"/>
        <v/>
      </c>
      <c r="E759" s="14" t="str">
        <f t="shared" si="4"/>
        <v/>
      </c>
      <c r="F759" s="6" t="str">
        <f>IF($A759&lt;&gt;"",MAXIFS(#REF!,Token!$A:$A,$D759),)</f>
        <v/>
      </c>
    </row>
    <row r="760">
      <c r="A760" s="35" t="str">
        <f t="shared" si="1"/>
        <v/>
      </c>
      <c r="B760" s="22" t="str">
        <f t="shared" si="2"/>
        <v/>
      </c>
      <c r="C760" s="14" t="str">
        <f>IF($A760&lt;&gt;"",MINIFS(Merchant!$A:$A,Merchant!$B:$B,$G$2),)</f>
        <v/>
      </c>
      <c r="D760" s="14" t="str">
        <f t="shared" si="3"/>
        <v/>
      </c>
      <c r="E760" s="14" t="str">
        <f t="shared" si="4"/>
        <v/>
      </c>
      <c r="F760" s="6" t="str">
        <f>IF($A760&lt;&gt;"",MAXIFS(#REF!,Token!$A:$A,$D760),)</f>
        <v/>
      </c>
    </row>
    <row r="761">
      <c r="A761" s="35" t="str">
        <f t="shared" si="1"/>
        <v/>
      </c>
      <c r="B761" s="22" t="str">
        <f t="shared" si="2"/>
        <v/>
      </c>
      <c r="C761" s="14" t="str">
        <f>IF($A761&lt;&gt;"",MINIFS(Merchant!$A:$A,Merchant!$B:$B,$G$2),)</f>
        <v/>
      </c>
      <c r="D761" s="14" t="str">
        <f t="shared" si="3"/>
        <v/>
      </c>
      <c r="E761" s="14" t="str">
        <f t="shared" si="4"/>
        <v/>
      </c>
      <c r="F761" s="6" t="str">
        <f>IF($A761&lt;&gt;"",MAXIFS(#REF!,Token!$A:$A,$D761),)</f>
        <v/>
      </c>
    </row>
    <row r="762">
      <c r="A762" s="35" t="str">
        <f t="shared" si="1"/>
        <v/>
      </c>
      <c r="B762" s="22" t="str">
        <f t="shared" si="2"/>
        <v/>
      </c>
      <c r="C762" s="14" t="str">
        <f>IF($A762&lt;&gt;"",MINIFS(Merchant!$A:$A,Merchant!$B:$B,$G$2),)</f>
        <v/>
      </c>
      <c r="D762" s="14" t="str">
        <f t="shared" si="3"/>
        <v/>
      </c>
      <c r="E762" s="14" t="str">
        <f t="shared" si="4"/>
        <v/>
      </c>
      <c r="F762" s="6" t="str">
        <f>IF($A762&lt;&gt;"",MAXIFS(#REF!,Token!$A:$A,$D762),)</f>
        <v/>
      </c>
    </row>
    <row r="763">
      <c r="A763" s="35" t="str">
        <f t="shared" si="1"/>
        <v/>
      </c>
      <c r="B763" s="22" t="str">
        <f t="shared" si="2"/>
        <v/>
      </c>
      <c r="C763" s="14" t="str">
        <f>IF($A763&lt;&gt;"",MINIFS(Merchant!$A:$A,Merchant!$B:$B,$G$2),)</f>
        <v/>
      </c>
      <c r="D763" s="14" t="str">
        <f t="shared" si="3"/>
        <v/>
      </c>
      <c r="E763" s="14" t="str">
        <f t="shared" si="4"/>
        <v/>
      </c>
      <c r="F763" s="6" t="str">
        <f>IF($A763&lt;&gt;"",MAXIFS(#REF!,Token!$A:$A,$D763),)</f>
        <v/>
      </c>
    </row>
    <row r="764">
      <c r="A764" s="35" t="str">
        <f t="shared" si="1"/>
        <v/>
      </c>
      <c r="B764" s="22" t="str">
        <f t="shared" si="2"/>
        <v/>
      </c>
      <c r="C764" s="14" t="str">
        <f>IF($A764&lt;&gt;"",MINIFS(Merchant!$A:$A,Merchant!$B:$B,$G$2),)</f>
        <v/>
      </c>
      <c r="D764" s="14" t="str">
        <f t="shared" si="3"/>
        <v/>
      </c>
      <c r="E764" s="14" t="str">
        <f t="shared" si="4"/>
        <v/>
      </c>
      <c r="F764" s="6" t="str">
        <f>IF($A764&lt;&gt;"",MAXIFS(#REF!,Token!$A:$A,$D764),)</f>
        <v/>
      </c>
    </row>
    <row r="765">
      <c r="A765" s="35" t="str">
        <f t="shared" si="1"/>
        <v/>
      </c>
      <c r="B765" s="22" t="str">
        <f t="shared" si="2"/>
        <v/>
      </c>
      <c r="C765" s="14" t="str">
        <f>IF($A765&lt;&gt;"",MINIFS(Merchant!$A:$A,Merchant!$B:$B,$G$2),)</f>
        <v/>
      </c>
      <c r="D765" s="14" t="str">
        <f t="shared" si="3"/>
        <v/>
      </c>
      <c r="E765" s="14" t="str">
        <f t="shared" si="4"/>
        <v/>
      </c>
      <c r="F765" s="6" t="str">
        <f>IF($A765&lt;&gt;"",MAXIFS(#REF!,Token!$A:$A,$D765),)</f>
        <v/>
      </c>
    </row>
    <row r="766">
      <c r="A766" s="35" t="str">
        <f t="shared" si="1"/>
        <v/>
      </c>
      <c r="B766" s="22" t="str">
        <f t="shared" si="2"/>
        <v/>
      </c>
      <c r="C766" s="14" t="str">
        <f>IF($A766&lt;&gt;"",MINIFS(Merchant!$A:$A,Merchant!$B:$B,$G$2),)</f>
        <v/>
      </c>
      <c r="D766" s="14" t="str">
        <f t="shared" si="3"/>
        <v/>
      </c>
      <c r="E766" s="14" t="str">
        <f t="shared" si="4"/>
        <v/>
      </c>
      <c r="F766" s="6" t="str">
        <f>IF($A766&lt;&gt;"",MAXIFS(#REF!,Token!$A:$A,$D766),)</f>
        <v/>
      </c>
    </row>
    <row r="767">
      <c r="A767" s="35" t="str">
        <f t="shared" si="1"/>
        <v/>
      </c>
      <c r="B767" s="22" t="str">
        <f t="shared" si="2"/>
        <v/>
      </c>
      <c r="C767" s="14" t="str">
        <f>IF($A767&lt;&gt;"",MINIFS(Merchant!$A:$A,Merchant!$B:$B,$G$2),)</f>
        <v/>
      </c>
      <c r="D767" s="14" t="str">
        <f t="shared" si="3"/>
        <v/>
      </c>
      <c r="E767" s="14" t="str">
        <f t="shared" si="4"/>
        <v/>
      </c>
      <c r="F767" s="6" t="str">
        <f>IF($A767&lt;&gt;"",MAXIFS(#REF!,Token!$A:$A,$D767),)</f>
        <v/>
      </c>
    </row>
    <row r="768">
      <c r="A768" s="35" t="str">
        <f t="shared" si="1"/>
        <v/>
      </c>
      <c r="B768" s="22" t="str">
        <f t="shared" si="2"/>
        <v/>
      </c>
      <c r="C768" s="14" t="str">
        <f>IF($A768&lt;&gt;"",MINIFS(Merchant!$A:$A,Merchant!$B:$B,$G$2),)</f>
        <v/>
      </c>
      <c r="D768" s="14" t="str">
        <f t="shared" si="3"/>
        <v/>
      </c>
      <c r="E768" s="14" t="str">
        <f t="shared" si="4"/>
        <v/>
      </c>
      <c r="F768" s="6" t="str">
        <f>IF($A768&lt;&gt;"",MAXIFS(#REF!,Token!$A:$A,$D768),)</f>
        <v/>
      </c>
    </row>
    <row r="769">
      <c r="A769" s="35" t="str">
        <f t="shared" si="1"/>
        <v/>
      </c>
      <c r="B769" s="22" t="str">
        <f t="shared" si="2"/>
        <v/>
      </c>
      <c r="C769" s="14" t="str">
        <f>IF($A769&lt;&gt;"",MINIFS(Merchant!$A:$A,Merchant!$B:$B,$G$2),)</f>
        <v/>
      </c>
      <c r="D769" s="14" t="str">
        <f t="shared" si="3"/>
        <v/>
      </c>
      <c r="E769" s="14" t="str">
        <f t="shared" si="4"/>
        <v/>
      </c>
      <c r="F769" s="6" t="str">
        <f>IF($A769&lt;&gt;"",MAXIFS(#REF!,Token!$A:$A,$D769),)</f>
        <v/>
      </c>
    </row>
    <row r="770">
      <c r="A770" s="35" t="str">
        <f t="shared" si="1"/>
        <v/>
      </c>
      <c r="B770" s="22" t="str">
        <f t="shared" si="2"/>
        <v/>
      </c>
      <c r="C770" s="14" t="str">
        <f>IF($A770&lt;&gt;"",MINIFS(Merchant!$A:$A,Merchant!$B:$B,$G$2),)</f>
        <v/>
      </c>
      <c r="D770" s="14" t="str">
        <f t="shared" si="3"/>
        <v/>
      </c>
      <c r="E770" s="14" t="str">
        <f t="shared" si="4"/>
        <v/>
      </c>
      <c r="F770" s="6" t="str">
        <f>IF($A770&lt;&gt;"",MAXIFS(#REF!,Token!$A:$A,$D770),)</f>
        <v/>
      </c>
    </row>
    <row r="771">
      <c r="A771" s="35" t="str">
        <f t="shared" si="1"/>
        <v/>
      </c>
      <c r="B771" s="22" t="str">
        <f t="shared" si="2"/>
        <v/>
      </c>
      <c r="C771" s="14" t="str">
        <f>IF($A771&lt;&gt;"",MINIFS(Merchant!$A:$A,Merchant!$B:$B,$G$2),)</f>
        <v/>
      </c>
      <c r="D771" s="14" t="str">
        <f t="shared" si="3"/>
        <v/>
      </c>
      <c r="E771" s="14" t="str">
        <f t="shared" si="4"/>
        <v/>
      </c>
      <c r="F771" s="6" t="str">
        <f>IF($A771&lt;&gt;"",MAXIFS(#REF!,Token!$A:$A,$D771),)</f>
        <v/>
      </c>
    </row>
    <row r="772">
      <c r="A772" s="35" t="str">
        <f t="shared" si="1"/>
        <v/>
      </c>
      <c r="B772" s="22" t="str">
        <f t="shared" si="2"/>
        <v/>
      </c>
      <c r="C772" s="14" t="str">
        <f>IF($A772&lt;&gt;"",MINIFS(Merchant!$A:$A,Merchant!$B:$B,$G$2),)</f>
        <v/>
      </c>
      <c r="D772" s="14" t="str">
        <f t="shared" si="3"/>
        <v/>
      </c>
      <c r="E772" s="14" t="str">
        <f t="shared" si="4"/>
        <v/>
      </c>
      <c r="F772" s="6" t="str">
        <f>IF($A772&lt;&gt;"",MAXIFS(#REF!,Token!$A:$A,$D772),)</f>
        <v/>
      </c>
    </row>
    <row r="773">
      <c r="A773" s="35" t="str">
        <f t="shared" si="1"/>
        <v/>
      </c>
      <c r="B773" s="22" t="str">
        <f t="shared" si="2"/>
        <v/>
      </c>
      <c r="C773" s="14" t="str">
        <f>IF($A773&lt;&gt;"",MINIFS(Merchant!$A:$A,Merchant!$B:$B,$G$2),)</f>
        <v/>
      </c>
      <c r="D773" s="14" t="str">
        <f t="shared" si="3"/>
        <v/>
      </c>
      <c r="E773" s="14" t="str">
        <f t="shared" si="4"/>
        <v/>
      </c>
      <c r="F773" s="6" t="str">
        <f>IF($A773&lt;&gt;"",MAXIFS(#REF!,Token!$A:$A,$D773),)</f>
        <v/>
      </c>
    </row>
    <row r="774">
      <c r="A774" s="35" t="str">
        <f t="shared" si="1"/>
        <v/>
      </c>
      <c r="B774" s="22" t="str">
        <f t="shared" si="2"/>
        <v/>
      </c>
      <c r="C774" s="14" t="str">
        <f>IF($A774&lt;&gt;"",MINIFS(Merchant!$A:$A,Merchant!$B:$B,$G$2),)</f>
        <v/>
      </c>
      <c r="D774" s="14" t="str">
        <f t="shared" si="3"/>
        <v/>
      </c>
      <c r="E774" s="14" t="str">
        <f t="shared" si="4"/>
        <v/>
      </c>
      <c r="F774" s="6" t="str">
        <f>IF($A774&lt;&gt;"",MAXIFS(#REF!,Token!$A:$A,$D774),)</f>
        <v/>
      </c>
    </row>
    <row r="775">
      <c r="A775" s="35" t="str">
        <f t="shared" si="1"/>
        <v/>
      </c>
      <c r="B775" s="22" t="str">
        <f t="shared" si="2"/>
        <v/>
      </c>
      <c r="C775" s="14" t="str">
        <f>IF($A775&lt;&gt;"",MINIFS(Merchant!$A:$A,Merchant!$B:$B,$G$2),)</f>
        <v/>
      </c>
      <c r="D775" s="14" t="str">
        <f t="shared" si="3"/>
        <v/>
      </c>
      <c r="E775" s="14" t="str">
        <f t="shared" si="4"/>
        <v/>
      </c>
      <c r="F775" s="6" t="str">
        <f>IF($A775&lt;&gt;"",MAXIFS(#REF!,Token!$A:$A,$D775),)</f>
        <v/>
      </c>
    </row>
    <row r="776">
      <c r="A776" s="35" t="str">
        <f t="shared" si="1"/>
        <v/>
      </c>
      <c r="B776" s="22" t="str">
        <f t="shared" si="2"/>
        <v/>
      </c>
      <c r="C776" s="14" t="str">
        <f>IF($A776&lt;&gt;"",MINIFS(Merchant!$A:$A,Merchant!$B:$B,$G$2),)</f>
        <v/>
      </c>
      <c r="D776" s="14" t="str">
        <f t="shared" si="3"/>
        <v/>
      </c>
      <c r="E776" s="14" t="str">
        <f t="shared" si="4"/>
        <v/>
      </c>
      <c r="F776" s="6" t="str">
        <f>IF($A776&lt;&gt;"",MAXIFS(#REF!,Token!$A:$A,$D776),)</f>
        <v/>
      </c>
    </row>
    <row r="777">
      <c r="A777" s="35" t="str">
        <f t="shared" si="1"/>
        <v/>
      </c>
      <c r="B777" s="22" t="str">
        <f t="shared" si="2"/>
        <v/>
      </c>
      <c r="C777" s="14" t="str">
        <f>IF($A777&lt;&gt;"",MINIFS(Merchant!$A:$A,Merchant!$B:$B,$G$2),)</f>
        <v/>
      </c>
      <c r="D777" s="14" t="str">
        <f t="shared" si="3"/>
        <v/>
      </c>
      <c r="E777" s="14" t="str">
        <f t="shared" si="4"/>
        <v/>
      </c>
      <c r="F777" s="6" t="str">
        <f>IF($A777&lt;&gt;"",MAXIFS(#REF!,Token!$A:$A,$D777),)</f>
        <v/>
      </c>
    </row>
    <row r="778">
      <c r="A778" s="35" t="str">
        <f t="shared" si="1"/>
        <v/>
      </c>
      <c r="B778" s="22" t="str">
        <f t="shared" si="2"/>
        <v/>
      </c>
      <c r="C778" s="14" t="str">
        <f>IF($A778&lt;&gt;"",MINIFS(Merchant!$A:$A,Merchant!$B:$B,$G$2),)</f>
        <v/>
      </c>
      <c r="D778" s="14" t="str">
        <f t="shared" si="3"/>
        <v/>
      </c>
      <c r="E778" s="14" t="str">
        <f t="shared" si="4"/>
        <v/>
      </c>
      <c r="F778" s="6" t="str">
        <f>IF($A778&lt;&gt;"",MAXIFS(#REF!,Token!$A:$A,$D778),)</f>
        <v/>
      </c>
    </row>
    <row r="779">
      <c r="A779" s="35" t="str">
        <f t="shared" si="1"/>
        <v/>
      </c>
      <c r="B779" s="22" t="str">
        <f t="shared" si="2"/>
        <v/>
      </c>
      <c r="C779" s="14" t="str">
        <f>IF($A779&lt;&gt;"",MINIFS(Merchant!$A:$A,Merchant!$B:$B,$G$2),)</f>
        <v/>
      </c>
      <c r="D779" s="14" t="str">
        <f t="shared" si="3"/>
        <v/>
      </c>
      <c r="E779" s="14" t="str">
        <f t="shared" si="4"/>
        <v/>
      </c>
      <c r="F779" s="6" t="str">
        <f>IF($A779&lt;&gt;"",MAXIFS(#REF!,Token!$A:$A,$D779),)</f>
        <v/>
      </c>
    </row>
    <row r="780">
      <c r="A780" s="35" t="str">
        <f t="shared" si="1"/>
        <v/>
      </c>
      <c r="B780" s="22" t="str">
        <f t="shared" si="2"/>
        <v/>
      </c>
      <c r="C780" s="14" t="str">
        <f>IF($A780&lt;&gt;"",MINIFS(Merchant!$A:$A,Merchant!$B:$B,$G$2),)</f>
        <v/>
      </c>
      <c r="D780" s="14" t="str">
        <f t="shared" si="3"/>
        <v/>
      </c>
      <c r="E780" s="14" t="str">
        <f t="shared" si="4"/>
        <v/>
      </c>
      <c r="F780" s="6" t="str">
        <f>IF($A780&lt;&gt;"",MAXIFS(#REF!,Token!$A:$A,$D780),)</f>
        <v/>
      </c>
    </row>
    <row r="781">
      <c r="A781" s="35" t="str">
        <f t="shared" si="1"/>
        <v/>
      </c>
      <c r="B781" s="22" t="str">
        <f t="shared" si="2"/>
        <v/>
      </c>
      <c r="C781" s="14" t="str">
        <f>IF($A781&lt;&gt;"",MINIFS(Merchant!$A:$A,Merchant!$B:$B,$G$2),)</f>
        <v/>
      </c>
      <c r="D781" s="14" t="str">
        <f t="shared" si="3"/>
        <v/>
      </c>
      <c r="E781" s="14" t="str">
        <f t="shared" si="4"/>
        <v/>
      </c>
      <c r="F781" s="6" t="str">
        <f>IF($A781&lt;&gt;"",MAXIFS(#REF!,Token!$A:$A,$D781),)</f>
        <v/>
      </c>
    </row>
    <row r="782">
      <c r="A782" s="35" t="str">
        <f t="shared" si="1"/>
        <v/>
      </c>
      <c r="B782" s="22" t="str">
        <f t="shared" si="2"/>
        <v/>
      </c>
      <c r="C782" s="14" t="str">
        <f>IF($A782&lt;&gt;"",MINIFS(Merchant!$A:$A,Merchant!$B:$B,$G$2),)</f>
        <v/>
      </c>
      <c r="D782" s="14" t="str">
        <f t="shared" si="3"/>
        <v/>
      </c>
      <c r="E782" s="14" t="str">
        <f t="shared" si="4"/>
        <v/>
      </c>
      <c r="F782" s="6" t="str">
        <f>IF($A782&lt;&gt;"",MAXIFS(#REF!,Token!$A:$A,$D782),)</f>
        <v/>
      </c>
    </row>
    <row r="783">
      <c r="A783" s="35" t="str">
        <f t="shared" si="1"/>
        <v/>
      </c>
      <c r="B783" s="22" t="str">
        <f t="shared" si="2"/>
        <v/>
      </c>
      <c r="C783" s="14" t="str">
        <f>IF($A783&lt;&gt;"",MINIFS(Merchant!$A:$A,Merchant!$B:$B,$G$2),)</f>
        <v/>
      </c>
      <c r="D783" s="14" t="str">
        <f t="shared" si="3"/>
        <v/>
      </c>
      <c r="E783" s="14" t="str">
        <f t="shared" si="4"/>
        <v/>
      </c>
      <c r="F783" s="6" t="str">
        <f>IF($A783&lt;&gt;"",MAXIFS(#REF!,Token!$A:$A,$D783),)</f>
        <v/>
      </c>
    </row>
    <row r="784">
      <c r="A784" s="35" t="str">
        <f t="shared" si="1"/>
        <v/>
      </c>
      <c r="B784" s="22" t="str">
        <f t="shared" si="2"/>
        <v/>
      </c>
      <c r="C784" s="14" t="str">
        <f>IF($A784&lt;&gt;"",MINIFS(Merchant!$A:$A,Merchant!$B:$B,$G$2),)</f>
        <v/>
      </c>
      <c r="D784" s="14" t="str">
        <f t="shared" si="3"/>
        <v/>
      </c>
      <c r="E784" s="14" t="str">
        <f t="shared" si="4"/>
        <v/>
      </c>
      <c r="F784" s="6" t="str">
        <f>IF($A784&lt;&gt;"",MAXIFS(#REF!,Token!$A:$A,$D784),)</f>
        <v/>
      </c>
    </row>
    <row r="785">
      <c r="A785" s="35" t="str">
        <f t="shared" si="1"/>
        <v/>
      </c>
      <c r="B785" s="22" t="str">
        <f t="shared" si="2"/>
        <v/>
      </c>
      <c r="C785" s="14" t="str">
        <f>IF($A785&lt;&gt;"",MINIFS(Merchant!$A:$A,Merchant!$B:$B,$G$2),)</f>
        <v/>
      </c>
      <c r="D785" s="14" t="str">
        <f t="shared" si="3"/>
        <v/>
      </c>
      <c r="E785" s="14" t="str">
        <f t="shared" si="4"/>
        <v/>
      </c>
      <c r="F785" s="6" t="str">
        <f>IF($A785&lt;&gt;"",MAXIFS(#REF!,Token!$A:$A,$D785),)</f>
        <v/>
      </c>
    </row>
    <row r="786">
      <c r="A786" s="35" t="str">
        <f t="shared" si="1"/>
        <v/>
      </c>
      <c r="B786" s="22" t="str">
        <f t="shared" si="2"/>
        <v/>
      </c>
      <c r="C786" s="14" t="str">
        <f>IF($A786&lt;&gt;"",MINIFS(Merchant!$A:$A,Merchant!$B:$B,$G$2),)</f>
        <v/>
      </c>
      <c r="D786" s="14" t="str">
        <f t="shared" si="3"/>
        <v/>
      </c>
      <c r="E786" s="14" t="str">
        <f t="shared" si="4"/>
        <v/>
      </c>
      <c r="F786" s="6" t="str">
        <f>IF($A786&lt;&gt;"",MAXIFS(#REF!,Token!$A:$A,$D786),)</f>
        <v/>
      </c>
    </row>
    <row r="787">
      <c r="A787" s="35" t="str">
        <f t="shared" si="1"/>
        <v/>
      </c>
      <c r="B787" s="22" t="str">
        <f t="shared" si="2"/>
        <v/>
      </c>
      <c r="C787" s="14" t="str">
        <f>IF($A787&lt;&gt;"",MINIFS(Merchant!$A:$A,Merchant!$B:$B,$G$2),)</f>
        <v/>
      </c>
      <c r="D787" s="14" t="str">
        <f t="shared" si="3"/>
        <v/>
      </c>
      <c r="E787" s="14" t="str">
        <f t="shared" si="4"/>
        <v/>
      </c>
      <c r="F787" s="6" t="str">
        <f>IF($A787&lt;&gt;"",MAXIFS(#REF!,Token!$A:$A,$D787),)</f>
        <v/>
      </c>
    </row>
    <row r="788">
      <c r="A788" s="35" t="str">
        <f t="shared" si="1"/>
        <v/>
      </c>
      <c r="B788" s="22" t="str">
        <f t="shared" si="2"/>
        <v/>
      </c>
      <c r="C788" s="14" t="str">
        <f>IF($A788&lt;&gt;"",MINIFS(Merchant!$A:$A,Merchant!$B:$B,$G$2),)</f>
        <v/>
      </c>
      <c r="D788" s="14" t="str">
        <f t="shared" si="3"/>
        <v/>
      </c>
      <c r="E788" s="14" t="str">
        <f t="shared" si="4"/>
        <v/>
      </c>
      <c r="F788" s="6" t="str">
        <f>IF($A788&lt;&gt;"",MAXIFS(#REF!,Token!$A:$A,$D788),)</f>
        <v/>
      </c>
    </row>
    <row r="789">
      <c r="A789" s="35" t="str">
        <f t="shared" si="1"/>
        <v/>
      </c>
      <c r="B789" s="22" t="str">
        <f t="shared" si="2"/>
        <v/>
      </c>
      <c r="C789" s="14" t="str">
        <f>IF($A789&lt;&gt;"",MINIFS(Merchant!$A:$A,Merchant!$B:$B,$G$2),)</f>
        <v/>
      </c>
      <c r="D789" s="14" t="str">
        <f t="shared" si="3"/>
        <v/>
      </c>
      <c r="E789" s="14" t="str">
        <f t="shared" si="4"/>
        <v/>
      </c>
      <c r="F789" s="6" t="str">
        <f>IF($A789&lt;&gt;"",MAXIFS(#REF!,Token!$A:$A,$D789),)</f>
        <v/>
      </c>
    </row>
    <row r="790">
      <c r="A790" s="35" t="str">
        <f t="shared" si="1"/>
        <v/>
      </c>
      <c r="B790" s="22" t="str">
        <f t="shared" si="2"/>
        <v/>
      </c>
      <c r="C790" s="14" t="str">
        <f>IF($A790&lt;&gt;"",MINIFS(Merchant!$A:$A,Merchant!$B:$B,$G$2),)</f>
        <v/>
      </c>
      <c r="D790" s="14" t="str">
        <f t="shared" si="3"/>
        <v/>
      </c>
      <c r="E790" s="14" t="str">
        <f t="shared" si="4"/>
        <v/>
      </c>
      <c r="F790" s="6" t="str">
        <f>IF($A790&lt;&gt;"",MAXIFS(#REF!,Token!$A:$A,$D790),)</f>
        <v/>
      </c>
    </row>
    <row r="791">
      <c r="A791" s="35" t="str">
        <f t="shared" si="1"/>
        <v/>
      </c>
      <c r="B791" s="22" t="str">
        <f t="shared" si="2"/>
        <v/>
      </c>
      <c r="C791" s="14" t="str">
        <f>IF($A791&lt;&gt;"",MINIFS(Merchant!$A:$A,Merchant!$B:$B,$G$2),)</f>
        <v/>
      </c>
      <c r="D791" s="14" t="str">
        <f t="shared" si="3"/>
        <v/>
      </c>
      <c r="E791" s="14" t="str">
        <f t="shared" si="4"/>
        <v/>
      </c>
      <c r="F791" s="6" t="str">
        <f>IF($A791&lt;&gt;"",MAXIFS(#REF!,Token!$A:$A,$D791),)</f>
        <v/>
      </c>
    </row>
    <row r="792">
      <c r="A792" s="35" t="str">
        <f t="shared" si="1"/>
        <v/>
      </c>
      <c r="B792" s="22" t="str">
        <f t="shared" si="2"/>
        <v/>
      </c>
      <c r="C792" s="14" t="str">
        <f>IF($A792&lt;&gt;"",MINIFS(Merchant!$A:$A,Merchant!$B:$B,$G$2),)</f>
        <v/>
      </c>
      <c r="D792" s="14" t="str">
        <f t="shared" si="3"/>
        <v/>
      </c>
      <c r="E792" s="14" t="str">
        <f t="shared" si="4"/>
        <v/>
      </c>
      <c r="F792" s="6" t="str">
        <f>IF($A792&lt;&gt;"",MAXIFS(#REF!,Token!$A:$A,$D792),)</f>
        <v/>
      </c>
    </row>
    <row r="793">
      <c r="A793" s="35" t="str">
        <f t="shared" si="1"/>
        <v/>
      </c>
      <c r="B793" s="22" t="str">
        <f t="shared" si="2"/>
        <v/>
      </c>
      <c r="C793" s="14" t="str">
        <f>IF($A793&lt;&gt;"",MINIFS(Merchant!$A:$A,Merchant!$B:$B,$G$2),)</f>
        <v/>
      </c>
      <c r="D793" s="14" t="str">
        <f t="shared" si="3"/>
        <v/>
      </c>
      <c r="E793" s="14" t="str">
        <f t="shared" si="4"/>
        <v/>
      </c>
      <c r="F793" s="6" t="str">
        <f>IF($A793&lt;&gt;"",MAXIFS(#REF!,Token!$A:$A,$D793),)</f>
        <v/>
      </c>
    </row>
    <row r="794">
      <c r="A794" s="35" t="str">
        <f t="shared" si="1"/>
        <v/>
      </c>
      <c r="B794" s="22" t="str">
        <f t="shared" si="2"/>
        <v/>
      </c>
      <c r="C794" s="14" t="str">
        <f>IF($A794&lt;&gt;"",MINIFS(Merchant!$A:$A,Merchant!$B:$B,$G$2),)</f>
        <v/>
      </c>
      <c r="D794" s="14" t="str">
        <f t="shared" si="3"/>
        <v/>
      </c>
      <c r="E794" s="14" t="str">
        <f t="shared" si="4"/>
        <v/>
      </c>
      <c r="F794" s="6" t="str">
        <f>IF($A794&lt;&gt;"",MAXIFS(#REF!,Token!$A:$A,$D794),)</f>
        <v/>
      </c>
    </row>
    <row r="795">
      <c r="A795" s="35" t="str">
        <f t="shared" si="1"/>
        <v/>
      </c>
      <c r="B795" s="22" t="str">
        <f t="shared" si="2"/>
        <v/>
      </c>
      <c r="C795" s="14" t="str">
        <f>IF($A795&lt;&gt;"",MINIFS(Merchant!$A:$A,Merchant!$B:$B,$G$2),)</f>
        <v/>
      </c>
      <c r="D795" s="14" t="str">
        <f t="shared" si="3"/>
        <v/>
      </c>
      <c r="E795" s="14" t="str">
        <f t="shared" si="4"/>
        <v/>
      </c>
      <c r="F795" s="6" t="str">
        <f>IF($A795&lt;&gt;"",MAXIFS(#REF!,Token!$A:$A,$D795),)</f>
        <v/>
      </c>
    </row>
    <row r="796">
      <c r="A796" s="35" t="str">
        <f t="shared" si="1"/>
        <v/>
      </c>
      <c r="B796" s="22" t="str">
        <f t="shared" si="2"/>
        <v/>
      </c>
      <c r="C796" s="14" t="str">
        <f>IF($A796&lt;&gt;"",MINIFS(Merchant!$A:$A,Merchant!$B:$B,$G$2),)</f>
        <v/>
      </c>
      <c r="D796" s="14" t="str">
        <f t="shared" si="3"/>
        <v/>
      </c>
      <c r="E796" s="14" t="str">
        <f t="shared" si="4"/>
        <v/>
      </c>
      <c r="F796" s="6" t="str">
        <f>IF($A796&lt;&gt;"",MAXIFS(#REF!,Token!$A:$A,$D796),)</f>
        <v/>
      </c>
    </row>
    <row r="797">
      <c r="A797" s="35" t="str">
        <f t="shared" si="1"/>
        <v/>
      </c>
      <c r="B797" s="22" t="str">
        <f t="shared" si="2"/>
        <v/>
      </c>
      <c r="C797" s="14" t="str">
        <f>IF($A797&lt;&gt;"",MINIFS(Merchant!$A:$A,Merchant!$B:$B,$G$2),)</f>
        <v/>
      </c>
      <c r="D797" s="14" t="str">
        <f t="shared" si="3"/>
        <v/>
      </c>
      <c r="E797" s="14" t="str">
        <f t="shared" si="4"/>
        <v/>
      </c>
      <c r="F797" s="6" t="str">
        <f>IF($A797&lt;&gt;"",MAXIFS(#REF!,Token!$A:$A,$D797),)</f>
        <v/>
      </c>
    </row>
    <row r="798">
      <c r="A798" s="35" t="str">
        <f t="shared" si="1"/>
        <v/>
      </c>
      <c r="B798" s="22" t="str">
        <f t="shared" si="2"/>
        <v/>
      </c>
      <c r="C798" s="14" t="str">
        <f>IF($A798&lt;&gt;"",MINIFS(Merchant!$A:$A,Merchant!$B:$B,$G$2),)</f>
        <v/>
      </c>
      <c r="D798" s="14" t="str">
        <f t="shared" si="3"/>
        <v/>
      </c>
      <c r="E798" s="14" t="str">
        <f t="shared" si="4"/>
        <v/>
      </c>
      <c r="F798" s="6" t="str">
        <f>IF($A798&lt;&gt;"",MAXIFS(#REF!,Token!$A:$A,$D798),)</f>
        <v/>
      </c>
    </row>
    <row r="799">
      <c r="A799" s="35" t="str">
        <f t="shared" si="1"/>
        <v/>
      </c>
      <c r="B799" s="22" t="str">
        <f t="shared" si="2"/>
        <v/>
      </c>
      <c r="C799" s="14" t="str">
        <f>IF($A799&lt;&gt;"",MINIFS(Merchant!$A:$A,Merchant!$B:$B,$G$2),)</f>
        <v/>
      </c>
      <c r="D799" s="14" t="str">
        <f t="shared" si="3"/>
        <v/>
      </c>
      <c r="E799" s="14" t="str">
        <f t="shared" si="4"/>
        <v/>
      </c>
      <c r="F799" s="6" t="str">
        <f>IF($A799&lt;&gt;"",MAXIFS(#REF!,Token!$A:$A,$D799),)</f>
        <v/>
      </c>
    </row>
    <row r="800">
      <c r="A800" s="35" t="str">
        <f t="shared" si="1"/>
        <v/>
      </c>
      <c r="B800" s="22" t="str">
        <f t="shared" si="2"/>
        <v/>
      </c>
      <c r="C800" s="14" t="str">
        <f>IF($A800&lt;&gt;"",MINIFS(Merchant!$A:$A,Merchant!$B:$B,$G$2),)</f>
        <v/>
      </c>
      <c r="D800" s="14" t="str">
        <f t="shared" si="3"/>
        <v/>
      </c>
      <c r="E800" s="14" t="str">
        <f t="shared" si="4"/>
        <v/>
      </c>
      <c r="F800" s="6" t="str">
        <f>IF($A800&lt;&gt;"",MAXIFS(#REF!,Token!$A:$A,$D800),)</f>
        <v/>
      </c>
    </row>
    <row r="801">
      <c r="A801" s="35" t="str">
        <f t="shared" si="1"/>
        <v/>
      </c>
      <c r="B801" s="22" t="str">
        <f t="shared" si="2"/>
        <v/>
      </c>
      <c r="C801" s="14" t="str">
        <f>IF($A801&lt;&gt;"",MINIFS(Merchant!$A:$A,Merchant!$B:$B,$G$2),)</f>
        <v/>
      </c>
      <c r="D801" s="14" t="str">
        <f t="shared" si="3"/>
        <v/>
      </c>
      <c r="E801" s="14" t="str">
        <f t="shared" si="4"/>
        <v/>
      </c>
      <c r="F801" s="6" t="str">
        <f>IF($A801&lt;&gt;"",MAXIFS(#REF!,Token!$A:$A,$D801),)</f>
        <v/>
      </c>
    </row>
    <row r="802">
      <c r="A802" s="35" t="str">
        <f t="shared" si="1"/>
        <v/>
      </c>
      <c r="B802" s="22" t="str">
        <f t="shared" si="2"/>
        <v/>
      </c>
      <c r="C802" s="14" t="str">
        <f>IF($A802&lt;&gt;"",MINIFS(Merchant!$A:$A,Merchant!$B:$B,$G$2),)</f>
        <v/>
      </c>
      <c r="D802" s="14" t="str">
        <f t="shared" si="3"/>
        <v/>
      </c>
      <c r="E802" s="14" t="str">
        <f t="shared" si="4"/>
        <v/>
      </c>
      <c r="F802" s="6" t="str">
        <f>IF($A802&lt;&gt;"",MAXIFS(#REF!,Token!$A:$A,$D802),)</f>
        <v/>
      </c>
    </row>
    <row r="803">
      <c r="A803" s="35" t="str">
        <f t="shared" si="1"/>
        <v/>
      </c>
      <c r="B803" s="22" t="str">
        <f t="shared" si="2"/>
        <v/>
      </c>
      <c r="C803" s="14" t="str">
        <f>IF($A803&lt;&gt;"",MINIFS(Merchant!$A:$A,Merchant!$B:$B,$G$2),)</f>
        <v/>
      </c>
      <c r="D803" s="14" t="str">
        <f t="shared" si="3"/>
        <v/>
      </c>
      <c r="E803" s="14" t="str">
        <f t="shared" si="4"/>
        <v/>
      </c>
      <c r="F803" s="6" t="str">
        <f>IF($A803&lt;&gt;"",MAXIFS(#REF!,Token!$A:$A,$D803),)</f>
        <v/>
      </c>
    </row>
    <row r="804">
      <c r="A804" s="35" t="str">
        <f t="shared" si="1"/>
        <v/>
      </c>
      <c r="B804" s="22" t="str">
        <f t="shared" si="2"/>
        <v/>
      </c>
      <c r="C804" s="14" t="str">
        <f>IF($A804&lt;&gt;"",MINIFS(Merchant!$A:$A,Merchant!$B:$B,$G$2),)</f>
        <v/>
      </c>
      <c r="D804" s="14" t="str">
        <f t="shared" si="3"/>
        <v/>
      </c>
      <c r="E804" s="14" t="str">
        <f t="shared" si="4"/>
        <v/>
      </c>
      <c r="F804" s="6" t="str">
        <f>IF($A804&lt;&gt;"",MAXIFS(#REF!,Token!$A:$A,$D804),)</f>
        <v/>
      </c>
    </row>
    <row r="805">
      <c r="A805" s="35" t="str">
        <f t="shared" si="1"/>
        <v/>
      </c>
      <c r="B805" s="22" t="str">
        <f t="shared" si="2"/>
        <v/>
      </c>
      <c r="C805" s="14" t="str">
        <f>IF($A805&lt;&gt;"",MINIFS(Merchant!$A:$A,Merchant!$B:$B,$G$2),)</f>
        <v/>
      </c>
      <c r="D805" s="14" t="str">
        <f t="shared" si="3"/>
        <v/>
      </c>
      <c r="E805" s="14" t="str">
        <f t="shared" si="4"/>
        <v/>
      </c>
      <c r="F805" s="6" t="str">
        <f>IF($A805&lt;&gt;"",MAXIFS(#REF!,Token!$A:$A,$D805),)</f>
        <v/>
      </c>
    </row>
    <row r="806">
      <c r="A806" s="35" t="str">
        <f t="shared" si="1"/>
        <v/>
      </c>
      <c r="B806" s="22" t="str">
        <f t="shared" si="2"/>
        <v/>
      </c>
      <c r="C806" s="14" t="str">
        <f>IF($A806&lt;&gt;"",MINIFS(Merchant!$A:$A,Merchant!$B:$B,$G$2),)</f>
        <v/>
      </c>
      <c r="D806" s="14" t="str">
        <f t="shared" si="3"/>
        <v/>
      </c>
      <c r="E806" s="14" t="str">
        <f t="shared" si="4"/>
        <v/>
      </c>
      <c r="F806" s="6" t="str">
        <f>IF($A806&lt;&gt;"",MAXIFS(#REF!,Token!$A:$A,$D806),)</f>
        <v/>
      </c>
    </row>
    <row r="807">
      <c r="A807" s="35" t="str">
        <f t="shared" si="1"/>
        <v/>
      </c>
      <c r="B807" s="22" t="str">
        <f t="shared" si="2"/>
        <v/>
      </c>
      <c r="C807" s="14" t="str">
        <f>IF($A807&lt;&gt;"",MINIFS(Merchant!$A:$A,Merchant!$B:$B,$G$2),)</f>
        <v/>
      </c>
      <c r="D807" s="14" t="str">
        <f t="shared" si="3"/>
        <v/>
      </c>
      <c r="E807" s="14" t="str">
        <f t="shared" si="4"/>
        <v/>
      </c>
      <c r="F807" s="6" t="str">
        <f>IF($A807&lt;&gt;"",MAXIFS(#REF!,Token!$A:$A,$D807),)</f>
        <v/>
      </c>
    </row>
    <row r="808">
      <c r="A808" s="35" t="str">
        <f t="shared" si="1"/>
        <v/>
      </c>
      <c r="B808" s="22" t="str">
        <f t="shared" si="2"/>
        <v/>
      </c>
      <c r="C808" s="14" t="str">
        <f>IF($A808&lt;&gt;"",MINIFS(Merchant!$A:$A,Merchant!$B:$B,$G$2),)</f>
        <v/>
      </c>
      <c r="D808" s="14" t="str">
        <f t="shared" si="3"/>
        <v/>
      </c>
      <c r="E808" s="14" t="str">
        <f t="shared" si="4"/>
        <v/>
      </c>
      <c r="F808" s="6" t="str">
        <f>IF($A808&lt;&gt;"",MAXIFS(#REF!,Token!$A:$A,$D808),)</f>
        <v/>
      </c>
    </row>
    <row r="809">
      <c r="A809" s="35" t="str">
        <f t="shared" si="1"/>
        <v/>
      </c>
      <c r="B809" s="22" t="str">
        <f t="shared" si="2"/>
        <v/>
      </c>
      <c r="C809" s="14" t="str">
        <f>IF($A809&lt;&gt;"",MINIFS(Merchant!$A:$A,Merchant!$B:$B,$G$2),)</f>
        <v/>
      </c>
      <c r="D809" s="14" t="str">
        <f t="shared" si="3"/>
        <v/>
      </c>
      <c r="E809" s="14" t="str">
        <f t="shared" si="4"/>
        <v/>
      </c>
      <c r="F809" s="6" t="str">
        <f>IF($A809&lt;&gt;"",MAXIFS(#REF!,Token!$A:$A,$D809),)</f>
        <v/>
      </c>
    </row>
    <row r="810">
      <c r="A810" s="35" t="str">
        <f t="shared" si="1"/>
        <v/>
      </c>
      <c r="B810" s="22" t="str">
        <f t="shared" si="2"/>
        <v/>
      </c>
      <c r="C810" s="14" t="str">
        <f>IF($A810&lt;&gt;"",MINIFS(Merchant!$A:$A,Merchant!$B:$B,$G$2),)</f>
        <v/>
      </c>
      <c r="D810" s="14" t="str">
        <f t="shared" si="3"/>
        <v/>
      </c>
      <c r="E810" s="14" t="str">
        <f t="shared" si="4"/>
        <v/>
      </c>
      <c r="F810" s="6" t="str">
        <f>IF($A810&lt;&gt;"",MAXIFS(#REF!,Token!$A:$A,$D810),)</f>
        <v/>
      </c>
    </row>
    <row r="811">
      <c r="A811" s="35" t="str">
        <f t="shared" si="1"/>
        <v/>
      </c>
      <c r="B811" s="22" t="str">
        <f t="shared" si="2"/>
        <v/>
      </c>
      <c r="C811" s="14" t="str">
        <f>IF($A811&lt;&gt;"",MINIFS(Merchant!$A:$A,Merchant!$B:$B,$G$2),)</f>
        <v/>
      </c>
      <c r="D811" s="14" t="str">
        <f t="shared" si="3"/>
        <v/>
      </c>
      <c r="E811" s="14" t="str">
        <f t="shared" si="4"/>
        <v/>
      </c>
      <c r="F811" s="6" t="str">
        <f>IF($A811&lt;&gt;"",MAXIFS(#REF!,Token!$A:$A,$D811),)</f>
        <v/>
      </c>
    </row>
    <row r="812">
      <c r="A812" s="35" t="str">
        <f t="shared" si="1"/>
        <v/>
      </c>
      <c r="B812" s="22" t="str">
        <f t="shared" si="2"/>
        <v/>
      </c>
      <c r="C812" s="14" t="str">
        <f>IF($A812&lt;&gt;"",MINIFS(Merchant!$A:$A,Merchant!$B:$B,$G$2),)</f>
        <v/>
      </c>
      <c r="D812" s="14" t="str">
        <f t="shared" si="3"/>
        <v/>
      </c>
      <c r="E812" s="14" t="str">
        <f t="shared" si="4"/>
        <v/>
      </c>
      <c r="F812" s="6" t="str">
        <f>IF($A812&lt;&gt;"",MAXIFS(#REF!,Token!$A:$A,$D812),)</f>
        <v/>
      </c>
    </row>
    <row r="813">
      <c r="A813" s="35" t="str">
        <f t="shared" si="1"/>
        <v/>
      </c>
      <c r="B813" s="22" t="str">
        <f t="shared" si="2"/>
        <v/>
      </c>
      <c r="C813" s="14" t="str">
        <f>IF($A813&lt;&gt;"",MINIFS(Merchant!$A:$A,Merchant!$B:$B,$G$2),)</f>
        <v/>
      </c>
      <c r="D813" s="14" t="str">
        <f t="shared" si="3"/>
        <v/>
      </c>
      <c r="E813" s="14" t="str">
        <f t="shared" si="4"/>
        <v/>
      </c>
      <c r="F813" s="6" t="str">
        <f>IF($A813&lt;&gt;"",MAXIFS(#REF!,Token!$A:$A,$D813),)</f>
        <v/>
      </c>
    </row>
    <row r="814">
      <c r="A814" s="35" t="str">
        <f t="shared" si="1"/>
        <v/>
      </c>
      <c r="B814" s="22" t="str">
        <f t="shared" si="2"/>
        <v/>
      </c>
      <c r="C814" s="14" t="str">
        <f>IF($A814&lt;&gt;"",MINIFS(Merchant!$A:$A,Merchant!$B:$B,$G$2),)</f>
        <v/>
      </c>
      <c r="D814" s="14" t="str">
        <f t="shared" si="3"/>
        <v/>
      </c>
      <c r="E814" s="14" t="str">
        <f t="shared" si="4"/>
        <v/>
      </c>
      <c r="F814" s="6" t="str">
        <f>IF($A814&lt;&gt;"",MAXIFS(#REF!,Token!$A:$A,$D814),)</f>
        <v/>
      </c>
    </row>
    <row r="815">
      <c r="A815" s="35" t="str">
        <f t="shared" si="1"/>
        <v/>
      </c>
      <c r="B815" s="22" t="str">
        <f t="shared" si="2"/>
        <v/>
      </c>
      <c r="C815" s="14" t="str">
        <f>IF($A815&lt;&gt;"",MINIFS(Merchant!$A:$A,Merchant!$B:$B,$G$2),)</f>
        <v/>
      </c>
      <c r="D815" s="14" t="str">
        <f t="shared" si="3"/>
        <v/>
      </c>
      <c r="E815" s="14" t="str">
        <f t="shared" si="4"/>
        <v/>
      </c>
      <c r="F815" s="6" t="str">
        <f>IF($A815&lt;&gt;"",MAXIFS(#REF!,Token!$A:$A,$D815),)</f>
        <v/>
      </c>
    </row>
    <row r="816">
      <c r="A816" s="35" t="str">
        <f t="shared" si="1"/>
        <v/>
      </c>
      <c r="B816" s="22" t="str">
        <f t="shared" si="2"/>
        <v/>
      </c>
      <c r="C816" s="14" t="str">
        <f>IF($A816&lt;&gt;"",MINIFS(Merchant!$A:$A,Merchant!$B:$B,$G$2),)</f>
        <v/>
      </c>
      <c r="D816" s="14" t="str">
        <f t="shared" si="3"/>
        <v/>
      </c>
      <c r="E816" s="14" t="str">
        <f t="shared" si="4"/>
        <v/>
      </c>
      <c r="F816" s="6" t="str">
        <f>IF($A816&lt;&gt;"",MAXIFS(#REF!,Token!$A:$A,$D816),)</f>
        <v/>
      </c>
    </row>
    <row r="817">
      <c r="A817" s="35" t="str">
        <f t="shared" si="1"/>
        <v/>
      </c>
      <c r="B817" s="22" t="str">
        <f t="shared" si="2"/>
        <v/>
      </c>
      <c r="C817" s="14" t="str">
        <f>IF($A817&lt;&gt;"",MINIFS(Merchant!$A:$A,Merchant!$B:$B,$G$2),)</f>
        <v/>
      </c>
      <c r="D817" s="14" t="str">
        <f t="shared" si="3"/>
        <v/>
      </c>
      <c r="E817" s="14" t="str">
        <f t="shared" si="4"/>
        <v/>
      </c>
      <c r="F817" s="6" t="str">
        <f>IF($A817&lt;&gt;"",MAXIFS(#REF!,Token!$A:$A,$D817),)</f>
        <v/>
      </c>
    </row>
    <row r="818">
      <c r="A818" s="35" t="str">
        <f t="shared" si="1"/>
        <v/>
      </c>
      <c r="B818" s="22" t="str">
        <f t="shared" si="2"/>
        <v/>
      </c>
      <c r="C818" s="14" t="str">
        <f>IF($A818&lt;&gt;"",MINIFS(Merchant!$A:$A,Merchant!$B:$B,$G$2),)</f>
        <v/>
      </c>
      <c r="D818" s="14" t="str">
        <f t="shared" si="3"/>
        <v/>
      </c>
      <c r="E818" s="14" t="str">
        <f t="shared" si="4"/>
        <v/>
      </c>
      <c r="F818" s="6" t="str">
        <f>IF($A818&lt;&gt;"",MAXIFS(#REF!,Token!$A:$A,$D818),)</f>
        <v/>
      </c>
    </row>
    <row r="819">
      <c r="A819" s="35" t="str">
        <f t="shared" si="1"/>
        <v/>
      </c>
      <c r="B819" s="22" t="str">
        <f t="shared" si="2"/>
        <v/>
      </c>
      <c r="C819" s="14" t="str">
        <f>IF($A819&lt;&gt;"",MINIFS(Merchant!$A:$A,Merchant!$B:$B,$G$2),)</f>
        <v/>
      </c>
      <c r="D819" s="14" t="str">
        <f t="shared" si="3"/>
        <v/>
      </c>
      <c r="E819" s="14" t="str">
        <f t="shared" si="4"/>
        <v/>
      </c>
      <c r="F819" s="6" t="str">
        <f>IF($A819&lt;&gt;"",MAXIFS(#REF!,Token!$A:$A,$D819),)</f>
        <v/>
      </c>
    </row>
    <row r="820">
      <c r="A820" s="35" t="str">
        <f t="shared" si="1"/>
        <v/>
      </c>
      <c r="B820" s="22" t="str">
        <f t="shared" si="2"/>
        <v/>
      </c>
      <c r="C820" s="14" t="str">
        <f>IF($A820&lt;&gt;"",MINIFS(Merchant!$A:$A,Merchant!$B:$B,$G$2),)</f>
        <v/>
      </c>
      <c r="D820" s="14" t="str">
        <f t="shared" si="3"/>
        <v/>
      </c>
      <c r="E820" s="14" t="str">
        <f t="shared" si="4"/>
        <v/>
      </c>
      <c r="F820" s="6" t="str">
        <f>IF($A820&lt;&gt;"",MAXIFS(#REF!,Token!$A:$A,$D820),)</f>
        <v/>
      </c>
    </row>
    <row r="821">
      <c r="A821" s="35" t="str">
        <f t="shared" si="1"/>
        <v/>
      </c>
      <c r="B821" s="22" t="str">
        <f t="shared" si="2"/>
        <v/>
      </c>
      <c r="C821" s="14" t="str">
        <f>IF($A821&lt;&gt;"",MINIFS(Merchant!$A:$A,Merchant!$B:$B,$G$2),)</f>
        <v/>
      </c>
      <c r="D821" s="14" t="str">
        <f t="shared" si="3"/>
        <v/>
      </c>
      <c r="E821" s="14" t="str">
        <f t="shared" si="4"/>
        <v/>
      </c>
      <c r="F821" s="6" t="str">
        <f>IF($A821&lt;&gt;"",MAXIFS(#REF!,Token!$A:$A,$D821),)</f>
        <v/>
      </c>
    </row>
    <row r="822">
      <c r="A822" s="35" t="str">
        <f t="shared" si="1"/>
        <v/>
      </c>
      <c r="B822" s="22" t="str">
        <f t="shared" si="2"/>
        <v/>
      </c>
      <c r="C822" s="14" t="str">
        <f>IF($A822&lt;&gt;"",MINIFS(Merchant!$A:$A,Merchant!$B:$B,$G$2),)</f>
        <v/>
      </c>
      <c r="D822" s="14" t="str">
        <f t="shared" si="3"/>
        <v/>
      </c>
      <c r="E822" s="14" t="str">
        <f t="shared" si="4"/>
        <v/>
      </c>
      <c r="F822" s="6" t="str">
        <f>IF($A822&lt;&gt;"",MAXIFS(#REF!,Token!$A:$A,$D822),)</f>
        <v/>
      </c>
    </row>
    <row r="823">
      <c r="A823" s="35" t="str">
        <f t="shared" si="1"/>
        <v/>
      </c>
      <c r="B823" s="22" t="str">
        <f t="shared" si="2"/>
        <v/>
      </c>
      <c r="C823" s="14" t="str">
        <f>IF($A823&lt;&gt;"",MINIFS(Merchant!$A:$A,Merchant!$B:$B,$G$2),)</f>
        <v/>
      </c>
      <c r="D823" s="14" t="str">
        <f t="shared" si="3"/>
        <v/>
      </c>
      <c r="E823" s="14" t="str">
        <f t="shared" si="4"/>
        <v/>
      </c>
      <c r="F823" s="6" t="str">
        <f>IF($A823&lt;&gt;"",MAXIFS(#REF!,Token!$A:$A,$D823),)</f>
        <v/>
      </c>
    </row>
    <row r="824">
      <c r="A824" s="35" t="str">
        <f t="shared" si="1"/>
        <v/>
      </c>
      <c r="B824" s="22" t="str">
        <f t="shared" si="2"/>
        <v/>
      </c>
      <c r="C824" s="14" t="str">
        <f>IF($A824&lt;&gt;"",MINIFS(Merchant!$A:$A,Merchant!$B:$B,$G$2),)</f>
        <v/>
      </c>
      <c r="D824" s="14" t="str">
        <f t="shared" si="3"/>
        <v/>
      </c>
      <c r="E824" s="14" t="str">
        <f t="shared" si="4"/>
        <v/>
      </c>
      <c r="F824" s="6" t="str">
        <f>IF($A824&lt;&gt;"",MAXIFS(#REF!,Token!$A:$A,$D824),)</f>
        <v/>
      </c>
    </row>
    <row r="825">
      <c r="A825" s="35" t="str">
        <f t="shared" si="1"/>
        <v/>
      </c>
      <c r="B825" s="22" t="str">
        <f t="shared" si="2"/>
        <v/>
      </c>
      <c r="C825" s="14" t="str">
        <f>IF($A825&lt;&gt;"",MINIFS(Merchant!$A:$A,Merchant!$B:$B,$G$2),)</f>
        <v/>
      </c>
      <c r="D825" s="14" t="str">
        <f t="shared" si="3"/>
        <v/>
      </c>
      <c r="E825" s="14" t="str">
        <f t="shared" si="4"/>
        <v/>
      </c>
      <c r="F825" s="6" t="str">
        <f>IF($A825&lt;&gt;"",MAXIFS(#REF!,Token!$A:$A,$D825),)</f>
        <v/>
      </c>
    </row>
    <row r="826">
      <c r="A826" s="35" t="str">
        <f t="shared" si="1"/>
        <v/>
      </c>
      <c r="B826" s="22" t="str">
        <f t="shared" si="2"/>
        <v/>
      </c>
      <c r="C826" s="14" t="str">
        <f>IF($A826&lt;&gt;"",MINIFS(Merchant!$A:$A,Merchant!$B:$B,$G$2),)</f>
        <v/>
      </c>
      <c r="D826" s="14" t="str">
        <f t="shared" si="3"/>
        <v/>
      </c>
      <c r="E826" s="14" t="str">
        <f t="shared" si="4"/>
        <v/>
      </c>
      <c r="F826" s="6" t="str">
        <f>IF($A826&lt;&gt;"",MAXIFS(#REF!,Token!$A:$A,$D826),)</f>
        <v/>
      </c>
    </row>
    <row r="827">
      <c r="A827" s="35" t="str">
        <f t="shared" si="1"/>
        <v/>
      </c>
      <c r="B827" s="22" t="str">
        <f t="shared" si="2"/>
        <v/>
      </c>
      <c r="C827" s="14" t="str">
        <f>IF($A827&lt;&gt;"",MINIFS(Merchant!$A:$A,Merchant!$B:$B,$G$2),)</f>
        <v/>
      </c>
      <c r="D827" s="14" t="str">
        <f t="shared" si="3"/>
        <v/>
      </c>
      <c r="E827" s="14" t="str">
        <f t="shared" si="4"/>
        <v/>
      </c>
      <c r="F827" s="6" t="str">
        <f>IF($A827&lt;&gt;"",MAXIFS(#REF!,Token!$A:$A,$D827),)</f>
        <v/>
      </c>
    </row>
    <row r="828">
      <c r="A828" s="35" t="str">
        <f t="shared" si="1"/>
        <v/>
      </c>
      <c r="B828" s="22" t="str">
        <f t="shared" si="2"/>
        <v/>
      </c>
      <c r="C828" s="14" t="str">
        <f>IF($A828&lt;&gt;"",MINIFS(Merchant!$A:$A,Merchant!$B:$B,$G$2),)</f>
        <v/>
      </c>
      <c r="D828" s="14" t="str">
        <f t="shared" si="3"/>
        <v/>
      </c>
      <c r="E828" s="14" t="str">
        <f t="shared" si="4"/>
        <v/>
      </c>
      <c r="F828" s="6" t="str">
        <f>IF($A828&lt;&gt;"",MAXIFS(#REF!,Token!$A:$A,$D828),)</f>
        <v/>
      </c>
    </row>
    <row r="829">
      <c r="A829" s="35" t="str">
        <f t="shared" si="1"/>
        <v/>
      </c>
      <c r="B829" s="22" t="str">
        <f t="shared" si="2"/>
        <v/>
      </c>
      <c r="C829" s="14" t="str">
        <f>IF($A829&lt;&gt;"",MINIFS(Merchant!$A:$A,Merchant!$B:$B,$G$2),)</f>
        <v/>
      </c>
      <c r="D829" s="14" t="str">
        <f t="shared" si="3"/>
        <v/>
      </c>
      <c r="E829" s="14" t="str">
        <f t="shared" si="4"/>
        <v/>
      </c>
      <c r="F829" s="6" t="str">
        <f>IF($A829&lt;&gt;"",MAXIFS(#REF!,Token!$A:$A,$D829),)</f>
        <v/>
      </c>
    </row>
    <row r="830">
      <c r="A830" s="35" t="str">
        <f t="shared" si="1"/>
        <v/>
      </c>
      <c r="B830" s="22" t="str">
        <f t="shared" si="2"/>
        <v/>
      </c>
      <c r="C830" s="14" t="str">
        <f>IF($A830&lt;&gt;"",MINIFS(Merchant!$A:$A,Merchant!$B:$B,$G$2),)</f>
        <v/>
      </c>
      <c r="D830" s="14" t="str">
        <f t="shared" si="3"/>
        <v/>
      </c>
      <c r="E830" s="14" t="str">
        <f t="shared" si="4"/>
        <v/>
      </c>
      <c r="F830" s="6" t="str">
        <f>IF($A830&lt;&gt;"",MAXIFS(#REF!,Token!$A:$A,$D830),)</f>
        <v/>
      </c>
    </row>
    <row r="831">
      <c r="A831" s="35" t="str">
        <f t="shared" si="1"/>
        <v/>
      </c>
      <c r="B831" s="22" t="str">
        <f t="shared" si="2"/>
        <v/>
      </c>
      <c r="C831" s="14" t="str">
        <f>IF($A831&lt;&gt;"",MINIFS(Merchant!$A:$A,Merchant!$B:$B,$G$2),)</f>
        <v/>
      </c>
      <c r="D831" s="14" t="str">
        <f t="shared" si="3"/>
        <v/>
      </c>
      <c r="E831" s="14" t="str">
        <f t="shared" si="4"/>
        <v/>
      </c>
      <c r="F831" s="6" t="str">
        <f>IF($A831&lt;&gt;"",MAXIFS(#REF!,Token!$A:$A,$D831),)</f>
        <v/>
      </c>
    </row>
    <row r="832">
      <c r="A832" s="35" t="str">
        <f t="shared" si="1"/>
        <v/>
      </c>
      <c r="B832" s="22" t="str">
        <f t="shared" si="2"/>
        <v/>
      </c>
      <c r="C832" s="14" t="str">
        <f>IF($A832&lt;&gt;"",MINIFS(Merchant!$A:$A,Merchant!$B:$B,$G$2),)</f>
        <v/>
      </c>
      <c r="D832" s="14" t="str">
        <f t="shared" si="3"/>
        <v/>
      </c>
      <c r="E832" s="14" t="str">
        <f t="shared" si="4"/>
        <v/>
      </c>
      <c r="F832" s="6" t="str">
        <f>IF($A832&lt;&gt;"",MAXIFS(#REF!,Token!$A:$A,$D832),)</f>
        <v/>
      </c>
    </row>
    <row r="833">
      <c r="A833" s="35" t="str">
        <f t="shared" si="1"/>
        <v/>
      </c>
      <c r="B833" s="22" t="str">
        <f t="shared" si="2"/>
        <v/>
      </c>
      <c r="C833" s="14" t="str">
        <f>IF($A833&lt;&gt;"",MINIFS(Merchant!$A:$A,Merchant!$B:$B,$G$2),)</f>
        <v/>
      </c>
      <c r="D833" s="14" t="str">
        <f t="shared" si="3"/>
        <v/>
      </c>
      <c r="E833" s="14" t="str">
        <f t="shared" si="4"/>
        <v/>
      </c>
      <c r="F833" s="6" t="str">
        <f>IF($A833&lt;&gt;"",MAXIFS(#REF!,Token!$A:$A,$D833),)</f>
        <v/>
      </c>
    </row>
    <row r="834">
      <c r="A834" s="35" t="str">
        <f t="shared" si="1"/>
        <v/>
      </c>
      <c r="B834" s="22" t="str">
        <f t="shared" si="2"/>
        <v/>
      </c>
      <c r="C834" s="14" t="str">
        <f>IF($A834&lt;&gt;"",MINIFS(Merchant!$A:$A,Merchant!$B:$B,$G$2),)</f>
        <v/>
      </c>
      <c r="D834" s="14" t="str">
        <f t="shared" si="3"/>
        <v/>
      </c>
      <c r="E834" s="14" t="str">
        <f t="shared" si="4"/>
        <v/>
      </c>
      <c r="F834" s="6" t="str">
        <f>IF($A834&lt;&gt;"",MAXIFS(#REF!,Token!$A:$A,$D834),)</f>
        <v/>
      </c>
    </row>
    <row r="835">
      <c r="A835" s="35" t="str">
        <f t="shared" si="1"/>
        <v/>
      </c>
      <c r="B835" s="22" t="str">
        <f t="shared" si="2"/>
        <v/>
      </c>
      <c r="C835" s="14" t="str">
        <f>IF($A835&lt;&gt;"",MINIFS(Merchant!$A:$A,Merchant!$B:$B,$G$2),)</f>
        <v/>
      </c>
      <c r="D835" s="14" t="str">
        <f t="shared" si="3"/>
        <v/>
      </c>
      <c r="E835" s="14" t="str">
        <f t="shared" si="4"/>
        <v/>
      </c>
      <c r="F835" s="6" t="str">
        <f>IF($A835&lt;&gt;"",MAXIFS(#REF!,Token!$A:$A,$D835),)</f>
        <v/>
      </c>
    </row>
    <row r="836">
      <c r="A836" s="35" t="str">
        <f t="shared" si="1"/>
        <v/>
      </c>
      <c r="B836" s="22" t="str">
        <f t="shared" si="2"/>
        <v/>
      </c>
      <c r="C836" s="14" t="str">
        <f>IF($A836&lt;&gt;"",MINIFS(Merchant!$A:$A,Merchant!$B:$B,$G$2),)</f>
        <v/>
      </c>
      <c r="D836" s="14" t="str">
        <f t="shared" si="3"/>
        <v/>
      </c>
      <c r="E836" s="14" t="str">
        <f t="shared" si="4"/>
        <v/>
      </c>
      <c r="F836" s="6" t="str">
        <f>IF($A836&lt;&gt;"",MAXIFS(#REF!,Token!$A:$A,$D836),)</f>
        <v/>
      </c>
    </row>
    <row r="837">
      <c r="A837" s="35" t="str">
        <f t="shared" si="1"/>
        <v/>
      </c>
      <c r="B837" s="22" t="str">
        <f t="shared" si="2"/>
        <v/>
      </c>
      <c r="C837" s="14" t="str">
        <f>IF($A837&lt;&gt;"",MINIFS(Merchant!$A:$A,Merchant!$B:$B,$G$2),)</f>
        <v/>
      </c>
      <c r="D837" s="14" t="str">
        <f t="shared" si="3"/>
        <v/>
      </c>
      <c r="E837" s="14" t="str">
        <f t="shared" si="4"/>
        <v/>
      </c>
      <c r="F837" s="6" t="str">
        <f>IF($A837&lt;&gt;"",MAXIFS(#REF!,Token!$A:$A,$D837),)</f>
        <v/>
      </c>
    </row>
    <row r="838">
      <c r="A838" s="35" t="str">
        <f t="shared" si="1"/>
        <v/>
      </c>
      <c r="B838" s="22" t="str">
        <f t="shared" si="2"/>
        <v/>
      </c>
      <c r="C838" s="14" t="str">
        <f>IF($A838&lt;&gt;"",MINIFS(Merchant!$A:$A,Merchant!$B:$B,$G$2),)</f>
        <v/>
      </c>
      <c r="D838" s="14" t="str">
        <f t="shared" si="3"/>
        <v/>
      </c>
      <c r="E838" s="14" t="str">
        <f t="shared" si="4"/>
        <v/>
      </c>
      <c r="F838" s="6" t="str">
        <f>IF($A838&lt;&gt;"",MAXIFS(#REF!,Token!$A:$A,$D838),)</f>
        <v/>
      </c>
    </row>
    <row r="839">
      <c r="A839" s="35" t="str">
        <f t="shared" si="1"/>
        <v/>
      </c>
      <c r="B839" s="22" t="str">
        <f t="shared" si="2"/>
        <v/>
      </c>
      <c r="C839" s="14" t="str">
        <f>IF($A839&lt;&gt;"",MINIFS(Merchant!$A:$A,Merchant!$B:$B,$G$2),)</f>
        <v/>
      </c>
      <c r="D839" s="14" t="str">
        <f t="shared" si="3"/>
        <v/>
      </c>
      <c r="E839" s="14" t="str">
        <f t="shared" si="4"/>
        <v/>
      </c>
      <c r="F839" s="6" t="str">
        <f>IF($A839&lt;&gt;"",MAXIFS(#REF!,Token!$A:$A,$D839),)</f>
        <v/>
      </c>
    </row>
    <row r="840">
      <c r="A840" s="35" t="str">
        <f t="shared" si="1"/>
        <v/>
      </c>
      <c r="B840" s="22" t="str">
        <f t="shared" si="2"/>
        <v/>
      </c>
      <c r="C840" s="14" t="str">
        <f>IF($A840&lt;&gt;"",MINIFS(Merchant!$A:$A,Merchant!$B:$B,$G$2),)</f>
        <v/>
      </c>
      <c r="D840" s="14" t="str">
        <f t="shared" si="3"/>
        <v/>
      </c>
      <c r="E840" s="14" t="str">
        <f t="shared" si="4"/>
        <v/>
      </c>
      <c r="F840" s="6" t="str">
        <f>IF($A840&lt;&gt;"",MAXIFS(#REF!,Token!$A:$A,$D840),)</f>
        <v/>
      </c>
    </row>
    <row r="841">
      <c r="A841" s="35" t="str">
        <f t="shared" si="1"/>
        <v/>
      </c>
      <c r="B841" s="22" t="str">
        <f t="shared" si="2"/>
        <v/>
      </c>
      <c r="C841" s="14" t="str">
        <f>IF($A841&lt;&gt;"",MINIFS(Merchant!$A:$A,Merchant!$B:$B,$G$2),)</f>
        <v/>
      </c>
      <c r="D841" s="14" t="str">
        <f t="shared" si="3"/>
        <v/>
      </c>
      <c r="E841" s="14" t="str">
        <f t="shared" si="4"/>
        <v/>
      </c>
      <c r="F841" s="6" t="str">
        <f>IF($A841&lt;&gt;"",MAXIFS(#REF!,Token!$A:$A,$D841),)</f>
        <v/>
      </c>
    </row>
    <row r="842">
      <c r="A842" s="35" t="str">
        <f t="shared" si="1"/>
        <v/>
      </c>
      <c r="B842" s="22" t="str">
        <f t="shared" si="2"/>
        <v/>
      </c>
      <c r="C842" s="14" t="str">
        <f>IF($A842&lt;&gt;"",MINIFS(Merchant!$A:$A,Merchant!$B:$B,$G$2),)</f>
        <v/>
      </c>
      <c r="D842" s="14" t="str">
        <f t="shared" si="3"/>
        <v/>
      </c>
      <c r="E842" s="14" t="str">
        <f t="shared" si="4"/>
        <v/>
      </c>
      <c r="F842" s="6" t="str">
        <f>IF($A842&lt;&gt;"",MAXIFS(#REF!,Token!$A:$A,$D842),)</f>
        <v/>
      </c>
    </row>
    <row r="843">
      <c r="A843" s="35" t="str">
        <f t="shared" si="1"/>
        <v/>
      </c>
      <c r="B843" s="22" t="str">
        <f t="shared" si="2"/>
        <v/>
      </c>
      <c r="C843" s="14" t="str">
        <f>IF($A843&lt;&gt;"",MINIFS(Merchant!$A:$A,Merchant!$B:$B,$G$2),)</f>
        <v/>
      </c>
      <c r="D843" s="14" t="str">
        <f t="shared" si="3"/>
        <v/>
      </c>
      <c r="E843" s="14" t="str">
        <f t="shared" si="4"/>
        <v/>
      </c>
      <c r="F843" s="6" t="str">
        <f>IF($A843&lt;&gt;"",MAXIFS(#REF!,Token!$A:$A,$D843),)</f>
        <v/>
      </c>
    </row>
    <row r="844">
      <c r="A844" s="35" t="str">
        <f t="shared" si="1"/>
        <v/>
      </c>
      <c r="B844" s="22" t="str">
        <f t="shared" si="2"/>
        <v/>
      </c>
      <c r="C844" s="14" t="str">
        <f>IF($A844&lt;&gt;"",MINIFS(Merchant!$A:$A,Merchant!$B:$B,$G$2),)</f>
        <v/>
      </c>
      <c r="D844" s="14" t="str">
        <f t="shared" si="3"/>
        <v/>
      </c>
      <c r="E844" s="14" t="str">
        <f t="shared" si="4"/>
        <v/>
      </c>
      <c r="F844" s="6" t="str">
        <f>IF($A844&lt;&gt;"",MAXIFS(#REF!,Token!$A:$A,$D844),)</f>
        <v/>
      </c>
    </row>
    <row r="845">
      <c r="A845" s="35" t="str">
        <f t="shared" si="1"/>
        <v/>
      </c>
      <c r="B845" s="22" t="str">
        <f t="shared" si="2"/>
        <v/>
      </c>
      <c r="C845" s="14" t="str">
        <f>IF($A845&lt;&gt;"",MINIFS(Merchant!$A:$A,Merchant!$B:$B,$G$2),)</f>
        <v/>
      </c>
      <c r="D845" s="14" t="str">
        <f t="shared" si="3"/>
        <v/>
      </c>
      <c r="E845" s="14" t="str">
        <f t="shared" si="4"/>
        <v/>
      </c>
      <c r="F845" s="6" t="str">
        <f>IF($A845&lt;&gt;"",MAXIFS(#REF!,Token!$A:$A,$D845),)</f>
        <v/>
      </c>
    </row>
    <row r="846">
      <c r="A846" s="35" t="str">
        <f t="shared" si="1"/>
        <v/>
      </c>
      <c r="B846" s="22" t="str">
        <f t="shared" si="2"/>
        <v/>
      </c>
      <c r="C846" s="14" t="str">
        <f>IF($A846&lt;&gt;"",MINIFS(Merchant!$A:$A,Merchant!$B:$B,$G$2),)</f>
        <v/>
      </c>
      <c r="D846" s="14" t="str">
        <f t="shared" si="3"/>
        <v/>
      </c>
      <c r="E846" s="14" t="str">
        <f t="shared" si="4"/>
        <v/>
      </c>
      <c r="F846" s="6" t="str">
        <f>IF($A846&lt;&gt;"",MAXIFS(#REF!,Token!$A:$A,$D846),)</f>
        <v/>
      </c>
    </row>
    <row r="847">
      <c r="A847" s="35" t="str">
        <f t="shared" si="1"/>
        <v/>
      </c>
      <c r="B847" s="22" t="str">
        <f t="shared" si="2"/>
        <v/>
      </c>
      <c r="C847" s="14" t="str">
        <f>IF($A847&lt;&gt;"",MINIFS(Merchant!$A:$A,Merchant!$B:$B,$G$2),)</f>
        <v/>
      </c>
      <c r="D847" s="14" t="str">
        <f t="shared" si="3"/>
        <v/>
      </c>
      <c r="E847" s="14" t="str">
        <f t="shared" si="4"/>
        <v/>
      </c>
      <c r="F847" s="6" t="str">
        <f>IF($A847&lt;&gt;"",MAXIFS(#REF!,Token!$A:$A,$D847),)</f>
        <v/>
      </c>
    </row>
    <row r="848">
      <c r="A848" s="35" t="str">
        <f t="shared" si="1"/>
        <v/>
      </c>
      <c r="B848" s="22" t="str">
        <f t="shared" si="2"/>
        <v/>
      </c>
      <c r="C848" s="14" t="str">
        <f>IF($A848&lt;&gt;"",MINIFS(Merchant!$A:$A,Merchant!$B:$B,$G$2),)</f>
        <v/>
      </c>
      <c r="D848" s="14" t="str">
        <f t="shared" si="3"/>
        <v/>
      </c>
      <c r="E848" s="14" t="str">
        <f t="shared" si="4"/>
        <v/>
      </c>
      <c r="F848" s="6" t="str">
        <f>IF($A848&lt;&gt;"",MAXIFS(#REF!,Token!$A:$A,$D848),)</f>
        <v/>
      </c>
    </row>
    <row r="849">
      <c r="A849" s="35" t="str">
        <f t="shared" si="1"/>
        <v/>
      </c>
      <c r="B849" s="22" t="str">
        <f t="shared" si="2"/>
        <v/>
      </c>
      <c r="C849" s="14" t="str">
        <f>IF($A849&lt;&gt;"",MINIFS(Merchant!$A:$A,Merchant!$B:$B,$G$2),)</f>
        <v/>
      </c>
      <c r="D849" s="14" t="str">
        <f t="shared" si="3"/>
        <v/>
      </c>
      <c r="E849" s="14" t="str">
        <f t="shared" si="4"/>
        <v/>
      </c>
      <c r="F849" s="6" t="str">
        <f>IF($A849&lt;&gt;"",MAXIFS(#REF!,Token!$A:$A,$D849),)</f>
        <v/>
      </c>
    </row>
    <row r="850">
      <c r="A850" s="35" t="str">
        <f t="shared" si="1"/>
        <v/>
      </c>
      <c r="B850" s="22" t="str">
        <f t="shared" si="2"/>
        <v/>
      </c>
      <c r="C850" s="14" t="str">
        <f>IF($A850&lt;&gt;"",MINIFS(Merchant!$A:$A,Merchant!$B:$B,$G$2),)</f>
        <v/>
      </c>
      <c r="D850" s="14" t="str">
        <f t="shared" si="3"/>
        <v/>
      </c>
      <c r="E850" s="14" t="str">
        <f t="shared" si="4"/>
        <v/>
      </c>
      <c r="F850" s="6" t="str">
        <f>IF($A850&lt;&gt;"",MAXIFS(#REF!,Token!$A:$A,$D850),)</f>
        <v/>
      </c>
    </row>
    <row r="851">
      <c r="A851" s="35" t="str">
        <f t="shared" si="1"/>
        <v/>
      </c>
      <c r="B851" s="22" t="str">
        <f t="shared" si="2"/>
        <v/>
      </c>
      <c r="C851" s="14" t="str">
        <f>IF($A851&lt;&gt;"",MINIFS(Merchant!$A:$A,Merchant!$B:$B,$G$2),)</f>
        <v/>
      </c>
      <c r="D851" s="14" t="str">
        <f t="shared" si="3"/>
        <v/>
      </c>
      <c r="E851" s="14" t="str">
        <f t="shared" si="4"/>
        <v/>
      </c>
      <c r="F851" s="6" t="str">
        <f>IF($A851&lt;&gt;"",MAXIFS(#REF!,Token!$A:$A,$D851),)</f>
        <v/>
      </c>
    </row>
    <row r="852">
      <c r="A852" s="35" t="str">
        <f t="shared" si="1"/>
        <v/>
      </c>
      <c r="B852" s="22" t="str">
        <f t="shared" si="2"/>
        <v/>
      </c>
      <c r="C852" s="14" t="str">
        <f>IF($A852&lt;&gt;"",MINIFS(Merchant!$A:$A,Merchant!$B:$B,$G$2),)</f>
        <v/>
      </c>
      <c r="D852" s="14" t="str">
        <f t="shared" si="3"/>
        <v/>
      </c>
      <c r="E852" s="14" t="str">
        <f t="shared" si="4"/>
        <v/>
      </c>
      <c r="F852" s="6" t="str">
        <f>IF($A852&lt;&gt;"",MAXIFS(#REF!,Token!$A:$A,$D852),)</f>
        <v/>
      </c>
    </row>
    <row r="853">
      <c r="A853" s="35" t="str">
        <f t="shared" si="1"/>
        <v/>
      </c>
      <c r="B853" s="22" t="str">
        <f t="shared" si="2"/>
        <v/>
      </c>
      <c r="C853" s="14" t="str">
        <f>IF($A853&lt;&gt;"",MINIFS(Merchant!$A:$A,Merchant!$B:$B,$G$2),)</f>
        <v/>
      </c>
      <c r="D853" s="14" t="str">
        <f t="shared" si="3"/>
        <v/>
      </c>
      <c r="E853" s="14" t="str">
        <f t="shared" si="4"/>
        <v/>
      </c>
      <c r="F853" s="6" t="str">
        <f>IF($A853&lt;&gt;"",MAXIFS(#REF!,Token!$A:$A,$D853),)</f>
        <v/>
      </c>
    </row>
    <row r="854">
      <c r="A854" s="35" t="str">
        <f t="shared" si="1"/>
        <v/>
      </c>
      <c r="B854" s="22" t="str">
        <f t="shared" si="2"/>
        <v/>
      </c>
      <c r="C854" s="14" t="str">
        <f>IF($A854&lt;&gt;"",MINIFS(Merchant!$A:$A,Merchant!$B:$B,$G$2),)</f>
        <v/>
      </c>
      <c r="D854" s="14" t="str">
        <f t="shared" si="3"/>
        <v/>
      </c>
      <c r="E854" s="14" t="str">
        <f t="shared" si="4"/>
        <v/>
      </c>
      <c r="F854" s="6" t="str">
        <f>IF($A854&lt;&gt;"",MAXIFS(#REF!,Token!$A:$A,$D854),)</f>
        <v/>
      </c>
    </row>
    <row r="855">
      <c r="A855" s="35" t="str">
        <f t="shared" si="1"/>
        <v/>
      </c>
      <c r="B855" s="22" t="str">
        <f t="shared" si="2"/>
        <v/>
      </c>
      <c r="C855" s="14" t="str">
        <f>IF($A855&lt;&gt;"",MINIFS(Merchant!$A:$A,Merchant!$B:$B,$G$2),)</f>
        <v/>
      </c>
      <c r="D855" s="14" t="str">
        <f t="shared" si="3"/>
        <v/>
      </c>
      <c r="E855" s="14" t="str">
        <f t="shared" si="4"/>
        <v/>
      </c>
      <c r="F855" s="6" t="str">
        <f>IF($A855&lt;&gt;"",MAXIFS(#REF!,Token!$A:$A,$D855),)</f>
        <v/>
      </c>
    </row>
    <row r="856">
      <c r="A856" s="35" t="str">
        <f t="shared" si="1"/>
        <v/>
      </c>
      <c r="B856" s="22" t="str">
        <f t="shared" si="2"/>
        <v/>
      </c>
      <c r="C856" s="14" t="str">
        <f>IF($A856&lt;&gt;"",MINIFS(Merchant!$A:$A,Merchant!$B:$B,$G$2),)</f>
        <v/>
      </c>
      <c r="D856" s="14" t="str">
        <f t="shared" si="3"/>
        <v/>
      </c>
      <c r="E856" s="14" t="str">
        <f t="shared" si="4"/>
        <v/>
      </c>
      <c r="F856" s="6" t="str">
        <f>IF($A856&lt;&gt;"",MAXIFS(#REF!,Token!$A:$A,$D856),)</f>
        <v/>
      </c>
    </row>
    <row r="857">
      <c r="A857" s="35" t="str">
        <f t="shared" si="1"/>
        <v/>
      </c>
      <c r="B857" s="22" t="str">
        <f t="shared" si="2"/>
        <v/>
      </c>
      <c r="C857" s="14" t="str">
        <f>IF($A857&lt;&gt;"",MINIFS(Merchant!$A:$A,Merchant!$B:$B,$G$2),)</f>
        <v/>
      </c>
      <c r="D857" s="14" t="str">
        <f t="shared" si="3"/>
        <v/>
      </c>
      <c r="E857" s="14" t="str">
        <f t="shared" si="4"/>
        <v/>
      </c>
      <c r="F857" s="6" t="str">
        <f>IF($A857&lt;&gt;"",MAXIFS(#REF!,Token!$A:$A,$D857),)</f>
        <v/>
      </c>
    </row>
    <row r="858">
      <c r="A858" s="35" t="str">
        <f t="shared" si="1"/>
        <v/>
      </c>
      <c r="B858" s="22" t="str">
        <f t="shared" si="2"/>
        <v/>
      </c>
      <c r="C858" s="14" t="str">
        <f>IF($A858&lt;&gt;"",MINIFS(Merchant!$A:$A,Merchant!$B:$B,$G$2),)</f>
        <v/>
      </c>
      <c r="D858" s="14" t="str">
        <f t="shared" si="3"/>
        <v/>
      </c>
      <c r="E858" s="14" t="str">
        <f t="shared" si="4"/>
        <v/>
      </c>
      <c r="F858" s="6" t="str">
        <f>IF($A858&lt;&gt;"",MAXIFS(#REF!,Token!$A:$A,$D858),)</f>
        <v/>
      </c>
    </row>
    <row r="859">
      <c r="A859" s="35" t="str">
        <f t="shared" si="1"/>
        <v/>
      </c>
      <c r="B859" s="22" t="str">
        <f t="shared" si="2"/>
        <v/>
      </c>
      <c r="C859" s="14" t="str">
        <f>IF($A859&lt;&gt;"",MINIFS(Merchant!$A:$A,Merchant!$B:$B,$G$2),)</f>
        <v/>
      </c>
      <c r="D859" s="14" t="str">
        <f t="shared" si="3"/>
        <v/>
      </c>
      <c r="E859" s="14" t="str">
        <f t="shared" si="4"/>
        <v/>
      </c>
      <c r="F859" s="6" t="str">
        <f>IF($A859&lt;&gt;"",MAXIFS(#REF!,Token!$A:$A,$D859),)</f>
        <v/>
      </c>
    </row>
    <row r="860">
      <c r="A860" s="35" t="str">
        <f t="shared" si="1"/>
        <v/>
      </c>
      <c r="B860" s="22" t="str">
        <f t="shared" si="2"/>
        <v/>
      </c>
      <c r="C860" s="14" t="str">
        <f>IF($A860&lt;&gt;"",MINIFS(Merchant!$A:$A,Merchant!$B:$B,$G$2),)</f>
        <v/>
      </c>
      <c r="D860" s="14" t="str">
        <f t="shared" si="3"/>
        <v/>
      </c>
      <c r="E860" s="14" t="str">
        <f t="shared" si="4"/>
        <v/>
      </c>
      <c r="F860" s="6" t="str">
        <f>IF($A860&lt;&gt;"",MAXIFS(#REF!,Token!$A:$A,$D860),)</f>
        <v/>
      </c>
    </row>
    <row r="861">
      <c r="A861" s="35" t="str">
        <f t="shared" si="1"/>
        <v/>
      </c>
      <c r="B861" s="22" t="str">
        <f t="shared" si="2"/>
        <v/>
      </c>
      <c r="C861" s="14" t="str">
        <f>IF($A861&lt;&gt;"",MINIFS(Merchant!$A:$A,Merchant!$B:$B,$G$2),)</f>
        <v/>
      </c>
      <c r="D861" s="14" t="str">
        <f t="shared" si="3"/>
        <v/>
      </c>
      <c r="E861" s="14" t="str">
        <f t="shared" si="4"/>
        <v/>
      </c>
      <c r="F861" s="6" t="str">
        <f>IF($A861&lt;&gt;"",MAXIFS(#REF!,Token!$A:$A,$D861),)</f>
        <v/>
      </c>
    </row>
    <row r="862">
      <c r="A862" s="35" t="str">
        <f t="shared" si="1"/>
        <v/>
      </c>
      <c r="B862" s="22" t="str">
        <f t="shared" si="2"/>
        <v/>
      </c>
      <c r="C862" s="14" t="str">
        <f>IF($A862&lt;&gt;"",MINIFS(Merchant!$A:$A,Merchant!$B:$B,$G$2),)</f>
        <v/>
      </c>
      <c r="D862" s="14" t="str">
        <f t="shared" si="3"/>
        <v/>
      </c>
      <c r="E862" s="14" t="str">
        <f t="shared" si="4"/>
        <v/>
      </c>
      <c r="F862" s="6" t="str">
        <f>IF($A862&lt;&gt;"",MAXIFS(#REF!,Token!$A:$A,$D862),)</f>
        <v/>
      </c>
    </row>
    <row r="863">
      <c r="A863" s="35" t="str">
        <f t="shared" si="1"/>
        <v/>
      </c>
      <c r="B863" s="22" t="str">
        <f t="shared" si="2"/>
        <v/>
      </c>
      <c r="C863" s="14" t="str">
        <f>IF($A863&lt;&gt;"",MINIFS(Merchant!$A:$A,Merchant!$B:$B,$G$2),)</f>
        <v/>
      </c>
      <c r="D863" s="14" t="str">
        <f t="shared" si="3"/>
        <v/>
      </c>
      <c r="E863" s="14" t="str">
        <f t="shared" si="4"/>
        <v/>
      </c>
      <c r="F863" s="6" t="str">
        <f>IF($A863&lt;&gt;"",MAXIFS(#REF!,Token!$A:$A,$D863),)</f>
        <v/>
      </c>
    </row>
    <row r="864">
      <c r="A864" s="35" t="str">
        <f t="shared" si="1"/>
        <v/>
      </c>
      <c r="B864" s="22" t="str">
        <f t="shared" si="2"/>
        <v/>
      </c>
      <c r="C864" s="14" t="str">
        <f>IF($A864&lt;&gt;"",MINIFS(Merchant!$A:$A,Merchant!$B:$B,$G$2),)</f>
        <v/>
      </c>
      <c r="D864" s="14" t="str">
        <f t="shared" si="3"/>
        <v/>
      </c>
      <c r="E864" s="14" t="str">
        <f t="shared" si="4"/>
        <v/>
      </c>
      <c r="F864" s="6" t="str">
        <f>IF($A864&lt;&gt;"",MAXIFS(#REF!,Token!$A:$A,$D864),)</f>
        <v/>
      </c>
    </row>
    <row r="865">
      <c r="A865" s="35" t="str">
        <f t="shared" si="1"/>
        <v/>
      </c>
      <c r="B865" s="22" t="str">
        <f t="shared" si="2"/>
        <v/>
      </c>
      <c r="C865" s="14" t="str">
        <f>IF($A865&lt;&gt;"",MINIFS(Merchant!$A:$A,Merchant!$B:$B,$G$2),)</f>
        <v/>
      </c>
      <c r="D865" s="14" t="str">
        <f t="shared" si="3"/>
        <v/>
      </c>
      <c r="E865" s="14" t="str">
        <f t="shared" si="4"/>
        <v/>
      </c>
      <c r="F865" s="6" t="str">
        <f>IF($A865&lt;&gt;"",MAXIFS(#REF!,Token!$A:$A,$D865),)</f>
        <v/>
      </c>
    </row>
    <row r="866">
      <c r="A866" s="35" t="str">
        <f t="shared" si="1"/>
        <v/>
      </c>
      <c r="B866" s="22" t="str">
        <f t="shared" si="2"/>
        <v/>
      </c>
      <c r="C866" s="14" t="str">
        <f>IF($A866&lt;&gt;"",MINIFS(Merchant!$A:$A,Merchant!$B:$B,$G$2),)</f>
        <v/>
      </c>
      <c r="D866" s="14" t="str">
        <f t="shared" si="3"/>
        <v/>
      </c>
      <c r="E866" s="14" t="str">
        <f t="shared" si="4"/>
        <v/>
      </c>
      <c r="F866" s="6" t="str">
        <f>IF($A866&lt;&gt;"",MAXIFS(#REF!,Token!$A:$A,$D866),)</f>
        <v/>
      </c>
    </row>
    <row r="867">
      <c r="A867" s="35" t="str">
        <f t="shared" si="1"/>
        <v/>
      </c>
      <c r="B867" s="22" t="str">
        <f t="shared" si="2"/>
        <v/>
      </c>
      <c r="C867" s="14" t="str">
        <f>IF($A867&lt;&gt;"",MINIFS(Merchant!$A:$A,Merchant!$B:$B,$G$2),)</f>
        <v/>
      </c>
      <c r="D867" s="14" t="str">
        <f t="shared" si="3"/>
        <v/>
      </c>
      <c r="E867" s="14" t="str">
        <f t="shared" si="4"/>
        <v/>
      </c>
      <c r="F867" s="6" t="str">
        <f>IF($A867&lt;&gt;"",MAXIFS(#REF!,Token!$A:$A,$D867),)</f>
        <v/>
      </c>
    </row>
    <row r="868">
      <c r="A868" s="35" t="str">
        <f t="shared" si="1"/>
        <v/>
      </c>
      <c r="B868" s="22" t="str">
        <f t="shared" si="2"/>
        <v/>
      </c>
      <c r="C868" s="14" t="str">
        <f>IF($A868&lt;&gt;"",MINIFS(Merchant!$A:$A,Merchant!$B:$B,$G$2),)</f>
        <v/>
      </c>
      <c r="D868" s="14" t="str">
        <f t="shared" si="3"/>
        <v/>
      </c>
      <c r="E868" s="14" t="str">
        <f t="shared" si="4"/>
        <v/>
      </c>
      <c r="F868" s="6" t="str">
        <f>IF($A868&lt;&gt;"",MAXIFS(#REF!,Token!$A:$A,$D868),)</f>
        <v/>
      </c>
    </row>
    <row r="869">
      <c r="A869" s="35" t="str">
        <f t="shared" si="1"/>
        <v/>
      </c>
      <c r="B869" s="22" t="str">
        <f t="shared" si="2"/>
        <v/>
      </c>
      <c r="C869" s="14" t="str">
        <f>IF($A869&lt;&gt;"",MINIFS(Merchant!$A:$A,Merchant!$B:$B,$G$2),)</f>
        <v/>
      </c>
      <c r="D869" s="14" t="str">
        <f t="shared" si="3"/>
        <v/>
      </c>
      <c r="E869" s="14" t="str">
        <f t="shared" si="4"/>
        <v/>
      </c>
      <c r="F869" s="6" t="str">
        <f>IF($A869&lt;&gt;"",MAXIFS(#REF!,Token!$A:$A,$D869),)</f>
        <v/>
      </c>
    </row>
    <row r="870">
      <c r="A870" s="35" t="str">
        <f t="shared" si="1"/>
        <v/>
      </c>
      <c r="B870" s="22" t="str">
        <f t="shared" si="2"/>
        <v/>
      </c>
      <c r="C870" s="14" t="str">
        <f>IF($A870&lt;&gt;"",MINIFS(Merchant!$A:$A,Merchant!$B:$B,$G$2),)</f>
        <v/>
      </c>
      <c r="D870" s="14" t="str">
        <f t="shared" si="3"/>
        <v/>
      </c>
      <c r="E870" s="14" t="str">
        <f t="shared" si="4"/>
        <v/>
      </c>
      <c r="F870" s="6" t="str">
        <f>IF($A870&lt;&gt;"",MAXIFS(#REF!,Token!$A:$A,$D870),)</f>
        <v/>
      </c>
    </row>
    <row r="871">
      <c r="A871" s="35" t="str">
        <f t="shared" si="1"/>
        <v/>
      </c>
      <c r="B871" s="22" t="str">
        <f t="shared" si="2"/>
        <v/>
      </c>
      <c r="C871" s="14" t="str">
        <f>IF($A871&lt;&gt;"",MINIFS(Merchant!$A:$A,Merchant!$B:$B,$G$2),)</f>
        <v/>
      </c>
      <c r="D871" s="14" t="str">
        <f t="shared" si="3"/>
        <v/>
      </c>
      <c r="E871" s="14" t="str">
        <f t="shared" si="4"/>
        <v/>
      </c>
      <c r="F871" s="6" t="str">
        <f>IF($A871&lt;&gt;"",MAXIFS(#REF!,Token!$A:$A,$D871),)</f>
        <v/>
      </c>
    </row>
    <row r="872">
      <c r="A872" s="35" t="str">
        <f t="shared" si="1"/>
        <v/>
      </c>
      <c r="B872" s="22" t="str">
        <f t="shared" si="2"/>
        <v/>
      </c>
      <c r="C872" s="14" t="str">
        <f>IF($A872&lt;&gt;"",MINIFS(Merchant!$A:$A,Merchant!$B:$B,$G$2),)</f>
        <v/>
      </c>
      <c r="D872" s="14" t="str">
        <f t="shared" si="3"/>
        <v/>
      </c>
      <c r="E872" s="14" t="str">
        <f t="shared" si="4"/>
        <v/>
      </c>
      <c r="F872" s="6" t="str">
        <f>IF($A872&lt;&gt;"",MAXIFS(#REF!,Token!$A:$A,$D872),)</f>
        <v/>
      </c>
    </row>
    <row r="873">
      <c r="A873" s="35" t="str">
        <f t="shared" si="1"/>
        <v/>
      </c>
      <c r="B873" s="22" t="str">
        <f t="shared" si="2"/>
        <v/>
      </c>
      <c r="C873" s="14" t="str">
        <f>IF($A873&lt;&gt;"",MINIFS(Merchant!$A:$A,Merchant!$B:$B,$G$2),)</f>
        <v/>
      </c>
      <c r="D873" s="14" t="str">
        <f t="shared" si="3"/>
        <v/>
      </c>
      <c r="E873" s="14" t="str">
        <f t="shared" si="4"/>
        <v/>
      </c>
      <c r="F873" s="6" t="str">
        <f>IF($A873&lt;&gt;"",MAXIFS(#REF!,Token!$A:$A,$D873),)</f>
        <v/>
      </c>
    </row>
    <row r="874">
      <c r="A874" s="35" t="str">
        <f t="shared" si="1"/>
        <v/>
      </c>
      <c r="B874" s="22" t="str">
        <f t="shared" si="2"/>
        <v/>
      </c>
      <c r="C874" s="14" t="str">
        <f>IF($A874&lt;&gt;"",MINIFS(Merchant!$A:$A,Merchant!$B:$B,$G$2),)</f>
        <v/>
      </c>
      <c r="D874" s="14" t="str">
        <f t="shared" si="3"/>
        <v/>
      </c>
      <c r="E874" s="14" t="str">
        <f t="shared" si="4"/>
        <v/>
      </c>
      <c r="F874" s="6" t="str">
        <f>IF($A874&lt;&gt;"",MAXIFS(#REF!,Token!$A:$A,$D874),)</f>
        <v/>
      </c>
    </row>
    <row r="875">
      <c r="A875" s="35" t="str">
        <f t="shared" si="1"/>
        <v/>
      </c>
      <c r="B875" s="22" t="str">
        <f t="shared" si="2"/>
        <v/>
      </c>
      <c r="C875" s="14" t="str">
        <f>IF($A875&lt;&gt;"",MINIFS(Merchant!$A:$A,Merchant!$B:$B,$G$2),)</f>
        <v/>
      </c>
      <c r="D875" s="14" t="str">
        <f t="shared" si="3"/>
        <v/>
      </c>
      <c r="E875" s="14" t="str">
        <f t="shared" si="4"/>
        <v/>
      </c>
      <c r="F875" s="6" t="str">
        <f>IF($A875&lt;&gt;"",MAXIFS(#REF!,Token!$A:$A,$D875),)</f>
        <v/>
      </c>
    </row>
    <row r="876">
      <c r="A876" s="35" t="str">
        <f t="shared" si="1"/>
        <v/>
      </c>
      <c r="B876" s="22" t="str">
        <f t="shared" si="2"/>
        <v/>
      </c>
      <c r="C876" s="14" t="str">
        <f>IF($A876&lt;&gt;"",MINIFS(Merchant!$A:$A,Merchant!$B:$B,$G$2),)</f>
        <v/>
      </c>
      <c r="D876" s="14" t="str">
        <f t="shared" si="3"/>
        <v/>
      </c>
      <c r="E876" s="14" t="str">
        <f t="shared" si="4"/>
        <v/>
      </c>
      <c r="F876" s="6" t="str">
        <f>IF($A876&lt;&gt;"",MAXIFS(#REF!,Token!$A:$A,$D876),)</f>
        <v/>
      </c>
    </row>
    <row r="877">
      <c r="A877" s="35" t="str">
        <f t="shared" si="1"/>
        <v/>
      </c>
      <c r="B877" s="22" t="str">
        <f t="shared" si="2"/>
        <v/>
      </c>
      <c r="C877" s="14" t="str">
        <f>IF($A877&lt;&gt;"",MINIFS(Merchant!$A:$A,Merchant!$B:$B,$G$2),)</f>
        <v/>
      </c>
      <c r="D877" s="14" t="str">
        <f t="shared" si="3"/>
        <v/>
      </c>
      <c r="E877" s="14" t="str">
        <f t="shared" si="4"/>
        <v/>
      </c>
      <c r="F877" s="6" t="str">
        <f>IF($A877&lt;&gt;"",MAXIFS(#REF!,Token!$A:$A,$D877),)</f>
        <v/>
      </c>
    </row>
    <row r="878">
      <c r="A878" s="35" t="str">
        <f t="shared" si="1"/>
        <v/>
      </c>
      <c r="B878" s="22" t="str">
        <f t="shared" si="2"/>
        <v/>
      </c>
      <c r="C878" s="14" t="str">
        <f>IF($A878&lt;&gt;"",MINIFS(Merchant!$A:$A,Merchant!$B:$B,$G$2),)</f>
        <v/>
      </c>
      <c r="D878" s="14" t="str">
        <f t="shared" si="3"/>
        <v/>
      </c>
      <c r="E878" s="14" t="str">
        <f t="shared" si="4"/>
        <v/>
      </c>
      <c r="F878" s="6" t="str">
        <f>IF($A878&lt;&gt;"",MAXIFS(#REF!,Token!$A:$A,$D878),)</f>
        <v/>
      </c>
    </row>
    <row r="879">
      <c r="A879" s="35" t="str">
        <f t="shared" si="1"/>
        <v/>
      </c>
      <c r="B879" s="22" t="str">
        <f t="shared" si="2"/>
        <v/>
      </c>
      <c r="C879" s="14" t="str">
        <f>IF($A879&lt;&gt;"",MINIFS(Merchant!$A:$A,Merchant!$B:$B,$G$2),)</f>
        <v/>
      </c>
      <c r="D879" s="14" t="str">
        <f t="shared" si="3"/>
        <v/>
      </c>
      <c r="E879" s="14" t="str">
        <f t="shared" si="4"/>
        <v/>
      </c>
      <c r="F879" s="6" t="str">
        <f>IF($A879&lt;&gt;"",MAXIFS(#REF!,Token!$A:$A,$D879),)</f>
        <v/>
      </c>
    </row>
    <row r="880">
      <c r="A880" s="35" t="str">
        <f t="shared" si="1"/>
        <v/>
      </c>
      <c r="B880" s="22" t="str">
        <f t="shared" si="2"/>
        <v/>
      </c>
      <c r="C880" s="14" t="str">
        <f>IF($A880&lt;&gt;"",MINIFS(Merchant!$A:$A,Merchant!$B:$B,$G$2),)</f>
        <v/>
      </c>
      <c r="D880" s="14" t="str">
        <f t="shared" si="3"/>
        <v/>
      </c>
      <c r="E880" s="14" t="str">
        <f t="shared" si="4"/>
        <v/>
      </c>
      <c r="F880" s="6" t="str">
        <f>IF($A880&lt;&gt;"",MAXIFS(#REF!,Token!$A:$A,$D880),)</f>
        <v/>
      </c>
    </row>
    <row r="881">
      <c r="A881" s="35" t="str">
        <f t="shared" si="1"/>
        <v/>
      </c>
      <c r="B881" s="22" t="str">
        <f t="shared" si="2"/>
        <v/>
      </c>
      <c r="C881" s="14" t="str">
        <f>IF($A881&lt;&gt;"",MINIFS(Merchant!$A:$A,Merchant!$B:$B,$G$2),)</f>
        <v/>
      </c>
      <c r="D881" s="14" t="str">
        <f t="shared" si="3"/>
        <v/>
      </c>
      <c r="E881" s="14" t="str">
        <f t="shared" si="4"/>
        <v/>
      </c>
      <c r="F881" s="6" t="str">
        <f>IF($A881&lt;&gt;"",MAXIFS(#REF!,Token!$A:$A,$D881),)</f>
        <v/>
      </c>
    </row>
    <row r="882">
      <c r="A882" s="35" t="str">
        <f t="shared" si="1"/>
        <v/>
      </c>
      <c r="B882" s="22" t="str">
        <f t="shared" si="2"/>
        <v/>
      </c>
      <c r="C882" s="14" t="str">
        <f>IF($A882&lt;&gt;"",MINIFS(Merchant!$A:$A,Merchant!$B:$B,$G$2),)</f>
        <v/>
      </c>
      <c r="D882" s="14" t="str">
        <f t="shared" si="3"/>
        <v/>
      </c>
      <c r="E882" s="14" t="str">
        <f t="shared" si="4"/>
        <v/>
      </c>
      <c r="F882" s="6" t="str">
        <f>IF($A882&lt;&gt;"",MAXIFS(#REF!,Token!$A:$A,$D882),)</f>
        <v/>
      </c>
    </row>
    <row r="883">
      <c r="A883" s="35" t="str">
        <f t="shared" si="1"/>
        <v/>
      </c>
      <c r="B883" s="22" t="str">
        <f t="shared" si="2"/>
        <v/>
      </c>
      <c r="C883" s="14" t="str">
        <f>IF($A883&lt;&gt;"",MINIFS(Merchant!$A:$A,Merchant!$B:$B,$G$2),)</f>
        <v/>
      </c>
      <c r="D883" s="14" t="str">
        <f t="shared" si="3"/>
        <v/>
      </c>
      <c r="E883" s="14" t="str">
        <f t="shared" si="4"/>
        <v/>
      </c>
      <c r="F883" s="6" t="str">
        <f>IF($A883&lt;&gt;"",MAXIFS(#REF!,Token!$A:$A,$D883),)</f>
        <v/>
      </c>
    </row>
    <row r="884">
      <c r="A884" s="35" t="str">
        <f t="shared" si="1"/>
        <v/>
      </c>
      <c r="B884" s="22" t="str">
        <f t="shared" si="2"/>
        <v/>
      </c>
      <c r="C884" s="14" t="str">
        <f>IF($A884&lt;&gt;"",MINIFS(Merchant!$A:$A,Merchant!$B:$B,$G$2),)</f>
        <v/>
      </c>
      <c r="D884" s="14" t="str">
        <f t="shared" si="3"/>
        <v/>
      </c>
      <c r="E884" s="14" t="str">
        <f t="shared" si="4"/>
        <v/>
      </c>
      <c r="F884" s="6" t="str">
        <f>IF($A884&lt;&gt;"",MAXIFS(#REF!,Token!$A:$A,$D884),)</f>
        <v/>
      </c>
    </row>
    <row r="885">
      <c r="A885" s="35" t="str">
        <f t="shared" si="1"/>
        <v/>
      </c>
      <c r="B885" s="22" t="str">
        <f t="shared" si="2"/>
        <v/>
      </c>
      <c r="C885" s="14" t="str">
        <f>IF($A885&lt;&gt;"",MINIFS(Merchant!$A:$A,Merchant!$B:$B,$G$2),)</f>
        <v/>
      </c>
      <c r="D885" s="14" t="str">
        <f t="shared" si="3"/>
        <v/>
      </c>
      <c r="E885" s="14" t="str">
        <f t="shared" si="4"/>
        <v/>
      </c>
      <c r="F885" s="6" t="str">
        <f>IF($A885&lt;&gt;"",MAXIFS(#REF!,Token!$A:$A,$D885),)</f>
        <v/>
      </c>
    </row>
    <row r="886">
      <c r="A886" s="35" t="str">
        <f t="shared" si="1"/>
        <v/>
      </c>
      <c r="B886" s="22" t="str">
        <f t="shared" si="2"/>
        <v/>
      </c>
      <c r="C886" s="14" t="str">
        <f>IF($A886&lt;&gt;"",MINIFS(Merchant!$A:$A,Merchant!$B:$B,$G$2),)</f>
        <v/>
      </c>
      <c r="D886" s="14" t="str">
        <f t="shared" si="3"/>
        <v/>
      </c>
      <c r="E886" s="14" t="str">
        <f t="shared" si="4"/>
        <v/>
      </c>
      <c r="F886" s="6" t="str">
        <f>IF($A886&lt;&gt;"",MAXIFS(#REF!,Token!$A:$A,$D886),)</f>
        <v/>
      </c>
    </row>
    <row r="887">
      <c r="A887" s="35" t="str">
        <f t="shared" si="1"/>
        <v/>
      </c>
      <c r="B887" s="22" t="str">
        <f t="shared" si="2"/>
        <v/>
      </c>
      <c r="C887" s="14" t="str">
        <f>IF($A887&lt;&gt;"",MINIFS(Merchant!$A:$A,Merchant!$B:$B,$G$2),)</f>
        <v/>
      </c>
      <c r="D887" s="14" t="str">
        <f t="shared" si="3"/>
        <v/>
      </c>
      <c r="E887" s="14" t="str">
        <f t="shared" si="4"/>
        <v/>
      </c>
      <c r="F887" s="6" t="str">
        <f>IF($A887&lt;&gt;"",MAXIFS(#REF!,Token!$A:$A,$D887),)</f>
        <v/>
      </c>
    </row>
    <row r="888">
      <c r="A888" s="35" t="str">
        <f t="shared" si="1"/>
        <v/>
      </c>
      <c r="B888" s="22" t="str">
        <f t="shared" si="2"/>
        <v/>
      </c>
      <c r="C888" s="14" t="str">
        <f>IF($A888&lt;&gt;"",MINIFS(Merchant!$A:$A,Merchant!$B:$B,$G$2),)</f>
        <v/>
      </c>
      <c r="D888" s="14" t="str">
        <f t="shared" si="3"/>
        <v/>
      </c>
      <c r="E888" s="14" t="str">
        <f t="shared" si="4"/>
        <v/>
      </c>
      <c r="F888" s="6" t="str">
        <f>IF($A888&lt;&gt;"",MAXIFS(#REF!,Token!$A:$A,$D888),)</f>
        <v/>
      </c>
    </row>
    <row r="889">
      <c r="A889" s="35" t="str">
        <f t="shared" si="1"/>
        <v/>
      </c>
      <c r="B889" s="22" t="str">
        <f t="shared" si="2"/>
        <v/>
      </c>
      <c r="C889" s="14" t="str">
        <f>IF($A889&lt;&gt;"",MINIFS(Merchant!$A:$A,Merchant!$B:$B,$G$2),)</f>
        <v/>
      </c>
      <c r="D889" s="14" t="str">
        <f t="shared" si="3"/>
        <v/>
      </c>
      <c r="E889" s="14" t="str">
        <f t="shared" si="4"/>
        <v/>
      </c>
      <c r="F889" s="6" t="str">
        <f>IF($A889&lt;&gt;"",MAXIFS(#REF!,Token!$A:$A,$D889),)</f>
        <v/>
      </c>
    </row>
    <row r="890">
      <c r="A890" s="35" t="str">
        <f t="shared" si="1"/>
        <v/>
      </c>
      <c r="B890" s="22" t="str">
        <f t="shared" si="2"/>
        <v/>
      </c>
      <c r="C890" s="14" t="str">
        <f>IF($A890&lt;&gt;"",MINIFS(Merchant!$A:$A,Merchant!$B:$B,$G$2),)</f>
        <v/>
      </c>
      <c r="D890" s="14" t="str">
        <f t="shared" si="3"/>
        <v/>
      </c>
      <c r="E890" s="14" t="str">
        <f t="shared" si="4"/>
        <v/>
      </c>
      <c r="F890" s="6" t="str">
        <f>IF($A890&lt;&gt;"",MAXIFS(#REF!,Token!$A:$A,$D890),)</f>
        <v/>
      </c>
    </row>
    <row r="891">
      <c r="A891" s="35" t="str">
        <f t="shared" si="1"/>
        <v/>
      </c>
      <c r="B891" s="22" t="str">
        <f t="shared" si="2"/>
        <v/>
      </c>
      <c r="C891" s="14" t="str">
        <f>IF($A891&lt;&gt;"",MINIFS(Merchant!$A:$A,Merchant!$B:$B,$G$2),)</f>
        <v/>
      </c>
      <c r="D891" s="14" t="str">
        <f t="shared" si="3"/>
        <v/>
      </c>
      <c r="E891" s="14" t="str">
        <f t="shared" si="4"/>
        <v/>
      </c>
      <c r="F891" s="6" t="str">
        <f>IF($A891&lt;&gt;"",MAXIFS(#REF!,Token!$A:$A,$D891),)</f>
        <v/>
      </c>
    </row>
    <row r="892">
      <c r="A892" s="35" t="str">
        <f t="shared" si="1"/>
        <v/>
      </c>
      <c r="B892" s="22" t="str">
        <f t="shared" si="2"/>
        <v/>
      </c>
      <c r="C892" s="14" t="str">
        <f>IF($A892&lt;&gt;"",MINIFS(Merchant!$A:$A,Merchant!$B:$B,$G$2),)</f>
        <v/>
      </c>
      <c r="D892" s="14" t="str">
        <f t="shared" si="3"/>
        <v/>
      </c>
      <c r="E892" s="14" t="str">
        <f t="shared" si="4"/>
        <v/>
      </c>
      <c r="F892" s="6" t="str">
        <f>IF($A892&lt;&gt;"",MAXIFS(#REF!,Token!$A:$A,$D892),)</f>
        <v/>
      </c>
    </row>
    <row r="893">
      <c r="A893" s="35" t="str">
        <f t="shared" si="1"/>
        <v/>
      </c>
      <c r="B893" s="22" t="str">
        <f t="shared" si="2"/>
        <v/>
      </c>
      <c r="C893" s="14" t="str">
        <f>IF($A893&lt;&gt;"",MINIFS(Merchant!$A:$A,Merchant!$B:$B,$G$2),)</f>
        <v/>
      </c>
      <c r="D893" s="14" t="str">
        <f t="shared" si="3"/>
        <v/>
      </c>
      <c r="E893" s="14" t="str">
        <f t="shared" si="4"/>
        <v/>
      </c>
      <c r="F893" s="6" t="str">
        <f>IF($A893&lt;&gt;"",MAXIFS(#REF!,Token!$A:$A,$D893),)</f>
        <v/>
      </c>
    </row>
    <row r="894">
      <c r="A894" s="35" t="str">
        <f t="shared" si="1"/>
        <v/>
      </c>
      <c r="B894" s="22" t="str">
        <f t="shared" si="2"/>
        <v/>
      </c>
      <c r="C894" s="14" t="str">
        <f>IF($A894&lt;&gt;"",MINIFS(Merchant!$A:$A,Merchant!$B:$B,$G$2),)</f>
        <v/>
      </c>
      <c r="D894" s="14" t="str">
        <f t="shared" si="3"/>
        <v/>
      </c>
      <c r="E894" s="14" t="str">
        <f t="shared" si="4"/>
        <v/>
      </c>
      <c r="F894" s="6" t="str">
        <f>IF($A894&lt;&gt;"",MAXIFS(#REF!,Token!$A:$A,$D894),)</f>
        <v/>
      </c>
    </row>
    <row r="895">
      <c r="A895" s="35" t="str">
        <f t="shared" si="1"/>
        <v/>
      </c>
      <c r="B895" s="22" t="str">
        <f t="shared" si="2"/>
        <v/>
      </c>
      <c r="C895" s="14" t="str">
        <f>IF($A895&lt;&gt;"",MINIFS(Merchant!$A:$A,Merchant!$B:$B,$G$2),)</f>
        <v/>
      </c>
      <c r="D895" s="14" t="str">
        <f t="shared" si="3"/>
        <v/>
      </c>
      <c r="E895" s="14" t="str">
        <f t="shared" si="4"/>
        <v/>
      </c>
      <c r="F895" s="6" t="str">
        <f>IF($A895&lt;&gt;"",MAXIFS(#REF!,Token!$A:$A,$D895),)</f>
        <v/>
      </c>
    </row>
    <row r="896">
      <c r="A896" s="35" t="str">
        <f t="shared" si="1"/>
        <v/>
      </c>
      <c r="B896" s="22" t="str">
        <f t="shared" si="2"/>
        <v/>
      </c>
      <c r="C896" s="14" t="str">
        <f>IF($A896&lt;&gt;"",MINIFS(Merchant!$A:$A,Merchant!$B:$B,$G$2),)</f>
        <v/>
      </c>
      <c r="D896" s="14" t="str">
        <f t="shared" si="3"/>
        <v/>
      </c>
      <c r="E896" s="14" t="str">
        <f t="shared" si="4"/>
        <v/>
      </c>
      <c r="F896" s="6" t="str">
        <f>IF($A896&lt;&gt;"",MAXIFS(#REF!,Token!$A:$A,$D896),)</f>
        <v/>
      </c>
    </row>
    <row r="897">
      <c r="A897" s="35" t="str">
        <f t="shared" si="1"/>
        <v/>
      </c>
      <c r="B897" s="22" t="str">
        <f t="shared" si="2"/>
        <v/>
      </c>
      <c r="C897" s="14" t="str">
        <f>IF($A897&lt;&gt;"",MINIFS(Merchant!$A:$A,Merchant!$B:$B,$G$2),)</f>
        <v/>
      </c>
      <c r="D897" s="14" t="str">
        <f t="shared" si="3"/>
        <v/>
      </c>
      <c r="E897" s="14" t="str">
        <f t="shared" si="4"/>
        <v/>
      </c>
      <c r="F897" s="6" t="str">
        <f>IF($A897&lt;&gt;"",MAXIFS(#REF!,Token!$A:$A,$D897),)</f>
        <v/>
      </c>
    </row>
    <row r="898">
      <c r="A898" s="35" t="str">
        <f t="shared" si="1"/>
        <v/>
      </c>
      <c r="B898" s="22" t="str">
        <f t="shared" si="2"/>
        <v/>
      </c>
      <c r="C898" s="14" t="str">
        <f>IF($A898&lt;&gt;"",MINIFS(Merchant!$A:$A,Merchant!$B:$B,$G$2),)</f>
        <v/>
      </c>
      <c r="D898" s="14" t="str">
        <f t="shared" si="3"/>
        <v/>
      </c>
      <c r="E898" s="14" t="str">
        <f t="shared" si="4"/>
        <v/>
      </c>
      <c r="F898" s="6" t="str">
        <f>IF($A898&lt;&gt;"",MAXIFS(#REF!,Token!$A:$A,$D898),)</f>
        <v/>
      </c>
    </row>
    <row r="899">
      <c r="A899" s="35" t="str">
        <f t="shared" si="1"/>
        <v/>
      </c>
      <c r="B899" s="22" t="str">
        <f t="shared" si="2"/>
        <v/>
      </c>
      <c r="C899" s="14" t="str">
        <f>IF($A899&lt;&gt;"",MINIFS(Merchant!$A:$A,Merchant!$B:$B,$G$2),)</f>
        <v/>
      </c>
      <c r="D899" s="14" t="str">
        <f t="shared" si="3"/>
        <v/>
      </c>
      <c r="E899" s="14" t="str">
        <f t="shared" si="4"/>
        <v/>
      </c>
      <c r="F899" s="6" t="str">
        <f>IF($A899&lt;&gt;"",MAXIFS(#REF!,Token!$A:$A,$D899),)</f>
        <v/>
      </c>
    </row>
    <row r="900">
      <c r="A900" s="35" t="str">
        <f t="shared" si="1"/>
        <v/>
      </c>
      <c r="B900" s="22" t="str">
        <f t="shared" si="2"/>
        <v/>
      </c>
      <c r="C900" s="14" t="str">
        <f>IF($A900&lt;&gt;"",MINIFS(Merchant!$A:$A,Merchant!$B:$B,$G$2),)</f>
        <v/>
      </c>
      <c r="D900" s="14" t="str">
        <f t="shared" si="3"/>
        <v/>
      </c>
      <c r="E900" s="14" t="str">
        <f t="shared" si="4"/>
        <v/>
      </c>
      <c r="F900" s="6" t="str">
        <f>IF($A900&lt;&gt;"",MAXIFS(#REF!,Token!$A:$A,$D900),)</f>
        <v/>
      </c>
    </row>
    <row r="901">
      <c r="A901" s="35" t="str">
        <f t="shared" si="1"/>
        <v/>
      </c>
      <c r="B901" s="22" t="str">
        <f t="shared" si="2"/>
        <v/>
      </c>
      <c r="C901" s="14" t="str">
        <f>IF($A901&lt;&gt;"",MINIFS(Merchant!$A:$A,Merchant!$B:$B,$G$2),)</f>
        <v/>
      </c>
      <c r="D901" s="14" t="str">
        <f t="shared" si="3"/>
        <v/>
      </c>
      <c r="E901" s="14" t="str">
        <f t="shared" si="4"/>
        <v/>
      </c>
      <c r="F901" s="6" t="str">
        <f>IF($A901&lt;&gt;"",MAXIFS(#REF!,Token!$A:$A,$D901),)</f>
        <v/>
      </c>
    </row>
    <row r="902">
      <c r="A902" s="35" t="str">
        <f t="shared" si="1"/>
        <v/>
      </c>
      <c r="B902" s="22" t="str">
        <f t="shared" si="2"/>
        <v/>
      </c>
      <c r="C902" s="14" t="str">
        <f>IF($A902&lt;&gt;"",MINIFS(Merchant!$A:$A,Merchant!$B:$B,$G$2),)</f>
        <v/>
      </c>
      <c r="D902" s="14" t="str">
        <f t="shared" si="3"/>
        <v/>
      </c>
      <c r="E902" s="14" t="str">
        <f t="shared" si="4"/>
        <v/>
      </c>
      <c r="F902" s="6" t="str">
        <f>IF($A902&lt;&gt;"",MAXIFS(#REF!,Token!$A:$A,$D902),)</f>
        <v/>
      </c>
    </row>
    <row r="903">
      <c r="A903" s="35" t="str">
        <f t="shared" si="1"/>
        <v/>
      </c>
      <c r="B903" s="22" t="str">
        <f t="shared" si="2"/>
        <v/>
      </c>
      <c r="C903" s="14" t="str">
        <f>IF($A903&lt;&gt;"",MINIFS(Merchant!$A:$A,Merchant!$B:$B,$G$2),)</f>
        <v/>
      </c>
      <c r="D903" s="14" t="str">
        <f t="shared" si="3"/>
        <v/>
      </c>
      <c r="E903" s="14" t="str">
        <f t="shared" si="4"/>
        <v/>
      </c>
      <c r="F903" s="6" t="str">
        <f>IF($A903&lt;&gt;"",MAXIFS(#REF!,Token!$A:$A,$D903),)</f>
        <v/>
      </c>
    </row>
    <row r="904">
      <c r="A904" s="35" t="str">
        <f t="shared" si="1"/>
        <v/>
      </c>
      <c r="B904" s="22" t="str">
        <f t="shared" si="2"/>
        <v/>
      </c>
      <c r="C904" s="14" t="str">
        <f>IF($A904&lt;&gt;"",MINIFS(Merchant!$A:$A,Merchant!$B:$B,$G$2),)</f>
        <v/>
      </c>
      <c r="D904" s="14" t="str">
        <f t="shared" si="3"/>
        <v/>
      </c>
      <c r="E904" s="14" t="str">
        <f t="shared" si="4"/>
        <v/>
      </c>
      <c r="F904" s="6" t="str">
        <f>IF($A904&lt;&gt;"",MAXIFS(#REF!,Token!$A:$A,$D904),)</f>
        <v/>
      </c>
    </row>
    <row r="905">
      <c r="A905" s="35" t="str">
        <f t="shared" si="1"/>
        <v/>
      </c>
      <c r="B905" s="22" t="str">
        <f t="shared" si="2"/>
        <v/>
      </c>
      <c r="C905" s="14" t="str">
        <f>IF($A905&lt;&gt;"",MINIFS(Merchant!$A:$A,Merchant!$B:$B,$G$2),)</f>
        <v/>
      </c>
      <c r="D905" s="14" t="str">
        <f t="shared" si="3"/>
        <v/>
      </c>
      <c r="E905" s="14" t="str">
        <f t="shared" si="4"/>
        <v/>
      </c>
      <c r="F905" s="6" t="str">
        <f>IF($A905&lt;&gt;"",MAXIFS(#REF!,Token!$A:$A,$D905),)</f>
        <v/>
      </c>
    </row>
    <row r="906">
      <c r="A906" s="35" t="str">
        <f t="shared" si="1"/>
        <v/>
      </c>
      <c r="B906" s="22" t="str">
        <f t="shared" si="2"/>
        <v/>
      </c>
      <c r="C906" s="14" t="str">
        <f>IF($A906&lt;&gt;"",MINIFS(Merchant!$A:$A,Merchant!$B:$B,$G$2),)</f>
        <v/>
      </c>
      <c r="D906" s="14" t="str">
        <f t="shared" si="3"/>
        <v/>
      </c>
      <c r="E906" s="14" t="str">
        <f t="shared" si="4"/>
        <v/>
      </c>
      <c r="F906" s="6" t="str">
        <f>IF($A906&lt;&gt;"",MAXIFS(#REF!,Token!$A:$A,$D906),)</f>
        <v/>
      </c>
    </row>
    <row r="907">
      <c r="A907" s="35" t="str">
        <f t="shared" si="1"/>
        <v/>
      </c>
      <c r="B907" s="22" t="str">
        <f t="shared" si="2"/>
        <v/>
      </c>
      <c r="C907" s="14" t="str">
        <f>IF($A907&lt;&gt;"",MINIFS(Merchant!$A:$A,Merchant!$B:$B,$G$2),)</f>
        <v/>
      </c>
      <c r="D907" s="14" t="str">
        <f t="shared" si="3"/>
        <v/>
      </c>
      <c r="E907" s="14" t="str">
        <f t="shared" si="4"/>
        <v/>
      </c>
      <c r="F907" s="6" t="str">
        <f>IF($A907&lt;&gt;"",MAXIFS(#REF!,Token!$A:$A,$D907),)</f>
        <v/>
      </c>
    </row>
    <row r="908">
      <c r="A908" s="35" t="str">
        <f t="shared" si="1"/>
        <v/>
      </c>
      <c r="B908" s="22" t="str">
        <f t="shared" si="2"/>
        <v/>
      </c>
      <c r="C908" s="14" t="str">
        <f>IF($A908&lt;&gt;"",MINIFS(Merchant!$A:$A,Merchant!$B:$B,$G$2),)</f>
        <v/>
      </c>
      <c r="D908" s="14" t="str">
        <f t="shared" si="3"/>
        <v/>
      </c>
      <c r="E908" s="14" t="str">
        <f t="shared" si="4"/>
        <v/>
      </c>
      <c r="F908" s="6" t="str">
        <f>IF($A908&lt;&gt;"",MAXIFS(#REF!,Token!$A:$A,$D908),)</f>
        <v/>
      </c>
    </row>
    <row r="909">
      <c r="A909" s="35" t="str">
        <f t="shared" si="1"/>
        <v/>
      </c>
      <c r="B909" s="22" t="str">
        <f t="shared" si="2"/>
        <v/>
      </c>
      <c r="C909" s="14" t="str">
        <f>IF($A909&lt;&gt;"",MINIFS(Merchant!$A:$A,Merchant!$B:$B,$G$2),)</f>
        <v/>
      </c>
      <c r="D909" s="14" t="str">
        <f t="shared" si="3"/>
        <v/>
      </c>
      <c r="E909" s="14" t="str">
        <f t="shared" si="4"/>
        <v/>
      </c>
      <c r="F909" s="6" t="str">
        <f>IF($A909&lt;&gt;"",MAXIFS(#REF!,Token!$A:$A,$D909),)</f>
        <v/>
      </c>
    </row>
    <row r="910">
      <c r="A910" s="35" t="str">
        <f t="shared" si="1"/>
        <v/>
      </c>
      <c r="B910" s="22" t="str">
        <f t="shared" si="2"/>
        <v/>
      </c>
      <c r="C910" s="14" t="str">
        <f>IF($A910&lt;&gt;"",MINIFS(Merchant!$A:$A,Merchant!$B:$B,$G$2),)</f>
        <v/>
      </c>
      <c r="D910" s="14" t="str">
        <f t="shared" si="3"/>
        <v/>
      </c>
      <c r="E910" s="14" t="str">
        <f t="shared" si="4"/>
        <v/>
      </c>
      <c r="F910" s="6" t="str">
        <f>IF($A910&lt;&gt;"",MAXIFS(#REF!,Token!$A:$A,$D910),)</f>
        <v/>
      </c>
    </row>
    <row r="911">
      <c r="A911" s="35" t="str">
        <f t="shared" si="1"/>
        <v/>
      </c>
      <c r="B911" s="22" t="str">
        <f t="shared" si="2"/>
        <v/>
      </c>
      <c r="C911" s="14" t="str">
        <f>IF($A911&lt;&gt;"",MINIFS(Merchant!$A:$A,Merchant!$B:$B,$G$2),)</f>
        <v/>
      </c>
      <c r="D911" s="14" t="str">
        <f t="shared" si="3"/>
        <v/>
      </c>
      <c r="E911" s="14" t="str">
        <f t="shared" si="4"/>
        <v/>
      </c>
      <c r="F911" s="6" t="str">
        <f>IF($A911&lt;&gt;"",MAXIFS(#REF!,Token!$A:$A,$D911),)</f>
        <v/>
      </c>
    </row>
    <row r="912">
      <c r="A912" s="35" t="str">
        <f t="shared" si="1"/>
        <v/>
      </c>
      <c r="B912" s="22" t="str">
        <f t="shared" si="2"/>
        <v/>
      </c>
      <c r="C912" s="14" t="str">
        <f>IF($A912&lt;&gt;"",MINIFS(Merchant!$A:$A,Merchant!$B:$B,$G$2),)</f>
        <v/>
      </c>
      <c r="D912" s="14" t="str">
        <f t="shared" si="3"/>
        <v/>
      </c>
      <c r="E912" s="14" t="str">
        <f t="shared" si="4"/>
        <v/>
      </c>
      <c r="F912" s="6" t="str">
        <f>IF($A912&lt;&gt;"",MAXIFS(#REF!,Token!$A:$A,$D912),)</f>
        <v/>
      </c>
    </row>
    <row r="913">
      <c r="A913" s="35" t="str">
        <f t="shared" si="1"/>
        <v/>
      </c>
      <c r="B913" s="22" t="str">
        <f t="shared" si="2"/>
        <v/>
      </c>
      <c r="C913" s="14" t="str">
        <f>IF($A913&lt;&gt;"",MINIFS(Merchant!$A:$A,Merchant!$B:$B,$G$2),)</f>
        <v/>
      </c>
      <c r="D913" s="14" t="str">
        <f t="shared" si="3"/>
        <v/>
      </c>
      <c r="E913" s="14" t="str">
        <f t="shared" si="4"/>
        <v/>
      </c>
      <c r="F913" s="6" t="str">
        <f>IF($A913&lt;&gt;"",MAXIFS(#REF!,Token!$A:$A,$D913),)</f>
        <v/>
      </c>
    </row>
    <row r="914">
      <c r="A914" s="35" t="str">
        <f t="shared" si="1"/>
        <v/>
      </c>
      <c r="B914" s="22" t="str">
        <f t="shared" si="2"/>
        <v/>
      </c>
      <c r="C914" s="14" t="str">
        <f>IF($A914&lt;&gt;"",MINIFS(Merchant!$A:$A,Merchant!$B:$B,$G$2),)</f>
        <v/>
      </c>
      <c r="D914" s="14" t="str">
        <f t="shared" si="3"/>
        <v/>
      </c>
      <c r="E914" s="14" t="str">
        <f t="shared" si="4"/>
        <v/>
      </c>
      <c r="F914" s="6" t="str">
        <f>IF($A914&lt;&gt;"",MAXIFS(#REF!,Token!$A:$A,$D914),)</f>
        <v/>
      </c>
    </row>
    <row r="915">
      <c r="A915" s="35" t="str">
        <f t="shared" si="1"/>
        <v/>
      </c>
      <c r="B915" s="22" t="str">
        <f t="shared" si="2"/>
        <v/>
      </c>
      <c r="C915" s="14" t="str">
        <f>IF($A915&lt;&gt;"",MINIFS(Merchant!$A:$A,Merchant!$B:$B,$G$2),)</f>
        <v/>
      </c>
      <c r="D915" s="14" t="str">
        <f t="shared" si="3"/>
        <v/>
      </c>
      <c r="E915" s="14" t="str">
        <f t="shared" si="4"/>
        <v/>
      </c>
      <c r="F915" s="6" t="str">
        <f>IF($A915&lt;&gt;"",MAXIFS(#REF!,Token!$A:$A,$D915),)</f>
        <v/>
      </c>
    </row>
    <row r="916">
      <c r="A916" s="35" t="str">
        <f t="shared" si="1"/>
        <v/>
      </c>
      <c r="B916" s="22" t="str">
        <f t="shared" si="2"/>
        <v/>
      </c>
      <c r="C916" s="14" t="str">
        <f>IF($A916&lt;&gt;"",MINIFS(Merchant!$A:$A,Merchant!$B:$B,$G$2),)</f>
        <v/>
      </c>
      <c r="D916" s="14" t="str">
        <f t="shared" si="3"/>
        <v/>
      </c>
      <c r="E916" s="14" t="str">
        <f t="shared" si="4"/>
        <v/>
      </c>
      <c r="F916" s="6" t="str">
        <f>IF($A916&lt;&gt;"",MAXIFS(#REF!,Token!$A:$A,$D916),)</f>
        <v/>
      </c>
    </row>
    <row r="917">
      <c r="A917" s="35" t="str">
        <f t="shared" si="1"/>
        <v/>
      </c>
      <c r="B917" s="22" t="str">
        <f t="shared" si="2"/>
        <v/>
      </c>
      <c r="C917" s="14" t="str">
        <f>IF($A917&lt;&gt;"",MINIFS(Merchant!$A:$A,Merchant!$B:$B,$G$2),)</f>
        <v/>
      </c>
      <c r="D917" s="14" t="str">
        <f t="shared" si="3"/>
        <v/>
      </c>
      <c r="E917" s="14" t="str">
        <f t="shared" si="4"/>
        <v/>
      </c>
      <c r="F917" s="6" t="str">
        <f>IF($A917&lt;&gt;"",MAXIFS(#REF!,Token!$A:$A,$D917),)</f>
        <v/>
      </c>
    </row>
    <row r="918">
      <c r="A918" s="35" t="str">
        <f t="shared" si="1"/>
        <v/>
      </c>
      <c r="B918" s="22" t="str">
        <f t="shared" si="2"/>
        <v/>
      </c>
      <c r="C918" s="14" t="str">
        <f>IF($A918&lt;&gt;"",MINIFS(Merchant!$A:$A,Merchant!$B:$B,$G$2),)</f>
        <v/>
      </c>
      <c r="D918" s="14" t="str">
        <f t="shared" si="3"/>
        <v/>
      </c>
      <c r="E918" s="14" t="str">
        <f t="shared" si="4"/>
        <v/>
      </c>
      <c r="F918" s="6" t="str">
        <f>IF($A918&lt;&gt;"",MAXIFS(#REF!,Token!$A:$A,$D918),)</f>
        <v/>
      </c>
    </row>
    <row r="919">
      <c r="A919" s="35" t="str">
        <f t="shared" si="1"/>
        <v/>
      </c>
      <c r="B919" s="22" t="str">
        <f t="shared" si="2"/>
        <v/>
      </c>
      <c r="C919" s="14" t="str">
        <f>IF($A919&lt;&gt;"",MINIFS(Merchant!$A:$A,Merchant!$B:$B,$G$2),)</f>
        <v/>
      </c>
      <c r="D919" s="14" t="str">
        <f t="shared" si="3"/>
        <v/>
      </c>
      <c r="E919" s="14" t="str">
        <f t="shared" si="4"/>
        <v/>
      </c>
      <c r="F919" s="6" t="str">
        <f>IF($A919&lt;&gt;"",MAXIFS(#REF!,Token!$A:$A,$D919),)</f>
        <v/>
      </c>
    </row>
    <row r="920">
      <c r="A920" s="35" t="str">
        <f t="shared" si="1"/>
        <v/>
      </c>
      <c r="B920" s="22" t="str">
        <f t="shared" si="2"/>
        <v/>
      </c>
      <c r="C920" s="14" t="str">
        <f>IF($A920&lt;&gt;"",MINIFS(Merchant!$A:$A,Merchant!$B:$B,$G$2),)</f>
        <v/>
      </c>
      <c r="D920" s="14" t="str">
        <f t="shared" si="3"/>
        <v/>
      </c>
      <c r="E920" s="14" t="str">
        <f t="shared" si="4"/>
        <v/>
      </c>
      <c r="F920" s="6" t="str">
        <f>IF($A920&lt;&gt;"",MAXIFS(#REF!,Token!$A:$A,$D920),)</f>
        <v/>
      </c>
    </row>
    <row r="921">
      <c r="A921" s="35" t="str">
        <f t="shared" si="1"/>
        <v/>
      </c>
      <c r="B921" s="22" t="str">
        <f t="shared" si="2"/>
        <v/>
      </c>
      <c r="C921" s="14" t="str">
        <f>IF($A921&lt;&gt;"",MINIFS(Merchant!$A:$A,Merchant!$B:$B,$G$2),)</f>
        <v/>
      </c>
      <c r="D921" s="14" t="str">
        <f t="shared" si="3"/>
        <v/>
      </c>
      <c r="E921" s="14" t="str">
        <f t="shared" si="4"/>
        <v/>
      </c>
      <c r="F921" s="6" t="str">
        <f>IF($A921&lt;&gt;"",MAXIFS(#REF!,Token!$A:$A,$D921),)</f>
        <v/>
      </c>
    </row>
    <row r="922">
      <c r="A922" s="35" t="str">
        <f t="shared" si="1"/>
        <v/>
      </c>
      <c r="B922" s="22" t="str">
        <f t="shared" si="2"/>
        <v/>
      </c>
      <c r="C922" s="14" t="str">
        <f>IF($A922&lt;&gt;"",MINIFS(Merchant!$A:$A,Merchant!$B:$B,$G$2),)</f>
        <v/>
      </c>
      <c r="D922" s="14" t="str">
        <f t="shared" si="3"/>
        <v/>
      </c>
      <c r="E922" s="14" t="str">
        <f t="shared" si="4"/>
        <v/>
      </c>
      <c r="F922" s="6" t="str">
        <f>IF($A922&lt;&gt;"",MAXIFS(#REF!,Token!$A:$A,$D922),)</f>
        <v/>
      </c>
    </row>
    <row r="923">
      <c r="A923" s="35" t="str">
        <f t="shared" si="1"/>
        <v/>
      </c>
      <c r="B923" s="22" t="str">
        <f t="shared" si="2"/>
        <v/>
      </c>
      <c r="C923" s="14" t="str">
        <f>IF($A923&lt;&gt;"",MINIFS(Merchant!$A:$A,Merchant!$B:$B,$G$2),)</f>
        <v/>
      </c>
      <c r="D923" s="14" t="str">
        <f t="shared" si="3"/>
        <v/>
      </c>
      <c r="E923" s="14" t="str">
        <f t="shared" si="4"/>
        <v/>
      </c>
      <c r="F923" s="6" t="str">
        <f>IF($A923&lt;&gt;"",MAXIFS(#REF!,Token!$A:$A,$D923),)</f>
        <v/>
      </c>
    </row>
    <row r="924">
      <c r="A924" s="35" t="str">
        <f t="shared" si="1"/>
        <v/>
      </c>
      <c r="B924" s="22" t="str">
        <f t="shared" si="2"/>
        <v/>
      </c>
      <c r="C924" s="14" t="str">
        <f>IF($A924&lt;&gt;"",MINIFS(Merchant!$A:$A,Merchant!$B:$B,$G$2),)</f>
        <v/>
      </c>
      <c r="D924" s="14" t="str">
        <f t="shared" si="3"/>
        <v/>
      </c>
      <c r="E924" s="14" t="str">
        <f t="shared" si="4"/>
        <v/>
      </c>
      <c r="F924" s="6" t="str">
        <f>IF($A924&lt;&gt;"",MAXIFS(#REF!,Token!$A:$A,$D924),)</f>
        <v/>
      </c>
    </row>
    <row r="925">
      <c r="A925" s="35" t="str">
        <f t="shared" si="1"/>
        <v/>
      </c>
      <c r="B925" s="22" t="str">
        <f t="shared" si="2"/>
        <v/>
      </c>
      <c r="C925" s="14" t="str">
        <f>IF($A925&lt;&gt;"",MINIFS(Merchant!$A:$A,Merchant!$B:$B,$G$2),)</f>
        <v/>
      </c>
      <c r="D925" s="14" t="str">
        <f t="shared" si="3"/>
        <v/>
      </c>
      <c r="E925" s="14" t="str">
        <f t="shared" si="4"/>
        <v/>
      </c>
      <c r="F925" s="6" t="str">
        <f>IF($A925&lt;&gt;"",MAXIFS(#REF!,Token!$A:$A,$D925),)</f>
        <v/>
      </c>
    </row>
    <row r="926">
      <c r="A926" s="35" t="str">
        <f t="shared" si="1"/>
        <v/>
      </c>
      <c r="B926" s="22" t="str">
        <f t="shared" si="2"/>
        <v/>
      </c>
      <c r="C926" s="14" t="str">
        <f>IF($A926&lt;&gt;"",MINIFS(Merchant!$A:$A,Merchant!$B:$B,$G$2),)</f>
        <v/>
      </c>
      <c r="D926" s="14" t="str">
        <f t="shared" si="3"/>
        <v/>
      </c>
      <c r="E926" s="14" t="str">
        <f t="shared" si="4"/>
        <v/>
      </c>
      <c r="F926" s="6" t="str">
        <f>IF($A926&lt;&gt;"",MAXIFS(#REF!,Token!$A:$A,$D926),)</f>
        <v/>
      </c>
    </row>
    <row r="927">
      <c r="A927" s="35" t="str">
        <f t="shared" si="1"/>
        <v/>
      </c>
      <c r="B927" s="22" t="str">
        <f t="shared" si="2"/>
        <v/>
      </c>
      <c r="C927" s="14" t="str">
        <f>IF($A927&lt;&gt;"",MINIFS(Merchant!$A:$A,Merchant!$B:$B,$G$2),)</f>
        <v/>
      </c>
      <c r="D927" s="14" t="str">
        <f t="shared" si="3"/>
        <v/>
      </c>
      <c r="E927" s="14" t="str">
        <f t="shared" si="4"/>
        <v/>
      </c>
      <c r="F927" s="6" t="str">
        <f>IF($A927&lt;&gt;"",MAXIFS(#REF!,Token!$A:$A,$D927),)</f>
        <v/>
      </c>
    </row>
    <row r="928">
      <c r="A928" s="35" t="str">
        <f t="shared" si="1"/>
        <v/>
      </c>
      <c r="B928" s="22" t="str">
        <f t="shared" si="2"/>
        <v/>
      </c>
      <c r="C928" s="14" t="str">
        <f>IF($A928&lt;&gt;"",MINIFS(Merchant!$A:$A,Merchant!$B:$B,$G$2),)</f>
        <v/>
      </c>
      <c r="D928" s="14" t="str">
        <f t="shared" si="3"/>
        <v/>
      </c>
      <c r="E928" s="14" t="str">
        <f t="shared" si="4"/>
        <v/>
      </c>
      <c r="F928" s="6" t="str">
        <f>IF($A928&lt;&gt;"",MAXIFS(#REF!,Token!$A:$A,$D928),)</f>
        <v/>
      </c>
    </row>
    <row r="929">
      <c r="A929" s="35" t="str">
        <f t="shared" si="1"/>
        <v/>
      </c>
      <c r="B929" s="22" t="str">
        <f t="shared" si="2"/>
        <v/>
      </c>
      <c r="C929" s="14" t="str">
        <f>IF($A929&lt;&gt;"",MINIFS(Merchant!$A:$A,Merchant!$B:$B,$G$2),)</f>
        <v/>
      </c>
      <c r="D929" s="14" t="str">
        <f t="shared" si="3"/>
        <v/>
      </c>
      <c r="E929" s="14" t="str">
        <f t="shared" si="4"/>
        <v/>
      </c>
      <c r="F929" s="6" t="str">
        <f>IF($A929&lt;&gt;"",MAXIFS(#REF!,Token!$A:$A,$D929),)</f>
        <v/>
      </c>
    </row>
    <row r="930">
      <c r="A930" s="35" t="str">
        <f t="shared" si="1"/>
        <v/>
      </c>
      <c r="B930" s="22" t="str">
        <f t="shared" si="2"/>
        <v/>
      </c>
      <c r="C930" s="14" t="str">
        <f>IF($A930&lt;&gt;"",MINIFS(Merchant!$A:$A,Merchant!$B:$B,$G$2),)</f>
        <v/>
      </c>
      <c r="D930" s="14" t="str">
        <f t="shared" si="3"/>
        <v/>
      </c>
      <c r="E930" s="14" t="str">
        <f t="shared" si="4"/>
        <v/>
      </c>
      <c r="F930" s="6" t="str">
        <f>IF($A930&lt;&gt;"",MAXIFS(#REF!,Token!$A:$A,$D930),)</f>
        <v/>
      </c>
    </row>
    <row r="931">
      <c r="A931" s="35" t="str">
        <f t="shared" si="1"/>
        <v/>
      </c>
      <c r="B931" s="22" t="str">
        <f t="shared" si="2"/>
        <v/>
      </c>
      <c r="C931" s="14" t="str">
        <f>IF($A931&lt;&gt;"",MINIFS(Merchant!$A:$A,Merchant!$B:$B,$G$2),)</f>
        <v/>
      </c>
      <c r="D931" s="14" t="str">
        <f t="shared" si="3"/>
        <v/>
      </c>
      <c r="E931" s="14" t="str">
        <f t="shared" si="4"/>
        <v/>
      </c>
      <c r="F931" s="6" t="str">
        <f>IF($A931&lt;&gt;"",MAXIFS(#REF!,Token!$A:$A,$D931),)</f>
        <v/>
      </c>
    </row>
    <row r="932">
      <c r="A932" s="35" t="str">
        <f t="shared" si="1"/>
        <v/>
      </c>
      <c r="B932" s="22" t="str">
        <f t="shared" si="2"/>
        <v/>
      </c>
      <c r="C932" s="14" t="str">
        <f>IF($A932&lt;&gt;"",MINIFS(Merchant!$A:$A,Merchant!$B:$B,$G$2),)</f>
        <v/>
      </c>
      <c r="D932" s="14" t="str">
        <f t="shared" si="3"/>
        <v/>
      </c>
      <c r="E932" s="14" t="str">
        <f t="shared" si="4"/>
        <v/>
      </c>
      <c r="F932" s="6" t="str">
        <f>IF($A932&lt;&gt;"",MAXIFS(#REF!,Token!$A:$A,$D932),)</f>
        <v/>
      </c>
    </row>
    <row r="933">
      <c r="A933" s="35" t="str">
        <f t="shared" si="1"/>
        <v/>
      </c>
      <c r="B933" s="22" t="str">
        <f t="shared" si="2"/>
        <v/>
      </c>
      <c r="C933" s="14" t="str">
        <f>IF($A933&lt;&gt;"",MINIFS(Merchant!$A:$A,Merchant!$B:$B,$G$2),)</f>
        <v/>
      </c>
      <c r="D933" s="14" t="str">
        <f t="shared" si="3"/>
        <v/>
      </c>
      <c r="E933" s="14" t="str">
        <f t="shared" si="4"/>
        <v/>
      </c>
      <c r="F933" s="6" t="str">
        <f>IF($A933&lt;&gt;"",MAXIFS(#REF!,Token!$A:$A,$D933),)</f>
        <v/>
      </c>
    </row>
    <row r="934">
      <c r="A934" s="35" t="str">
        <f t="shared" si="1"/>
        <v/>
      </c>
      <c r="B934" s="22" t="str">
        <f t="shared" si="2"/>
        <v/>
      </c>
      <c r="C934" s="14" t="str">
        <f>IF($A934&lt;&gt;"",MINIFS(Merchant!$A:$A,Merchant!$B:$B,$G$2),)</f>
        <v/>
      </c>
      <c r="D934" s="14" t="str">
        <f t="shared" si="3"/>
        <v/>
      </c>
      <c r="E934" s="14" t="str">
        <f t="shared" si="4"/>
        <v/>
      </c>
      <c r="F934" s="6" t="str">
        <f>IF($A934&lt;&gt;"",MAXIFS(#REF!,Token!$A:$A,$D934),)</f>
        <v/>
      </c>
    </row>
    <row r="935">
      <c r="A935" s="35" t="str">
        <f t="shared" si="1"/>
        <v/>
      </c>
      <c r="B935" s="22" t="str">
        <f t="shared" si="2"/>
        <v/>
      </c>
      <c r="C935" s="14" t="str">
        <f>IF($A935&lt;&gt;"",MINIFS(Merchant!$A:$A,Merchant!$B:$B,$G$2),)</f>
        <v/>
      </c>
      <c r="D935" s="14" t="str">
        <f t="shared" si="3"/>
        <v/>
      </c>
      <c r="E935" s="14" t="str">
        <f t="shared" si="4"/>
        <v/>
      </c>
      <c r="F935" s="6" t="str">
        <f>IF($A935&lt;&gt;"",MAXIFS(#REF!,Token!$A:$A,$D935),)</f>
        <v/>
      </c>
    </row>
    <row r="936">
      <c r="A936" s="35" t="str">
        <f t="shared" si="1"/>
        <v/>
      </c>
      <c r="B936" s="22" t="str">
        <f t="shared" si="2"/>
        <v/>
      </c>
      <c r="C936" s="14" t="str">
        <f>IF($A936&lt;&gt;"",MINIFS(Merchant!$A:$A,Merchant!$B:$B,$G$2),)</f>
        <v/>
      </c>
      <c r="D936" s="14" t="str">
        <f t="shared" si="3"/>
        <v/>
      </c>
      <c r="E936" s="14" t="str">
        <f t="shared" si="4"/>
        <v/>
      </c>
      <c r="F936" s="6" t="str">
        <f>IF($A936&lt;&gt;"",MAXIFS(#REF!,Token!$A:$A,$D936),)</f>
        <v/>
      </c>
    </row>
    <row r="937">
      <c r="A937" s="35" t="str">
        <f t="shared" si="1"/>
        <v/>
      </c>
      <c r="B937" s="22" t="str">
        <f t="shared" si="2"/>
        <v/>
      </c>
      <c r="C937" s="14" t="str">
        <f>IF($A937&lt;&gt;"",MINIFS(Merchant!$A:$A,Merchant!$B:$B,$G$2),)</f>
        <v/>
      </c>
      <c r="D937" s="14" t="str">
        <f t="shared" si="3"/>
        <v/>
      </c>
      <c r="E937" s="14" t="str">
        <f t="shared" si="4"/>
        <v/>
      </c>
      <c r="F937" s="6" t="str">
        <f>IF($A937&lt;&gt;"",MAXIFS(#REF!,Token!$A:$A,$D937),)</f>
        <v/>
      </c>
    </row>
    <row r="938">
      <c r="A938" s="35" t="str">
        <f t="shared" si="1"/>
        <v/>
      </c>
      <c r="B938" s="22" t="str">
        <f t="shared" si="2"/>
        <v/>
      </c>
      <c r="C938" s="14" t="str">
        <f>IF($A938&lt;&gt;"",MINIFS(Merchant!$A:$A,Merchant!$B:$B,$G$2),)</f>
        <v/>
      </c>
      <c r="D938" s="14" t="str">
        <f t="shared" si="3"/>
        <v/>
      </c>
      <c r="E938" s="14" t="str">
        <f t="shared" si="4"/>
        <v/>
      </c>
      <c r="F938" s="6" t="str">
        <f>IF($A938&lt;&gt;"",MAXIFS(#REF!,Token!$A:$A,$D938),)</f>
        <v/>
      </c>
    </row>
    <row r="939">
      <c r="A939" s="35" t="str">
        <f t="shared" si="1"/>
        <v/>
      </c>
      <c r="B939" s="22" t="str">
        <f t="shared" si="2"/>
        <v/>
      </c>
      <c r="C939" s="14" t="str">
        <f>IF($A939&lt;&gt;"",MINIFS(Merchant!$A:$A,Merchant!$B:$B,$G$2),)</f>
        <v/>
      </c>
      <c r="D939" s="14" t="str">
        <f t="shared" si="3"/>
        <v/>
      </c>
      <c r="E939" s="14" t="str">
        <f t="shared" si="4"/>
        <v/>
      </c>
      <c r="F939" s="6" t="str">
        <f>IF($A939&lt;&gt;"",MAXIFS(#REF!,Token!$A:$A,$D939),)</f>
        <v/>
      </c>
    </row>
    <row r="940">
      <c r="A940" s="35" t="str">
        <f t="shared" si="1"/>
        <v/>
      </c>
      <c r="B940" s="22" t="str">
        <f t="shared" si="2"/>
        <v/>
      </c>
      <c r="C940" s="14" t="str">
        <f>IF($A940&lt;&gt;"",MINIFS(Merchant!$A:$A,Merchant!$B:$B,$G$2),)</f>
        <v/>
      </c>
      <c r="D940" s="14" t="str">
        <f t="shared" si="3"/>
        <v/>
      </c>
      <c r="E940" s="14" t="str">
        <f t="shared" si="4"/>
        <v/>
      </c>
      <c r="F940" s="6" t="str">
        <f>IF($A940&lt;&gt;"",MAXIFS(#REF!,Token!$A:$A,$D940),)</f>
        <v/>
      </c>
    </row>
    <row r="941">
      <c r="A941" s="35" t="str">
        <f t="shared" si="1"/>
        <v/>
      </c>
      <c r="B941" s="22" t="str">
        <f t="shared" si="2"/>
        <v/>
      </c>
      <c r="C941" s="14" t="str">
        <f>IF($A941&lt;&gt;"",MINIFS(Merchant!$A:$A,Merchant!$B:$B,$G$2),)</f>
        <v/>
      </c>
      <c r="D941" s="14" t="str">
        <f t="shared" si="3"/>
        <v/>
      </c>
      <c r="E941" s="14" t="str">
        <f t="shared" si="4"/>
        <v/>
      </c>
      <c r="F941" s="6" t="str">
        <f>IF($A941&lt;&gt;"",MAXIFS(#REF!,Token!$A:$A,$D941),)</f>
        <v/>
      </c>
    </row>
    <row r="942">
      <c r="A942" s="35" t="str">
        <f t="shared" si="1"/>
        <v/>
      </c>
      <c r="B942" s="22" t="str">
        <f t="shared" si="2"/>
        <v/>
      </c>
      <c r="C942" s="14" t="str">
        <f>IF($A942&lt;&gt;"",MINIFS(Merchant!$A:$A,Merchant!$B:$B,$G$2),)</f>
        <v/>
      </c>
      <c r="D942" s="14" t="str">
        <f t="shared" si="3"/>
        <v/>
      </c>
      <c r="E942" s="14" t="str">
        <f t="shared" si="4"/>
        <v/>
      </c>
      <c r="F942" s="6" t="str">
        <f>IF($A942&lt;&gt;"",MAXIFS(#REF!,Token!$A:$A,$D942),)</f>
        <v/>
      </c>
    </row>
    <row r="943">
      <c r="A943" s="35" t="str">
        <f t="shared" si="1"/>
        <v/>
      </c>
      <c r="B943" s="22" t="str">
        <f t="shared" si="2"/>
        <v/>
      </c>
      <c r="C943" s="14" t="str">
        <f>IF($A943&lt;&gt;"",MINIFS(Merchant!$A:$A,Merchant!$B:$B,$G$2),)</f>
        <v/>
      </c>
      <c r="D943" s="14" t="str">
        <f t="shared" si="3"/>
        <v/>
      </c>
      <c r="E943" s="14" t="str">
        <f t="shared" si="4"/>
        <v/>
      </c>
      <c r="F943" s="6" t="str">
        <f>IF($A943&lt;&gt;"",MAXIFS(#REF!,Token!$A:$A,$D943),)</f>
        <v/>
      </c>
    </row>
    <row r="944">
      <c r="A944" s="35" t="str">
        <f t="shared" si="1"/>
        <v/>
      </c>
      <c r="B944" s="22" t="str">
        <f t="shared" si="2"/>
        <v/>
      </c>
      <c r="C944" s="14" t="str">
        <f>IF($A944&lt;&gt;"",MINIFS(Merchant!$A:$A,Merchant!$B:$B,$G$2),)</f>
        <v/>
      </c>
      <c r="D944" s="14" t="str">
        <f t="shared" si="3"/>
        <v/>
      </c>
      <c r="E944" s="14" t="str">
        <f t="shared" si="4"/>
        <v/>
      </c>
      <c r="F944" s="6" t="str">
        <f>IF($A944&lt;&gt;"",MAXIFS(#REF!,Token!$A:$A,$D944),)</f>
        <v/>
      </c>
    </row>
    <row r="945">
      <c r="A945" s="35" t="str">
        <f t="shared" si="1"/>
        <v/>
      </c>
      <c r="B945" s="22" t="str">
        <f t="shared" si="2"/>
        <v/>
      </c>
      <c r="C945" s="14" t="str">
        <f>IF($A945&lt;&gt;"",MINIFS(Merchant!$A:$A,Merchant!$B:$B,$G$2),)</f>
        <v/>
      </c>
      <c r="D945" s="14" t="str">
        <f t="shared" si="3"/>
        <v/>
      </c>
      <c r="E945" s="14" t="str">
        <f t="shared" si="4"/>
        <v/>
      </c>
      <c r="F945" s="6" t="str">
        <f>IF($A945&lt;&gt;"",MAXIFS(#REF!,Token!$A:$A,$D945),)</f>
        <v/>
      </c>
    </row>
    <row r="946">
      <c r="A946" s="35" t="str">
        <f t="shared" si="1"/>
        <v/>
      </c>
      <c r="B946" s="22" t="str">
        <f t="shared" si="2"/>
        <v/>
      </c>
      <c r="C946" s="14" t="str">
        <f>IF($A946&lt;&gt;"",MINIFS(Merchant!$A:$A,Merchant!$B:$B,$G$2),)</f>
        <v/>
      </c>
      <c r="D946" s="14" t="str">
        <f t="shared" si="3"/>
        <v/>
      </c>
      <c r="E946" s="14" t="str">
        <f t="shared" si="4"/>
        <v/>
      </c>
      <c r="F946" s="6" t="str">
        <f>IF($A946&lt;&gt;"",MAXIFS(#REF!,Token!$A:$A,$D946),)</f>
        <v/>
      </c>
    </row>
    <row r="947">
      <c r="A947" s="35" t="str">
        <f t="shared" si="1"/>
        <v/>
      </c>
      <c r="B947" s="22" t="str">
        <f t="shared" si="2"/>
        <v/>
      </c>
      <c r="C947" s="14" t="str">
        <f>IF($A947&lt;&gt;"",MINIFS(Merchant!$A:$A,Merchant!$B:$B,$G$2),)</f>
        <v/>
      </c>
      <c r="D947" s="14" t="str">
        <f t="shared" si="3"/>
        <v/>
      </c>
      <c r="E947" s="14" t="str">
        <f t="shared" si="4"/>
        <v/>
      </c>
      <c r="F947" s="6" t="str">
        <f>IF($A947&lt;&gt;"",MAXIFS(#REF!,Token!$A:$A,$D947),)</f>
        <v/>
      </c>
    </row>
    <row r="948">
      <c r="A948" s="35" t="str">
        <f t="shared" si="1"/>
        <v/>
      </c>
      <c r="B948" s="22" t="str">
        <f t="shared" si="2"/>
        <v/>
      </c>
      <c r="C948" s="14" t="str">
        <f>IF($A948&lt;&gt;"",MINIFS(Merchant!$A:$A,Merchant!$B:$B,$G$2),)</f>
        <v/>
      </c>
      <c r="D948" s="14" t="str">
        <f t="shared" si="3"/>
        <v/>
      </c>
      <c r="E948" s="14" t="str">
        <f t="shared" si="4"/>
        <v/>
      </c>
      <c r="F948" s="6" t="str">
        <f>IF($A948&lt;&gt;"",MAXIFS(#REF!,Token!$A:$A,$D948),)</f>
        <v/>
      </c>
    </row>
    <row r="949">
      <c r="A949" s="35" t="str">
        <f t="shared" si="1"/>
        <v/>
      </c>
      <c r="B949" s="22" t="str">
        <f t="shared" si="2"/>
        <v/>
      </c>
      <c r="C949" s="14" t="str">
        <f>IF($A949&lt;&gt;"",MINIFS(Merchant!$A:$A,Merchant!$B:$B,$G$2),)</f>
        <v/>
      </c>
      <c r="D949" s="14" t="str">
        <f t="shared" si="3"/>
        <v/>
      </c>
      <c r="E949" s="14" t="str">
        <f t="shared" si="4"/>
        <v/>
      </c>
      <c r="F949" s="6" t="str">
        <f>IF($A949&lt;&gt;"",MAXIFS(#REF!,Token!$A:$A,$D949),)</f>
        <v/>
      </c>
    </row>
    <row r="950">
      <c r="A950" s="35" t="str">
        <f t="shared" si="1"/>
        <v/>
      </c>
      <c r="B950" s="22" t="str">
        <f t="shared" si="2"/>
        <v/>
      </c>
      <c r="C950" s="14" t="str">
        <f>IF($A950&lt;&gt;"",MINIFS(Merchant!$A:$A,Merchant!$B:$B,$G$2),)</f>
        <v/>
      </c>
      <c r="D950" s="14" t="str">
        <f t="shared" si="3"/>
        <v/>
      </c>
      <c r="E950" s="14" t="str">
        <f t="shared" si="4"/>
        <v/>
      </c>
      <c r="F950" s="6" t="str">
        <f>IF($A950&lt;&gt;"",MAXIFS(#REF!,Token!$A:$A,$D950),)</f>
        <v/>
      </c>
    </row>
    <row r="951">
      <c r="A951" s="35" t="str">
        <f t="shared" si="1"/>
        <v/>
      </c>
      <c r="B951" s="22" t="str">
        <f t="shared" si="2"/>
        <v/>
      </c>
      <c r="C951" s="14" t="str">
        <f>IF($A951&lt;&gt;"",MINIFS(Merchant!$A:$A,Merchant!$B:$B,$G$2),)</f>
        <v/>
      </c>
      <c r="D951" s="14" t="str">
        <f t="shared" si="3"/>
        <v/>
      </c>
      <c r="E951" s="14" t="str">
        <f t="shared" si="4"/>
        <v/>
      </c>
      <c r="F951" s="6" t="str">
        <f>IF($A951&lt;&gt;"",MAXIFS(#REF!,Token!$A:$A,$D951),)</f>
        <v/>
      </c>
    </row>
    <row r="952">
      <c r="A952" s="35" t="str">
        <f t="shared" si="1"/>
        <v/>
      </c>
      <c r="B952" s="22" t="str">
        <f t="shared" si="2"/>
        <v/>
      </c>
      <c r="C952" s="14" t="str">
        <f>IF($A952&lt;&gt;"",MINIFS(Merchant!$A:$A,Merchant!$B:$B,$G$2),)</f>
        <v/>
      </c>
      <c r="D952" s="14" t="str">
        <f t="shared" si="3"/>
        <v/>
      </c>
      <c r="E952" s="14" t="str">
        <f t="shared" si="4"/>
        <v/>
      </c>
      <c r="F952" s="6" t="str">
        <f>IF($A952&lt;&gt;"",MAXIFS(#REF!,Token!$A:$A,$D952),)</f>
        <v/>
      </c>
    </row>
    <row r="953">
      <c r="A953" s="35" t="str">
        <f t="shared" si="1"/>
        <v/>
      </c>
      <c r="B953" s="22" t="str">
        <f t="shared" si="2"/>
        <v/>
      </c>
      <c r="C953" s="14" t="str">
        <f>IF($A953&lt;&gt;"",MINIFS(Merchant!$A:$A,Merchant!$B:$B,$G$2),)</f>
        <v/>
      </c>
      <c r="D953" s="14" t="str">
        <f t="shared" si="3"/>
        <v/>
      </c>
      <c r="E953" s="14" t="str">
        <f t="shared" si="4"/>
        <v/>
      </c>
      <c r="F953" s="6" t="str">
        <f>IF($A953&lt;&gt;"",MAXIFS(#REF!,Token!$A:$A,$D953),)</f>
        <v/>
      </c>
    </row>
    <row r="954">
      <c r="A954" s="35" t="str">
        <f t="shared" si="1"/>
        <v/>
      </c>
      <c r="B954" s="22" t="str">
        <f t="shared" si="2"/>
        <v/>
      </c>
      <c r="C954" s="14" t="str">
        <f>IF($A954&lt;&gt;"",MINIFS(Merchant!$A:$A,Merchant!$B:$B,$G$2),)</f>
        <v/>
      </c>
      <c r="D954" s="14" t="str">
        <f t="shared" si="3"/>
        <v/>
      </c>
      <c r="E954" s="14" t="str">
        <f t="shared" si="4"/>
        <v/>
      </c>
      <c r="F954" s="6" t="str">
        <f>IF($A954&lt;&gt;"",MAXIFS(#REF!,Token!$A:$A,$D954),)</f>
        <v/>
      </c>
    </row>
    <row r="955">
      <c r="A955" s="35" t="str">
        <f t="shared" si="1"/>
        <v/>
      </c>
      <c r="B955" s="22" t="str">
        <f t="shared" si="2"/>
        <v/>
      </c>
      <c r="C955" s="14" t="str">
        <f>IF($A955&lt;&gt;"",MINIFS(Merchant!$A:$A,Merchant!$B:$B,$G$2),)</f>
        <v/>
      </c>
      <c r="D955" s="14" t="str">
        <f t="shared" si="3"/>
        <v/>
      </c>
      <c r="E955" s="14" t="str">
        <f t="shared" si="4"/>
        <v/>
      </c>
      <c r="F955" s="6" t="str">
        <f>IF($A955&lt;&gt;"",MAXIFS(#REF!,Token!$A:$A,$D955),)</f>
        <v/>
      </c>
    </row>
    <row r="956">
      <c r="A956" s="35" t="str">
        <f t="shared" si="1"/>
        <v/>
      </c>
      <c r="B956" s="22" t="str">
        <f t="shared" si="2"/>
        <v/>
      </c>
      <c r="C956" s="14" t="str">
        <f>IF($A956&lt;&gt;"",MINIFS(Merchant!$A:$A,Merchant!$B:$B,$G$2),)</f>
        <v/>
      </c>
      <c r="D956" s="14" t="str">
        <f t="shared" si="3"/>
        <v/>
      </c>
      <c r="E956" s="14" t="str">
        <f t="shared" si="4"/>
        <v/>
      </c>
      <c r="F956" s="6" t="str">
        <f>IF($A956&lt;&gt;"",MAXIFS(#REF!,Token!$A:$A,$D956),)</f>
        <v/>
      </c>
    </row>
    <row r="957">
      <c r="A957" s="35" t="str">
        <f t="shared" si="1"/>
        <v/>
      </c>
      <c r="B957" s="22" t="str">
        <f t="shared" si="2"/>
        <v/>
      </c>
      <c r="C957" s="14" t="str">
        <f>IF($A957&lt;&gt;"",MINIFS(Merchant!$A:$A,Merchant!$B:$B,$G$2),)</f>
        <v/>
      </c>
      <c r="D957" s="14" t="str">
        <f t="shared" si="3"/>
        <v/>
      </c>
      <c r="E957" s="14" t="str">
        <f t="shared" si="4"/>
        <v/>
      </c>
      <c r="F957" s="6" t="str">
        <f>IF($A957&lt;&gt;"",MAXIFS(#REF!,Token!$A:$A,$D957),)</f>
        <v/>
      </c>
    </row>
    <row r="958">
      <c r="A958" s="35" t="str">
        <f t="shared" si="1"/>
        <v/>
      </c>
      <c r="B958" s="22" t="str">
        <f t="shared" si="2"/>
        <v/>
      </c>
      <c r="C958" s="14" t="str">
        <f>IF($A958&lt;&gt;"",MINIFS(Merchant!$A:$A,Merchant!$B:$B,$G$2),)</f>
        <v/>
      </c>
      <c r="D958" s="14" t="str">
        <f t="shared" si="3"/>
        <v/>
      </c>
      <c r="E958" s="14" t="str">
        <f t="shared" si="4"/>
        <v/>
      </c>
      <c r="F958" s="6" t="str">
        <f>IF($A958&lt;&gt;"",MAXIFS(#REF!,Token!$A:$A,$D958),)</f>
        <v/>
      </c>
    </row>
    <row r="959">
      <c r="A959" s="35" t="str">
        <f t="shared" si="1"/>
        <v/>
      </c>
      <c r="B959" s="22" t="str">
        <f t="shared" si="2"/>
        <v/>
      </c>
      <c r="C959" s="14" t="str">
        <f>IF($A959&lt;&gt;"",MINIFS(Merchant!$A:$A,Merchant!$B:$B,$G$2),)</f>
        <v/>
      </c>
      <c r="D959" s="14" t="str">
        <f t="shared" si="3"/>
        <v/>
      </c>
      <c r="E959" s="14" t="str">
        <f t="shared" si="4"/>
        <v/>
      </c>
      <c r="F959" s="6" t="str">
        <f>IF($A959&lt;&gt;"",MAXIFS(#REF!,Token!$A:$A,$D959),)</f>
        <v/>
      </c>
    </row>
    <row r="960">
      <c r="A960" s="35" t="str">
        <f t="shared" si="1"/>
        <v/>
      </c>
      <c r="B960" s="22" t="str">
        <f t="shared" si="2"/>
        <v/>
      </c>
      <c r="C960" s="14" t="str">
        <f>IF($A960&lt;&gt;"",MINIFS(Merchant!$A:$A,Merchant!$B:$B,$G$2),)</f>
        <v/>
      </c>
      <c r="D960" s="14" t="str">
        <f t="shared" si="3"/>
        <v/>
      </c>
      <c r="E960" s="14" t="str">
        <f t="shared" si="4"/>
        <v/>
      </c>
      <c r="F960" s="6" t="str">
        <f>IF($A960&lt;&gt;"",MAXIFS(#REF!,Token!$A:$A,$D960),)</f>
        <v/>
      </c>
    </row>
    <row r="961">
      <c r="A961" s="35" t="str">
        <f t="shared" si="1"/>
        <v/>
      </c>
      <c r="B961" s="22" t="str">
        <f t="shared" si="2"/>
        <v/>
      </c>
      <c r="C961" s="14" t="str">
        <f>IF($A961&lt;&gt;"",MINIFS(Merchant!$A:$A,Merchant!$B:$B,$G$2),)</f>
        <v/>
      </c>
      <c r="D961" s="14" t="str">
        <f t="shared" si="3"/>
        <v/>
      </c>
      <c r="E961" s="14" t="str">
        <f t="shared" si="4"/>
        <v/>
      </c>
      <c r="F961" s="6" t="str">
        <f>IF($A961&lt;&gt;"",MAXIFS(#REF!,Token!$A:$A,$D961),)</f>
        <v/>
      </c>
    </row>
    <row r="962">
      <c r="A962" s="35" t="str">
        <f t="shared" si="1"/>
        <v/>
      </c>
      <c r="B962" s="22" t="str">
        <f t="shared" si="2"/>
        <v/>
      </c>
      <c r="C962" s="14" t="str">
        <f>IF($A962&lt;&gt;"",MINIFS(Merchant!$A:$A,Merchant!$B:$B,$G$2),)</f>
        <v/>
      </c>
      <c r="D962" s="14" t="str">
        <f t="shared" si="3"/>
        <v/>
      </c>
      <c r="E962" s="14" t="str">
        <f t="shared" si="4"/>
        <v/>
      </c>
      <c r="F962" s="6" t="str">
        <f>IF($A962&lt;&gt;"",MAXIFS(#REF!,Token!$A:$A,$D962),)</f>
        <v/>
      </c>
    </row>
    <row r="963">
      <c r="A963" s="35" t="str">
        <f t="shared" si="1"/>
        <v/>
      </c>
      <c r="B963" s="22" t="str">
        <f t="shared" si="2"/>
        <v/>
      </c>
      <c r="C963" s="14" t="str">
        <f>IF($A963&lt;&gt;"",MINIFS(Merchant!$A:$A,Merchant!$B:$B,$G$2),)</f>
        <v/>
      </c>
      <c r="D963" s="14" t="str">
        <f t="shared" si="3"/>
        <v/>
      </c>
      <c r="E963" s="14" t="str">
        <f t="shared" si="4"/>
        <v/>
      </c>
      <c r="F963" s="6" t="str">
        <f>IF($A963&lt;&gt;"",MAXIFS(#REF!,Token!$A:$A,$D963),)</f>
        <v/>
      </c>
    </row>
    <row r="964">
      <c r="A964" s="35" t="str">
        <f t="shared" si="1"/>
        <v/>
      </c>
      <c r="B964" s="22" t="str">
        <f t="shared" si="2"/>
        <v/>
      </c>
      <c r="C964" s="14" t="str">
        <f>IF($A964&lt;&gt;"",MINIFS(Merchant!$A:$A,Merchant!$B:$B,$G$2),)</f>
        <v/>
      </c>
      <c r="D964" s="14" t="str">
        <f t="shared" si="3"/>
        <v/>
      </c>
      <c r="E964" s="14" t="str">
        <f t="shared" si="4"/>
        <v/>
      </c>
      <c r="F964" s="6" t="str">
        <f>IF($A964&lt;&gt;"",MAXIFS(#REF!,Token!$A:$A,$D964),)</f>
        <v/>
      </c>
    </row>
    <row r="965">
      <c r="A965" s="35" t="str">
        <f t="shared" si="1"/>
        <v/>
      </c>
      <c r="B965" s="22" t="str">
        <f t="shared" si="2"/>
        <v/>
      </c>
      <c r="C965" s="14" t="str">
        <f>IF($A965&lt;&gt;"",MINIFS(Merchant!$A:$A,Merchant!$B:$B,$G$2),)</f>
        <v/>
      </c>
      <c r="D965" s="14" t="str">
        <f t="shared" si="3"/>
        <v/>
      </c>
      <c r="E965" s="14" t="str">
        <f t="shared" si="4"/>
        <v/>
      </c>
      <c r="F965" s="6" t="str">
        <f>IF($A965&lt;&gt;"",MAXIFS(#REF!,Token!$A:$A,$D965),)</f>
        <v/>
      </c>
    </row>
    <row r="966">
      <c r="A966" s="35" t="str">
        <f t="shared" si="1"/>
        <v/>
      </c>
      <c r="B966" s="22" t="str">
        <f t="shared" si="2"/>
        <v/>
      </c>
      <c r="C966" s="14" t="str">
        <f>IF($A966&lt;&gt;"",MINIFS(Merchant!$A:$A,Merchant!$B:$B,$G$2),)</f>
        <v/>
      </c>
      <c r="D966" s="14" t="str">
        <f t="shared" si="3"/>
        <v/>
      </c>
      <c r="E966" s="14" t="str">
        <f t="shared" si="4"/>
        <v/>
      </c>
      <c r="F966" s="6" t="str">
        <f>IF($A966&lt;&gt;"",MAXIFS(#REF!,Token!$A:$A,$D966),)</f>
        <v/>
      </c>
    </row>
    <row r="967">
      <c r="A967" s="35" t="str">
        <f t="shared" si="1"/>
        <v/>
      </c>
      <c r="B967" s="22" t="str">
        <f t="shared" si="2"/>
        <v/>
      </c>
      <c r="C967" s="14" t="str">
        <f>IF($A967&lt;&gt;"",MINIFS(Merchant!$A:$A,Merchant!$B:$B,$G$2),)</f>
        <v/>
      </c>
      <c r="D967" s="14" t="str">
        <f t="shared" si="3"/>
        <v/>
      </c>
      <c r="E967" s="14" t="str">
        <f t="shared" si="4"/>
        <v/>
      </c>
      <c r="F967" s="6" t="str">
        <f>IF($A967&lt;&gt;"",MAXIFS(#REF!,Token!$A:$A,$D967),)</f>
        <v/>
      </c>
    </row>
    <row r="968">
      <c r="A968" s="35" t="str">
        <f t="shared" si="1"/>
        <v/>
      </c>
      <c r="B968" s="22" t="str">
        <f t="shared" si="2"/>
        <v/>
      </c>
      <c r="C968" s="14" t="str">
        <f>IF($A968&lt;&gt;"",MINIFS(Merchant!$A:$A,Merchant!$B:$B,$G$2),)</f>
        <v/>
      </c>
      <c r="D968" s="14" t="str">
        <f t="shared" si="3"/>
        <v/>
      </c>
      <c r="E968" s="14" t="str">
        <f t="shared" si="4"/>
        <v/>
      </c>
      <c r="F968" s="6" t="str">
        <f>IF($A968&lt;&gt;"",MAXIFS(#REF!,Token!$A:$A,$D968),)</f>
        <v/>
      </c>
    </row>
    <row r="969">
      <c r="A969" s="35" t="str">
        <f t="shared" si="1"/>
        <v/>
      </c>
      <c r="B969" s="22" t="str">
        <f t="shared" si="2"/>
        <v/>
      </c>
      <c r="C969" s="14" t="str">
        <f>IF($A969&lt;&gt;"",MINIFS(Merchant!$A:$A,Merchant!$B:$B,$G$2),)</f>
        <v/>
      </c>
      <c r="D969" s="14" t="str">
        <f t="shared" si="3"/>
        <v/>
      </c>
      <c r="E969" s="14" t="str">
        <f t="shared" si="4"/>
        <v/>
      </c>
      <c r="F969" s="6" t="str">
        <f>IF($A969&lt;&gt;"",MAXIFS(#REF!,Token!$A:$A,$D969),)</f>
        <v/>
      </c>
    </row>
    <row r="970">
      <c r="A970" s="35" t="str">
        <f t="shared" si="1"/>
        <v/>
      </c>
      <c r="B970" s="22" t="str">
        <f t="shared" si="2"/>
        <v/>
      </c>
      <c r="C970" s="14" t="str">
        <f>IF($A970&lt;&gt;"",MINIFS(Merchant!$A:$A,Merchant!$B:$B,$G$2),)</f>
        <v/>
      </c>
      <c r="D970" s="14" t="str">
        <f t="shared" si="3"/>
        <v/>
      </c>
      <c r="E970" s="14" t="str">
        <f t="shared" si="4"/>
        <v/>
      </c>
      <c r="F970" s="6" t="str">
        <f>IF($A970&lt;&gt;"",MAXIFS(#REF!,Token!$A:$A,$D970),)</f>
        <v/>
      </c>
    </row>
    <row r="971">
      <c r="A971" s="35" t="str">
        <f t="shared" si="1"/>
        <v/>
      </c>
      <c r="B971" s="22" t="str">
        <f t="shared" si="2"/>
        <v/>
      </c>
      <c r="C971" s="14" t="str">
        <f>IF($A971&lt;&gt;"",MINIFS(Merchant!$A:$A,Merchant!$B:$B,$G$2),)</f>
        <v/>
      </c>
      <c r="D971" s="14" t="str">
        <f t="shared" si="3"/>
        <v/>
      </c>
      <c r="E971" s="14" t="str">
        <f t="shared" si="4"/>
        <v/>
      </c>
      <c r="F971" s="6" t="str">
        <f>IF($A971&lt;&gt;"",MAXIFS(#REF!,Token!$A:$A,$D971),)</f>
        <v/>
      </c>
    </row>
    <row r="972">
      <c r="A972" s="35" t="str">
        <f t="shared" si="1"/>
        <v/>
      </c>
      <c r="B972" s="22" t="str">
        <f t="shared" si="2"/>
        <v/>
      </c>
      <c r="C972" s="14" t="str">
        <f>IF($A972&lt;&gt;"",MINIFS(Merchant!$A:$A,Merchant!$B:$B,$G$2),)</f>
        <v/>
      </c>
      <c r="D972" s="14" t="str">
        <f t="shared" si="3"/>
        <v/>
      </c>
      <c r="E972" s="14" t="str">
        <f t="shared" si="4"/>
        <v/>
      </c>
      <c r="F972" s="6" t="str">
        <f>IF($A972&lt;&gt;"",MAXIFS(#REF!,Token!$A:$A,$D972),)</f>
        <v/>
      </c>
    </row>
    <row r="973">
      <c r="A973" s="35" t="str">
        <f t="shared" si="1"/>
        <v/>
      </c>
      <c r="B973" s="22" t="str">
        <f t="shared" si="2"/>
        <v/>
      </c>
      <c r="C973" s="14" t="str">
        <f>IF($A973&lt;&gt;"",MINIFS(Merchant!$A:$A,Merchant!$B:$B,$G$2),)</f>
        <v/>
      </c>
      <c r="D973" s="14" t="str">
        <f t="shared" si="3"/>
        <v/>
      </c>
      <c r="E973" s="14" t="str">
        <f t="shared" si="4"/>
        <v/>
      </c>
      <c r="F973" s="6" t="str">
        <f>IF($A973&lt;&gt;"",MAXIFS(#REF!,Token!$A:$A,$D973),)</f>
        <v/>
      </c>
    </row>
    <row r="974">
      <c r="A974" s="35" t="str">
        <f t="shared" si="1"/>
        <v/>
      </c>
      <c r="B974" s="22" t="str">
        <f t="shared" si="2"/>
        <v/>
      </c>
      <c r="C974" s="14" t="str">
        <f>IF($A974&lt;&gt;"",MINIFS(Merchant!$A:$A,Merchant!$B:$B,$G$2),)</f>
        <v/>
      </c>
      <c r="D974" s="14" t="str">
        <f t="shared" si="3"/>
        <v/>
      </c>
      <c r="E974" s="14" t="str">
        <f t="shared" si="4"/>
        <v/>
      </c>
      <c r="F974" s="6" t="str">
        <f>IF($A974&lt;&gt;"",MAXIFS(#REF!,Token!$A:$A,$D974),)</f>
        <v/>
      </c>
    </row>
    <row r="975">
      <c r="A975" s="35" t="str">
        <f t="shared" si="1"/>
        <v/>
      </c>
      <c r="B975" s="22" t="str">
        <f t="shared" si="2"/>
        <v/>
      </c>
      <c r="C975" s="14" t="str">
        <f>IF($A975&lt;&gt;"",MINIFS(Merchant!$A:$A,Merchant!$B:$B,$G$2),)</f>
        <v/>
      </c>
      <c r="D975" s="14" t="str">
        <f t="shared" si="3"/>
        <v/>
      </c>
      <c r="E975" s="14" t="str">
        <f t="shared" si="4"/>
        <v/>
      </c>
      <c r="F975" s="6" t="str">
        <f>IF($A975&lt;&gt;"",MAXIFS(#REF!,Token!$A:$A,$D975),)</f>
        <v/>
      </c>
    </row>
    <row r="976">
      <c r="A976" s="35" t="str">
        <f t="shared" si="1"/>
        <v/>
      </c>
      <c r="B976" s="22" t="str">
        <f t="shared" si="2"/>
        <v/>
      </c>
      <c r="C976" s="14" t="str">
        <f>IF($A976&lt;&gt;"",MINIFS(Merchant!$A:$A,Merchant!$B:$B,$G$2),)</f>
        <v/>
      </c>
      <c r="D976" s="14" t="str">
        <f t="shared" si="3"/>
        <v/>
      </c>
      <c r="E976" s="14" t="str">
        <f t="shared" si="4"/>
        <v/>
      </c>
      <c r="F976" s="6" t="str">
        <f>IF($A976&lt;&gt;"",MAXIFS(#REF!,Token!$A:$A,$D976),)</f>
        <v/>
      </c>
    </row>
    <row r="977">
      <c r="A977" s="35" t="str">
        <f t="shared" si="1"/>
        <v/>
      </c>
      <c r="B977" s="22" t="str">
        <f t="shared" si="2"/>
        <v/>
      </c>
      <c r="C977" s="14" t="str">
        <f>IF($A977&lt;&gt;"",MINIFS(Merchant!$A:$A,Merchant!$B:$B,$G$2),)</f>
        <v/>
      </c>
      <c r="D977" s="14" t="str">
        <f t="shared" si="3"/>
        <v/>
      </c>
      <c r="E977" s="14" t="str">
        <f t="shared" si="4"/>
        <v/>
      </c>
      <c r="F977" s="6" t="str">
        <f>IF($A977&lt;&gt;"",MAXIFS(#REF!,Token!$A:$A,$D977),)</f>
        <v/>
      </c>
    </row>
    <row r="978">
      <c r="A978" s="35" t="str">
        <f t="shared" si="1"/>
        <v/>
      </c>
      <c r="B978" s="22" t="str">
        <f t="shared" si="2"/>
        <v/>
      </c>
      <c r="C978" s="14" t="str">
        <f>IF($A978&lt;&gt;"",MINIFS(Merchant!$A:$A,Merchant!$B:$B,$G$2),)</f>
        <v/>
      </c>
      <c r="D978" s="14" t="str">
        <f t="shared" si="3"/>
        <v/>
      </c>
      <c r="E978" s="14" t="str">
        <f t="shared" si="4"/>
        <v/>
      </c>
      <c r="F978" s="6" t="str">
        <f>IF($A978&lt;&gt;"",MAXIFS(#REF!,Token!$A:$A,$D978),)</f>
        <v/>
      </c>
    </row>
    <row r="979">
      <c r="A979" s="35" t="str">
        <f t="shared" si="1"/>
        <v/>
      </c>
      <c r="B979" s="22" t="str">
        <f t="shared" si="2"/>
        <v/>
      </c>
      <c r="C979" s="14" t="str">
        <f>IF($A979&lt;&gt;"",MINIFS(Merchant!$A:$A,Merchant!$B:$B,$G$2),)</f>
        <v/>
      </c>
      <c r="D979" s="14" t="str">
        <f t="shared" si="3"/>
        <v/>
      </c>
      <c r="E979" s="14" t="str">
        <f t="shared" si="4"/>
        <v/>
      </c>
      <c r="F979" s="6" t="str">
        <f>IF($A979&lt;&gt;"",MAXIFS(#REF!,Token!$A:$A,$D979),)</f>
        <v/>
      </c>
    </row>
    <row r="980">
      <c r="A980" s="35" t="str">
        <f t="shared" si="1"/>
        <v/>
      </c>
      <c r="B980" s="22" t="str">
        <f t="shared" si="2"/>
        <v/>
      </c>
      <c r="C980" s="14" t="str">
        <f>IF($A980&lt;&gt;"",MINIFS(Merchant!$A:$A,Merchant!$B:$B,$G$2),)</f>
        <v/>
      </c>
      <c r="D980" s="14" t="str">
        <f t="shared" si="3"/>
        <v/>
      </c>
      <c r="E980" s="14" t="str">
        <f t="shared" si="4"/>
        <v/>
      </c>
      <c r="F980" s="6" t="str">
        <f>IF($A980&lt;&gt;"",MAXIFS(#REF!,Token!$A:$A,$D980),)</f>
        <v/>
      </c>
    </row>
    <row r="981">
      <c r="A981" s="35" t="str">
        <f t="shared" si="1"/>
        <v/>
      </c>
      <c r="B981" s="22" t="str">
        <f t="shared" si="2"/>
        <v/>
      </c>
      <c r="C981" s="14" t="str">
        <f>IF($A981&lt;&gt;"",MINIFS(Merchant!$A:$A,Merchant!$B:$B,$G$2),)</f>
        <v/>
      </c>
      <c r="D981" s="14" t="str">
        <f t="shared" si="3"/>
        <v/>
      </c>
      <c r="E981" s="14" t="str">
        <f t="shared" si="4"/>
        <v/>
      </c>
      <c r="F981" s="6" t="str">
        <f>IF($A981&lt;&gt;"",MAXIFS(#REF!,Token!$A:$A,$D981),)</f>
        <v/>
      </c>
    </row>
    <row r="982">
      <c r="A982" s="35" t="str">
        <f t="shared" si="1"/>
        <v/>
      </c>
      <c r="B982" s="22" t="str">
        <f t="shared" si="2"/>
        <v/>
      </c>
      <c r="C982" s="14" t="str">
        <f>IF($A982&lt;&gt;"",MINIFS(Merchant!$A:$A,Merchant!$B:$B,$G$2),)</f>
        <v/>
      </c>
      <c r="D982" s="14" t="str">
        <f t="shared" si="3"/>
        <v/>
      </c>
      <c r="E982" s="14" t="str">
        <f t="shared" si="4"/>
        <v/>
      </c>
      <c r="F982" s="6" t="str">
        <f>IF($A982&lt;&gt;"",MAXIFS(#REF!,Token!$A:$A,$D982),)</f>
        <v/>
      </c>
    </row>
    <row r="983">
      <c r="A983" s="35" t="str">
        <f t="shared" si="1"/>
        <v/>
      </c>
      <c r="B983" s="22" t="str">
        <f t="shared" si="2"/>
        <v/>
      </c>
      <c r="C983" s="14" t="str">
        <f>IF($A983&lt;&gt;"",MINIFS(Merchant!$A:$A,Merchant!$B:$B,$G$2),)</f>
        <v/>
      </c>
      <c r="D983" s="14" t="str">
        <f t="shared" si="3"/>
        <v/>
      </c>
      <c r="E983" s="14" t="str">
        <f t="shared" si="4"/>
        <v/>
      </c>
      <c r="F983" s="6" t="str">
        <f>IF($A983&lt;&gt;"",MAXIFS(#REF!,Token!$A:$A,$D983),)</f>
        <v/>
      </c>
    </row>
    <row r="984">
      <c r="A984" s="35" t="str">
        <f t="shared" si="1"/>
        <v/>
      </c>
      <c r="B984" s="22" t="str">
        <f t="shared" si="2"/>
        <v/>
      </c>
      <c r="C984" s="14" t="str">
        <f>IF($A984&lt;&gt;"",MINIFS(Merchant!$A:$A,Merchant!$B:$B,$G$2),)</f>
        <v/>
      </c>
      <c r="D984" s="14" t="str">
        <f t="shared" si="3"/>
        <v/>
      </c>
      <c r="E984" s="14" t="str">
        <f t="shared" si="4"/>
        <v/>
      </c>
      <c r="F984" s="6" t="str">
        <f>IF($A984&lt;&gt;"",MAXIFS(#REF!,Token!$A:$A,$D984),)</f>
        <v/>
      </c>
    </row>
    <row r="985">
      <c r="A985" s="35" t="str">
        <f t="shared" si="1"/>
        <v/>
      </c>
      <c r="B985" s="22" t="str">
        <f t="shared" si="2"/>
        <v/>
      </c>
      <c r="C985" s="14" t="str">
        <f>IF($A985&lt;&gt;"",MINIFS(Merchant!$A:$A,Merchant!$B:$B,$G$2),)</f>
        <v/>
      </c>
      <c r="D985" s="14" t="str">
        <f t="shared" si="3"/>
        <v/>
      </c>
      <c r="E985" s="14" t="str">
        <f t="shared" si="4"/>
        <v/>
      </c>
      <c r="F985" s="6" t="str">
        <f>IF($A985&lt;&gt;"",MAXIFS(#REF!,Token!$A:$A,$D985),)</f>
        <v/>
      </c>
    </row>
    <row r="986">
      <c r="A986" s="35" t="str">
        <f t="shared" si="1"/>
        <v/>
      </c>
      <c r="B986" s="22" t="str">
        <f t="shared" si="2"/>
        <v/>
      </c>
      <c r="C986" s="14" t="str">
        <f>IF($A986&lt;&gt;"",MINIFS(Merchant!$A:$A,Merchant!$B:$B,$G$2),)</f>
        <v/>
      </c>
      <c r="D986" s="14" t="str">
        <f t="shared" si="3"/>
        <v/>
      </c>
      <c r="E986" s="14" t="str">
        <f t="shared" si="4"/>
        <v/>
      </c>
      <c r="F986" s="6" t="str">
        <f>IF($A986&lt;&gt;"",MAXIFS(#REF!,Token!$A:$A,$D986),)</f>
        <v/>
      </c>
    </row>
    <row r="987">
      <c r="A987" s="35" t="str">
        <f t="shared" si="1"/>
        <v/>
      </c>
      <c r="B987" s="22" t="str">
        <f t="shared" si="2"/>
        <v/>
      </c>
      <c r="C987" s="14" t="str">
        <f>IF($A987&lt;&gt;"",MINIFS(Merchant!$A:$A,Merchant!$B:$B,$G$2),)</f>
        <v/>
      </c>
      <c r="D987" s="14" t="str">
        <f t="shared" si="3"/>
        <v/>
      </c>
      <c r="E987" s="14" t="str">
        <f t="shared" si="4"/>
        <v/>
      </c>
      <c r="F987" s="6" t="str">
        <f>IF($A987&lt;&gt;"",MAXIFS(#REF!,Token!$A:$A,$D987),)</f>
        <v/>
      </c>
    </row>
    <row r="988">
      <c r="A988" s="35" t="str">
        <f t="shared" si="1"/>
        <v/>
      </c>
      <c r="B988" s="22" t="str">
        <f t="shared" si="2"/>
        <v/>
      </c>
      <c r="C988" s="14" t="str">
        <f>IF($A988&lt;&gt;"",MINIFS(Merchant!$A:$A,Merchant!$B:$B,$G$2),)</f>
        <v/>
      </c>
      <c r="D988" s="14" t="str">
        <f t="shared" si="3"/>
        <v/>
      </c>
      <c r="E988" s="14" t="str">
        <f t="shared" si="4"/>
        <v/>
      </c>
      <c r="F988" s="6" t="str">
        <f>IF($A988&lt;&gt;"",MAXIFS(#REF!,Token!$A:$A,$D988),)</f>
        <v/>
      </c>
    </row>
    <row r="989">
      <c r="A989" s="35" t="str">
        <f t="shared" si="1"/>
        <v/>
      </c>
      <c r="B989" s="22" t="str">
        <f t="shared" si="2"/>
        <v/>
      </c>
      <c r="C989" s="14" t="str">
        <f>IF($A989&lt;&gt;"",MINIFS(Merchant!$A:$A,Merchant!$B:$B,$G$2),)</f>
        <v/>
      </c>
      <c r="D989" s="14" t="str">
        <f t="shared" si="3"/>
        <v/>
      </c>
      <c r="E989" s="14" t="str">
        <f t="shared" si="4"/>
        <v/>
      </c>
      <c r="F989" s="6" t="str">
        <f>IF($A989&lt;&gt;"",MAXIFS(#REF!,Token!$A:$A,$D989),)</f>
        <v/>
      </c>
    </row>
    <row r="990">
      <c r="A990" s="35" t="str">
        <f t="shared" si="1"/>
        <v/>
      </c>
      <c r="B990" s="22" t="str">
        <f t="shared" si="2"/>
        <v/>
      </c>
      <c r="C990" s="14" t="str">
        <f>IF($A990&lt;&gt;"",MINIFS(Merchant!$A:$A,Merchant!$B:$B,$G$2),)</f>
        <v/>
      </c>
      <c r="D990" s="14" t="str">
        <f t="shared" si="3"/>
        <v/>
      </c>
      <c r="E990" s="14" t="str">
        <f t="shared" si="4"/>
        <v/>
      </c>
      <c r="F990" s="6" t="str">
        <f>IF($A990&lt;&gt;"",MAXIFS(#REF!,Token!$A:$A,$D990),)</f>
        <v/>
      </c>
    </row>
    <row r="991">
      <c r="A991" s="35" t="str">
        <f t="shared" si="1"/>
        <v/>
      </c>
      <c r="B991" s="22" t="str">
        <f t="shared" si="2"/>
        <v/>
      </c>
      <c r="C991" s="14" t="str">
        <f>IF($A991&lt;&gt;"",MINIFS(Merchant!$A:$A,Merchant!$B:$B,$G$2),)</f>
        <v/>
      </c>
      <c r="D991" s="14" t="str">
        <f t="shared" si="3"/>
        <v/>
      </c>
      <c r="E991" s="14" t="str">
        <f t="shared" si="4"/>
        <v/>
      </c>
      <c r="F991" s="6" t="str">
        <f>IF($A991&lt;&gt;"",MAXIFS(#REF!,Token!$A:$A,$D991),)</f>
        <v/>
      </c>
    </row>
    <row r="992">
      <c r="A992" s="35" t="str">
        <f t="shared" si="1"/>
        <v/>
      </c>
      <c r="B992" s="22" t="str">
        <f t="shared" si="2"/>
        <v/>
      </c>
      <c r="C992" s="14" t="str">
        <f>IF($A992&lt;&gt;"",MINIFS(Merchant!$A:$A,Merchant!$B:$B,$G$2),)</f>
        <v/>
      </c>
      <c r="D992" s="14" t="str">
        <f t="shared" si="3"/>
        <v/>
      </c>
      <c r="E992" s="14" t="str">
        <f t="shared" si="4"/>
        <v/>
      </c>
      <c r="F992" s="6" t="str">
        <f>IF($A992&lt;&gt;"",MAXIFS(#REF!,Token!$A:$A,$D992),)</f>
        <v/>
      </c>
    </row>
    <row r="993">
      <c r="A993" s="35" t="str">
        <f t="shared" si="1"/>
        <v/>
      </c>
      <c r="B993" s="22" t="str">
        <f t="shared" si="2"/>
        <v/>
      </c>
      <c r="C993" s="14" t="str">
        <f>IF($A993&lt;&gt;"",MINIFS(Merchant!$A:$A,Merchant!$B:$B,$G$2),)</f>
        <v/>
      </c>
      <c r="D993" s="14" t="str">
        <f t="shared" si="3"/>
        <v/>
      </c>
      <c r="E993" s="14" t="str">
        <f t="shared" si="4"/>
        <v/>
      </c>
      <c r="F993" s="6" t="str">
        <f>IF($A993&lt;&gt;"",MAXIFS(#REF!,Token!$A:$A,$D993),)</f>
        <v/>
      </c>
    </row>
    <row r="994">
      <c r="A994" s="35" t="str">
        <f t="shared" si="1"/>
        <v/>
      </c>
      <c r="B994" s="22" t="str">
        <f t="shared" si="2"/>
        <v/>
      </c>
      <c r="C994" s="14" t="str">
        <f>IF($A994&lt;&gt;"",MINIFS(Merchant!$A:$A,Merchant!$B:$B,$G$2),)</f>
        <v/>
      </c>
      <c r="D994" s="14" t="str">
        <f t="shared" si="3"/>
        <v/>
      </c>
      <c r="E994" s="14" t="str">
        <f t="shared" si="4"/>
        <v/>
      </c>
      <c r="F994" s="6" t="str">
        <f>IF($A994&lt;&gt;"",MAXIFS(#REF!,Token!$A:$A,$D994),)</f>
        <v/>
      </c>
    </row>
    <row r="995">
      <c r="A995" s="35" t="str">
        <f t="shared" si="1"/>
        <v/>
      </c>
      <c r="B995" s="22" t="str">
        <f t="shared" si="2"/>
        <v/>
      </c>
      <c r="C995" s="14" t="str">
        <f>IF($A995&lt;&gt;"",MINIFS(Merchant!$A:$A,Merchant!$B:$B,$G$2),)</f>
        <v/>
      </c>
      <c r="D995" s="14" t="str">
        <f t="shared" si="3"/>
        <v/>
      </c>
      <c r="E995" s="14" t="str">
        <f t="shared" si="4"/>
        <v/>
      </c>
      <c r="F995" s="6" t="str">
        <f>IF($A995&lt;&gt;"",MAXIFS(#REF!,Token!$A:$A,$D995),)</f>
        <v/>
      </c>
    </row>
    <row r="996">
      <c r="A996" s="35" t="str">
        <f t="shared" si="1"/>
        <v/>
      </c>
      <c r="B996" s="22" t="str">
        <f t="shared" si="2"/>
        <v/>
      </c>
      <c r="C996" s="14" t="str">
        <f>IF($A996&lt;&gt;"",MINIFS(Merchant!$A:$A,Merchant!$B:$B,$G$2),)</f>
        <v/>
      </c>
      <c r="D996" s="14" t="str">
        <f t="shared" si="3"/>
        <v/>
      </c>
      <c r="E996" s="14" t="str">
        <f t="shared" si="4"/>
        <v/>
      </c>
      <c r="F996" s="6" t="str">
        <f>IF($A996&lt;&gt;"",MAXIFS(#REF!,Token!$A:$A,$D996),)</f>
        <v/>
      </c>
    </row>
    <row r="997">
      <c r="A997" s="35" t="str">
        <f t="shared" si="1"/>
        <v/>
      </c>
      <c r="B997" s="22" t="str">
        <f t="shared" si="2"/>
        <v/>
      </c>
      <c r="C997" s="14" t="str">
        <f>IF($A997&lt;&gt;"",MINIFS(Merchant!$A:$A,Merchant!$B:$B,$G$2),)</f>
        <v/>
      </c>
      <c r="D997" s="14" t="str">
        <f t="shared" si="3"/>
        <v/>
      </c>
      <c r="E997" s="14" t="str">
        <f t="shared" si="4"/>
        <v/>
      </c>
      <c r="F997" s="6" t="str">
        <f>IF($A997&lt;&gt;"",MAXIFS(#REF!,Token!$A:$A,$D997),)</f>
        <v/>
      </c>
    </row>
    <row r="998">
      <c r="A998" s="35" t="str">
        <f t="shared" si="1"/>
        <v/>
      </c>
      <c r="B998" s="22" t="str">
        <f t="shared" si="2"/>
        <v/>
      </c>
      <c r="C998" s="14" t="str">
        <f>IF($A998&lt;&gt;"",MINIFS(Merchant!$A:$A,Merchant!$B:$B,$G$2),)</f>
        <v/>
      </c>
      <c r="D998" s="14" t="str">
        <f t="shared" si="3"/>
        <v/>
      </c>
      <c r="E998" s="14" t="str">
        <f t="shared" si="4"/>
        <v/>
      </c>
      <c r="F998" s="6" t="str">
        <f>IF($A998&lt;&gt;"",MAXIFS(#REF!,Token!$A:$A,$D998),)</f>
        <v/>
      </c>
    </row>
    <row r="999">
      <c r="A999" s="35" t="str">
        <f t="shared" si="1"/>
        <v/>
      </c>
      <c r="B999" s="22" t="str">
        <f t="shared" si="2"/>
        <v/>
      </c>
      <c r="C999" s="14" t="str">
        <f>IF($A999&lt;&gt;"",MINIFS(Merchant!$A:$A,Merchant!$B:$B,$G$2),)</f>
        <v/>
      </c>
      <c r="D999" s="14" t="str">
        <f t="shared" si="3"/>
        <v/>
      </c>
      <c r="E999" s="14" t="str">
        <f t="shared" si="4"/>
        <v/>
      </c>
      <c r="F999" s="6" t="str">
        <f>IF($A999&lt;&gt;"",MAXIFS(#REF!,Token!$A:$A,$D999),)</f>
        <v/>
      </c>
    </row>
    <row r="1000">
      <c r="A1000" s="35" t="str">
        <f t="shared" si="1"/>
        <v/>
      </c>
      <c r="B1000" s="22" t="str">
        <f t="shared" si="2"/>
        <v/>
      </c>
      <c r="C1000" s="14" t="str">
        <f>IF($A1000&lt;&gt;"",MINIFS(Merchant!$A:$A,Merchant!$B:$B,$G$2),)</f>
        <v/>
      </c>
      <c r="D1000" s="14" t="str">
        <f t="shared" si="3"/>
        <v/>
      </c>
      <c r="E1000" s="14" t="str">
        <f t="shared" si="4"/>
        <v/>
      </c>
      <c r="F1000" s="6" t="str">
        <f>IF($A1000&lt;&gt;"",MAXIFS(#REF!,Token!$A:$A,$D1000),)</f>
        <v/>
      </c>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75"/>
    <col customWidth="1" min="7" max="7" width="12.63"/>
  </cols>
  <sheetData>
    <row r="1">
      <c r="A1" s="1" t="s">
        <v>4</v>
      </c>
      <c r="B1" s="1" t="s">
        <v>5</v>
      </c>
      <c r="C1" s="1" t="s">
        <v>6</v>
      </c>
      <c r="D1" s="1" t="s">
        <v>7</v>
      </c>
      <c r="E1" s="1" t="s">
        <v>8</v>
      </c>
      <c r="F1" s="11" t="s">
        <v>9</v>
      </c>
      <c r="G1" s="14">
        <v>2.0</v>
      </c>
      <c r="H1" s="14" t="s">
        <v>105</v>
      </c>
      <c r="I1" s="5" t="s">
        <v>106</v>
      </c>
      <c r="J1" s="5" t="s">
        <v>107</v>
      </c>
      <c r="K1" s="5" t="s">
        <v>108</v>
      </c>
      <c r="L1" s="5" t="s">
        <v>109</v>
      </c>
    </row>
    <row r="2">
      <c r="A2" s="35">
        <f>IF(AND($L2*1&gt;=$G$3,$L2*1&lt;=$G$4,$I2*$J2&gt;0,CONCATENATE($H2:$L2)&lt;&gt;CONCATENATE($H3:$L3),$I2/POW(10,$J2)*MAXIFS(Token!$B:$B,Token!$A:$A,$K2)&gt;0.01),$L2/86400+DATE(1970,1,1)+IF($L2*1&gt;=$G$5,$G$6,0),)</f>
        <v>44805.42307</v>
      </c>
      <c r="B2" s="22">
        <f t="shared" ref="B2:B1000" si="1">IF($A2&lt;&gt;"",$E2*$F2,)</f>
        <v>9</v>
      </c>
      <c r="C2" s="14">
        <f>IF($A2&lt;&gt;"",MINIFS(Merchant!$A:$A,Merchant!$B:$B,$G$2),)</f>
        <v>2</v>
      </c>
      <c r="D2" s="14" t="str">
        <f t="shared" ref="D2:D1000" si="2">IF($A2&lt;&gt;"",$K2,)</f>
        <v>agEUR</v>
      </c>
      <c r="E2" s="14">
        <f t="shared" ref="E2:E1000" si="3">IF($A2&lt;&gt;"",$I2/POW(10,$J2),)</f>
        <v>9</v>
      </c>
      <c r="F2" s="6">
        <f>IF($A2&lt;&gt;"",MAXIFS(Token!$B:$B,Token!$A:$A,$D2),)</f>
        <v>1</v>
      </c>
      <c r="G2" s="14" t="str">
        <f>VLOOKUP($G1,Merchant!$A:$B,2)</f>
        <v>GZLPJYkR3diD8c8vpgb7sXHEH9sG1R9sWa3yPwaL9Peb</v>
      </c>
      <c r="H2" s="5" t="str">
        <f>IFERROR(__xludf.DUMMYFUNCTION("IF(AND($G$11,$G$1&gt;1,INDEX(I:I,ROW()-1)&lt;&gt;""""),ImportJSON(""https://public-api.solscan.io/account/splTransfers?account=""&amp;$G$2&amp;IF($G$5,""&amp;fromTime=""&amp;TO_TEXT($G$3)&amp;""&amp;toTime=""&amp;TO_TEXT($G$4),)&amp;""&amp;offset=""&amp;ROW()-2&amp;""&amp;limit=50""&amp;$G$7,TEXTJOIN("","",1,$H$1:$"&amp;"L$1),""noHeaders""),)"),"64")</f>
        <v>64</v>
      </c>
      <c r="I2" s="5" t="str">
        <f>IFERROR(__xludf.DUMMYFUNCTION("""COMPUTED_VALUE"""),"900000000")</f>
        <v>900000000</v>
      </c>
      <c r="J2" s="5" t="str">
        <f>IFERROR(__xludf.DUMMYFUNCTION("""COMPUTED_VALUE"""),"8")</f>
        <v>8</v>
      </c>
      <c r="K2" s="5" t="str">
        <f>IFERROR(__xludf.DUMMYFUNCTION("""COMPUTED_VALUE"""),"agEUR")</f>
        <v>agEUR</v>
      </c>
      <c r="L2" s="5" t="str">
        <f>IFERROR(__xludf.DUMMYFUNCTION("""COMPUTED_VALUE"""),"1662026953")</f>
        <v>1662026953</v>
      </c>
    </row>
    <row r="3">
      <c r="A3" s="35">
        <f>IF(AND($L3*1&gt;=$G$3,$L3*1&lt;=$G$4,$I3*$J3&gt;0,CONCATENATE($H3:$L3)&lt;&gt;CONCATENATE($H4:$L4),$I3/POW(10,$J3)*MAXIFS(Token!$B:$B,Token!$A:$A,$K3)&gt;0.01),$L3/86400+DATE(1970,1,1)+IF($L3*1&gt;=$G$5,$G$6,0),)</f>
        <v>44805.42304</v>
      </c>
      <c r="B3" s="22">
        <f t="shared" si="1"/>
        <v>9</v>
      </c>
      <c r="C3" s="14">
        <f>IF($A3&lt;&gt;"",MINIFS(Merchant!$A:$A,Merchant!$B:$B,$G$2),)</f>
        <v>2</v>
      </c>
      <c r="D3" s="14" t="str">
        <f t="shared" si="2"/>
        <v>agEUR</v>
      </c>
      <c r="E3" s="14">
        <f t="shared" si="3"/>
        <v>9</v>
      </c>
      <c r="F3" s="6">
        <f>IF($A3&lt;&gt;"",MAXIFS(Token!$B:$B,Token!$A:$A,$D3),)</f>
        <v>1</v>
      </c>
      <c r="G3" s="5">
        <f>IFERROR((MIN(TODAY(),VLOOKUP($G$1,Merchant!$A:$L,10))-DATE(1970,1,1)-IF($G$6&lt;&gt;"",$G$6,0))*86400,0)</f>
        <v>1661713810</v>
      </c>
      <c r="H3" s="5" t="str">
        <f>IFERROR(__xludf.DUMMYFUNCTION("""COMPUTED_VALUE"""),"64")</f>
        <v>64</v>
      </c>
      <c r="I3" s="5" t="str">
        <f>IFERROR(__xludf.DUMMYFUNCTION("""COMPUTED_VALUE"""),"900000000")</f>
        <v>900000000</v>
      </c>
      <c r="J3" s="5" t="str">
        <f>IFERROR(__xludf.DUMMYFUNCTION("""COMPUTED_VALUE"""),"8")</f>
        <v>8</v>
      </c>
      <c r="K3" s="5" t="str">
        <f>IFERROR(__xludf.DUMMYFUNCTION("""COMPUTED_VALUE"""),"agEUR")</f>
        <v>agEUR</v>
      </c>
      <c r="L3" s="5" t="str">
        <f>IFERROR(__xludf.DUMMYFUNCTION("""COMPUTED_VALUE"""),"1662026951")</f>
        <v>1662026951</v>
      </c>
    </row>
    <row r="4">
      <c r="A4" s="35" t="str">
        <f>IF(AND($L4*1&gt;=$G$3,$L4*1&lt;=$G$4,$I4*$J4&gt;0,CONCATENATE($H4:$L4)&lt;&gt;CONCATENATE($H5:$L5),$I4/POW(10,$J4)*MAXIFS(Token!$B:$B,Token!$A:$A,$K4)&gt;0.01),$L4/86400+DATE(1970,1,1)+IF($L4*1&gt;=$G$5,$G$6,0),)</f>
        <v/>
      </c>
      <c r="B4" s="22" t="str">
        <f t="shared" si="1"/>
        <v/>
      </c>
      <c r="C4" s="14" t="str">
        <f>IF($A4&lt;&gt;"",MINIFS(Merchant!$A:$A,Merchant!$B:$B,$G$2),)</f>
        <v/>
      </c>
      <c r="D4" s="14" t="str">
        <f t="shared" si="2"/>
        <v/>
      </c>
      <c r="E4" s="14" t="str">
        <f t="shared" si="3"/>
        <v/>
      </c>
      <c r="F4" s="6" t="str">
        <f>IF($A4&lt;&gt;"",MAXIFS(Token!$B:$B,Token!$A:$A,$D4),)</f>
        <v/>
      </c>
      <c r="G4" s="5">
        <f>IFERROR((MAX(VLOOKUP($G$1,Merchant!$A:$L,10),VLOOKUP($G$1,Merchant!$A:$L,11))-DATE(1970,1,1)-IF($G$6&lt;&gt;"",$G$6,0))*86400,0)</f>
        <v>1662318000</v>
      </c>
      <c r="H4" s="5" t="str">
        <f>IFERROR(__xludf.DUMMYFUNCTION("""COMPUTED_VALUE"""),"64")</f>
        <v>64</v>
      </c>
      <c r="I4" s="5" t="str">
        <f>IFERROR(__xludf.DUMMYFUNCTION("""COMPUTED_VALUE"""),"700000000")</f>
        <v>700000000</v>
      </c>
      <c r="J4" s="5" t="str">
        <f>IFERROR(__xludf.DUMMYFUNCTION("""COMPUTED_VALUE"""),"8")</f>
        <v>8</v>
      </c>
      <c r="K4" s="5" t="str">
        <f>IFERROR(__xludf.DUMMYFUNCTION("""COMPUTED_VALUE"""),"agEUR")</f>
        <v>agEUR</v>
      </c>
      <c r="L4" s="5" t="str">
        <f>IFERROR(__xludf.DUMMYFUNCTION("""COMPUTED_VALUE"""),"1662025879")</f>
        <v>1662025879</v>
      </c>
    </row>
    <row r="5">
      <c r="A5" s="35">
        <f>IF(AND($L5*1&gt;=$G$3,$L5*1&lt;=$G$4,$I5*$J5&gt;0,CONCATENATE($H5:$L5)&lt;&gt;CONCATENATE($H6:$L6),$I5/POW(10,$J5)*MAXIFS(Token!$B:$B,Token!$A:$A,$K5)&gt;0.01),$L5/86400+DATE(1970,1,1)+IF($L5*1&gt;=$G$5,$G$6,0),)</f>
        <v>44805.41064</v>
      </c>
      <c r="B5" s="22">
        <f t="shared" si="1"/>
        <v>7</v>
      </c>
      <c r="C5" s="14">
        <f>IF($A5&lt;&gt;"",MINIFS(Merchant!$A:$A,Merchant!$B:$B,$G$2),)</f>
        <v>2</v>
      </c>
      <c r="D5" s="14" t="str">
        <f t="shared" si="2"/>
        <v>agEUR</v>
      </c>
      <c r="E5" s="14">
        <f t="shared" si="3"/>
        <v>7</v>
      </c>
      <c r="F5" s="6">
        <f>IF($A5&lt;&gt;"",MAXIFS(Token!$B:$B,Token!$A:$A,$D5),)</f>
        <v>1</v>
      </c>
      <c r="G5" s="36" t="b">
        <f>FALSE</f>
        <v>0</v>
      </c>
      <c r="H5" s="5" t="str">
        <f>IFERROR(__xludf.DUMMYFUNCTION("""COMPUTED_VALUE"""),"64")</f>
        <v>64</v>
      </c>
      <c r="I5" s="5" t="str">
        <f>IFERROR(__xludf.DUMMYFUNCTION("""COMPUTED_VALUE"""),"700000000")</f>
        <v>700000000</v>
      </c>
      <c r="J5" s="5" t="str">
        <f>IFERROR(__xludf.DUMMYFUNCTION("""COMPUTED_VALUE"""),"8")</f>
        <v>8</v>
      </c>
      <c r="K5" s="5" t="str">
        <f>IFERROR(__xludf.DUMMYFUNCTION("""COMPUTED_VALUE"""),"agEUR")</f>
        <v>agEUR</v>
      </c>
      <c r="L5" s="5" t="str">
        <f>IFERROR(__xludf.DUMMYFUNCTION("""COMPUTED_VALUE"""),"1662025879")</f>
        <v>1662025879</v>
      </c>
    </row>
    <row r="6">
      <c r="A6" s="35">
        <f>IF(AND($L6*1&gt;=$G$3,$L6*1&lt;=$G$4,$I6*$J6&gt;0,CONCATENATE($H6:$L6)&lt;&gt;CONCATENATE($H7:$L7),$I6/POW(10,$J6)*MAXIFS(Token!$B:$B,Token!$A:$A,$K6)&gt;0.01),$L6/86400+DATE(1970,1,1)+IF($L6*1&gt;=$G$5,$G$6,0),)</f>
        <v>44805.41044</v>
      </c>
      <c r="B6" s="22">
        <f t="shared" si="1"/>
        <v>7</v>
      </c>
      <c r="C6" s="14">
        <f>IF($A6&lt;&gt;"",MINIFS(Merchant!$A:$A,Merchant!$B:$B,$G$2),)</f>
        <v>2</v>
      </c>
      <c r="D6" s="14" t="str">
        <f t="shared" si="2"/>
        <v>agEUR</v>
      </c>
      <c r="E6" s="14">
        <f t="shared" si="3"/>
        <v>7</v>
      </c>
      <c r="F6" s="6">
        <f>IF($A6&lt;&gt;"",MAXIFS(Token!$B:$B,Token!$A:$A,$D6),)</f>
        <v>1</v>
      </c>
      <c r="G6" s="37">
        <f>TIME(2,0,0)</f>
        <v>0.08333333333</v>
      </c>
      <c r="H6" s="5" t="str">
        <f>IFERROR(__xludf.DUMMYFUNCTION("""COMPUTED_VALUE"""),"64")</f>
        <v>64</v>
      </c>
      <c r="I6" s="5" t="str">
        <f>IFERROR(__xludf.DUMMYFUNCTION("""COMPUTED_VALUE"""),"700000000")</f>
        <v>700000000</v>
      </c>
      <c r="J6" s="5" t="str">
        <f>IFERROR(__xludf.DUMMYFUNCTION("""COMPUTED_VALUE"""),"8")</f>
        <v>8</v>
      </c>
      <c r="K6" s="5" t="str">
        <f>IFERROR(__xludf.DUMMYFUNCTION("""COMPUTED_VALUE"""),"agEUR")</f>
        <v>agEUR</v>
      </c>
      <c r="L6" s="5" t="str">
        <f>IFERROR(__xludf.DUMMYFUNCTION("""COMPUTED_VALUE"""),"1662025862")</f>
        <v>1662025862</v>
      </c>
    </row>
    <row r="7">
      <c r="A7" s="35" t="str">
        <f>IF(AND($L7*1&gt;=$G$3,$L7*1&lt;=$G$4,$I7*$J7&gt;0,CONCATENATE($H7:$L7)&lt;&gt;CONCATENATE($H8:$L8),$I7/POW(10,$J7)*MAXIFS(Token!$B:$B,Token!$A:$A,$K7)&gt;0.01),$L7/86400+DATE(1970,1,1)+IF($L7*1&gt;=$G$5,$G$6,0),)</f>
        <v/>
      </c>
      <c r="B7" s="22" t="str">
        <f t="shared" si="1"/>
        <v/>
      </c>
      <c r="C7" s="14" t="str">
        <f>IF($A7&lt;&gt;"",MINIFS(Merchant!$A:$A,Merchant!$B:$B,$G$2),)</f>
        <v/>
      </c>
      <c r="D7" s="14" t="str">
        <f t="shared" si="2"/>
        <v/>
      </c>
      <c r="E7" s="14" t="str">
        <f t="shared" si="3"/>
        <v/>
      </c>
      <c r="F7" s="6" t="str">
        <f>IF($A7&lt;&gt;"",MAXIFS(Token!$B:$B,Token!$A:$A,$D7),)</f>
        <v/>
      </c>
      <c r="G7" s="14" t="s">
        <v>100</v>
      </c>
      <c r="H7" s="5" t="str">
        <f>IFERROR(__xludf.DUMMYFUNCTION("""COMPUTED_VALUE"""),"64")</f>
        <v>64</v>
      </c>
      <c r="I7" s="5" t="str">
        <f>IFERROR(__xludf.DUMMYFUNCTION("""COMPUTED_VALUE"""),"-1080000000")</f>
        <v>-1080000000</v>
      </c>
      <c r="J7" s="5" t="str">
        <f>IFERROR(__xludf.DUMMYFUNCTION("""COMPUTED_VALUE"""),"8")</f>
        <v>8</v>
      </c>
      <c r="K7" s="5" t="str">
        <f>IFERROR(__xludf.DUMMYFUNCTION("""COMPUTED_VALUE"""),"agEUR")</f>
        <v>agEUR</v>
      </c>
      <c r="L7" s="5" t="str">
        <f>IFERROR(__xludf.DUMMYFUNCTION("""COMPUTED_VALUE"""),"1661851024")</f>
        <v>1661851024</v>
      </c>
    </row>
    <row r="8">
      <c r="A8" s="35" t="str">
        <f>IF(AND($L8*1&gt;=$G$3,$L8*1&lt;=$G$4,$I8*$J8&gt;0,CONCATENATE($H8:$L8)&lt;&gt;CONCATENATE($H9:$L9),$I8/POW(10,$J8)*MAXIFS(Token!$B:$B,Token!$A:$A,$K8)&gt;0.01),$L8/86400+DATE(1970,1,1)+IF($L8*1&gt;=$G$5,$G$6,0),)</f>
        <v/>
      </c>
      <c r="B8" s="22" t="str">
        <f t="shared" si="1"/>
        <v/>
      </c>
      <c r="C8" s="14" t="str">
        <f>IF($A8&lt;&gt;"",MINIFS(Merchant!$A:$A,Merchant!$B:$B,$G$2),)</f>
        <v/>
      </c>
      <c r="D8" s="14" t="str">
        <f t="shared" si="2"/>
        <v/>
      </c>
      <c r="E8" s="14" t="str">
        <f t="shared" si="3"/>
        <v/>
      </c>
      <c r="F8" s="6" t="str">
        <f>IF($A8&lt;&gt;"",MAXIFS(Token!$B:$B,Token!$A:$A,$D8),)</f>
        <v/>
      </c>
      <c r="G8" s="5" t="b">
        <f>COUNTIF(OFFSET($A:$A,1,0),"&lt;&gt;")&lt;&gt;COUNTIF(Transactions!$C:$C,$G$1)</f>
        <v>0</v>
      </c>
      <c r="H8" s="5" t="str">
        <f>IFERROR(__xludf.DUMMYFUNCTION("""COMPUTED_VALUE"""),"64")</f>
        <v>64</v>
      </c>
      <c r="I8" s="5" t="str">
        <f>IFERROR(__xludf.DUMMYFUNCTION("""COMPUTED_VALUE"""),"1080000000")</f>
        <v>1080000000</v>
      </c>
      <c r="J8" s="5" t="str">
        <f>IFERROR(__xludf.DUMMYFUNCTION("""COMPUTED_VALUE"""),"8")</f>
        <v>8</v>
      </c>
      <c r="K8" s="5" t="str">
        <f>IFERROR(__xludf.DUMMYFUNCTION("""COMPUTED_VALUE"""),"agEUR")</f>
        <v>agEUR</v>
      </c>
      <c r="L8" s="5" t="str">
        <f>IFERROR(__xludf.DUMMYFUNCTION("""COMPUTED_VALUE"""),"1661326558")</f>
        <v>1661326558</v>
      </c>
    </row>
    <row r="9">
      <c r="A9" s="35" t="str">
        <f>IF(AND($L9*1&gt;=$G$3,$L9*1&lt;=$G$4,$I9*$J9&gt;0,CONCATENATE($H9:$L9)&lt;&gt;CONCATENATE($H10:$L10),$I9/POW(10,$J9)*MAXIFS(Token!$B:$B,Token!$A:$A,$K9)&gt;0.01),$L9/86400+DATE(1970,1,1)+IF($L9*1&gt;=$G$5,$G$6,0),)</f>
        <v/>
      </c>
      <c r="B9" s="22" t="str">
        <f t="shared" si="1"/>
        <v/>
      </c>
      <c r="C9" s="14" t="str">
        <f>IF($A9&lt;&gt;"",MINIFS(Merchant!$A:$A,Merchant!$B:$B,$G$2),)</f>
        <v/>
      </c>
      <c r="D9" s="14" t="str">
        <f t="shared" si="2"/>
        <v/>
      </c>
      <c r="E9" s="14" t="str">
        <f t="shared" si="3"/>
        <v/>
      </c>
      <c r="F9" s="6" t="str">
        <f>IF($A9&lt;&gt;"",MAXIFS(Token!$B:$B,Token!$A:$A,$D9),)</f>
        <v/>
      </c>
      <c r="G9" s="38">
        <f>TODAY()+TIME(7,0,0)</f>
        <v>44807.29167</v>
      </c>
      <c r="H9" s="5" t="str">
        <f>IFERROR(__xludf.DUMMYFUNCTION("""COMPUTED_VALUE"""),"64")</f>
        <v>64</v>
      </c>
      <c r="I9" s="5" t="str">
        <f>IFERROR(__xludf.DUMMYFUNCTION("""COMPUTED_VALUE"""),"-6052000000")</f>
        <v>-6052000000</v>
      </c>
      <c r="J9" s="5" t="str">
        <f>IFERROR(__xludf.DUMMYFUNCTION("""COMPUTED_VALUE"""),"8")</f>
        <v>8</v>
      </c>
      <c r="K9" s="5" t="str">
        <f>IFERROR(__xludf.DUMMYFUNCTION("""COMPUTED_VALUE"""),"agEUR")</f>
        <v>agEUR</v>
      </c>
      <c r="L9" s="5" t="str">
        <f>IFERROR(__xludf.DUMMYFUNCTION("""COMPUTED_VALUE"""),"1661193732")</f>
        <v>1661193732</v>
      </c>
    </row>
    <row r="10">
      <c r="A10" s="35" t="str">
        <f>IF(AND($L10*1&gt;=$G$3,$L10*1&lt;=$G$4,$I10*$J10&gt;0,CONCATENATE($H10:$L10)&lt;&gt;CONCATENATE($H11:$L11),$I10/POW(10,$J10)*MAXIFS(Token!$B:$B,Token!$A:$A,$K10)&gt;0.01),$L10/86400+DATE(1970,1,1)+IF($L10*1&gt;=$G$5,$G$6,0),)</f>
        <v/>
      </c>
      <c r="B10" s="22" t="str">
        <f t="shared" si="1"/>
        <v/>
      </c>
      <c r="C10" s="14" t="str">
        <f>IF($A10&lt;&gt;"",MINIFS(Merchant!$A:$A,Merchant!$B:$B,$G$2),)</f>
        <v/>
      </c>
      <c r="D10" s="14" t="str">
        <f t="shared" si="2"/>
        <v/>
      </c>
      <c r="E10" s="14" t="str">
        <f t="shared" si="3"/>
        <v/>
      </c>
      <c r="F10" s="6" t="str">
        <f>IF($A10&lt;&gt;"",MAXIFS(Token!$B:$B,Token!$A:$A,$D10),)</f>
        <v/>
      </c>
      <c r="G10" s="38">
        <f>TODAY()+TIME(22,0,0)</f>
        <v>44807.91667</v>
      </c>
      <c r="H10" s="5" t="str">
        <f>IFERROR(__xludf.DUMMYFUNCTION("""COMPUTED_VALUE"""),"64")</f>
        <v>64</v>
      </c>
      <c r="I10" s="5" t="str">
        <f>IFERROR(__xludf.DUMMYFUNCTION("""COMPUTED_VALUE"""),"2180000000")</f>
        <v>2180000000</v>
      </c>
      <c r="J10" s="5" t="str">
        <f>IFERROR(__xludf.DUMMYFUNCTION("""COMPUTED_VALUE"""),"8")</f>
        <v>8</v>
      </c>
      <c r="K10" s="5" t="str">
        <f>IFERROR(__xludf.DUMMYFUNCTION("""COMPUTED_VALUE"""),"agEUR")</f>
        <v>agEUR</v>
      </c>
      <c r="L10" s="5" t="str">
        <f>IFERROR(__xludf.DUMMYFUNCTION("""COMPUTED_VALUE"""),"1660982759")</f>
        <v>1660982759</v>
      </c>
    </row>
    <row r="11">
      <c r="A11" s="35" t="str">
        <f>IF(AND($L11*1&gt;=$G$3,$L11*1&lt;=$G$4,$I11*$J11&gt;0,CONCATENATE($H11:$L11)&lt;&gt;CONCATENATE($H12:$L12),$I11/POW(10,$J11)*MAXIFS(Token!$B:$B,Token!$A:$A,$K11)&gt;0.01),$L11/86400+DATE(1970,1,1)+IF($L11*1&gt;=$G$5,$G$6,0),)</f>
        <v/>
      </c>
      <c r="B11" s="22" t="str">
        <f t="shared" si="1"/>
        <v/>
      </c>
      <c r="C11" s="14" t="str">
        <f>IF($A11&lt;&gt;"",MINIFS(Merchant!$A:$A,Merchant!$B:$B,$G$2),)</f>
        <v/>
      </c>
      <c r="D11" s="14" t="str">
        <f t="shared" si="2"/>
        <v/>
      </c>
      <c r="E11" s="14" t="str">
        <f t="shared" si="3"/>
        <v/>
      </c>
      <c r="F11" s="6" t="str">
        <f>IF($A11&lt;&gt;"",MAXIFS(Token!$B:$B,Token!$A:$A,$D11),)</f>
        <v/>
      </c>
      <c r="G11" s="5" t="b">
        <f>OR(TRUE,AND(NOW()&gt;$G$9,NOW()&lt;=$G$10))</f>
        <v>1</v>
      </c>
      <c r="H11" s="5" t="str">
        <f>IFERROR(__xludf.DUMMYFUNCTION("""COMPUTED_VALUE"""),"64")</f>
        <v>64</v>
      </c>
      <c r="I11" s="5" t="str">
        <f>IFERROR(__xludf.DUMMYFUNCTION("""COMPUTED_VALUE"""),"2180000000")</f>
        <v>2180000000</v>
      </c>
      <c r="J11" s="5" t="str">
        <f>IFERROR(__xludf.DUMMYFUNCTION("""COMPUTED_VALUE"""),"8")</f>
        <v>8</v>
      </c>
      <c r="K11" s="5" t="str">
        <f>IFERROR(__xludf.DUMMYFUNCTION("""COMPUTED_VALUE"""),"agEUR")</f>
        <v>agEUR</v>
      </c>
      <c r="L11" s="5" t="str">
        <f>IFERROR(__xludf.DUMMYFUNCTION("""COMPUTED_VALUE"""),"1660982759")</f>
        <v>1660982759</v>
      </c>
    </row>
    <row r="12">
      <c r="A12" s="35" t="str">
        <f>IF(AND($L12*1&gt;=$G$3,$L12*1&lt;=$G$4,$I12*$J12&gt;0,CONCATENATE($H12:$L12)&lt;&gt;CONCATENATE($H13:$L13),$I12/POW(10,$J12)*MAXIFS(Token!$B:$B,Token!$A:$A,$K12)&gt;0.01),$L12/86400+DATE(1970,1,1)+IF($L12*1&gt;=$G$5,$G$6,0),)</f>
        <v/>
      </c>
      <c r="B12" s="22" t="str">
        <f t="shared" si="1"/>
        <v/>
      </c>
      <c r="C12" s="14" t="str">
        <f>IF($A12&lt;&gt;"",MINIFS(Merchant!$A:$A,Merchant!$B:$B,$G$2),)</f>
        <v/>
      </c>
      <c r="D12" s="14" t="str">
        <f t="shared" si="2"/>
        <v/>
      </c>
      <c r="E12" s="14" t="str">
        <f t="shared" si="3"/>
        <v/>
      </c>
      <c r="F12" s="6" t="str">
        <f>IF($A12&lt;&gt;"",MAXIFS(Token!$B:$B,Token!$A:$A,$D12),)</f>
        <v/>
      </c>
      <c r="H12" s="5" t="str">
        <f>IFERROR(__xludf.DUMMYFUNCTION("""COMPUTED_VALUE"""),"64")</f>
        <v>64</v>
      </c>
      <c r="I12" s="5" t="str">
        <f>IFERROR(__xludf.DUMMYFUNCTION("""COMPUTED_VALUE"""),"130000000")</f>
        <v>130000000</v>
      </c>
      <c r="J12" s="5" t="str">
        <f>IFERROR(__xludf.DUMMYFUNCTION("""COMPUTED_VALUE"""),"8")</f>
        <v>8</v>
      </c>
      <c r="K12" s="5" t="str">
        <f>IFERROR(__xludf.DUMMYFUNCTION("""COMPUTED_VALUE"""),"agEUR")</f>
        <v>agEUR</v>
      </c>
      <c r="L12" s="5" t="str">
        <f>IFERROR(__xludf.DUMMYFUNCTION("""COMPUTED_VALUE"""),"1660903076")</f>
        <v>1660903076</v>
      </c>
    </row>
    <row r="13">
      <c r="A13" s="35" t="str">
        <f>IF(AND($L13*1&gt;=$G$3,$L13*1&lt;=$G$4,$I13*$J13&gt;0,CONCATENATE($H13:$L13)&lt;&gt;CONCATENATE($H14:$L14),$I13/POW(10,$J13)*MAXIFS(Token!$B:$B,Token!$A:$A,$K13)&gt;0.01),$L13/86400+DATE(1970,1,1)+IF($L13*1&gt;=$G$5,$G$6,0),)</f>
        <v/>
      </c>
      <c r="B13" s="22" t="str">
        <f t="shared" si="1"/>
        <v/>
      </c>
      <c r="C13" s="14" t="str">
        <f>IF($A13&lt;&gt;"",MINIFS(Merchant!$A:$A,Merchant!$B:$B,$G$2),)</f>
        <v/>
      </c>
      <c r="D13" s="14" t="str">
        <f t="shared" si="2"/>
        <v/>
      </c>
      <c r="E13" s="14" t="str">
        <f t="shared" si="3"/>
        <v/>
      </c>
      <c r="F13" s="6" t="str">
        <f>IF($A13&lt;&gt;"",MAXIFS(Token!$B:$B,Token!$A:$A,$D13),)</f>
        <v/>
      </c>
      <c r="H13" s="5" t="str">
        <f>IFERROR(__xludf.DUMMYFUNCTION("""COMPUTED_VALUE"""),"64")</f>
        <v>64</v>
      </c>
      <c r="I13" s="5" t="str">
        <f>IFERROR(__xludf.DUMMYFUNCTION("""COMPUTED_VALUE"""),"460000000")</f>
        <v>460000000</v>
      </c>
      <c r="J13" s="5" t="str">
        <f>IFERROR(__xludf.DUMMYFUNCTION("""COMPUTED_VALUE"""),"8")</f>
        <v>8</v>
      </c>
      <c r="K13" s="5" t="str">
        <f>IFERROR(__xludf.DUMMYFUNCTION("""COMPUTED_VALUE"""),"agEUR")</f>
        <v>agEUR</v>
      </c>
      <c r="L13" s="5" t="str">
        <f>IFERROR(__xludf.DUMMYFUNCTION("""COMPUTED_VALUE"""),"1660897244")</f>
        <v>1660897244</v>
      </c>
    </row>
    <row r="14">
      <c r="A14" s="35" t="str">
        <f>IF(AND($L14*1&gt;=$G$3,$L14*1&lt;=$G$4,$I14*$J14&gt;0,CONCATENATE($H14:$L14)&lt;&gt;CONCATENATE($H15:$L15),$I14/POW(10,$J14)*MAXIFS(Token!$B:$B,Token!$A:$A,$K14)&gt;0.01),$L14/86400+DATE(1970,1,1)+IF($L14*1&gt;=$G$5,$G$6,0),)</f>
        <v/>
      </c>
      <c r="B14" s="22" t="str">
        <f t="shared" si="1"/>
        <v/>
      </c>
      <c r="C14" s="14" t="str">
        <f>IF($A14&lt;&gt;"",MINIFS(Merchant!$A:$A,Merchant!$B:$B,$G$2),)</f>
        <v/>
      </c>
      <c r="D14" s="14" t="str">
        <f t="shared" si="2"/>
        <v/>
      </c>
      <c r="E14" s="14" t="str">
        <f t="shared" si="3"/>
        <v/>
      </c>
      <c r="F14" s="6" t="str">
        <f>IF($A14&lt;&gt;"",MAXIFS(Token!$B:$B,Token!$A:$A,$D14),)</f>
        <v/>
      </c>
      <c r="H14" s="5" t="str">
        <f>IFERROR(__xludf.DUMMYFUNCTION("""COMPUTED_VALUE"""),"64")</f>
        <v>64</v>
      </c>
      <c r="I14" s="5" t="str">
        <f>IFERROR(__xludf.DUMMYFUNCTION("""COMPUTED_VALUE"""),"1000000")</f>
        <v>1000000</v>
      </c>
      <c r="J14" s="5" t="str">
        <f>IFERROR(__xludf.DUMMYFUNCTION("""COMPUTED_VALUE"""),"8")</f>
        <v>8</v>
      </c>
      <c r="K14" s="5" t="str">
        <f>IFERROR(__xludf.DUMMYFUNCTION("""COMPUTED_VALUE"""),"agEUR")</f>
        <v>agEUR</v>
      </c>
      <c r="L14" s="5" t="str">
        <f>IFERROR(__xludf.DUMMYFUNCTION("""COMPUTED_VALUE"""),"1660819903")</f>
        <v>1660819903</v>
      </c>
    </row>
    <row r="15">
      <c r="A15" s="35" t="str">
        <f>IF(AND($L15*1&gt;=$G$3,$L15*1&lt;=$G$4,$I15*$J15&gt;0,CONCATENATE($H15:$L15)&lt;&gt;CONCATENATE($H16:$L16),$I15/POW(10,$J15)*MAXIFS(Token!$B:$B,Token!$A:$A,$K15)&gt;0.01),$L15/86400+DATE(1970,1,1)+IF($L15*1&gt;=$G$5,$G$6,0),)</f>
        <v/>
      </c>
      <c r="B15" s="22" t="str">
        <f t="shared" si="1"/>
        <v/>
      </c>
      <c r="C15" s="14" t="str">
        <f>IF($A15&lt;&gt;"",MINIFS(Merchant!$A:$A,Merchant!$B:$B,$G$2),)</f>
        <v/>
      </c>
      <c r="D15" s="14" t="str">
        <f t="shared" si="2"/>
        <v/>
      </c>
      <c r="E15" s="14" t="str">
        <f t="shared" si="3"/>
        <v/>
      </c>
      <c r="F15" s="6" t="str">
        <f>IF($A15&lt;&gt;"",MAXIFS(Token!$B:$B,Token!$A:$A,$D15),)</f>
        <v/>
      </c>
      <c r="G15" s="35"/>
      <c r="H15" s="5" t="str">
        <f>IFERROR(__xludf.DUMMYFUNCTION("""COMPUTED_VALUE"""),"64")</f>
        <v>64</v>
      </c>
      <c r="I15" s="5" t="str">
        <f>IFERROR(__xludf.DUMMYFUNCTION("""COMPUTED_VALUE"""),"1000000")</f>
        <v>1000000</v>
      </c>
      <c r="J15" s="5" t="str">
        <f>IFERROR(__xludf.DUMMYFUNCTION("""COMPUTED_VALUE"""),"8")</f>
        <v>8</v>
      </c>
      <c r="K15" s="5" t="str">
        <f>IFERROR(__xludf.DUMMYFUNCTION("""COMPUTED_VALUE"""),"agEUR")</f>
        <v>agEUR</v>
      </c>
      <c r="L15" s="5" t="str">
        <f>IFERROR(__xludf.DUMMYFUNCTION("""COMPUTED_VALUE"""),"1660819899")</f>
        <v>1660819899</v>
      </c>
    </row>
    <row r="16">
      <c r="A16" s="35" t="str">
        <f>IF(AND($L16*1&gt;=$G$3,$L16*1&lt;=$G$4,$I16*$J16&gt;0,CONCATENATE($H16:$L16)&lt;&gt;CONCATENATE($H17:$L17),$I16/POW(10,$J16)*MAXIFS(Token!$B:$B,Token!$A:$A,$K16)&gt;0.01),$L16/86400+DATE(1970,1,1)+IF($L16*1&gt;=$G$5,$G$6,0),)</f>
        <v/>
      </c>
      <c r="B16" s="22" t="str">
        <f t="shared" si="1"/>
        <v/>
      </c>
      <c r="C16" s="14" t="str">
        <f>IF($A16&lt;&gt;"",MINIFS(Merchant!$A:$A,Merchant!$B:$B,$G$2),)</f>
        <v/>
      </c>
      <c r="D16" s="14" t="str">
        <f t="shared" si="2"/>
        <v/>
      </c>
      <c r="E16" s="14" t="str">
        <f t="shared" si="3"/>
        <v/>
      </c>
      <c r="F16" s="6" t="str">
        <f>IF($A16&lt;&gt;"",MAXIFS(Token!$B:$B,Token!$A:$A,$D16),)</f>
        <v/>
      </c>
      <c r="H16" s="5" t="str">
        <f>IFERROR(__xludf.DUMMYFUNCTION("""COMPUTED_VALUE"""),"64")</f>
        <v>64</v>
      </c>
      <c r="I16" s="5" t="str">
        <f>IFERROR(__xludf.DUMMYFUNCTION("""COMPUTED_VALUE"""),"1100000000")</f>
        <v>1100000000</v>
      </c>
      <c r="J16" s="5" t="str">
        <f>IFERROR(__xludf.DUMMYFUNCTION("""COMPUTED_VALUE"""),"8")</f>
        <v>8</v>
      </c>
      <c r="K16" s="5" t="str">
        <f>IFERROR(__xludf.DUMMYFUNCTION("""COMPUTED_VALUE"""),"agEUR")</f>
        <v>agEUR</v>
      </c>
      <c r="L16" s="5" t="str">
        <f>IFERROR(__xludf.DUMMYFUNCTION("""COMPUTED_VALUE"""),"1660819316")</f>
        <v>1660819316</v>
      </c>
    </row>
    <row r="17">
      <c r="A17" s="35" t="str">
        <f>IF(AND($L17*1&gt;=$G$3,$L17*1&lt;=$G$4,$I17*$J17&gt;0,CONCATENATE($H17:$L17)&lt;&gt;CONCATENATE($H18:$L18),$I17/POW(10,$J17)*MAXIFS(Token!$B:$B,Token!$A:$A,$K17)&gt;0.01),$L17/86400+DATE(1970,1,1)+IF($L17*1&gt;=$G$5,$G$6,0),)</f>
        <v/>
      </c>
      <c r="B17" s="22" t="str">
        <f t="shared" si="1"/>
        <v/>
      </c>
      <c r="C17" s="14" t="str">
        <f>IF($A17&lt;&gt;"",MINIFS(Merchant!$A:$A,Merchant!$B:$B,$G$2),)</f>
        <v/>
      </c>
      <c r="D17" s="14" t="str">
        <f t="shared" si="2"/>
        <v/>
      </c>
      <c r="E17" s="14" t="str">
        <f t="shared" si="3"/>
        <v/>
      </c>
      <c r="F17" s="6" t="str">
        <f>IF($A17&lt;&gt;"",MAXIFS(Token!$B:$B,Token!$A:$A,$D17),)</f>
        <v/>
      </c>
      <c r="H17" s="5" t="str">
        <f>IFERROR(__xludf.DUMMYFUNCTION("""COMPUTED_VALUE"""),"64")</f>
        <v>64</v>
      </c>
      <c r="I17" s="5" t="str">
        <f>IFERROR(__xludf.DUMMYFUNCTION("""COMPUTED_VALUE"""),"-10000")</f>
        <v>-10000</v>
      </c>
      <c r="J17" s="5" t="str">
        <f>IFERROR(__xludf.DUMMYFUNCTION("""COMPUTED_VALUE"""),"6")</f>
        <v>6</v>
      </c>
      <c r="K17" s="5" t="str">
        <f>IFERROR(__xludf.DUMMYFUNCTION("""COMPUTED_VALUE"""),"USDC")</f>
        <v>USDC</v>
      </c>
      <c r="L17" s="5" t="str">
        <f>IFERROR(__xludf.DUMMYFUNCTION("""COMPUTED_VALUE"""),"1659708871")</f>
        <v>1659708871</v>
      </c>
    </row>
    <row r="18">
      <c r="A18" s="35" t="str">
        <f>IF(AND($L18*1&gt;=$G$3,$L18*1&lt;=$G$4,$I18*$J18&gt;0,CONCATENATE($H18:$L18)&lt;&gt;CONCATENATE($H19:$L19),$I18/POW(10,$J18)*MAXIFS(Token!$B:$B,Token!$A:$A,$K18)&gt;0.01),$L18/86400+DATE(1970,1,1)+IF($L18*1&gt;=$G$5,$G$6,0),)</f>
        <v/>
      </c>
      <c r="B18" s="22" t="str">
        <f t="shared" si="1"/>
        <v/>
      </c>
      <c r="C18" s="14" t="str">
        <f>IF($A18&lt;&gt;"",MINIFS(Merchant!$A:$A,Merchant!$B:$B,$G$2),)</f>
        <v/>
      </c>
      <c r="D18" s="14" t="str">
        <f t="shared" si="2"/>
        <v/>
      </c>
      <c r="E18" s="14" t="str">
        <f t="shared" si="3"/>
        <v/>
      </c>
      <c r="F18" s="6" t="str">
        <f>IF($A18&lt;&gt;"",MAXIFS(Token!$B:$B,Token!$A:$A,$D18),)</f>
        <v/>
      </c>
      <c r="H18" s="5" t="str">
        <f>IFERROR(__xludf.DUMMYFUNCTION("""COMPUTED_VALUE"""),"64")</f>
        <v>64</v>
      </c>
      <c r="I18" s="5" t="str">
        <f>IFERROR(__xludf.DUMMYFUNCTION("""COMPUTED_VALUE"""),"10000")</f>
        <v>10000</v>
      </c>
      <c r="J18" s="5" t="str">
        <f>IFERROR(__xludf.DUMMYFUNCTION("""COMPUTED_VALUE"""),"6")</f>
        <v>6</v>
      </c>
      <c r="K18" s="5" t="str">
        <f>IFERROR(__xludf.DUMMYFUNCTION("""COMPUTED_VALUE"""),"USDC")</f>
        <v>USDC</v>
      </c>
      <c r="L18" s="5" t="str">
        <f>IFERROR(__xludf.DUMMYFUNCTION("""COMPUTED_VALUE"""),"1659492439")</f>
        <v>1659492439</v>
      </c>
    </row>
    <row r="19">
      <c r="A19" s="35" t="str">
        <f>IF(AND($L19*1&gt;=$G$3,$L19*1&lt;=$G$4,$I19*$J19&gt;0,CONCATENATE($H19:$L19)&lt;&gt;CONCATENATE($H20:$L20),$I19/POW(10,$J19)*MAXIFS(Token!$B:$B,Token!$A:$A,$K19)&gt;0.01),$L19/86400+DATE(1970,1,1)+IF($L19*1&gt;=$G$5,$G$6,0),)</f>
        <v/>
      </c>
      <c r="B19" s="22" t="str">
        <f t="shared" si="1"/>
        <v/>
      </c>
      <c r="C19" s="14" t="str">
        <f>IF($A19&lt;&gt;"",MINIFS(Merchant!$A:$A,Merchant!$B:$B,$G$2),)</f>
        <v/>
      </c>
      <c r="D19" s="14" t="str">
        <f t="shared" si="2"/>
        <v/>
      </c>
      <c r="E19" s="14" t="str">
        <f t="shared" si="3"/>
        <v/>
      </c>
      <c r="F19" s="6" t="str">
        <f>IF($A19&lt;&gt;"",MAXIFS(Token!$B:$B,Token!$A:$A,$D19),)</f>
        <v/>
      </c>
      <c r="H19" s="5" t="str">
        <f>IFERROR(__xludf.DUMMYFUNCTION("""COMPUTED_VALUE"""),"64")</f>
        <v>64</v>
      </c>
      <c r="I19" s="5" t="str">
        <f>IFERROR(__xludf.DUMMYFUNCTION("""COMPUTED_VALUE"""),"-1310000000")</f>
        <v>-1310000000</v>
      </c>
      <c r="J19" s="5" t="str">
        <f>IFERROR(__xludf.DUMMYFUNCTION("""COMPUTED_VALUE"""),"8")</f>
        <v>8</v>
      </c>
      <c r="K19" s="5" t="str">
        <f>IFERROR(__xludf.DUMMYFUNCTION("""COMPUTED_VALUE"""),"agEUR")</f>
        <v>agEUR</v>
      </c>
      <c r="L19" s="5" t="str">
        <f>IFERROR(__xludf.DUMMYFUNCTION("""COMPUTED_VALUE"""),"1659373981")</f>
        <v>1659373981</v>
      </c>
    </row>
    <row r="20">
      <c r="A20" s="35" t="str">
        <f>IF(AND($L20*1&gt;=$G$3,$L20*1&lt;=$G$4,$I20*$J20&gt;0,CONCATENATE($H20:$L20)&lt;&gt;CONCATENATE($H21:$L21),$I20/POW(10,$J20)*MAXIFS(Token!$B:$B,Token!$A:$A,$K20)&gt;0.01),$L20/86400+DATE(1970,1,1)+IF($L20*1&gt;=$G$5,$G$6,0),)</f>
        <v/>
      </c>
      <c r="B20" s="22" t="str">
        <f t="shared" si="1"/>
        <v/>
      </c>
      <c r="C20" s="14" t="str">
        <f>IF($A20&lt;&gt;"",MINIFS(Merchant!$A:$A,Merchant!$B:$B,$G$2),)</f>
        <v/>
      </c>
      <c r="D20" s="14" t="str">
        <f t="shared" si="2"/>
        <v/>
      </c>
      <c r="E20" s="14" t="str">
        <f t="shared" si="3"/>
        <v/>
      </c>
      <c r="F20" s="6" t="str">
        <f>IF($A20&lt;&gt;"",MAXIFS(Token!$B:$B,Token!$A:$A,$D20),)</f>
        <v/>
      </c>
      <c r="H20" s="5" t="str">
        <f>IFERROR(__xludf.DUMMYFUNCTION("""COMPUTED_VALUE"""),"64")</f>
        <v>64</v>
      </c>
      <c r="I20" s="5" t="str">
        <f>IFERROR(__xludf.DUMMYFUNCTION("""COMPUTED_VALUE"""),"1300000000")</f>
        <v>1300000000</v>
      </c>
      <c r="J20" s="5" t="str">
        <f>IFERROR(__xludf.DUMMYFUNCTION("""COMPUTED_VALUE"""),"8")</f>
        <v>8</v>
      </c>
      <c r="K20" s="5" t="str">
        <f>IFERROR(__xludf.DUMMYFUNCTION("""COMPUTED_VALUE"""),"agEUR")</f>
        <v>agEUR</v>
      </c>
      <c r="L20" s="5" t="str">
        <f>IFERROR(__xludf.DUMMYFUNCTION("""COMPUTED_VALUE"""),"1659243809")</f>
        <v>1659243809</v>
      </c>
    </row>
    <row r="21">
      <c r="A21" s="35" t="str">
        <f>IF(AND($L21*1&gt;=$G$3,$L21*1&lt;=$G$4,$I21*$J21&gt;0,CONCATENATE($H21:$L21)&lt;&gt;CONCATENATE($H22:$L22),$I21/POW(10,$J21)*MAXIFS(Token!$B:$B,Token!$A:$A,$K21)&gt;0.01),$L21/86400+DATE(1970,1,1)+IF($L21*1&gt;=$G$5,$G$6,0),)</f>
        <v/>
      </c>
      <c r="B21" s="22" t="str">
        <f t="shared" si="1"/>
        <v/>
      </c>
      <c r="C21" s="14" t="str">
        <f>IF($A21&lt;&gt;"",MINIFS(Merchant!$A:$A,Merchant!$B:$B,$G$2),)</f>
        <v/>
      </c>
      <c r="D21" s="14" t="str">
        <f t="shared" si="2"/>
        <v/>
      </c>
      <c r="E21" s="14" t="str">
        <f t="shared" si="3"/>
        <v/>
      </c>
      <c r="F21" s="6" t="str">
        <f>IF($A21&lt;&gt;"",MAXIFS(Token!$B:$B,Token!$A:$A,$D21),)</f>
        <v/>
      </c>
      <c r="H21" s="5" t="str">
        <f>IFERROR(__xludf.DUMMYFUNCTION("""COMPUTED_VALUE"""),"64")</f>
        <v>64</v>
      </c>
      <c r="I21" s="5" t="str">
        <f>IFERROR(__xludf.DUMMYFUNCTION("""COMPUTED_VALUE"""),"10000000")</f>
        <v>10000000</v>
      </c>
      <c r="J21" s="5" t="str">
        <f>IFERROR(__xludf.DUMMYFUNCTION("""COMPUTED_VALUE"""),"8")</f>
        <v>8</v>
      </c>
      <c r="K21" s="5" t="str">
        <f>IFERROR(__xludf.DUMMYFUNCTION("""COMPUTED_VALUE"""),"agEUR")</f>
        <v>agEUR</v>
      </c>
      <c r="L21" s="5" t="str">
        <f>IFERROR(__xludf.DUMMYFUNCTION("""COMPUTED_VALUE"""),"1659207284")</f>
        <v>1659207284</v>
      </c>
    </row>
    <row r="22">
      <c r="A22" s="35" t="str">
        <f>IF(AND($L22*1&gt;=$G$3,$L22*1&lt;=$G$4,$I22*$J22&gt;0,CONCATENATE($H22:$L22)&lt;&gt;CONCATENATE($H23:$L23),$I22/POW(10,$J22)*MAXIFS(Token!$B:$B,Token!$A:$A,$K22)&gt;0.01),$L22/86400+DATE(1970,1,1)+IF($L22*1&gt;=$G$5,$G$6,0),)</f>
        <v/>
      </c>
      <c r="B22" s="22" t="str">
        <f t="shared" si="1"/>
        <v/>
      </c>
      <c r="C22" s="14" t="str">
        <f>IF($A22&lt;&gt;"",MINIFS(Merchant!$A:$A,Merchant!$B:$B,$G$2),)</f>
        <v/>
      </c>
      <c r="D22" s="14" t="str">
        <f t="shared" si="2"/>
        <v/>
      </c>
      <c r="E22" s="14" t="str">
        <f t="shared" si="3"/>
        <v/>
      </c>
      <c r="F22" s="6" t="str">
        <f>IF($A22&lt;&gt;"",MAXIFS(Token!$B:$B,Token!$A:$A,$D22),)</f>
        <v/>
      </c>
      <c r="H22" s="5" t="str">
        <f>IFERROR(__xludf.DUMMYFUNCTION("""COMPUTED_VALUE"""),"64")</f>
        <v>64</v>
      </c>
      <c r="I22" s="5" t="str">
        <f>IFERROR(__xludf.DUMMYFUNCTION("""COMPUTED_VALUE"""),"-1879999999")</f>
        <v>-1879999999</v>
      </c>
      <c r="J22" s="5" t="str">
        <f>IFERROR(__xludf.DUMMYFUNCTION("""COMPUTED_VALUE"""),"8")</f>
        <v>8</v>
      </c>
      <c r="K22" s="5" t="str">
        <f>IFERROR(__xludf.DUMMYFUNCTION("""COMPUTED_VALUE"""),"agEUR")</f>
        <v>agEUR</v>
      </c>
      <c r="L22" s="5" t="str">
        <f>IFERROR(__xludf.DUMMYFUNCTION("""COMPUTED_VALUE"""),"1659203368")</f>
        <v>1659203368</v>
      </c>
    </row>
    <row r="23">
      <c r="A23" s="35" t="str">
        <f>IF(AND($L23*1&gt;=$G$3,$L23*1&lt;=$G$4,$I23*$J23&gt;0,CONCATENATE($H23:$L23)&lt;&gt;CONCATENATE($H24:$L24),$I23/POW(10,$J23)*MAXIFS(Token!$B:$B,Token!$A:$A,$K23)&gt;0.01),$L23/86400+DATE(1970,1,1)+IF($L23*1&gt;=$G$5,$G$6,0),)</f>
        <v/>
      </c>
      <c r="B23" s="22" t="str">
        <f t="shared" si="1"/>
        <v/>
      </c>
      <c r="C23" s="14" t="str">
        <f>IF($A23&lt;&gt;"",MINIFS(Merchant!$A:$A,Merchant!$B:$B,$G$2),)</f>
        <v/>
      </c>
      <c r="D23" s="14" t="str">
        <f t="shared" si="2"/>
        <v/>
      </c>
      <c r="E23" s="14" t="str">
        <f t="shared" si="3"/>
        <v/>
      </c>
      <c r="F23" s="6" t="str">
        <f>IF($A23&lt;&gt;"",MAXIFS(Token!$B:$B,Token!$A:$A,$D23),)</f>
        <v/>
      </c>
      <c r="H23" s="5" t="str">
        <f>IFERROR(__xludf.DUMMYFUNCTION("""COMPUTED_VALUE"""),"64")</f>
        <v>64</v>
      </c>
      <c r="I23" s="5" t="str">
        <f>IFERROR(__xludf.DUMMYFUNCTION("""COMPUTED_VALUE"""),"-1")</f>
        <v>-1</v>
      </c>
      <c r="J23" s="5" t="str">
        <f>IFERROR(__xludf.DUMMYFUNCTION("""COMPUTED_VALUE"""),"8")</f>
        <v>8</v>
      </c>
      <c r="K23" s="5" t="str">
        <f>IFERROR(__xludf.DUMMYFUNCTION("""COMPUTED_VALUE"""),"agEUR")</f>
        <v>agEUR</v>
      </c>
      <c r="L23" s="5" t="str">
        <f>IFERROR(__xludf.DUMMYFUNCTION("""COMPUTED_VALUE"""),"1659202861")</f>
        <v>1659202861</v>
      </c>
    </row>
    <row r="24">
      <c r="A24" s="35" t="str">
        <f>IF(AND($L24*1&gt;=$G$3,$L24*1&lt;=$G$4,$I24*$J24&gt;0,CONCATENATE($H24:$L24)&lt;&gt;CONCATENATE($H25:$L25),$I24/POW(10,$J24)*MAXIFS(Token!$B:$B,Token!$A:$A,$K24)&gt;0.01),$L24/86400+DATE(1970,1,1)+IF($L24*1&gt;=$G$5,$G$6,0),)</f>
        <v/>
      </c>
      <c r="B24" s="22" t="str">
        <f t="shared" si="1"/>
        <v/>
      </c>
      <c r="C24" s="14" t="str">
        <f>IF($A24&lt;&gt;"",MINIFS(Merchant!$A:$A,Merchant!$B:$B,$G$2),)</f>
        <v/>
      </c>
      <c r="D24" s="14" t="str">
        <f t="shared" si="2"/>
        <v/>
      </c>
      <c r="E24" s="14" t="str">
        <f t="shared" si="3"/>
        <v/>
      </c>
      <c r="F24" s="6" t="str">
        <f>IF($A24&lt;&gt;"",MAXIFS(Token!$B:$B,Token!$A:$A,$D24),)</f>
        <v/>
      </c>
      <c r="H24" s="5" t="str">
        <f>IFERROR(__xludf.DUMMYFUNCTION("""COMPUTED_VALUE"""),"64")</f>
        <v>64</v>
      </c>
      <c r="I24" s="5" t="str">
        <f>IFERROR(__xludf.DUMMYFUNCTION("""COMPUTED_VALUE"""),"-2000000000")</f>
        <v>-2000000000</v>
      </c>
      <c r="J24" s="5" t="str">
        <f>IFERROR(__xludf.DUMMYFUNCTION("""COMPUTED_VALUE"""),"8")</f>
        <v>8</v>
      </c>
      <c r="K24" s="5" t="str">
        <f>IFERROR(__xludf.DUMMYFUNCTION("""COMPUTED_VALUE"""),"agEUR")</f>
        <v>agEUR</v>
      </c>
      <c r="L24" s="5" t="str">
        <f>IFERROR(__xludf.DUMMYFUNCTION("""COMPUTED_VALUE"""),"1659202051")</f>
        <v>1659202051</v>
      </c>
    </row>
    <row r="25">
      <c r="A25" s="35" t="str">
        <f>IF(AND($L25*1&gt;=$G$3,$L25*1&lt;=$G$4,$I25*$J25&gt;0,CONCATENATE($H25:$L25)&lt;&gt;CONCATENATE($H26:$L26),$I25/POW(10,$J25)*MAXIFS(Token!$B:$B,Token!$A:$A,$K25)&gt;0.01),$L25/86400+DATE(1970,1,1)+IF($L25*1&gt;=$G$5,$G$6,0),)</f>
        <v/>
      </c>
      <c r="B25" s="22" t="str">
        <f t="shared" si="1"/>
        <v/>
      </c>
      <c r="C25" s="14" t="str">
        <f>IF($A25&lt;&gt;"",MINIFS(Merchant!$A:$A,Merchant!$B:$B,$G$2),)</f>
        <v/>
      </c>
      <c r="D25" s="14" t="str">
        <f t="shared" si="2"/>
        <v/>
      </c>
      <c r="E25" s="14" t="str">
        <f t="shared" si="3"/>
        <v/>
      </c>
      <c r="F25" s="6" t="str">
        <f>IF($A25&lt;&gt;"",MAXIFS(Token!$B:$B,Token!$A:$A,$D25),)</f>
        <v/>
      </c>
      <c r="H25" s="5" t="str">
        <f>IFERROR(__xludf.DUMMYFUNCTION("""COMPUTED_VALUE"""),"64")</f>
        <v>64</v>
      </c>
      <c r="I25" s="5" t="str">
        <f>IFERROR(__xludf.DUMMYFUNCTION("""COMPUTED_VALUE"""),"1800000000")</f>
        <v>1800000000</v>
      </c>
      <c r="J25" s="5" t="str">
        <f>IFERROR(__xludf.DUMMYFUNCTION("""COMPUTED_VALUE"""),"8")</f>
        <v>8</v>
      </c>
      <c r="K25" s="5" t="str">
        <f>IFERROR(__xludf.DUMMYFUNCTION("""COMPUTED_VALUE"""),"agEUR")</f>
        <v>agEUR</v>
      </c>
      <c r="L25" s="5" t="str">
        <f>IFERROR(__xludf.DUMMYFUNCTION("""COMPUTED_VALUE"""),"1659176889")</f>
        <v>1659176889</v>
      </c>
    </row>
    <row r="26">
      <c r="A26" s="35" t="str">
        <f>IF(AND($L26*1&gt;=$G$3,$L26*1&lt;=$G$4,$I26*$J26&gt;0,CONCATENATE($H26:$L26)&lt;&gt;CONCATENATE($H27:$L27),$I26/POW(10,$J26)*MAXIFS(Token!$B:$B,Token!$A:$A,$K26)&gt;0.01),$L26/86400+DATE(1970,1,1)+IF($L26*1&gt;=$G$5,$G$6,0),)</f>
        <v/>
      </c>
      <c r="B26" s="22" t="str">
        <f t="shared" si="1"/>
        <v/>
      </c>
      <c r="C26" s="14" t="str">
        <f>IF($A26&lt;&gt;"",MINIFS(Merchant!$A:$A,Merchant!$B:$B,$G$2),)</f>
        <v/>
      </c>
      <c r="D26" s="14" t="str">
        <f t="shared" si="2"/>
        <v/>
      </c>
      <c r="E26" s="14" t="str">
        <f t="shared" si="3"/>
        <v/>
      </c>
      <c r="F26" s="6" t="str">
        <f>IF($A26&lt;&gt;"",MAXIFS(Token!$B:$B,Token!$A:$A,$D26),)</f>
        <v/>
      </c>
      <c r="H26" s="5" t="str">
        <f>IFERROR(__xludf.DUMMYFUNCTION("""COMPUTED_VALUE"""),"64")</f>
        <v>64</v>
      </c>
      <c r="I26" s="5" t="str">
        <f>IFERROR(__xludf.DUMMYFUNCTION("""COMPUTED_VALUE"""),"300000000")</f>
        <v>300000000</v>
      </c>
      <c r="J26" s="5" t="str">
        <f>IFERROR(__xludf.DUMMYFUNCTION("""COMPUTED_VALUE"""),"8")</f>
        <v>8</v>
      </c>
      <c r="K26" s="5" t="str">
        <f>IFERROR(__xludf.DUMMYFUNCTION("""COMPUTED_VALUE"""),"agEUR")</f>
        <v>agEUR</v>
      </c>
      <c r="L26" s="5" t="str">
        <f>IFERROR(__xludf.DUMMYFUNCTION("""COMPUTED_VALUE"""),"1659090549")</f>
        <v>1659090549</v>
      </c>
    </row>
    <row r="27">
      <c r="A27" s="35" t="str">
        <f>IF(AND($L27*1&gt;=$G$3,$L27*1&lt;=$G$4,$I27*$J27&gt;0,CONCATENATE($H27:$L27)&lt;&gt;CONCATENATE($H28:$L28),$I27/POW(10,$J27)*MAXIFS(Token!$B:$B,Token!$A:$A,$K27)&gt;0.01),$L27/86400+DATE(1970,1,1)+IF($L27*1&gt;=$G$5,$G$6,0),)</f>
        <v/>
      </c>
      <c r="B27" s="22" t="str">
        <f t="shared" si="1"/>
        <v/>
      </c>
      <c r="C27" s="14" t="str">
        <f>IF($A27&lt;&gt;"",MINIFS(Merchant!$A:$A,Merchant!$B:$B,$G$2),)</f>
        <v/>
      </c>
      <c r="D27" s="14" t="str">
        <f t="shared" si="2"/>
        <v/>
      </c>
      <c r="E27" s="14" t="str">
        <f t="shared" si="3"/>
        <v/>
      </c>
      <c r="F27" s="6" t="str">
        <f>IF($A27&lt;&gt;"",MAXIFS(Token!$B:$B,Token!$A:$A,$D27),)</f>
        <v/>
      </c>
      <c r="H27" s="5" t="str">
        <f>IFERROR(__xludf.DUMMYFUNCTION("""COMPUTED_VALUE"""),"64")</f>
        <v>64</v>
      </c>
      <c r="I27" s="5" t="str">
        <f>IFERROR(__xludf.DUMMYFUNCTION("""COMPUTED_VALUE"""),"350000000")</f>
        <v>350000000</v>
      </c>
      <c r="J27" s="5" t="str">
        <f>IFERROR(__xludf.DUMMYFUNCTION("""COMPUTED_VALUE"""),"8")</f>
        <v>8</v>
      </c>
      <c r="K27" s="5" t="str">
        <f>IFERROR(__xludf.DUMMYFUNCTION("""COMPUTED_VALUE"""),"agEUR")</f>
        <v>agEUR</v>
      </c>
      <c r="L27" s="5" t="str">
        <f>IFERROR(__xludf.DUMMYFUNCTION("""COMPUTED_VALUE"""),"1658993653")</f>
        <v>1658993653</v>
      </c>
    </row>
    <row r="28">
      <c r="A28" s="35" t="str">
        <f>IF(AND($L28*1&gt;=$G$3,$L28*1&lt;=$G$4,$I28*$J28&gt;0,CONCATENATE($H28:$L28)&lt;&gt;CONCATENATE($H29:$L29),$I28/POW(10,$J28)*MAXIFS(Token!$B:$B,Token!$A:$A,$K28)&gt;0.01),$L28/86400+DATE(1970,1,1)+IF($L28*1&gt;=$G$5,$G$6,0),)</f>
        <v/>
      </c>
      <c r="B28" s="22" t="str">
        <f t="shared" si="1"/>
        <v/>
      </c>
      <c r="C28" s="14" t="str">
        <f>IF($A28&lt;&gt;"",MINIFS(Merchant!$A:$A,Merchant!$B:$B,$G$2),)</f>
        <v/>
      </c>
      <c r="D28" s="14" t="str">
        <f t="shared" si="2"/>
        <v/>
      </c>
      <c r="E28" s="14" t="str">
        <f t="shared" si="3"/>
        <v/>
      </c>
      <c r="F28" s="6" t="str">
        <f>IF($A28&lt;&gt;"",MAXIFS(Token!$B:$B,Token!$A:$A,$D28),)</f>
        <v/>
      </c>
      <c r="H28" s="5" t="str">
        <f>IFERROR(__xludf.DUMMYFUNCTION("""COMPUTED_VALUE"""),"64")</f>
        <v>64</v>
      </c>
      <c r="I28" s="5" t="str">
        <f>IFERROR(__xludf.DUMMYFUNCTION("""COMPUTED_VALUE"""),"1080000000")</f>
        <v>1080000000</v>
      </c>
      <c r="J28" s="5" t="str">
        <f>IFERROR(__xludf.DUMMYFUNCTION("""COMPUTED_VALUE"""),"8")</f>
        <v>8</v>
      </c>
      <c r="K28" s="5" t="str">
        <f>IFERROR(__xludf.DUMMYFUNCTION("""COMPUTED_VALUE"""),"agEUR")</f>
        <v>agEUR</v>
      </c>
      <c r="L28" s="5" t="str">
        <f>IFERROR(__xludf.DUMMYFUNCTION("""COMPUTED_VALUE"""),"1658918301")</f>
        <v>1658918301</v>
      </c>
    </row>
    <row r="29">
      <c r="A29" s="35" t="str">
        <f>IF(AND($L29*1&gt;=$G$3,$L29*1&lt;=$G$4,$I29*$J29&gt;0,CONCATENATE($H29:$L29)&lt;&gt;CONCATENATE($H30:$L30),$I29/POW(10,$J29)*MAXIFS(Token!$B:$B,Token!$A:$A,$K29)&gt;0.01),$L29/86400+DATE(1970,1,1)+IF($L29*1&gt;=$G$5,$G$6,0),)</f>
        <v/>
      </c>
      <c r="B29" s="22" t="str">
        <f t="shared" si="1"/>
        <v/>
      </c>
      <c r="C29" s="14" t="str">
        <f>IF($A29&lt;&gt;"",MINIFS(Merchant!$A:$A,Merchant!$B:$B,$G$2),)</f>
        <v/>
      </c>
      <c r="D29" s="14" t="str">
        <f t="shared" si="2"/>
        <v/>
      </c>
      <c r="E29" s="14" t="str">
        <f t="shared" si="3"/>
        <v/>
      </c>
      <c r="F29" s="6" t="str">
        <f>IF($A29&lt;&gt;"",MAXIFS(Token!$B:$B,Token!$A:$A,$D29),)</f>
        <v/>
      </c>
      <c r="H29" s="5" t="str">
        <f>IFERROR(__xludf.DUMMYFUNCTION("""COMPUTED_VALUE"""),"64")</f>
        <v>64</v>
      </c>
      <c r="I29" s="5" t="str">
        <f>IFERROR(__xludf.DUMMYFUNCTION("""COMPUTED_VALUE"""),"350000000")</f>
        <v>350000000</v>
      </c>
      <c r="J29" s="5" t="str">
        <f>IFERROR(__xludf.DUMMYFUNCTION("""COMPUTED_VALUE"""),"8")</f>
        <v>8</v>
      </c>
      <c r="K29" s="5" t="str">
        <f>IFERROR(__xludf.DUMMYFUNCTION("""COMPUTED_VALUE"""),"agEUR")</f>
        <v>agEUR</v>
      </c>
      <c r="L29" s="5" t="str">
        <f>IFERROR(__xludf.DUMMYFUNCTION("""COMPUTED_VALUE"""),"1658738149")</f>
        <v>1658738149</v>
      </c>
    </row>
    <row r="30">
      <c r="A30" s="35" t="str">
        <f>IF(AND($L30*1&gt;=$G$3,$L30*1&lt;=$G$4,$I30*$J30&gt;0,CONCATENATE($H30:$L30)&lt;&gt;CONCATENATE($H31:$L31),$I30/POW(10,$J30)*MAXIFS(Token!$B:$B,Token!$A:$A,$K30)&gt;0.01),$L30/86400+DATE(1970,1,1)+IF($L30*1&gt;=$G$5,$G$6,0),)</f>
        <v/>
      </c>
      <c r="B30" s="22" t="str">
        <f t="shared" si="1"/>
        <v/>
      </c>
      <c r="C30" s="14" t="str">
        <f>IF($A30&lt;&gt;"",MINIFS(Merchant!$A:$A,Merchant!$B:$B,$G$2),)</f>
        <v/>
      </c>
      <c r="D30" s="14" t="str">
        <f t="shared" si="2"/>
        <v/>
      </c>
      <c r="E30" s="14" t="str">
        <f t="shared" si="3"/>
        <v/>
      </c>
      <c r="F30" s="6" t="str">
        <f>IF($A30&lt;&gt;"",MAXIFS(Token!$B:$B,Token!$A:$A,$D30),)</f>
        <v/>
      </c>
      <c r="H30" s="5" t="str">
        <f>IFERROR(__xludf.DUMMYFUNCTION("""COMPUTED_VALUE"""),"64")</f>
        <v>64</v>
      </c>
      <c r="I30" s="5" t="str">
        <f>IFERROR(__xludf.DUMMYFUNCTION("""COMPUTED_VALUE"""),"-1920000000")</f>
        <v>-1920000000</v>
      </c>
      <c r="J30" s="5" t="str">
        <f>IFERROR(__xludf.DUMMYFUNCTION("""COMPUTED_VALUE"""),"8")</f>
        <v>8</v>
      </c>
      <c r="K30" s="5" t="str">
        <f>IFERROR(__xludf.DUMMYFUNCTION("""COMPUTED_VALUE"""),"agEUR")</f>
        <v>agEUR</v>
      </c>
      <c r="L30" s="5" t="str">
        <f>IFERROR(__xludf.DUMMYFUNCTION("""COMPUTED_VALUE"""),"1658690651")</f>
        <v>1658690651</v>
      </c>
    </row>
    <row r="31">
      <c r="A31" s="35" t="str">
        <f>IF(AND($L31*1&gt;=$G$3,$L31*1&lt;=$G$4,$I31*$J31&gt;0,CONCATENATE($H31:$L31)&lt;&gt;CONCATENATE($H32:$L32),$I31/POW(10,$J31)*MAXIFS(Token!$B:$B,Token!$A:$A,$K31)&gt;0.01),$L31/86400+DATE(1970,1,1)+IF($L31*1&gt;=$G$5,$G$6,0),)</f>
        <v/>
      </c>
      <c r="B31" s="22" t="str">
        <f t="shared" si="1"/>
        <v/>
      </c>
      <c r="C31" s="14" t="str">
        <f>IF($A31&lt;&gt;"",MINIFS(Merchant!$A:$A,Merchant!$B:$B,$G$2),)</f>
        <v/>
      </c>
      <c r="D31" s="14" t="str">
        <f t="shared" si="2"/>
        <v/>
      </c>
      <c r="E31" s="14" t="str">
        <f t="shared" si="3"/>
        <v/>
      </c>
      <c r="F31" s="6" t="str">
        <f>IF($A31&lt;&gt;"",MAXIFS(Token!$B:$B,Token!$A:$A,$D31),)</f>
        <v/>
      </c>
      <c r="H31" s="5" t="str">
        <f>IFERROR(__xludf.DUMMYFUNCTION("""COMPUTED_VALUE"""),"64")</f>
        <v>64</v>
      </c>
      <c r="I31" s="5" t="str">
        <f>IFERROR(__xludf.DUMMYFUNCTION("""COMPUTED_VALUE"""),"1620000000")</f>
        <v>1620000000</v>
      </c>
      <c r="J31" s="5" t="str">
        <f>IFERROR(__xludf.DUMMYFUNCTION("""COMPUTED_VALUE"""),"8")</f>
        <v>8</v>
      </c>
      <c r="K31" s="5" t="str">
        <f>IFERROR(__xludf.DUMMYFUNCTION("""COMPUTED_VALUE"""),"agEUR")</f>
        <v>agEUR</v>
      </c>
      <c r="L31" s="5" t="str">
        <f>IFERROR(__xludf.DUMMYFUNCTION("""COMPUTED_VALUE"""),"1658660497")</f>
        <v>1658660497</v>
      </c>
    </row>
    <row r="32">
      <c r="A32" s="35" t="str">
        <f>IF(AND($L32*1&gt;=$G$3,$L32*1&lt;=$G$4,$I32*$J32&gt;0,CONCATENATE($H32:$L32)&lt;&gt;CONCATENATE($H33:$L33),$I32/POW(10,$J32)*MAXIFS(Token!$B:$B,Token!$A:$A,$K32)&gt;0.01),$L32/86400+DATE(1970,1,1)+IF($L32*1&gt;=$G$5,$G$6,0),)</f>
        <v/>
      </c>
      <c r="B32" s="22" t="str">
        <f t="shared" si="1"/>
        <v/>
      </c>
      <c r="C32" s="14" t="str">
        <f>IF($A32&lt;&gt;"",MINIFS(Merchant!$A:$A,Merchant!$B:$B,$G$2),)</f>
        <v/>
      </c>
      <c r="D32" s="14" t="str">
        <f t="shared" si="2"/>
        <v/>
      </c>
      <c r="E32" s="14" t="str">
        <f t="shared" si="3"/>
        <v/>
      </c>
      <c r="F32" s="6" t="str">
        <f>IF($A32&lt;&gt;"",MAXIFS(Token!$B:$B,Token!$A:$A,$D32),)</f>
        <v/>
      </c>
      <c r="H32" s="5" t="str">
        <f>IFERROR(__xludf.DUMMYFUNCTION("""COMPUTED_VALUE"""),"64")</f>
        <v>64</v>
      </c>
      <c r="I32" s="5" t="str">
        <f>IFERROR(__xludf.DUMMYFUNCTION("""COMPUTED_VALUE"""),"300000000")</f>
        <v>300000000</v>
      </c>
      <c r="J32" s="5" t="str">
        <f>IFERROR(__xludf.DUMMYFUNCTION("""COMPUTED_VALUE"""),"8")</f>
        <v>8</v>
      </c>
      <c r="K32" s="5" t="str">
        <f>IFERROR(__xludf.DUMMYFUNCTION("""COMPUTED_VALUE"""),"agEUR")</f>
        <v>agEUR</v>
      </c>
      <c r="L32" s="5" t="str">
        <f>IFERROR(__xludf.DUMMYFUNCTION("""COMPUTED_VALUE"""),"1658482665")</f>
        <v>1658482665</v>
      </c>
    </row>
    <row r="33">
      <c r="A33" s="35" t="str">
        <f>IF(AND($L33*1&gt;=$G$3,$L33*1&lt;=$G$4,$I33*$J33&gt;0,CONCATENATE($H33:$L33)&lt;&gt;CONCATENATE($H34:$L34),$I33/POW(10,$J33)*MAXIFS(Token!$B:$B,Token!$A:$A,$K33)&gt;0.01),$L33/86400+DATE(1970,1,1)+IF($L33*1&gt;=$G$5,$G$6,0),)</f>
        <v/>
      </c>
      <c r="B33" s="22" t="str">
        <f t="shared" si="1"/>
        <v/>
      </c>
      <c r="C33" s="14" t="str">
        <f>IF($A33&lt;&gt;"",MINIFS(Merchant!$A:$A,Merchant!$B:$B,$G$2),)</f>
        <v/>
      </c>
      <c r="D33" s="14" t="str">
        <f t="shared" si="2"/>
        <v/>
      </c>
      <c r="E33" s="14" t="str">
        <f t="shared" si="3"/>
        <v/>
      </c>
      <c r="F33" s="6" t="str">
        <f>IF($A33&lt;&gt;"",MAXIFS(Token!$B:$B,Token!$A:$A,$D33),)</f>
        <v/>
      </c>
      <c r="H33" s="5" t="str">
        <f>IFERROR(__xludf.DUMMYFUNCTION("""COMPUTED_VALUE"""),"64")</f>
        <v>64</v>
      </c>
      <c r="I33" s="5" t="str">
        <f>IFERROR(__xludf.DUMMYFUNCTION("""COMPUTED_VALUE"""),"-3374999999")</f>
        <v>-3374999999</v>
      </c>
      <c r="J33" s="5" t="str">
        <f>IFERROR(__xludf.DUMMYFUNCTION("""COMPUTED_VALUE"""),"8")</f>
        <v>8</v>
      </c>
      <c r="K33" s="5" t="str">
        <f>IFERROR(__xludf.DUMMYFUNCTION("""COMPUTED_VALUE"""),"agEUR")</f>
        <v>agEUR</v>
      </c>
      <c r="L33" s="5" t="str">
        <f>IFERROR(__xludf.DUMMYFUNCTION("""COMPUTED_VALUE"""),"1658096375")</f>
        <v>1658096375</v>
      </c>
    </row>
    <row r="34">
      <c r="A34" s="35" t="str">
        <f>IF(AND($L34*1&gt;=$G$3,$L34*1&lt;=$G$4,$I34*$J34&gt;0,CONCATENATE($H34:$L34)&lt;&gt;CONCATENATE($H35:$L35),$I34/POW(10,$J34)*MAXIFS(Token!$B:$B,Token!$A:$A,$K34)&gt;0.01),$L34/86400+DATE(1970,1,1)+IF($L34*1&gt;=$G$5,$G$6,0),)</f>
        <v/>
      </c>
      <c r="B34" s="22" t="str">
        <f t="shared" si="1"/>
        <v/>
      </c>
      <c r="C34" s="14" t="str">
        <f>IF($A34&lt;&gt;"",MINIFS(Merchant!$A:$A,Merchant!$B:$B,$G$2),)</f>
        <v/>
      </c>
      <c r="D34" s="14" t="str">
        <f t="shared" si="2"/>
        <v/>
      </c>
      <c r="E34" s="14" t="str">
        <f t="shared" si="3"/>
        <v/>
      </c>
      <c r="F34" s="6" t="str">
        <f>IF($A34&lt;&gt;"",MAXIFS(Token!$B:$B,Token!$A:$A,$D34),)</f>
        <v/>
      </c>
      <c r="H34" s="5" t="str">
        <f>IFERROR(__xludf.DUMMYFUNCTION("""COMPUTED_VALUE"""),"64")</f>
        <v>64</v>
      </c>
      <c r="I34" s="5" t="str">
        <f>IFERROR(__xludf.DUMMYFUNCTION("""COMPUTED_VALUE"""),"1500000000")</f>
        <v>1500000000</v>
      </c>
      <c r="J34" s="5" t="str">
        <f>IFERROR(__xludf.DUMMYFUNCTION("""COMPUTED_VALUE"""),"8")</f>
        <v>8</v>
      </c>
      <c r="K34" s="5" t="str">
        <f>IFERROR(__xludf.DUMMYFUNCTION("""COMPUTED_VALUE"""),"agEUR")</f>
        <v>agEUR</v>
      </c>
      <c r="L34" s="5" t="str">
        <f>IFERROR(__xludf.DUMMYFUNCTION("""COMPUTED_VALUE"""),"1658055282")</f>
        <v>1658055282</v>
      </c>
    </row>
    <row r="35">
      <c r="A35" s="35" t="str">
        <f>IF(AND($L35*1&gt;=$G$3,$L35*1&lt;=$G$4,$I35*$J35&gt;0,CONCATENATE($H35:$L35)&lt;&gt;CONCATENATE($H36:$L36),$I35/POW(10,$J35)*MAXIFS(Token!$B:$B,Token!$A:$A,$K35)&gt;0.01),$L35/86400+DATE(1970,1,1)+IF($L35*1&gt;=$G$5,$G$6,0),)</f>
        <v/>
      </c>
      <c r="B35" s="22" t="str">
        <f t="shared" si="1"/>
        <v/>
      </c>
      <c r="C35" s="14" t="str">
        <f>IF($A35&lt;&gt;"",MINIFS(Merchant!$A:$A,Merchant!$B:$B,$G$2),)</f>
        <v/>
      </c>
      <c r="D35" s="14" t="str">
        <f t="shared" si="2"/>
        <v/>
      </c>
      <c r="E35" s="14" t="str">
        <f t="shared" si="3"/>
        <v/>
      </c>
      <c r="F35" s="6" t="str">
        <f>IF($A35&lt;&gt;"",MAXIFS(Token!$B:$B,Token!$A:$A,$D35),)</f>
        <v/>
      </c>
      <c r="H35" s="5" t="str">
        <f>IFERROR(__xludf.DUMMYFUNCTION("""COMPUTED_VALUE"""),"64")</f>
        <v>64</v>
      </c>
      <c r="I35" s="5" t="str">
        <f>IFERROR(__xludf.DUMMYFUNCTION("""COMPUTED_VALUE"""),"819999999")</f>
        <v>819999999</v>
      </c>
      <c r="J35" s="5" t="str">
        <f>IFERROR(__xludf.DUMMYFUNCTION("""COMPUTED_VALUE"""),"8")</f>
        <v>8</v>
      </c>
      <c r="K35" s="5" t="str">
        <f>IFERROR(__xludf.DUMMYFUNCTION("""COMPUTED_VALUE"""),"agEUR")</f>
        <v>agEUR</v>
      </c>
      <c r="L35" s="5" t="str">
        <f>IFERROR(__xludf.DUMMYFUNCTION("""COMPUTED_VALUE"""),"1657966605")</f>
        <v>1657966605</v>
      </c>
    </row>
    <row r="36">
      <c r="A36" s="35" t="str">
        <f>IF(AND($L36*1&gt;=$G$3,$L36*1&lt;=$G$4,$I36*$J36&gt;0,CONCATENATE($H36:$L36)&lt;&gt;CONCATENATE($H37:$L37),$I36/POW(10,$J36)*MAXIFS(Token!$B:$B,Token!$A:$A,$K36)&gt;0.01),$L36/86400+DATE(1970,1,1)+IF($L36*1&gt;=$G$5,$G$6,0),)</f>
        <v/>
      </c>
      <c r="B36" s="22" t="str">
        <f t="shared" si="1"/>
        <v/>
      </c>
      <c r="C36" s="14" t="str">
        <f>IF($A36&lt;&gt;"",MINIFS(Merchant!$A:$A,Merchant!$B:$B,$G$2),)</f>
        <v/>
      </c>
      <c r="D36" s="14" t="str">
        <f t="shared" si="2"/>
        <v/>
      </c>
      <c r="E36" s="14" t="str">
        <f t="shared" si="3"/>
        <v/>
      </c>
      <c r="F36" s="6" t="str">
        <f>IF($A36&lt;&gt;"",MAXIFS(Token!$B:$B,Token!$A:$A,$D36),)</f>
        <v/>
      </c>
      <c r="H36" s="5" t="str">
        <f>IFERROR(__xludf.DUMMYFUNCTION("""COMPUTED_VALUE"""),"64")</f>
        <v>64</v>
      </c>
      <c r="I36" s="5" t="str">
        <f>IFERROR(__xludf.DUMMYFUNCTION("""COMPUTED_VALUE"""),"705000000")</f>
        <v>705000000</v>
      </c>
      <c r="J36" s="5" t="str">
        <f>IFERROR(__xludf.DUMMYFUNCTION("""COMPUTED_VALUE"""),"8")</f>
        <v>8</v>
      </c>
      <c r="K36" s="5" t="str">
        <f>IFERROR(__xludf.DUMMYFUNCTION("""COMPUTED_VALUE"""),"agEUR")</f>
        <v>agEUR</v>
      </c>
      <c r="L36" s="5" t="str">
        <f>IFERROR(__xludf.DUMMYFUNCTION("""COMPUTED_VALUE"""),"1657784481")</f>
        <v>1657784481</v>
      </c>
    </row>
    <row r="37">
      <c r="A37" s="35" t="str">
        <f>IF(AND($L37*1&gt;=$G$3,$L37*1&lt;=$G$4,$I37*$J37&gt;0,CONCATENATE($H37:$L37)&lt;&gt;CONCATENATE($H38:$L38),$I37/POW(10,$J37)*MAXIFS(Token!$B:$B,Token!$A:$A,$K37)&gt;0.01),$L37/86400+DATE(1970,1,1)+IF($L37*1&gt;=$G$5,$G$6,0),)</f>
        <v/>
      </c>
      <c r="B37" s="22" t="str">
        <f t="shared" si="1"/>
        <v/>
      </c>
      <c r="C37" s="14" t="str">
        <f>IF($A37&lt;&gt;"",MINIFS(Merchant!$A:$A,Merchant!$B:$B,$G$2),)</f>
        <v/>
      </c>
      <c r="D37" s="14" t="str">
        <f t="shared" si="2"/>
        <v/>
      </c>
      <c r="E37" s="14" t="str">
        <f t="shared" si="3"/>
        <v/>
      </c>
      <c r="F37" s="6" t="str">
        <f>IF($A37&lt;&gt;"",MAXIFS(Token!$B:$B,Token!$A:$A,$D37),)</f>
        <v/>
      </c>
      <c r="H37" s="5" t="str">
        <f>IFERROR(__xludf.DUMMYFUNCTION("""COMPUTED_VALUE"""),"64")</f>
        <v>64</v>
      </c>
      <c r="I37" s="5" t="str">
        <f>IFERROR(__xludf.DUMMYFUNCTION("""COMPUTED_VALUE"""),"350000000")</f>
        <v>350000000</v>
      </c>
      <c r="J37" s="5" t="str">
        <f>IFERROR(__xludf.DUMMYFUNCTION("""COMPUTED_VALUE"""),"8")</f>
        <v>8</v>
      </c>
      <c r="K37" s="5" t="str">
        <f>IFERROR(__xludf.DUMMYFUNCTION("""COMPUTED_VALUE"""),"agEUR")</f>
        <v>agEUR</v>
      </c>
      <c r="L37" s="5" t="str">
        <f>IFERROR(__xludf.DUMMYFUNCTION("""COMPUTED_VALUE"""),"1657701443")</f>
        <v>1657701443</v>
      </c>
    </row>
    <row r="38">
      <c r="A38" s="35" t="str">
        <f>IF(AND($L38*1&gt;=$G$3,$L38*1&lt;=$G$4,$I38*$J38&gt;0,CONCATENATE($H38:$L38)&lt;&gt;CONCATENATE($H39:$L39),$I38/POW(10,$J38)*MAXIFS(Token!$B:$B,Token!$A:$A,$K38)&gt;0.01),$L38/86400+DATE(1970,1,1)+IF($L38*1&gt;=$G$5,$G$6,0),)</f>
        <v/>
      </c>
      <c r="B38" s="22" t="str">
        <f t="shared" si="1"/>
        <v/>
      </c>
      <c r="C38" s="14" t="str">
        <f>IF($A38&lt;&gt;"",MINIFS(Merchant!$A:$A,Merchant!$B:$B,$G$2),)</f>
        <v/>
      </c>
      <c r="D38" s="14" t="str">
        <f t="shared" si="2"/>
        <v/>
      </c>
      <c r="E38" s="14" t="str">
        <f t="shared" si="3"/>
        <v/>
      </c>
      <c r="F38" s="6" t="str">
        <f>IF($A38&lt;&gt;"",MAXIFS(Token!$B:$B,Token!$A:$A,$D38),)</f>
        <v/>
      </c>
      <c r="H38" s="5" t="str">
        <f>IFERROR(__xludf.DUMMYFUNCTION("""COMPUTED_VALUE"""),"64")</f>
        <v>64</v>
      </c>
      <c r="I38" s="5" t="str">
        <f>IFERROR(__xludf.DUMMYFUNCTION("""COMPUTED_VALUE"""),"-2599999999")</f>
        <v>-2599999999</v>
      </c>
      <c r="J38" s="5" t="str">
        <f>IFERROR(__xludf.DUMMYFUNCTION("""COMPUTED_VALUE"""),"8")</f>
        <v>8</v>
      </c>
      <c r="K38" s="5" t="str">
        <f>IFERROR(__xludf.DUMMYFUNCTION("""COMPUTED_VALUE"""),"agEUR")</f>
        <v>agEUR</v>
      </c>
      <c r="L38" s="5" t="str">
        <f>IFERROR(__xludf.DUMMYFUNCTION("""COMPUTED_VALUE"""),"1657554123")</f>
        <v>1657554123</v>
      </c>
    </row>
    <row r="39">
      <c r="A39" s="35" t="str">
        <f>IF(AND($L39*1&gt;=$G$3,$L39*1&lt;=$G$4,$I39*$J39&gt;0,CONCATENATE($H39:$L39)&lt;&gt;CONCATENATE($H40:$L40),$I39/POW(10,$J39)*MAXIFS(Token!$B:$B,Token!$A:$A,$K39)&gt;0.01),$L39/86400+DATE(1970,1,1)+IF($L39*1&gt;=$G$5,$G$6,0),)</f>
        <v/>
      </c>
      <c r="B39" s="22" t="str">
        <f t="shared" si="1"/>
        <v/>
      </c>
      <c r="C39" s="14" t="str">
        <f>IF($A39&lt;&gt;"",MINIFS(Merchant!$A:$A,Merchant!$B:$B,$G$2),)</f>
        <v/>
      </c>
      <c r="D39" s="14" t="str">
        <f t="shared" si="2"/>
        <v/>
      </c>
      <c r="E39" s="14" t="str">
        <f t="shared" si="3"/>
        <v/>
      </c>
      <c r="F39" s="6" t="str">
        <f>IF($A39&lt;&gt;"",MAXIFS(Token!$B:$B,Token!$A:$A,$D39),)</f>
        <v/>
      </c>
      <c r="H39" s="5" t="str">
        <f>IFERROR(__xludf.DUMMYFUNCTION("""COMPUTED_VALUE"""),"64")</f>
        <v>64</v>
      </c>
      <c r="I39" s="5" t="str">
        <f>IFERROR(__xludf.DUMMYFUNCTION("""COMPUTED_VALUE"""),"1100000000")</f>
        <v>1100000000</v>
      </c>
      <c r="J39" s="5" t="str">
        <f>IFERROR(__xludf.DUMMYFUNCTION("""COMPUTED_VALUE"""),"8")</f>
        <v>8</v>
      </c>
      <c r="K39" s="5" t="str">
        <f>IFERROR(__xludf.DUMMYFUNCTION("""COMPUTED_VALUE"""),"agEUR")</f>
        <v>agEUR</v>
      </c>
      <c r="L39" s="5" t="str">
        <f>IFERROR(__xludf.DUMMYFUNCTION("""COMPUTED_VALUE"""),"1657354077")</f>
        <v>1657354077</v>
      </c>
    </row>
    <row r="40">
      <c r="A40" s="35" t="str">
        <f>IF(AND($L40*1&gt;=$G$3,$L40*1&lt;=$G$4,$I40*$J40&gt;0,CONCATENATE($H40:$L40)&lt;&gt;CONCATENATE($H41:$L41),$I40/POW(10,$J40)*MAXIFS(Token!$B:$B,Token!$A:$A,$K40)&gt;0.01),$L40/86400+DATE(1970,1,1)+IF($L40*1&gt;=$G$5,$G$6,0),)</f>
        <v/>
      </c>
      <c r="B40" s="22" t="str">
        <f t="shared" si="1"/>
        <v/>
      </c>
      <c r="C40" s="14" t="str">
        <f>IF($A40&lt;&gt;"",MINIFS(Merchant!$A:$A,Merchant!$B:$B,$G$2),)</f>
        <v/>
      </c>
      <c r="D40" s="14" t="str">
        <f t="shared" si="2"/>
        <v/>
      </c>
      <c r="E40" s="14" t="str">
        <f t="shared" si="3"/>
        <v/>
      </c>
      <c r="F40" s="6" t="str">
        <f>IF($A40&lt;&gt;"",MAXIFS(Token!$B:$B,Token!$A:$A,$D40),)</f>
        <v/>
      </c>
      <c r="H40" s="5" t="str">
        <f>IFERROR(__xludf.DUMMYFUNCTION("""COMPUTED_VALUE"""),"64")</f>
        <v>64</v>
      </c>
      <c r="I40" s="5" t="str">
        <f>IFERROR(__xludf.DUMMYFUNCTION("""COMPUTED_VALUE"""),"580000000")</f>
        <v>580000000</v>
      </c>
      <c r="J40" s="5" t="str">
        <f>IFERROR(__xludf.DUMMYFUNCTION("""COMPUTED_VALUE"""),"8")</f>
        <v>8</v>
      </c>
      <c r="K40" s="5" t="str">
        <f>IFERROR(__xludf.DUMMYFUNCTION("""COMPUTED_VALUE"""),"agEUR")</f>
        <v>agEUR</v>
      </c>
      <c r="L40" s="5" t="str">
        <f>IFERROR(__xludf.DUMMYFUNCTION("""COMPUTED_VALUE"""),"1657188516")</f>
        <v>1657188516</v>
      </c>
    </row>
    <row r="41">
      <c r="A41" s="35" t="str">
        <f>IF(AND($L41*1&gt;=$G$3,$L41*1&lt;=$G$4,$I41*$J41&gt;0,CONCATENATE($H41:$L41)&lt;&gt;CONCATENATE($H42:$L42),$I41/POW(10,$J41)*MAXIFS(Token!$B:$B,Token!$A:$A,$K41)&gt;0.01),$L41/86400+DATE(1970,1,1)+IF($L41*1&gt;=$G$5,$G$6,0),)</f>
        <v/>
      </c>
      <c r="B41" s="22" t="str">
        <f t="shared" si="1"/>
        <v/>
      </c>
      <c r="C41" s="14" t="str">
        <f>IF($A41&lt;&gt;"",MINIFS(Merchant!$A:$A,Merchant!$B:$B,$G$2),)</f>
        <v/>
      </c>
      <c r="D41" s="14" t="str">
        <f t="shared" si="2"/>
        <v/>
      </c>
      <c r="E41" s="14" t="str">
        <f t="shared" si="3"/>
        <v/>
      </c>
      <c r="F41" s="6" t="str">
        <f>IF($A41&lt;&gt;"",MAXIFS(Token!$B:$B,Token!$A:$A,$D41),)</f>
        <v/>
      </c>
      <c r="H41" s="5" t="str">
        <f>IFERROR(__xludf.DUMMYFUNCTION("""COMPUTED_VALUE"""),"64")</f>
        <v>64</v>
      </c>
      <c r="I41" s="5" t="str">
        <f>IFERROR(__xludf.DUMMYFUNCTION("""COMPUTED_VALUE"""),"919999999")</f>
        <v>919999999</v>
      </c>
      <c r="J41" s="5" t="str">
        <f>IFERROR(__xludf.DUMMYFUNCTION("""COMPUTED_VALUE"""),"8")</f>
        <v>8</v>
      </c>
      <c r="K41" s="5" t="str">
        <f>IFERROR(__xludf.DUMMYFUNCTION("""COMPUTED_VALUE"""),"agEUR")</f>
        <v>agEUR</v>
      </c>
      <c r="L41" s="5" t="str">
        <f>IFERROR(__xludf.DUMMYFUNCTION("""COMPUTED_VALUE"""),"1657101922")</f>
        <v>1657101922</v>
      </c>
    </row>
    <row r="42">
      <c r="A42" s="35" t="str">
        <f>IF(AND($L42*1&gt;=$G$3,$L42*1&lt;=$G$4,$I42*$J42&gt;0,CONCATENATE($H42:$L42)&lt;&gt;CONCATENATE($H43:$L43),$I42/POW(10,$J42)*MAXIFS(Token!$B:$B,Token!$A:$A,$K42)&gt;0.01),$L42/86400+DATE(1970,1,1)+IF($L42*1&gt;=$G$5,$G$6,0),)</f>
        <v/>
      </c>
      <c r="B42" s="22" t="str">
        <f t="shared" si="1"/>
        <v/>
      </c>
      <c r="C42" s="14" t="str">
        <f>IF($A42&lt;&gt;"",MINIFS(Merchant!$A:$A,Merchant!$B:$B,$G$2),)</f>
        <v/>
      </c>
      <c r="D42" s="14" t="str">
        <f t="shared" si="2"/>
        <v/>
      </c>
      <c r="E42" s="14" t="str">
        <f t="shared" si="3"/>
        <v/>
      </c>
      <c r="F42" s="6" t="str">
        <f>IF($A42&lt;&gt;"",MAXIFS(Token!$B:$B,Token!$A:$A,$D42),)</f>
        <v/>
      </c>
      <c r="H42" s="5" t="str">
        <f>IFERROR(__xludf.DUMMYFUNCTION("""COMPUTED_VALUE"""),"64")</f>
        <v>64</v>
      </c>
      <c r="I42" s="5" t="str">
        <f>IFERROR(__xludf.DUMMYFUNCTION("""COMPUTED_VALUE"""),"-3595000000")</f>
        <v>-3595000000</v>
      </c>
      <c r="J42" s="5" t="str">
        <f>IFERROR(__xludf.DUMMYFUNCTION("""COMPUTED_VALUE"""),"8")</f>
        <v>8</v>
      </c>
      <c r="K42" s="5" t="str">
        <f>IFERROR(__xludf.DUMMYFUNCTION("""COMPUTED_VALUE"""),"agEUR")</f>
        <v>agEUR</v>
      </c>
      <c r="L42" s="5" t="str">
        <f>IFERROR(__xludf.DUMMYFUNCTION("""COMPUTED_VALUE"""),"1656878748")</f>
        <v>1656878748</v>
      </c>
    </row>
    <row r="43">
      <c r="A43" s="35" t="str">
        <f>IF(AND($L43*1&gt;=$G$3,$L43*1&lt;=$G$4,$I43*$J43&gt;0,CONCATENATE($H43:$L43)&lt;&gt;CONCATENATE($H44:$L44),$I43/POW(10,$J43)*MAXIFS(Token!$B:$B,Token!$A:$A,$K43)&gt;0.01),$L43/86400+DATE(1970,1,1)+IF($L43*1&gt;=$G$5,$G$6,0),)</f>
        <v/>
      </c>
      <c r="B43" s="22" t="str">
        <f t="shared" si="1"/>
        <v/>
      </c>
      <c r="C43" s="14" t="str">
        <f>IF($A43&lt;&gt;"",MINIFS(Merchant!$A:$A,Merchant!$B:$B,$G$2),)</f>
        <v/>
      </c>
      <c r="D43" s="14" t="str">
        <f t="shared" si="2"/>
        <v/>
      </c>
      <c r="E43" s="14" t="str">
        <f t="shared" si="3"/>
        <v/>
      </c>
      <c r="F43" s="6" t="str">
        <f>IF($A43&lt;&gt;"",MAXIFS(Token!$B:$B,Token!$A:$A,$D43),)</f>
        <v/>
      </c>
      <c r="H43" s="5" t="str">
        <f>IFERROR(__xludf.DUMMYFUNCTION("""COMPUTED_VALUE"""),"64")</f>
        <v>64</v>
      </c>
      <c r="I43" s="5" t="str">
        <f>IFERROR(__xludf.DUMMYFUNCTION("""COMPUTED_VALUE"""),"660000000")</f>
        <v>660000000</v>
      </c>
      <c r="J43" s="5" t="str">
        <f>IFERROR(__xludf.DUMMYFUNCTION("""COMPUTED_VALUE"""),"8")</f>
        <v>8</v>
      </c>
      <c r="K43" s="5" t="str">
        <f>IFERROR(__xludf.DUMMYFUNCTION("""COMPUTED_VALUE"""),"agEUR")</f>
        <v>agEUR</v>
      </c>
      <c r="L43" s="5" t="str">
        <f>IFERROR(__xludf.DUMMYFUNCTION("""COMPUTED_VALUE"""),"1656671612")</f>
        <v>1656671612</v>
      </c>
    </row>
    <row r="44">
      <c r="A44" s="35" t="str">
        <f>IF(AND($L44*1&gt;=$G$3,$L44*1&lt;=$G$4,$I44*$J44&gt;0,CONCATENATE($H44:$L44)&lt;&gt;CONCATENATE($H45:$L45),$I44/POW(10,$J44)*MAXIFS(Token!$B:$B,Token!$A:$A,$K44)&gt;0.01),$L44/86400+DATE(1970,1,1)+IF($L44*1&gt;=$G$5,$G$6,0),)</f>
        <v/>
      </c>
      <c r="B44" s="22" t="str">
        <f t="shared" si="1"/>
        <v/>
      </c>
      <c r="C44" s="14" t="str">
        <f>IF($A44&lt;&gt;"",MINIFS(Merchant!$A:$A,Merchant!$B:$B,$G$2),)</f>
        <v/>
      </c>
      <c r="D44" s="14" t="str">
        <f t="shared" si="2"/>
        <v/>
      </c>
      <c r="E44" s="14" t="str">
        <f t="shared" si="3"/>
        <v/>
      </c>
      <c r="F44" s="6" t="str">
        <f>IF($A44&lt;&gt;"",MAXIFS(Token!$B:$B,Token!$A:$A,$D44),)</f>
        <v/>
      </c>
      <c r="H44" s="5" t="str">
        <f>IFERROR(__xludf.DUMMYFUNCTION("""COMPUTED_VALUE"""),"64")</f>
        <v>64</v>
      </c>
      <c r="I44" s="5" t="str">
        <f>IFERROR(__xludf.DUMMYFUNCTION("""COMPUTED_VALUE"""),"830000000")</f>
        <v>830000000</v>
      </c>
      <c r="J44" s="5" t="str">
        <f>IFERROR(__xludf.DUMMYFUNCTION("""COMPUTED_VALUE"""),"8")</f>
        <v>8</v>
      </c>
      <c r="K44" s="5" t="str">
        <f>IFERROR(__xludf.DUMMYFUNCTION("""COMPUTED_VALUE"""),"agEUR")</f>
        <v>agEUR</v>
      </c>
      <c r="L44" s="5" t="str">
        <f>IFERROR(__xludf.DUMMYFUNCTION("""COMPUTED_VALUE"""),"1656569899")</f>
        <v>1656569899</v>
      </c>
    </row>
    <row r="45">
      <c r="A45" s="35" t="str">
        <f>IF(AND($L45*1&gt;=$G$3,$L45*1&lt;=$G$4,$I45*$J45&gt;0,CONCATENATE($H45:$L45)&lt;&gt;CONCATENATE($H46:$L46),$I45/POW(10,$J45)*MAXIFS(Token!$B:$B,Token!$A:$A,$K45)&gt;0.01),$L45/86400+DATE(1970,1,1)+IF($L45*1&gt;=$G$5,$G$6,0),)</f>
        <v/>
      </c>
      <c r="B45" s="22" t="str">
        <f t="shared" si="1"/>
        <v/>
      </c>
      <c r="C45" s="14" t="str">
        <f>IF($A45&lt;&gt;"",MINIFS(Merchant!$A:$A,Merchant!$B:$B,$G$2),)</f>
        <v/>
      </c>
      <c r="D45" s="14" t="str">
        <f t="shared" si="2"/>
        <v/>
      </c>
      <c r="E45" s="14" t="str">
        <f t="shared" si="3"/>
        <v/>
      </c>
      <c r="F45" s="6" t="str">
        <f>IF($A45&lt;&gt;"",MAXIFS(Token!$B:$B,Token!$A:$A,$D45),)</f>
        <v/>
      </c>
      <c r="H45" s="5" t="str">
        <f>IFERROR(__xludf.DUMMYFUNCTION("""COMPUTED_VALUE"""),"64")</f>
        <v>64</v>
      </c>
      <c r="I45" s="5" t="str">
        <f>IFERROR(__xludf.DUMMYFUNCTION("""COMPUTED_VALUE"""),"1235000000")</f>
        <v>1235000000</v>
      </c>
      <c r="J45" s="5" t="str">
        <f>IFERROR(__xludf.DUMMYFUNCTION("""COMPUTED_VALUE"""),"8")</f>
        <v>8</v>
      </c>
      <c r="K45" s="5" t="str">
        <f>IFERROR(__xludf.DUMMYFUNCTION("""COMPUTED_VALUE"""),"agEUR")</f>
        <v>agEUR</v>
      </c>
      <c r="L45" s="5" t="str">
        <f>IFERROR(__xludf.DUMMYFUNCTION("""COMPUTED_VALUE"""),"1656239238")</f>
        <v>1656239238</v>
      </c>
    </row>
    <row r="46">
      <c r="A46" s="35" t="str">
        <f>IF(AND($L46*1&gt;=$G$3,$L46*1&lt;=$G$4,$I46*$J46&gt;0,CONCATENATE($H46:$L46)&lt;&gt;CONCATENATE($H47:$L47),$I46/POW(10,$J46)*MAXIFS(Token!$B:$B,Token!$A:$A,$K46)&gt;0.01),$L46/86400+DATE(1970,1,1)+IF($L46*1&gt;=$G$5,$G$6,0),)</f>
        <v/>
      </c>
      <c r="B46" s="22" t="str">
        <f t="shared" si="1"/>
        <v/>
      </c>
      <c r="C46" s="14" t="str">
        <f>IF($A46&lt;&gt;"",MINIFS(Merchant!$A:$A,Merchant!$B:$B,$G$2),)</f>
        <v/>
      </c>
      <c r="D46" s="14" t="str">
        <f t="shared" si="2"/>
        <v/>
      </c>
      <c r="E46" s="14" t="str">
        <f t="shared" si="3"/>
        <v/>
      </c>
      <c r="F46" s="6" t="str">
        <f>IF($A46&lt;&gt;"",MAXIFS(Token!$B:$B,Token!$A:$A,$D46),)</f>
        <v/>
      </c>
      <c r="H46" s="5" t="str">
        <f>IFERROR(__xludf.DUMMYFUNCTION("""COMPUTED_VALUE"""),"64")</f>
        <v>64</v>
      </c>
      <c r="I46" s="5" t="str">
        <f>IFERROR(__xludf.DUMMYFUNCTION("""COMPUTED_VALUE"""),"150000000")</f>
        <v>150000000</v>
      </c>
      <c r="J46" s="5" t="str">
        <f>IFERROR(__xludf.DUMMYFUNCTION("""COMPUTED_VALUE"""),"8")</f>
        <v>8</v>
      </c>
      <c r="K46" s="5" t="str">
        <f>IFERROR(__xludf.DUMMYFUNCTION("""COMPUTED_VALUE"""),"agEUR")</f>
        <v>agEUR</v>
      </c>
      <c r="L46" s="5" t="str">
        <f>IFERROR(__xludf.DUMMYFUNCTION("""COMPUTED_VALUE"""),"1656153686")</f>
        <v>1656153686</v>
      </c>
    </row>
    <row r="47">
      <c r="A47" s="35" t="str">
        <f>IF(AND($L47*1&gt;=$G$3,$L47*1&lt;=$G$4,$I47*$J47&gt;0,CONCATENATE($H47:$L47)&lt;&gt;CONCATENATE($H48:$L48),$I47/POW(10,$J47)*MAXIFS(Token!$B:$B,Token!$A:$A,$K47)&gt;0.01),$L47/86400+DATE(1970,1,1)+IF($L47*1&gt;=$G$5,$G$6,0),)</f>
        <v/>
      </c>
      <c r="B47" s="22" t="str">
        <f t="shared" si="1"/>
        <v/>
      </c>
      <c r="C47" s="14" t="str">
        <f>IF($A47&lt;&gt;"",MINIFS(Merchant!$A:$A,Merchant!$B:$B,$G$2),)</f>
        <v/>
      </c>
      <c r="D47" s="14" t="str">
        <f t="shared" si="2"/>
        <v/>
      </c>
      <c r="E47" s="14" t="str">
        <f t="shared" si="3"/>
        <v/>
      </c>
      <c r="F47" s="6" t="str">
        <f>IF($A47&lt;&gt;"",MAXIFS(Token!$B:$B,Token!$A:$A,$D47),)</f>
        <v/>
      </c>
      <c r="H47" s="5" t="str">
        <f>IFERROR(__xludf.DUMMYFUNCTION("""COMPUTED_VALUE"""),"64")</f>
        <v>64</v>
      </c>
      <c r="I47" s="5" t="str">
        <f>IFERROR(__xludf.DUMMYFUNCTION("""COMPUTED_VALUE"""),"-271000000")</f>
        <v>-271000000</v>
      </c>
      <c r="J47" s="5" t="str">
        <f>IFERROR(__xludf.DUMMYFUNCTION("""COMPUTED_VALUE"""),"8")</f>
        <v>8</v>
      </c>
      <c r="K47" s="5" t="str">
        <f>IFERROR(__xludf.DUMMYFUNCTION("""COMPUTED_VALUE"""),"agEUR")</f>
        <v>agEUR</v>
      </c>
      <c r="L47" s="5" t="str">
        <f>IFERROR(__xludf.DUMMYFUNCTION("""COMPUTED_VALUE"""),"1656153665")</f>
        <v>1656153665</v>
      </c>
    </row>
    <row r="48">
      <c r="A48" s="35" t="str">
        <f>IF(AND($L48*1&gt;=$G$3,$L48*1&lt;=$G$4,$I48*$J48&gt;0,CONCATENATE($H48:$L48)&lt;&gt;CONCATENATE($H49:$L49),$I48/POW(10,$J48)*MAXIFS(Token!$B:$B,Token!$A:$A,$K48)&gt;0.01),$L48/86400+DATE(1970,1,1)+IF($L48*1&gt;=$G$5,$G$6,0),)</f>
        <v/>
      </c>
      <c r="B48" s="22" t="str">
        <f t="shared" si="1"/>
        <v/>
      </c>
      <c r="C48" s="14" t="str">
        <f>IF($A48&lt;&gt;"",MINIFS(Merchant!$A:$A,Merchant!$B:$B,$G$2),)</f>
        <v/>
      </c>
      <c r="D48" s="14" t="str">
        <f t="shared" si="2"/>
        <v/>
      </c>
      <c r="E48" s="14" t="str">
        <f t="shared" si="3"/>
        <v/>
      </c>
      <c r="F48" s="6" t="str">
        <f>IF($A48&lt;&gt;"",MAXIFS(Token!$B:$B,Token!$A:$A,$D48),)</f>
        <v/>
      </c>
      <c r="H48" s="5" t="str">
        <f>IFERROR(__xludf.DUMMYFUNCTION("""COMPUTED_VALUE"""),"64")</f>
        <v>64</v>
      </c>
      <c r="I48" s="5" t="str">
        <f>IFERROR(__xludf.DUMMYFUNCTION("""COMPUTED_VALUE"""),"250000000")</f>
        <v>250000000</v>
      </c>
      <c r="J48" s="5" t="str">
        <f>IFERROR(__xludf.DUMMYFUNCTION("""COMPUTED_VALUE"""),"8")</f>
        <v>8</v>
      </c>
      <c r="K48" s="5" t="str">
        <f>IFERROR(__xludf.DUMMYFUNCTION("""COMPUTED_VALUE"""),"agEUR")</f>
        <v>agEUR</v>
      </c>
      <c r="L48" s="5" t="str">
        <f>IFERROR(__xludf.DUMMYFUNCTION("""COMPUTED_VALUE"""),"1656153480")</f>
        <v>1656153480</v>
      </c>
    </row>
    <row r="49">
      <c r="A49" s="35" t="str">
        <f>IF(AND($L49*1&gt;=$G$3,$L49*1&lt;=$G$4,$I49*$J49&gt;0,CONCATENATE($H49:$L49)&lt;&gt;CONCATENATE($H50:$L50),$I49/POW(10,$J49)*MAXIFS(Token!$B:$B,Token!$A:$A,$K49)&gt;0.01),$L49/86400+DATE(1970,1,1)+IF($L49*1&gt;=$G$5,$G$6,0),)</f>
        <v/>
      </c>
      <c r="B49" s="22" t="str">
        <f t="shared" si="1"/>
        <v/>
      </c>
      <c r="C49" s="14" t="str">
        <f>IF($A49&lt;&gt;"",MINIFS(Merchant!$A:$A,Merchant!$B:$B,$G$2),)</f>
        <v/>
      </c>
      <c r="D49" s="14" t="str">
        <f t="shared" si="2"/>
        <v/>
      </c>
      <c r="E49" s="14" t="str">
        <f t="shared" si="3"/>
        <v/>
      </c>
      <c r="F49" s="6" t="str">
        <f>IF($A49&lt;&gt;"",MAXIFS(Token!$B:$B,Token!$A:$A,$D49),)</f>
        <v/>
      </c>
      <c r="H49" s="5" t="str">
        <f>IFERROR(__xludf.DUMMYFUNCTION("""COMPUTED_VALUE"""),"64")</f>
        <v>64</v>
      </c>
      <c r="I49" s="5" t="str">
        <f>IFERROR(__xludf.DUMMYFUNCTION("""COMPUTED_VALUE"""),"-1500000000")</f>
        <v>-1500000000</v>
      </c>
      <c r="J49" s="5" t="str">
        <f>IFERROR(__xludf.DUMMYFUNCTION("""COMPUTED_VALUE"""),"8")</f>
        <v>8</v>
      </c>
      <c r="K49" s="5" t="str">
        <f>IFERROR(__xludf.DUMMYFUNCTION("""COMPUTED_VALUE"""),"agEUR")</f>
        <v>agEUR</v>
      </c>
      <c r="L49" s="5" t="str">
        <f>IFERROR(__xludf.DUMMYFUNCTION("""COMPUTED_VALUE"""),"1656094712")</f>
        <v>1656094712</v>
      </c>
    </row>
    <row r="50">
      <c r="A50" s="35" t="str">
        <f>IF(AND($L50*1&gt;=$G$3,$L50*1&lt;=$G$4,$I50*$J50&gt;0,CONCATENATE($H50:$L50)&lt;&gt;CONCATENATE($H51:$L51),$I50/POW(10,$J50)*MAXIFS(Token!$B:$B,Token!$A:$A,$K50)&gt;0.01),$L50/86400+DATE(1970,1,1)+IF($L50*1&gt;=$G$5,$G$6,0),)</f>
        <v/>
      </c>
      <c r="B50" s="22" t="str">
        <f t="shared" si="1"/>
        <v/>
      </c>
      <c r="C50" s="14" t="str">
        <f>IF($A50&lt;&gt;"",MINIFS(Merchant!$A:$A,Merchant!$B:$B,$G$2),)</f>
        <v/>
      </c>
      <c r="D50" s="14" t="str">
        <f t="shared" si="2"/>
        <v/>
      </c>
      <c r="E50" s="14" t="str">
        <f t="shared" si="3"/>
        <v/>
      </c>
      <c r="F50" s="6" t="str">
        <f>IF($A50&lt;&gt;"",MAXIFS(Token!$B:$B,Token!$A:$A,$D50),)</f>
        <v/>
      </c>
      <c r="H50" s="5" t="str">
        <f>IFERROR(__xludf.DUMMYFUNCTION("""COMPUTED_VALUE"""),"64")</f>
        <v>64</v>
      </c>
      <c r="I50" s="5" t="str">
        <f>IFERROR(__xludf.DUMMYFUNCTION("""COMPUTED_VALUE"""),"420000000")</f>
        <v>420000000</v>
      </c>
      <c r="J50" s="5" t="str">
        <f>IFERROR(__xludf.DUMMYFUNCTION("""COMPUTED_VALUE"""),"8")</f>
        <v>8</v>
      </c>
      <c r="K50" s="5" t="str">
        <f>IFERROR(__xludf.DUMMYFUNCTION("""COMPUTED_VALUE"""),"agEUR")</f>
        <v>agEUR</v>
      </c>
      <c r="L50" s="5" t="str">
        <f>IFERROR(__xludf.DUMMYFUNCTION("""COMPUTED_VALUE"""),"1656068657")</f>
        <v>1656068657</v>
      </c>
    </row>
    <row r="51">
      <c r="A51" s="35" t="str">
        <f>IF(AND($L51*1&gt;=$G$3,$L51*1&lt;=$G$4,$I51*$J51&gt;0,CONCATENATE($H51:$L51)&lt;&gt;CONCATENATE($H52:$L52),$I51/POW(10,$J51)*MAXIFS(Token!$B:$B,Token!$A:$A,$K51)&gt;0.01),$L51/86400+DATE(1970,1,1)+IF($L51*1&gt;=$G$5,$G$6,0),)</f>
        <v/>
      </c>
      <c r="B51" s="22" t="str">
        <f t="shared" si="1"/>
        <v/>
      </c>
      <c r="C51" s="14" t="str">
        <f>IF($A51&lt;&gt;"",MINIFS(Merchant!$A:$A,Merchant!$B:$B,$G$2),)</f>
        <v/>
      </c>
      <c r="D51" s="14" t="str">
        <f t="shared" si="2"/>
        <v/>
      </c>
      <c r="E51" s="14" t="str">
        <f t="shared" si="3"/>
        <v/>
      </c>
      <c r="F51" s="6" t="str">
        <f>IF($A51&lt;&gt;"",MAXIFS(Token!$B:$B,Token!$A:$A,$D51),)</f>
        <v/>
      </c>
      <c r="H51" s="5" t="str">
        <f>IFERROR(__xludf.DUMMYFUNCTION("""COMPUTED_VALUE"""),"64")</f>
        <v>64</v>
      </c>
      <c r="I51" s="5" t="str">
        <f>IFERROR(__xludf.DUMMYFUNCTION("""COMPUTED_VALUE"""),"466000000")</f>
        <v>466000000</v>
      </c>
      <c r="J51" s="5" t="str">
        <f>IFERROR(__xludf.DUMMYFUNCTION("""COMPUTED_VALUE"""),"8")</f>
        <v>8</v>
      </c>
      <c r="K51" s="5" t="str">
        <f>IFERROR(__xludf.DUMMYFUNCTION("""COMPUTED_VALUE"""),"agEUR")</f>
        <v>agEUR</v>
      </c>
      <c r="L51" s="5" t="str">
        <f>IFERROR(__xludf.DUMMYFUNCTION("""COMPUTED_VALUE"""),"1655977637")</f>
        <v>1655977637</v>
      </c>
    </row>
    <row r="52">
      <c r="A52" s="35" t="str">
        <f>IF(AND($L52*1&gt;=$G$3,$L52*1&lt;=$G$4,$I52*$J52&gt;0,CONCATENATE($H52:$L52)&lt;&gt;CONCATENATE($H53:$L53),$I52/POW(10,$J52)*MAXIFS(Token!$B:$B,Token!$A:$A,$K52)&gt;0.01),$L52/86400+DATE(1970,1,1)+IF($L52*1&gt;=$G$5,$G$6,0),)</f>
        <v/>
      </c>
      <c r="B52" s="22" t="str">
        <f t="shared" si="1"/>
        <v/>
      </c>
      <c r="C52" s="14" t="str">
        <f>IF($A52&lt;&gt;"",MINIFS(Merchant!$A:$A,Merchant!$B:$B,$G$2),)</f>
        <v/>
      </c>
      <c r="D52" s="14" t="str">
        <f t="shared" si="2"/>
        <v/>
      </c>
      <c r="E52" s="14" t="str">
        <f t="shared" si="3"/>
        <v/>
      </c>
      <c r="F52" s="6" t="str">
        <f>IF($A52&lt;&gt;"",MAXIFS(Token!$B:$B,Token!$A:$A,$D52),)</f>
        <v/>
      </c>
      <c r="H52" s="5" t="str">
        <f>IFERROR(__xludf.DUMMYFUNCTION("IF(AND($G$11,INDEX(L:L,ROW()-1)*1&gt;$G$3),ImportJSON(""https://public-api.solscan.io/account/splTransfers?account=""&amp;$G$2&amp;IF($G$5,""&amp;fromTime=""&amp;TO_TEXT($G$3)&amp;""&amp;toTime=""&amp;TO_TEXT($G$4),)&amp;""&amp;offset=""&amp;ROW()-2&amp;""&amp;limit=50""&amp;$G$7,TEXTJOIN("","",1,$H$1:$L$1),"&amp;"""noHeaders""),)"),"")</f>
        <v/>
      </c>
    </row>
    <row r="53">
      <c r="A53" s="35" t="str">
        <f>IF(AND($L53*1&gt;=$G$3,$L53*1&lt;=$G$4,$I53*$J53&gt;0,CONCATENATE($H53:$L53)&lt;&gt;CONCATENATE($H54:$L54),$I53/POW(10,$J53)*MAXIFS(Token!$B:$B,Token!$A:$A,$K53)&gt;0.01),$L53/86400+DATE(1970,1,1)+IF($L53*1&gt;=$G$5,$G$6,0),)</f>
        <v/>
      </c>
      <c r="B53" s="22" t="str">
        <f t="shared" si="1"/>
        <v/>
      </c>
      <c r="C53" s="14" t="str">
        <f>IF($A53&lt;&gt;"",MINIFS(Merchant!$A:$A,Merchant!$B:$B,$G$2),)</f>
        <v/>
      </c>
      <c r="D53" s="14" t="str">
        <f t="shared" si="2"/>
        <v/>
      </c>
      <c r="E53" s="14" t="str">
        <f t="shared" si="3"/>
        <v/>
      </c>
      <c r="F53" s="6" t="str">
        <f>IF($A53&lt;&gt;"",MAXIFS(Token!$B:$B,Token!$A:$A,$D53),)</f>
        <v/>
      </c>
    </row>
    <row r="54">
      <c r="A54" s="35" t="str">
        <f>IF(AND($L54*1&gt;=$G$3,$L54*1&lt;=$G$4,$I54*$J54&gt;0,CONCATENATE($H54:$L54)&lt;&gt;CONCATENATE($H55:$L55),$I54/POW(10,$J54)*MAXIFS(Token!$B:$B,Token!$A:$A,$K54)&gt;0.01),$L54/86400+DATE(1970,1,1)+IF($L54*1&gt;=$G$5,$G$6,0),)</f>
        <v/>
      </c>
      <c r="B54" s="22" t="str">
        <f t="shared" si="1"/>
        <v/>
      </c>
      <c r="C54" s="14" t="str">
        <f>IF($A54&lt;&gt;"",MINIFS(Merchant!$A:$A,Merchant!$B:$B,$G$2),)</f>
        <v/>
      </c>
      <c r="D54" s="14" t="str">
        <f t="shared" si="2"/>
        <v/>
      </c>
      <c r="E54" s="14" t="str">
        <f t="shared" si="3"/>
        <v/>
      </c>
      <c r="F54" s="6" t="str">
        <f>IF($A54&lt;&gt;"",MAXIFS(Token!$B:$B,Token!$A:$A,$D54),)</f>
        <v/>
      </c>
    </row>
    <row r="55">
      <c r="A55" s="35" t="str">
        <f>IF(AND($L55*1&gt;=$G$3,$L55*1&lt;=$G$4,$I55*$J55&gt;0,CONCATENATE($H55:$L55)&lt;&gt;CONCATENATE($H56:$L56),$I55/POW(10,$J55)*MAXIFS(Token!$B:$B,Token!$A:$A,$K55)&gt;0.01),$L55/86400+DATE(1970,1,1)+IF($L55*1&gt;=$G$5,$G$6,0),)</f>
        <v/>
      </c>
      <c r="B55" s="22" t="str">
        <f t="shared" si="1"/>
        <v/>
      </c>
      <c r="C55" s="14" t="str">
        <f>IF($A55&lt;&gt;"",MINIFS(Merchant!$A:$A,Merchant!$B:$B,$G$2),)</f>
        <v/>
      </c>
      <c r="D55" s="14" t="str">
        <f t="shared" si="2"/>
        <v/>
      </c>
      <c r="E55" s="14" t="str">
        <f t="shared" si="3"/>
        <v/>
      </c>
      <c r="F55" s="6" t="str">
        <f>IF($A55&lt;&gt;"",MAXIFS(Token!$B:$B,Token!$A:$A,$D55),)</f>
        <v/>
      </c>
    </row>
    <row r="56">
      <c r="A56" s="35" t="str">
        <f>IF(AND($L56*1&gt;=$G$3,$L56*1&lt;=$G$4,$I56*$J56&gt;0,CONCATENATE($H56:$L56)&lt;&gt;CONCATENATE($H57:$L57),$I56/POW(10,$J56)*MAXIFS(Token!$B:$B,Token!$A:$A,$K56)&gt;0.01),$L56/86400+DATE(1970,1,1)+IF($L56*1&gt;=$G$5,$G$6,0),)</f>
        <v/>
      </c>
      <c r="B56" s="22" t="str">
        <f t="shared" si="1"/>
        <v/>
      </c>
      <c r="C56" s="14" t="str">
        <f>IF($A56&lt;&gt;"",MINIFS(Merchant!$A:$A,Merchant!$B:$B,$G$2),)</f>
        <v/>
      </c>
      <c r="D56" s="14" t="str">
        <f t="shared" si="2"/>
        <v/>
      </c>
      <c r="E56" s="14" t="str">
        <f t="shared" si="3"/>
        <v/>
      </c>
      <c r="F56" s="6" t="str">
        <f>IF($A56&lt;&gt;"",MAXIFS(Token!$B:$B,Token!$A:$A,$D56),)</f>
        <v/>
      </c>
    </row>
    <row r="57">
      <c r="A57" s="35" t="str">
        <f>IF(AND($L57*1&gt;=$G$3,$L57*1&lt;=$G$4,$I57*$J57&gt;0,CONCATENATE($H57:$L57)&lt;&gt;CONCATENATE($H58:$L58),$I57/POW(10,$J57)*MAXIFS(Token!$B:$B,Token!$A:$A,$K57)&gt;0.01),$L57/86400+DATE(1970,1,1)+IF($L57*1&gt;=$G$5,$G$6,0),)</f>
        <v/>
      </c>
      <c r="B57" s="22" t="str">
        <f t="shared" si="1"/>
        <v/>
      </c>
      <c r="C57" s="14" t="str">
        <f>IF($A57&lt;&gt;"",MINIFS(Merchant!$A:$A,Merchant!$B:$B,$G$2),)</f>
        <v/>
      </c>
      <c r="D57" s="14" t="str">
        <f t="shared" si="2"/>
        <v/>
      </c>
      <c r="E57" s="14" t="str">
        <f t="shared" si="3"/>
        <v/>
      </c>
      <c r="F57" s="6" t="str">
        <f>IF($A57&lt;&gt;"",MAXIFS(Token!$B:$B,Token!$A:$A,$D57),)</f>
        <v/>
      </c>
    </row>
    <row r="58">
      <c r="A58" s="35" t="str">
        <f>IF(AND($L58*1&gt;=$G$3,$L58*1&lt;=$G$4,$I58*$J58&gt;0,CONCATENATE($H58:$L58)&lt;&gt;CONCATENATE($H59:$L59),$I58/POW(10,$J58)*MAXIFS(Token!$B:$B,Token!$A:$A,$K58)&gt;0.01),$L58/86400+DATE(1970,1,1)+IF($L58*1&gt;=$G$5,$G$6,0),)</f>
        <v/>
      </c>
      <c r="B58" s="22" t="str">
        <f t="shared" si="1"/>
        <v/>
      </c>
      <c r="C58" s="14" t="str">
        <f>IF($A58&lt;&gt;"",MINIFS(Merchant!$A:$A,Merchant!$B:$B,$G$2),)</f>
        <v/>
      </c>
      <c r="D58" s="14" t="str">
        <f t="shared" si="2"/>
        <v/>
      </c>
      <c r="E58" s="14" t="str">
        <f t="shared" si="3"/>
        <v/>
      </c>
      <c r="F58" s="6" t="str">
        <f>IF($A58&lt;&gt;"",MAXIFS(Token!$B:$B,Token!$A:$A,$D58),)</f>
        <v/>
      </c>
    </row>
    <row r="59">
      <c r="A59" s="35" t="str">
        <f>IF(AND($L59*1&gt;=$G$3,$L59*1&lt;=$G$4,$I59*$J59&gt;0,CONCATENATE($H59:$L59)&lt;&gt;CONCATENATE($H60:$L60),$I59/POW(10,$J59)*MAXIFS(Token!$B:$B,Token!$A:$A,$K59)&gt;0.01),$L59/86400+DATE(1970,1,1)+IF($L59*1&gt;=$G$5,$G$6,0),)</f>
        <v/>
      </c>
      <c r="B59" s="22" t="str">
        <f t="shared" si="1"/>
        <v/>
      </c>
      <c r="C59" s="14" t="str">
        <f>IF($A59&lt;&gt;"",MINIFS(Merchant!$A:$A,Merchant!$B:$B,$G$2),)</f>
        <v/>
      </c>
      <c r="D59" s="14" t="str">
        <f t="shared" si="2"/>
        <v/>
      </c>
      <c r="E59" s="14" t="str">
        <f t="shared" si="3"/>
        <v/>
      </c>
      <c r="F59" s="6" t="str">
        <f>IF($A59&lt;&gt;"",MAXIFS(Token!$B:$B,Token!$A:$A,$D59),)</f>
        <v/>
      </c>
    </row>
    <row r="60">
      <c r="A60" s="35" t="str">
        <f>IF(AND($L60*1&gt;=$G$3,$L60*1&lt;=$G$4,$I60*$J60&gt;0,CONCATENATE($H60:$L60)&lt;&gt;CONCATENATE($H61:$L61),$I60/POW(10,$J60)*MAXIFS(Token!$B:$B,Token!$A:$A,$K60)&gt;0.01),$L60/86400+DATE(1970,1,1)+IF($L60*1&gt;=$G$5,$G$6,0),)</f>
        <v/>
      </c>
      <c r="B60" s="22" t="str">
        <f t="shared" si="1"/>
        <v/>
      </c>
      <c r="C60" s="14" t="str">
        <f>IF($A60&lt;&gt;"",MINIFS(Merchant!$A:$A,Merchant!$B:$B,$G$2),)</f>
        <v/>
      </c>
      <c r="D60" s="14" t="str">
        <f t="shared" si="2"/>
        <v/>
      </c>
      <c r="E60" s="14" t="str">
        <f t="shared" si="3"/>
        <v/>
      </c>
      <c r="F60" s="6" t="str">
        <f>IF($A60&lt;&gt;"",MAXIFS(Token!$B:$B,Token!$A:$A,$D60),)</f>
        <v/>
      </c>
    </row>
    <row r="61">
      <c r="A61" s="35" t="str">
        <f>IF(AND($L61*1&gt;=$G$3,$L61*1&lt;=$G$4,$I61*$J61&gt;0,CONCATENATE($H61:$L61)&lt;&gt;CONCATENATE($H62:$L62),$I61/POW(10,$J61)*MAXIFS(Token!$B:$B,Token!$A:$A,$K61)&gt;0.01),$L61/86400+DATE(1970,1,1)+IF($L61*1&gt;=$G$5,$G$6,0),)</f>
        <v/>
      </c>
      <c r="B61" s="22" t="str">
        <f t="shared" si="1"/>
        <v/>
      </c>
      <c r="C61" s="14" t="str">
        <f>IF($A61&lt;&gt;"",MINIFS(Merchant!$A:$A,Merchant!$B:$B,$G$2),)</f>
        <v/>
      </c>
      <c r="D61" s="14" t="str">
        <f t="shared" si="2"/>
        <v/>
      </c>
      <c r="E61" s="14" t="str">
        <f t="shared" si="3"/>
        <v/>
      </c>
      <c r="F61" s="6" t="str">
        <f>IF($A61&lt;&gt;"",MAXIFS(Token!$B:$B,Token!$A:$A,$D61),)</f>
        <v/>
      </c>
    </row>
    <row r="62">
      <c r="A62" s="35" t="str">
        <f>IF(AND($L62*1&gt;=$G$3,$L62*1&lt;=$G$4,$I62*$J62&gt;0,CONCATENATE($H62:$L62)&lt;&gt;CONCATENATE($H63:$L63),$I62/POW(10,$J62)*MAXIFS(Token!$B:$B,Token!$A:$A,$K62)&gt;0.01),$L62/86400+DATE(1970,1,1)+IF($L62*1&gt;=$G$5,$G$6,0),)</f>
        <v/>
      </c>
      <c r="B62" s="22" t="str">
        <f t="shared" si="1"/>
        <v/>
      </c>
      <c r="C62" s="14" t="str">
        <f>IF($A62&lt;&gt;"",MINIFS(Merchant!$A:$A,Merchant!$B:$B,$G$2),)</f>
        <v/>
      </c>
      <c r="D62" s="14" t="str">
        <f t="shared" si="2"/>
        <v/>
      </c>
      <c r="E62" s="14" t="str">
        <f t="shared" si="3"/>
        <v/>
      </c>
      <c r="F62" s="6" t="str">
        <f>IF($A62&lt;&gt;"",MAXIFS(Token!$B:$B,Token!$A:$A,$D62),)</f>
        <v/>
      </c>
    </row>
    <row r="63">
      <c r="A63" s="35" t="str">
        <f>IF(AND($L63*1&gt;=$G$3,$L63*1&lt;=$G$4,$I63*$J63&gt;0,CONCATENATE($H63:$L63)&lt;&gt;CONCATENATE($H64:$L64),$I63/POW(10,$J63)*MAXIFS(Token!$B:$B,Token!$A:$A,$K63)&gt;0.01),$L63/86400+DATE(1970,1,1)+IF($L63*1&gt;=$G$5,$G$6,0),)</f>
        <v/>
      </c>
      <c r="B63" s="22" t="str">
        <f t="shared" si="1"/>
        <v/>
      </c>
      <c r="C63" s="14" t="str">
        <f>IF($A63&lt;&gt;"",MINIFS(Merchant!$A:$A,Merchant!$B:$B,$G$2),)</f>
        <v/>
      </c>
      <c r="D63" s="14" t="str">
        <f t="shared" si="2"/>
        <v/>
      </c>
      <c r="E63" s="14" t="str">
        <f t="shared" si="3"/>
        <v/>
      </c>
      <c r="F63" s="6" t="str">
        <f>IF($A63&lt;&gt;"",MAXIFS(Token!$B:$B,Token!$A:$A,$D63),)</f>
        <v/>
      </c>
    </row>
    <row r="64">
      <c r="A64" s="35" t="str">
        <f>IF(AND($L64*1&gt;=$G$3,$L64*1&lt;=$G$4,$I64*$J64&gt;0,CONCATENATE($H64:$L64)&lt;&gt;CONCATENATE($H65:$L65),$I64/POW(10,$J64)*MAXIFS(Token!$B:$B,Token!$A:$A,$K64)&gt;0.01),$L64/86400+DATE(1970,1,1)+IF($L64*1&gt;=$G$5,$G$6,0),)</f>
        <v/>
      </c>
      <c r="B64" s="22" t="str">
        <f t="shared" si="1"/>
        <v/>
      </c>
      <c r="C64" s="14" t="str">
        <f>IF($A64&lt;&gt;"",MINIFS(Merchant!$A:$A,Merchant!$B:$B,$G$2),)</f>
        <v/>
      </c>
      <c r="D64" s="14" t="str">
        <f t="shared" si="2"/>
        <v/>
      </c>
      <c r="E64" s="14" t="str">
        <f t="shared" si="3"/>
        <v/>
      </c>
      <c r="F64" s="6" t="str">
        <f>IF($A64&lt;&gt;"",MAXIFS(Token!$B:$B,Token!$A:$A,$D64),)</f>
        <v/>
      </c>
    </row>
    <row r="65">
      <c r="A65" s="35" t="str">
        <f>IF(AND($L65*1&gt;=$G$3,$L65*1&lt;=$G$4,$I65*$J65&gt;0,CONCATENATE($H65:$L65)&lt;&gt;CONCATENATE($H66:$L66),$I65/POW(10,$J65)*MAXIFS(Token!$B:$B,Token!$A:$A,$K65)&gt;0.01),$L65/86400+DATE(1970,1,1)+IF($L65*1&gt;=$G$5,$G$6,0),)</f>
        <v/>
      </c>
      <c r="B65" s="22" t="str">
        <f t="shared" si="1"/>
        <v/>
      </c>
      <c r="C65" s="14" t="str">
        <f>IF($A65&lt;&gt;"",MINIFS(Merchant!$A:$A,Merchant!$B:$B,$G$2),)</f>
        <v/>
      </c>
      <c r="D65" s="14" t="str">
        <f t="shared" si="2"/>
        <v/>
      </c>
      <c r="E65" s="14" t="str">
        <f t="shared" si="3"/>
        <v/>
      </c>
      <c r="F65" s="6" t="str">
        <f>IF($A65&lt;&gt;"",MAXIFS(Token!$B:$B,Token!$A:$A,$D65),)</f>
        <v/>
      </c>
    </row>
    <row r="66">
      <c r="A66" s="35" t="str">
        <f>IF(AND($L66*1&gt;=$G$3,$L66*1&lt;=$G$4,$I66*$J66&gt;0,CONCATENATE($H66:$L66)&lt;&gt;CONCATENATE($H67:$L67),$I66/POW(10,$J66)*MAXIFS(Token!$B:$B,Token!$A:$A,$K66)&gt;0.01),$L66/86400+DATE(1970,1,1)+IF($L66*1&gt;=$G$5,$G$6,0),)</f>
        <v/>
      </c>
      <c r="B66" s="22" t="str">
        <f t="shared" si="1"/>
        <v/>
      </c>
      <c r="C66" s="14" t="str">
        <f>IF($A66&lt;&gt;"",MINIFS(Merchant!$A:$A,Merchant!$B:$B,$G$2),)</f>
        <v/>
      </c>
      <c r="D66" s="14" t="str">
        <f t="shared" si="2"/>
        <v/>
      </c>
      <c r="E66" s="14" t="str">
        <f t="shared" si="3"/>
        <v/>
      </c>
      <c r="F66" s="6" t="str">
        <f>IF($A66&lt;&gt;"",MAXIFS(Token!$B:$B,Token!$A:$A,$D66),)</f>
        <v/>
      </c>
    </row>
    <row r="67">
      <c r="A67" s="35" t="str">
        <f>IF(AND($L67*1&gt;=$G$3,$L67*1&lt;=$G$4,$I67*$J67&gt;0,CONCATENATE($H67:$L67)&lt;&gt;CONCATENATE($H68:$L68),$I67/POW(10,$J67)*MAXIFS(Token!$B:$B,Token!$A:$A,$K67)&gt;0.01),$L67/86400+DATE(1970,1,1)+IF($L67*1&gt;=$G$5,$G$6,0),)</f>
        <v/>
      </c>
      <c r="B67" s="22" t="str">
        <f t="shared" si="1"/>
        <v/>
      </c>
      <c r="C67" s="14" t="str">
        <f>IF($A67&lt;&gt;"",MINIFS(Merchant!$A:$A,Merchant!$B:$B,$G$2),)</f>
        <v/>
      </c>
      <c r="D67" s="14" t="str">
        <f t="shared" si="2"/>
        <v/>
      </c>
      <c r="E67" s="14" t="str">
        <f t="shared" si="3"/>
        <v/>
      </c>
      <c r="F67" s="6" t="str">
        <f>IF($A67&lt;&gt;"",MAXIFS(Token!$B:$B,Token!$A:$A,$D67),)</f>
        <v/>
      </c>
    </row>
    <row r="68">
      <c r="A68" s="35" t="str">
        <f>IF(AND($L68*1&gt;=$G$3,$L68*1&lt;=$G$4,$I68*$J68&gt;0,CONCATENATE($H68:$L68)&lt;&gt;CONCATENATE($H69:$L69),$I68/POW(10,$J68)*MAXIFS(Token!$B:$B,Token!$A:$A,$K68)&gt;0.01),$L68/86400+DATE(1970,1,1)+IF($L68*1&gt;=$G$5,$G$6,0),)</f>
        <v/>
      </c>
      <c r="B68" s="22" t="str">
        <f t="shared" si="1"/>
        <v/>
      </c>
      <c r="C68" s="14" t="str">
        <f>IF($A68&lt;&gt;"",MINIFS(Merchant!$A:$A,Merchant!$B:$B,$G$2),)</f>
        <v/>
      </c>
      <c r="D68" s="14" t="str">
        <f t="shared" si="2"/>
        <v/>
      </c>
      <c r="E68" s="14" t="str">
        <f t="shared" si="3"/>
        <v/>
      </c>
      <c r="F68" s="6" t="str">
        <f>IF($A68&lt;&gt;"",MAXIFS(Token!$B:$B,Token!$A:$A,$D68),)</f>
        <v/>
      </c>
    </row>
    <row r="69">
      <c r="A69" s="35" t="str">
        <f>IF(AND($L69*1&gt;=$G$3,$L69*1&lt;=$G$4,$I69*$J69&gt;0,CONCATENATE($H69:$L69)&lt;&gt;CONCATENATE($H70:$L70),$I69/POW(10,$J69)*MAXIFS(Token!$B:$B,Token!$A:$A,$K69)&gt;0.01),$L69/86400+DATE(1970,1,1)+IF($L69*1&gt;=$G$5,$G$6,0),)</f>
        <v/>
      </c>
      <c r="B69" s="22" t="str">
        <f t="shared" si="1"/>
        <v/>
      </c>
      <c r="C69" s="14" t="str">
        <f>IF($A69&lt;&gt;"",MINIFS(Merchant!$A:$A,Merchant!$B:$B,$G$2),)</f>
        <v/>
      </c>
      <c r="D69" s="14" t="str">
        <f t="shared" si="2"/>
        <v/>
      </c>
      <c r="E69" s="14" t="str">
        <f t="shared" si="3"/>
        <v/>
      </c>
      <c r="F69" s="6" t="str">
        <f>IF($A69&lt;&gt;"",MAXIFS(Token!$B:$B,Token!$A:$A,$D69),)</f>
        <v/>
      </c>
    </row>
    <row r="70">
      <c r="A70" s="35" t="str">
        <f>IF(AND($L70*1&gt;=$G$3,$L70*1&lt;=$G$4,$I70*$J70&gt;0,CONCATENATE($H70:$L70)&lt;&gt;CONCATENATE($H71:$L71),$I70/POW(10,$J70)*MAXIFS(Token!$B:$B,Token!$A:$A,$K70)&gt;0.01),$L70/86400+DATE(1970,1,1)+IF($L70*1&gt;=$G$5,$G$6,0),)</f>
        <v/>
      </c>
      <c r="B70" s="22" t="str">
        <f t="shared" si="1"/>
        <v/>
      </c>
      <c r="C70" s="14" t="str">
        <f>IF($A70&lt;&gt;"",MINIFS(Merchant!$A:$A,Merchant!$B:$B,$G$2),)</f>
        <v/>
      </c>
      <c r="D70" s="14" t="str">
        <f t="shared" si="2"/>
        <v/>
      </c>
      <c r="E70" s="14" t="str">
        <f t="shared" si="3"/>
        <v/>
      </c>
      <c r="F70" s="6" t="str">
        <f>IF($A70&lt;&gt;"",MAXIFS(Token!$B:$B,Token!$A:$A,$D70),)</f>
        <v/>
      </c>
    </row>
    <row r="71">
      <c r="A71" s="35" t="str">
        <f>IF(AND($L71*1&gt;=$G$3,$L71*1&lt;=$G$4,$I71*$J71&gt;0,CONCATENATE($H71:$L71)&lt;&gt;CONCATENATE($H72:$L72),$I71/POW(10,$J71)*MAXIFS(Token!$B:$B,Token!$A:$A,$K71)&gt;0.01),$L71/86400+DATE(1970,1,1)+IF($L71*1&gt;=$G$5,$G$6,0),)</f>
        <v/>
      </c>
      <c r="B71" s="22" t="str">
        <f t="shared" si="1"/>
        <v/>
      </c>
      <c r="C71" s="14" t="str">
        <f>IF($A71&lt;&gt;"",MINIFS(Merchant!$A:$A,Merchant!$B:$B,$G$2),)</f>
        <v/>
      </c>
      <c r="D71" s="14" t="str">
        <f t="shared" si="2"/>
        <v/>
      </c>
      <c r="E71" s="14" t="str">
        <f t="shared" si="3"/>
        <v/>
      </c>
      <c r="F71" s="6" t="str">
        <f>IF($A71&lt;&gt;"",MAXIFS(Token!$B:$B,Token!$A:$A,$D71),)</f>
        <v/>
      </c>
    </row>
    <row r="72">
      <c r="A72" s="35" t="str">
        <f>IF(AND($L72*1&gt;=$G$3,$L72*1&lt;=$G$4,$I72*$J72&gt;0,CONCATENATE($H72:$L72)&lt;&gt;CONCATENATE($H73:$L73),$I72/POW(10,$J72)*MAXIFS(Token!$B:$B,Token!$A:$A,$K72)&gt;0.01),$L72/86400+DATE(1970,1,1)+IF($L72*1&gt;=$G$5,$G$6,0),)</f>
        <v/>
      </c>
      <c r="B72" s="22" t="str">
        <f t="shared" si="1"/>
        <v/>
      </c>
      <c r="C72" s="14" t="str">
        <f>IF($A72&lt;&gt;"",MINIFS(Merchant!$A:$A,Merchant!$B:$B,$G$2),)</f>
        <v/>
      </c>
      <c r="D72" s="14" t="str">
        <f t="shared" si="2"/>
        <v/>
      </c>
      <c r="E72" s="14" t="str">
        <f t="shared" si="3"/>
        <v/>
      </c>
      <c r="F72" s="6" t="str">
        <f>IF($A72&lt;&gt;"",MAXIFS(Token!$B:$B,Token!$A:$A,$D72),)</f>
        <v/>
      </c>
    </row>
    <row r="73">
      <c r="A73" s="35" t="str">
        <f>IF(AND($L73*1&gt;=$G$3,$L73*1&lt;=$G$4,$I73*$J73&gt;0,CONCATENATE($H73:$L73)&lt;&gt;CONCATENATE($H74:$L74),$I73/POW(10,$J73)*MAXIFS(Token!$B:$B,Token!$A:$A,$K73)&gt;0.01),$L73/86400+DATE(1970,1,1)+IF($L73*1&gt;=$G$5,$G$6,0),)</f>
        <v/>
      </c>
      <c r="B73" s="22" t="str">
        <f t="shared" si="1"/>
        <v/>
      </c>
      <c r="C73" s="14" t="str">
        <f>IF($A73&lt;&gt;"",MINIFS(Merchant!$A:$A,Merchant!$B:$B,$G$2),)</f>
        <v/>
      </c>
      <c r="D73" s="14" t="str">
        <f t="shared" si="2"/>
        <v/>
      </c>
      <c r="E73" s="14" t="str">
        <f t="shared" si="3"/>
        <v/>
      </c>
      <c r="F73" s="6" t="str">
        <f>IF($A73&lt;&gt;"",MAXIFS(Token!$B:$B,Token!$A:$A,$D73),)</f>
        <v/>
      </c>
    </row>
    <row r="74">
      <c r="A74" s="35" t="str">
        <f>IF(AND($L74*1&gt;=$G$3,$L74*1&lt;=$G$4,$I74*$J74&gt;0,CONCATENATE($H74:$L74)&lt;&gt;CONCATENATE($H75:$L75),$I74/POW(10,$J74)*MAXIFS(Token!$B:$B,Token!$A:$A,$K74)&gt;0.01),$L74/86400+DATE(1970,1,1)+IF($L74*1&gt;=$G$5,$G$6,0),)</f>
        <v/>
      </c>
      <c r="B74" s="22" t="str">
        <f t="shared" si="1"/>
        <v/>
      </c>
      <c r="C74" s="14" t="str">
        <f>IF($A74&lt;&gt;"",MINIFS(Merchant!$A:$A,Merchant!$B:$B,$G$2),)</f>
        <v/>
      </c>
      <c r="D74" s="14" t="str">
        <f t="shared" si="2"/>
        <v/>
      </c>
      <c r="E74" s="14" t="str">
        <f t="shared" si="3"/>
        <v/>
      </c>
      <c r="F74" s="6" t="str">
        <f>IF($A74&lt;&gt;"",MAXIFS(Token!$B:$B,Token!$A:$A,$D74),)</f>
        <v/>
      </c>
    </row>
    <row r="75">
      <c r="A75" s="35" t="str">
        <f>IF(AND($L75*1&gt;=$G$3,$L75*1&lt;=$G$4,$I75*$J75&gt;0,CONCATENATE($H75:$L75)&lt;&gt;CONCATENATE($H76:$L76),$I75/POW(10,$J75)*MAXIFS(Token!$B:$B,Token!$A:$A,$K75)&gt;0.01),$L75/86400+DATE(1970,1,1)+IF($L75*1&gt;=$G$5,$G$6,0),)</f>
        <v/>
      </c>
      <c r="B75" s="22" t="str">
        <f t="shared" si="1"/>
        <v/>
      </c>
      <c r="C75" s="14" t="str">
        <f>IF($A75&lt;&gt;"",MINIFS(Merchant!$A:$A,Merchant!$B:$B,$G$2),)</f>
        <v/>
      </c>
      <c r="D75" s="14" t="str">
        <f t="shared" si="2"/>
        <v/>
      </c>
      <c r="E75" s="14" t="str">
        <f t="shared" si="3"/>
        <v/>
      </c>
      <c r="F75" s="6" t="str">
        <f>IF($A75&lt;&gt;"",MAXIFS(Token!$B:$B,Token!$A:$A,$D75),)</f>
        <v/>
      </c>
    </row>
    <row r="76">
      <c r="A76" s="35" t="str">
        <f>IF(AND($L76*1&gt;=$G$3,$L76*1&lt;=$G$4,$I76*$J76&gt;0,CONCATENATE($H76:$L76)&lt;&gt;CONCATENATE($H77:$L77),$I76/POW(10,$J76)*MAXIFS(Token!$B:$B,Token!$A:$A,$K76)&gt;0.01),$L76/86400+DATE(1970,1,1)+IF($L76*1&gt;=$G$5,$G$6,0),)</f>
        <v/>
      </c>
      <c r="B76" s="22" t="str">
        <f t="shared" si="1"/>
        <v/>
      </c>
      <c r="C76" s="14" t="str">
        <f>IF($A76&lt;&gt;"",MINIFS(Merchant!$A:$A,Merchant!$B:$B,$G$2),)</f>
        <v/>
      </c>
      <c r="D76" s="14" t="str">
        <f t="shared" si="2"/>
        <v/>
      </c>
      <c r="E76" s="14" t="str">
        <f t="shared" si="3"/>
        <v/>
      </c>
      <c r="F76" s="6" t="str">
        <f>IF($A76&lt;&gt;"",MAXIFS(Token!$B:$B,Token!$A:$A,$D76),)</f>
        <v/>
      </c>
    </row>
    <row r="77">
      <c r="A77" s="35" t="str">
        <f>IF(AND($L77*1&gt;=$G$3,$L77*1&lt;=$G$4,$I77*$J77&gt;0,CONCATENATE($H77:$L77)&lt;&gt;CONCATENATE($H78:$L78),$I77/POW(10,$J77)*MAXIFS(Token!$B:$B,Token!$A:$A,$K77)&gt;0.01),$L77/86400+DATE(1970,1,1)+IF($L77*1&gt;=$G$5,$G$6,0),)</f>
        <v/>
      </c>
      <c r="B77" s="22" t="str">
        <f t="shared" si="1"/>
        <v/>
      </c>
      <c r="C77" s="14" t="str">
        <f>IF($A77&lt;&gt;"",MINIFS(Merchant!$A:$A,Merchant!$B:$B,$G$2),)</f>
        <v/>
      </c>
      <c r="D77" s="14" t="str">
        <f t="shared" si="2"/>
        <v/>
      </c>
      <c r="E77" s="14" t="str">
        <f t="shared" si="3"/>
        <v/>
      </c>
      <c r="F77" s="6" t="str">
        <f>IF($A77&lt;&gt;"",MAXIFS(Token!$B:$B,Token!$A:$A,$D77),)</f>
        <v/>
      </c>
    </row>
    <row r="78">
      <c r="A78" s="35" t="str">
        <f>IF(AND($L78*1&gt;=$G$3,$L78*1&lt;=$G$4,$I78*$J78&gt;0,CONCATENATE($H78:$L78)&lt;&gt;CONCATENATE($H79:$L79),$I78/POW(10,$J78)*MAXIFS(Token!$B:$B,Token!$A:$A,$K78)&gt;0.01),$L78/86400+DATE(1970,1,1)+IF($L78*1&gt;=$G$5,$G$6,0),)</f>
        <v/>
      </c>
      <c r="B78" s="22" t="str">
        <f t="shared" si="1"/>
        <v/>
      </c>
      <c r="C78" s="14" t="str">
        <f>IF($A78&lt;&gt;"",MINIFS(Merchant!$A:$A,Merchant!$B:$B,$G$2),)</f>
        <v/>
      </c>
      <c r="D78" s="14" t="str">
        <f t="shared" si="2"/>
        <v/>
      </c>
      <c r="E78" s="14" t="str">
        <f t="shared" si="3"/>
        <v/>
      </c>
      <c r="F78" s="6" t="str">
        <f>IF($A78&lt;&gt;"",MAXIFS(Token!$B:$B,Token!$A:$A,$D78),)</f>
        <v/>
      </c>
    </row>
    <row r="79">
      <c r="A79" s="35" t="str">
        <f>IF(AND($L79*1&gt;=$G$3,$L79*1&lt;=$G$4,$I79*$J79&gt;0,CONCATENATE($H79:$L79)&lt;&gt;CONCATENATE($H80:$L80),$I79/POW(10,$J79)*MAXIFS(Token!$B:$B,Token!$A:$A,$K79)&gt;0.01),$L79/86400+DATE(1970,1,1)+IF($L79*1&gt;=$G$5,$G$6,0),)</f>
        <v/>
      </c>
      <c r="B79" s="22" t="str">
        <f t="shared" si="1"/>
        <v/>
      </c>
      <c r="C79" s="14" t="str">
        <f>IF($A79&lt;&gt;"",MINIFS(Merchant!$A:$A,Merchant!$B:$B,$G$2),)</f>
        <v/>
      </c>
      <c r="D79" s="14" t="str">
        <f t="shared" si="2"/>
        <v/>
      </c>
      <c r="E79" s="14" t="str">
        <f t="shared" si="3"/>
        <v/>
      </c>
      <c r="F79" s="6" t="str">
        <f>IF($A79&lt;&gt;"",MAXIFS(Token!$B:$B,Token!$A:$A,$D79),)</f>
        <v/>
      </c>
    </row>
    <row r="80">
      <c r="A80" s="35" t="str">
        <f>IF(AND($L80*1&gt;=$G$3,$L80*1&lt;=$G$4,$I80*$J80&gt;0,CONCATENATE($H80:$L80)&lt;&gt;CONCATENATE($H81:$L81),$I80/POW(10,$J80)*MAXIFS(Token!$B:$B,Token!$A:$A,$K80)&gt;0.01),$L80/86400+DATE(1970,1,1)+IF($L80*1&gt;=$G$5,$G$6,0),)</f>
        <v/>
      </c>
      <c r="B80" s="22" t="str">
        <f t="shared" si="1"/>
        <v/>
      </c>
      <c r="C80" s="14" t="str">
        <f>IF($A80&lt;&gt;"",MINIFS(Merchant!$A:$A,Merchant!$B:$B,$G$2),)</f>
        <v/>
      </c>
      <c r="D80" s="14" t="str">
        <f t="shared" si="2"/>
        <v/>
      </c>
      <c r="E80" s="14" t="str">
        <f t="shared" si="3"/>
        <v/>
      </c>
      <c r="F80" s="6" t="str">
        <f>IF($A80&lt;&gt;"",MAXIFS(Token!$B:$B,Token!$A:$A,$D80),)</f>
        <v/>
      </c>
    </row>
    <row r="81">
      <c r="A81" s="35" t="str">
        <f>IF(AND($L81*1&gt;=$G$3,$L81*1&lt;=$G$4,$I81*$J81&gt;0,CONCATENATE($H81:$L81)&lt;&gt;CONCATENATE($H82:$L82),$I81/POW(10,$J81)*MAXIFS(Token!$B:$B,Token!$A:$A,$K81)&gt;0.01),$L81/86400+DATE(1970,1,1)+IF($L81*1&gt;=$G$5,$G$6,0),)</f>
        <v/>
      </c>
      <c r="B81" s="22" t="str">
        <f t="shared" si="1"/>
        <v/>
      </c>
      <c r="C81" s="14" t="str">
        <f>IF($A81&lt;&gt;"",MINIFS(Merchant!$A:$A,Merchant!$B:$B,$G$2),)</f>
        <v/>
      </c>
      <c r="D81" s="14" t="str">
        <f t="shared" si="2"/>
        <v/>
      </c>
      <c r="E81" s="14" t="str">
        <f t="shared" si="3"/>
        <v/>
      </c>
      <c r="F81" s="6" t="str">
        <f>IF($A81&lt;&gt;"",MAXIFS(Token!$B:$B,Token!$A:$A,$D81),)</f>
        <v/>
      </c>
    </row>
    <row r="82">
      <c r="A82" s="35" t="str">
        <f>IF(AND($L82*1&gt;=$G$3,$L82*1&lt;=$G$4,$I82*$J82&gt;0,CONCATENATE($H82:$L82)&lt;&gt;CONCATENATE($H83:$L83),$I82/POW(10,$J82)*MAXIFS(Token!$B:$B,Token!$A:$A,$K82)&gt;0.01),$L82/86400+DATE(1970,1,1)+IF($L82*1&gt;=$G$5,$G$6,0),)</f>
        <v/>
      </c>
      <c r="B82" s="22" t="str">
        <f t="shared" si="1"/>
        <v/>
      </c>
      <c r="C82" s="14" t="str">
        <f>IF($A82&lt;&gt;"",MINIFS(Merchant!$A:$A,Merchant!$B:$B,$G$2),)</f>
        <v/>
      </c>
      <c r="D82" s="14" t="str">
        <f t="shared" si="2"/>
        <v/>
      </c>
      <c r="E82" s="14" t="str">
        <f t="shared" si="3"/>
        <v/>
      </c>
      <c r="F82" s="6" t="str">
        <f>IF($A82&lt;&gt;"",MAXIFS(Token!$B:$B,Token!$A:$A,$D82),)</f>
        <v/>
      </c>
    </row>
    <row r="83">
      <c r="A83" s="35" t="str">
        <f>IF(AND($L83*1&gt;=$G$3,$L83*1&lt;=$G$4,$I83*$J83&gt;0,CONCATENATE($H83:$L83)&lt;&gt;CONCATENATE($H84:$L84),$I83/POW(10,$J83)*MAXIFS(Token!$B:$B,Token!$A:$A,$K83)&gt;0.01),$L83/86400+DATE(1970,1,1)+IF($L83*1&gt;=$G$5,$G$6,0),)</f>
        <v/>
      </c>
      <c r="B83" s="22" t="str">
        <f t="shared" si="1"/>
        <v/>
      </c>
      <c r="C83" s="14" t="str">
        <f>IF($A83&lt;&gt;"",MINIFS(Merchant!$A:$A,Merchant!$B:$B,$G$2),)</f>
        <v/>
      </c>
      <c r="D83" s="14" t="str">
        <f t="shared" si="2"/>
        <v/>
      </c>
      <c r="E83" s="14" t="str">
        <f t="shared" si="3"/>
        <v/>
      </c>
      <c r="F83" s="6" t="str">
        <f>IF($A83&lt;&gt;"",MAXIFS(Token!$B:$B,Token!$A:$A,$D83),)</f>
        <v/>
      </c>
    </row>
    <row r="84">
      <c r="A84" s="35" t="str">
        <f>IF(AND($L84*1&gt;=$G$3,$L84*1&lt;=$G$4,$I84*$J84&gt;0,CONCATENATE($H84:$L84)&lt;&gt;CONCATENATE($H85:$L85),$I84/POW(10,$J84)*MAXIFS(Token!$B:$B,Token!$A:$A,$K84)&gt;0.01),$L84/86400+DATE(1970,1,1)+IF($L84*1&gt;=$G$5,$G$6,0),)</f>
        <v/>
      </c>
      <c r="B84" s="22" t="str">
        <f t="shared" si="1"/>
        <v/>
      </c>
      <c r="C84" s="14" t="str">
        <f>IF($A84&lt;&gt;"",MINIFS(Merchant!$A:$A,Merchant!$B:$B,$G$2),)</f>
        <v/>
      </c>
      <c r="D84" s="14" t="str">
        <f t="shared" si="2"/>
        <v/>
      </c>
      <c r="E84" s="14" t="str">
        <f t="shared" si="3"/>
        <v/>
      </c>
      <c r="F84" s="6" t="str">
        <f>IF($A84&lt;&gt;"",MAXIFS(Token!$B:$B,Token!$A:$A,$D84),)</f>
        <v/>
      </c>
    </row>
    <row r="85">
      <c r="A85" s="35" t="str">
        <f>IF(AND($L85*1&gt;=$G$3,$L85*1&lt;=$G$4,$I85*$J85&gt;0,CONCATENATE($H85:$L85)&lt;&gt;CONCATENATE($H86:$L86),$I85/POW(10,$J85)*MAXIFS(Token!$B:$B,Token!$A:$A,$K85)&gt;0.01),$L85/86400+DATE(1970,1,1)+IF($L85*1&gt;=$G$5,$G$6,0),)</f>
        <v/>
      </c>
      <c r="B85" s="22" t="str">
        <f t="shared" si="1"/>
        <v/>
      </c>
      <c r="C85" s="14" t="str">
        <f>IF($A85&lt;&gt;"",MINIFS(Merchant!$A:$A,Merchant!$B:$B,$G$2),)</f>
        <v/>
      </c>
      <c r="D85" s="14" t="str">
        <f t="shared" si="2"/>
        <v/>
      </c>
      <c r="E85" s="14" t="str">
        <f t="shared" si="3"/>
        <v/>
      </c>
      <c r="F85" s="6" t="str">
        <f>IF($A85&lt;&gt;"",MAXIFS(Token!$B:$B,Token!$A:$A,$D85),)</f>
        <v/>
      </c>
    </row>
    <row r="86">
      <c r="A86" s="35" t="str">
        <f>IF(AND($L86*1&gt;=$G$3,$L86*1&lt;=$G$4,$I86*$J86&gt;0,CONCATENATE($H86:$L86)&lt;&gt;CONCATENATE($H87:$L87),$I86/POW(10,$J86)*MAXIFS(Token!$B:$B,Token!$A:$A,$K86)&gt;0.01),$L86/86400+DATE(1970,1,1)+IF($L86*1&gt;=$G$5,$G$6,0),)</f>
        <v/>
      </c>
      <c r="B86" s="22" t="str">
        <f t="shared" si="1"/>
        <v/>
      </c>
      <c r="C86" s="14" t="str">
        <f>IF($A86&lt;&gt;"",MINIFS(Merchant!$A:$A,Merchant!$B:$B,$G$2),)</f>
        <v/>
      </c>
      <c r="D86" s="14" t="str">
        <f t="shared" si="2"/>
        <v/>
      </c>
      <c r="E86" s="14" t="str">
        <f t="shared" si="3"/>
        <v/>
      </c>
      <c r="F86" s="6" t="str">
        <f>IF($A86&lt;&gt;"",MAXIFS(Token!$B:$B,Token!$A:$A,$D86),)</f>
        <v/>
      </c>
    </row>
    <row r="87">
      <c r="A87" s="35" t="str">
        <f>IF(AND($L87*1&gt;=$G$3,$L87*1&lt;=$G$4,$I87*$J87&gt;0,CONCATENATE($H87:$L87)&lt;&gt;CONCATENATE($H88:$L88),$I87/POW(10,$J87)*MAXIFS(Token!$B:$B,Token!$A:$A,$K87)&gt;0.01),$L87/86400+DATE(1970,1,1)+IF($L87*1&gt;=$G$5,$G$6,0),)</f>
        <v/>
      </c>
      <c r="B87" s="22" t="str">
        <f t="shared" si="1"/>
        <v/>
      </c>
      <c r="C87" s="14" t="str">
        <f>IF($A87&lt;&gt;"",MINIFS(Merchant!$A:$A,Merchant!$B:$B,$G$2),)</f>
        <v/>
      </c>
      <c r="D87" s="14" t="str">
        <f t="shared" si="2"/>
        <v/>
      </c>
      <c r="E87" s="14" t="str">
        <f t="shared" si="3"/>
        <v/>
      </c>
      <c r="F87" s="6" t="str">
        <f>IF($A87&lt;&gt;"",MAXIFS(Token!$B:$B,Token!$A:$A,$D87),)</f>
        <v/>
      </c>
    </row>
    <row r="88">
      <c r="A88" s="35" t="str">
        <f>IF(AND($L88*1&gt;=$G$3,$L88*1&lt;=$G$4,$I88*$J88&gt;0,CONCATENATE($H88:$L88)&lt;&gt;CONCATENATE($H89:$L89),$I88/POW(10,$J88)*MAXIFS(Token!$B:$B,Token!$A:$A,$K88)&gt;0.01),$L88/86400+DATE(1970,1,1)+IF($L88*1&gt;=$G$5,$G$6,0),)</f>
        <v/>
      </c>
      <c r="B88" s="22" t="str">
        <f t="shared" si="1"/>
        <v/>
      </c>
      <c r="C88" s="14" t="str">
        <f>IF($A88&lt;&gt;"",MINIFS(Merchant!$A:$A,Merchant!$B:$B,$G$2),)</f>
        <v/>
      </c>
      <c r="D88" s="14" t="str">
        <f t="shared" si="2"/>
        <v/>
      </c>
      <c r="E88" s="14" t="str">
        <f t="shared" si="3"/>
        <v/>
      </c>
      <c r="F88" s="6" t="str">
        <f>IF($A88&lt;&gt;"",MAXIFS(Token!$B:$B,Token!$A:$A,$D88),)</f>
        <v/>
      </c>
    </row>
    <row r="89">
      <c r="A89" s="35" t="str">
        <f>IF(AND($L89*1&gt;=$G$3,$L89*1&lt;=$G$4,$I89*$J89&gt;0,CONCATENATE($H89:$L89)&lt;&gt;CONCATENATE($H90:$L90),$I89/POW(10,$J89)*MAXIFS(Token!$B:$B,Token!$A:$A,$K89)&gt;0.01),$L89/86400+DATE(1970,1,1)+IF($L89*1&gt;=$G$5,$G$6,0),)</f>
        <v/>
      </c>
      <c r="B89" s="22" t="str">
        <f t="shared" si="1"/>
        <v/>
      </c>
      <c r="C89" s="14" t="str">
        <f>IF($A89&lt;&gt;"",MINIFS(Merchant!$A:$A,Merchant!$B:$B,$G$2),)</f>
        <v/>
      </c>
      <c r="D89" s="14" t="str">
        <f t="shared" si="2"/>
        <v/>
      </c>
      <c r="E89" s="14" t="str">
        <f t="shared" si="3"/>
        <v/>
      </c>
      <c r="F89" s="6" t="str">
        <f>IF($A89&lt;&gt;"",MAXIFS(Token!$B:$B,Token!$A:$A,$D89),)</f>
        <v/>
      </c>
    </row>
    <row r="90">
      <c r="A90" s="35" t="str">
        <f>IF(AND($L90*1&gt;=$G$3,$L90*1&lt;=$G$4,$I90*$J90&gt;0,CONCATENATE($H90:$L90)&lt;&gt;CONCATENATE($H91:$L91),$I90/POW(10,$J90)*MAXIFS(Token!$B:$B,Token!$A:$A,$K90)&gt;0.01),$L90/86400+DATE(1970,1,1)+IF($L90*1&gt;=$G$5,$G$6,0),)</f>
        <v/>
      </c>
      <c r="B90" s="22" t="str">
        <f t="shared" si="1"/>
        <v/>
      </c>
      <c r="C90" s="14" t="str">
        <f>IF($A90&lt;&gt;"",MINIFS(Merchant!$A:$A,Merchant!$B:$B,$G$2),)</f>
        <v/>
      </c>
      <c r="D90" s="14" t="str">
        <f t="shared" si="2"/>
        <v/>
      </c>
      <c r="E90" s="14" t="str">
        <f t="shared" si="3"/>
        <v/>
      </c>
      <c r="F90" s="6" t="str">
        <f>IF($A90&lt;&gt;"",MAXIFS(Token!$B:$B,Token!$A:$A,$D90),)</f>
        <v/>
      </c>
    </row>
    <row r="91">
      <c r="A91" s="35" t="str">
        <f>IF(AND($L91*1&gt;=$G$3,$L91*1&lt;=$G$4,$I91*$J91&gt;0,CONCATENATE($H91:$L91)&lt;&gt;CONCATENATE($H92:$L92),$I91/POW(10,$J91)*MAXIFS(Token!$B:$B,Token!$A:$A,$K91)&gt;0.01),$L91/86400+DATE(1970,1,1)+IF($L91*1&gt;=$G$5,$G$6,0),)</f>
        <v/>
      </c>
      <c r="B91" s="22" t="str">
        <f t="shared" si="1"/>
        <v/>
      </c>
      <c r="C91" s="14" t="str">
        <f>IF($A91&lt;&gt;"",MINIFS(Merchant!$A:$A,Merchant!$B:$B,$G$2),)</f>
        <v/>
      </c>
      <c r="D91" s="14" t="str">
        <f t="shared" si="2"/>
        <v/>
      </c>
      <c r="E91" s="14" t="str">
        <f t="shared" si="3"/>
        <v/>
      </c>
      <c r="F91" s="6" t="str">
        <f>IF($A91&lt;&gt;"",MAXIFS(Token!$B:$B,Token!$A:$A,$D91),)</f>
        <v/>
      </c>
    </row>
    <row r="92">
      <c r="A92" s="35" t="str">
        <f>IF(AND($L92*1&gt;=$G$3,$L92*1&lt;=$G$4,$I92*$J92&gt;0,CONCATENATE($H92:$L92)&lt;&gt;CONCATENATE($H93:$L93),$I92/POW(10,$J92)*MAXIFS(Token!$B:$B,Token!$A:$A,$K92)&gt;0.01),$L92/86400+DATE(1970,1,1)+IF($L92*1&gt;=$G$5,$G$6,0),)</f>
        <v/>
      </c>
      <c r="B92" s="22" t="str">
        <f t="shared" si="1"/>
        <v/>
      </c>
      <c r="C92" s="14" t="str">
        <f>IF($A92&lt;&gt;"",MINIFS(Merchant!$A:$A,Merchant!$B:$B,$G$2),)</f>
        <v/>
      </c>
      <c r="D92" s="14" t="str">
        <f t="shared" si="2"/>
        <v/>
      </c>
      <c r="E92" s="14" t="str">
        <f t="shared" si="3"/>
        <v/>
      </c>
      <c r="F92" s="6" t="str">
        <f>IF($A92&lt;&gt;"",MAXIFS(Token!$B:$B,Token!$A:$A,$D92),)</f>
        <v/>
      </c>
    </row>
    <row r="93">
      <c r="A93" s="35" t="str">
        <f>IF(AND($L93*1&gt;=$G$3,$L93*1&lt;=$G$4,$I93*$J93&gt;0,CONCATENATE($H93:$L93)&lt;&gt;CONCATENATE($H94:$L94),$I93/POW(10,$J93)*MAXIFS(Token!$B:$B,Token!$A:$A,$K93)&gt;0.01),$L93/86400+DATE(1970,1,1)+IF($L93*1&gt;=$G$5,$G$6,0),)</f>
        <v/>
      </c>
      <c r="B93" s="22" t="str">
        <f t="shared" si="1"/>
        <v/>
      </c>
      <c r="C93" s="14" t="str">
        <f>IF($A93&lt;&gt;"",MINIFS(Merchant!$A:$A,Merchant!$B:$B,$G$2),)</f>
        <v/>
      </c>
      <c r="D93" s="14" t="str">
        <f t="shared" si="2"/>
        <v/>
      </c>
      <c r="E93" s="14" t="str">
        <f t="shared" si="3"/>
        <v/>
      </c>
      <c r="F93" s="6" t="str">
        <f>IF($A93&lt;&gt;"",MAXIFS(Token!$B:$B,Token!$A:$A,$D93),)</f>
        <v/>
      </c>
    </row>
    <row r="94">
      <c r="A94" s="35" t="str">
        <f>IF(AND($L94*1&gt;=$G$3,$L94*1&lt;=$G$4,$I94*$J94&gt;0,CONCATENATE($H94:$L94)&lt;&gt;CONCATENATE($H95:$L95),$I94/POW(10,$J94)*MAXIFS(Token!$B:$B,Token!$A:$A,$K94)&gt;0.01),$L94/86400+DATE(1970,1,1)+IF($L94*1&gt;=$G$5,$G$6,0),)</f>
        <v/>
      </c>
      <c r="B94" s="22" t="str">
        <f t="shared" si="1"/>
        <v/>
      </c>
      <c r="C94" s="14" t="str">
        <f>IF($A94&lt;&gt;"",MINIFS(Merchant!$A:$A,Merchant!$B:$B,$G$2),)</f>
        <v/>
      </c>
      <c r="D94" s="14" t="str">
        <f t="shared" si="2"/>
        <v/>
      </c>
      <c r="E94" s="14" t="str">
        <f t="shared" si="3"/>
        <v/>
      </c>
      <c r="F94" s="6" t="str">
        <f>IF($A94&lt;&gt;"",MAXIFS(Token!$B:$B,Token!$A:$A,$D94),)</f>
        <v/>
      </c>
    </row>
    <row r="95">
      <c r="A95" s="35" t="str">
        <f>IF(AND($L95*1&gt;=$G$3,$L95*1&lt;=$G$4,$I95*$J95&gt;0,CONCATENATE($H95:$L95)&lt;&gt;CONCATENATE($H96:$L96),$I95/POW(10,$J95)*MAXIFS(Token!$B:$B,Token!$A:$A,$K95)&gt;0.01),$L95/86400+DATE(1970,1,1)+IF($L95*1&gt;=$G$5,$G$6,0),)</f>
        <v/>
      </c>
      <c r="B95" s="22" t="str">
        <f t="shared" si="1"/>
        <v/>
      </c>
      <c r="C95" s="14" t="str">
        <f>IF($A95&lt;&gt;"",MINIFS(Merchant!$A:$A,Merchant!$B:$B,$G$2),)</f>
        <v/>
      </c>
      <c r="D95" s="14" t="str">
        <f t="shared" si="2"/>
        <v/>
      </c>
      <c r="E95" s="14" t="str">
        <f t="shared" si="3"/>
        <v/>
      </c>
      <c r="F95" s="6" t="str">
        <f>IF($A95&lt;&gt;"",MAXIFS(Token!$B:$B,Token!$A:$A,$D95),)</f>
        <v/>
      </c>
    </row>
    <row r="96">
      <c r="A96" s="35" t="str">
        <f>IF(AND($L96*1&gt;=$G$3,$L96*1&lt;=$G$4,$I96*$J96&gt;0,CONCATENATE($H96:$L96)&lt;&gt;CONCATENATE($H97:$L97),$I96/POW(10,$J96)*MAXIFS(Token!$B:$B,Token!$A:$A,$K96)&gt;0.01),$L96/86400+DATE(1970,1,1)+IF($L96*1&gt;=$G$5,$G$6,0),)</f>
        <v/>
      </c>
      <c r="B96" s="22" t="str">
        <f t="shared" si="1"/>
        <v/>
      </c>
      <c r="C96" s="14" t="str">
        <f>IF($A96&lt;&gt;"",MINIFS(Merchant!$A:$A,Merchant!$B:$B,$G$2),)</f>
        <v/>
      </c>
      <c r="D96" s="14" t="str">
        <f t="shared" si="2"/>
        <v/>
      </c>
      <c r="E96" s="14" t="str">
        <f t="shared" si="3"/>
        <v/>
      </c>
      <c r="F96" s="6" t="str">
        <f>IF($A96&lt;&gt;"",MAXIFS(Token!$B:$B,Token!$A:$A,$D96),)</f>
        <v/>
      </c>
    </row>
    <row r="97">
      <c r="A97" s="35" t="str">
        <f>IF(AND($L97*1&gt;=$G$3,$L97*1&lt;=$G$4,$I97*$J97&gt;0,CONCATENATE($H97:$L97)&lt;&gt;CONCATENATE($H98:$L98),$I97/POW(10,$J97)*MAXIFS(Token!$B:$B,Token!$A:$A,$K97)&gt;0.01),$L97/86400+DATE(1970,1,1)+IF($L97*1&gt;=$G$5,$G$6,0),)</f>
        <v/>
      </c>
      <c r="B97" s="22" t="str">
        <f t="shared" si="1"/>
        <v/>
      </c>
      <c r="C97" s="14" t="str">
        <f>IF($A97&lt;&gt;"",MINIFS(Merchant!$A:$A,Merchant!$B:$B,$G$2),)</f>
        <v/>
      </c>
      <c r="D97" s="14" t="str">
        <f t="shared" si="2"/>
        <v/>
      </c>
      <c r="E97" s="14" t="str">
        <f t="shared" si="3"/>
        <v/>
      </c>
      <c r="F97" s="6" t="str">
        <f>IF($A97&lt;&gt;"",MAXIFS(Token!$B:$B,Token!$A:$A,$D97),)</f>
        <v/>
      </c>
    </row>
    <row r="98">
      <c r="A98" s="35" t="str">
        <f>IF(AND($L98*1&gt;=$G$3,$L98*1&lt;=$G$4,$I98*$J98&gt;0,CONCATENATE($H98:$L98)&lt;&gt;CONCATENATE($H99:$L99),$I98/POW(10,$J98)*MAXIFS(Token!$B:$B,Token!$A:$A,$K98)&gt;0.01),$L98/86400+DATE(1970,1,1)+IF($L98*1&gt;=$G$5,$G$6,0),)</f>
        <v/>
      </c>
      <c r="B98" s="22" t="str">
        <f t="shared" si="1"/>
        <v/>
      </c>
      <c r="C98" s="14" t="str">
        <f>IF($A98&lt;&gt;"",MINIFS(Merchant!$A:$A,Merchant!$B:$B,$G$2),)</f>
        <v/>
      </c>
      <c r="D98" s="14" t="str">
        <f t="shared" si="2"/>
        <v/>
      </c>
      <c r="E98" s="14" t="str">
        <f t="shared" si="3"/>
        <v/>
      </c>
      <c r="F98" s="6" t="str">
        <f>IF($A98&lt;&gt;"",MAXIFS(Token!$B:$B,Token!$A:$A,$D98),)</f>
        <v/>
      </c>
    </row>
    <row r="99">
      <c r="A99" s="35" t="str">
        <f>IF(AND($L99*1&gt;=$G$3,$L99*1&lt;=$G$4,$I99*$J99&gt;0,CONCATENATE($H99:$L99)&lt;&gt;CONCATENATE($H100:$L100),$I99/POW(10,$J99)*MAXIFS(Token!$B:$B,Token!$A:$A,$K99)&gt;0.01),$L99/86400+DATE(1970,1,1)+IF($L99*1&gt;=$G$5,$G$6,0),)</f>
        <v/>
      </c>
      <c r="B99" s="22" t="str">
        <f t="shared" si="1"/>
        <v/>
      </c>
      <c r="C99" s="14" t="str">
        <f>IF($A99&lt;&gt;"",MINIFS(Merchant!$A:$A,Merchant!$B:$B,$G$2),)</f>
        <v/>
      </c>
      <c r="D99" s="14" t="str">
        <f t="shared" si="2"/>
        <v/>
      </c>
      <c r="E99" s="14" t="str">
        <f t="shared" si="3"/>
        <v/>
      </c>
      <c r="F99" s="6" t="str">
        <f>IF($A99&lt;&gt;"",MAXIFS(Token!$B:$B,Token!$A:$A,$D99),)</f>
        <v/>
      </c>
    </row>
    <row r="100">
      <c r="A100" s="35" t="str">
        <f>IF(AND($L100*1&gt;=$G$3,$L100*1&lt;=$G$4,$I100*$J100&gt;0,CONCATENATE($H100:$L100)&lt;&gt;CONCATENATE($H101:$L101),$I100/POW(10,$J100)*MAXIFS(Token!$B:$B,Token!$A:$A,$K100)&gt;0.01),$L100/86400+DATE(1970,1,1)+IF($L100*1&gt;=$G$5,$G$6,0),)</f>
        <v/>
      </c>
      <c r="B100" s="22" t="str">
        <f t="shared" si="1"/>
        <v/>
      </c>
      <c r="C100" s="14" t="str">
        <f>IF($A100&lt;&gt;"",MINIFS(Merchant!$A:$A,Merchant!$B:$B,$G$2),)</f>
        <v/>
      </c>
      <c r="D100" s="14" t="str">
        <f t="shared" si="2"/>
        <v/>
      </c>
      <c r="E100" s="14" t="str">
        <f t="shared" si="3"/>
        <v/>
      </c>
      <c r="F100" s="6" t="str">
        <f>IF($A100&lt;&gt;"",MAXIFS(Token!$B:$B,Token!$A:$A,$D100),)</f>
        <v/>
      </c>
    </row>
    <row r="101">
      <c r="A101" s="35" t="str">
        <f>IF(AND($L101*1&gt;=$G$3,$L101*1&lt;=$G$4,$I101*$J101&gt;0,CONCATENATE($H101:$L101)&lt;&gt;CONCATENATE($H102:$L102),$I101/POW(10,$J101)*MAXIFS(Token!$B:$B,Token!$A:$A,$K101)&gt;0.01),$L101/86400+DATE(1970,1,1)+IF($L101*1&gt;=$G$5,$G$6,0),)</f>
        <v/>
      </c>
      <c r="B101" s="22" t="str">
        <f t="shared" si="1"/>
        <v/>
      </c>
      <c r="C101" s="14" t="str">
        <f>IF($A101&lt;&gt;"",MINIFS(Merchant!$A:$A,Merchant!$B:$B,$G$2),)</f>
        <v/>
      </c>
      <c r="D101" s="14" t="str">
        <f t="shared" si="2"/>
        <v/>
      </c>
      <c r="E101" s="14" t="str">
        <f t="shared" si="3"/>
        <v/>
      </c>
      <c r="F101" s="6" t="str">
        <f>IF($A101&lt;&gt;"",MAXIFS(Token!$B:$B,Token!$A:$A,$D101),)</f>
        <v/>
      </c>
    </row>
    <row r="102">
      <c r="A102" s="35" t="str">
        <f>IF(AND($L102*1&gt;=$G$3,$L102*1&lt;=$G$4,$I102*$J102&gt;0,CONCATENATE($H102:$L102)&lt;&gt;CONCATENATE($H103:$L103),$I102/POW(10,$J102)*MAXIFS(Token!$B:$B,Token!$A:$A,$K102)&gt;0.01),$L102/86400+DATE(1970,1,1)+IF($L102*1&gt;=$G$5,$G$6,0),)</f>
        <v/>
      </c>
      <c r="B102" s="22" t="str">
        <f t="shared" si="1"/>
        <v/>
      </c>
      <c r="C102" s="14" t="str">
        <f>IF($A102&lt;&gt;"",MINIFS(Merchant!$A:$A,Merchant!$B:$B,$G$2),)</f>
        <v/>
      </c>
      <c r="D102" s="14" t="str">
        <f t="shared" si="2"/>
        <v/>
      </c>
      <c r="E102" s="14" t="str">
        <f t="shared" si="3"/>
        <v/>
      </c>
      <c r="F102" s="6" t="str">
        <f>IF($A102&lt;&gt;"",MAXIFS(Token!$B:$B,Token!$A:$A,$D102),)</f>
        <v/>
      </c>
    </row>
    <row r="103">
      <c r="A103" s="35" t="str">
        <f>IF(AND($L103*1&gt;=$G$3,$L103*1&lt;=$G$4,$I103*$J103&gt;0,CONCATENATE($H103:$L103)&lt;&gt;CONCATENATE($H104:$L104),$I103/POW(10,$J103)*MAXIFS(Token!$B:$B,Token!$A:$A,$K103)&gt;0.01),$L103/86400+DATE(1970,1,1)+IF($L103*1&gt;=$G$5,$G$6,0),)</f>
        <v/>
      </c>
      <c r="B103" s="22" t="str">
        <f t="shared" si="1"/>
        <v/>
      </c>
      <c r="C103" s="14" t="str">
        <f>IF($A103&lt;&gt;"",MINIFS(Merchant!$A:$A,Merchant!$B:$B,$G$2),)</f>
        <v/>
      </c>
      <c r="D103" s="14" t="str">
        <f t="shared" si="2"/>
        <v/>
      </c>
      <c r="E103" s="14" t="str">
        <f t="shared" si="3"/>
        <v/>
      </c>
      <c r="F103" s="6" t="str">
        <f>IF($A103&lt;&gt;"",MAXIFS(Token!$B:$B,Token!$A:$A,$D103),)</f>
        <v/>
      </c>
    </row>
    <row r="104">
      <c r="A104" s="35" t="str">
        <f>IF(AND($L104*1&gt;=$G$3,$L104*1&lt;=$G$4,$I104*$J104&gt;0,CONCATENATE($H104:$L104)&lt;&gt;CONCATENATE($H105:$L105),$I104/POW(10,$J104)*MAXIFS(Token!$B:$B,Token!$A:$A,$K104)&gt;0.01),$L104/86400+DATE(1970,1,1)+IF($L104*1&gt;=$G$5,$G$6,0),)</f>
        <v/>
      </c>
      <c r="B104" s="22" t="str">
        <f t="shared" si="1"/>
        <v/>
      </c>
      <c r="C104" s="14" t="str">
        <f>IF($A104&lt;&gt;"",MINIFS(Merchant!$A:$A,Merchant!$B:$B,$G$2),)</f>
        <v/>
      </c>
      <c r="D104" s="14" t="str">
        <f t="shared" si="2"/>
        <v/>
      </c>
      <c r="E104" s="14" t="str">
        <f t="shared" si="3"/>
        <v/>
      </c>
      <c r="F104" s="6" t="str">
        <f>IF($A104&lt;&gt;"",MAXIFS(Token!$B:$B,Token!$A:$A,$D104),)</f>
        <v/>
      </c>
    </row>
    <row r="105">
      <c r="A105" s="35" t="str">
        <f>IF(AND($L105*1&gt;=$G$3,$L105*1&lt;=$G$4,$I105*$J105&gt;0,CONCATENATE($H105:$L105)&lt;&gt;CONCATENATE($H106:$L106),$I105/POW(10,$J105)*MAXIFS(Token!$B:$B,Token!$A:$A,$K105)&gt;0.01),$L105/86400+DATE(1970,1,1)+IF($L105*1&gt;=$G$5,$G$6,0),)</f>
        <v/>
      </c>
      <c r="B105" s="22" t="str">
        <f t="shared" si="1"/>
        <v/>
      </c>
      <c r="C105" s="14" t="str">
        <f>IF($A105&lt;&gt;"",MINIFS(Merchant!$A:$A,Merchant!$B:$B,$G$2),)</f>
        <v/>
      </c>
      <c r="D105" s="14" t="str">
        <f t="shared" si="2"/>
        <v/>
      </c>
      <c r="E105" s="14" t="str">
        <f t="shared" si="3"/>
        <v/>
      </c>
      <c r="F105" s="6" t="str">
        <f>IF($A105&lt;&gt;"",MAXIFS(Token!$B:$B,Token!$A:$A,$D105),)</f>
        <v/>
      </c>
    </row>
    <row r="106">
      <c r="A106" s="35" t="str">
        <f>IF(AND($L106*1&gt;=$G$3,$L106*1&lt;=$G$4,$I106*$J106&gt;0,CONCATENATE($H106:$L106)&lt;&gt;CONCATENATE($H107:$L107),$I106/POW(10,$J106)*MAXIFS(Token!$B:$B,Token!$A:$A,$K106)&gt;0.01),$L106/86400+DATE(1970,1,1)+IF($L106*1&gt;=$G$5,$G$6,0),)</f>
        <v/>
      </c>
      <c r="B106" s="22" t="str">
        <f t="shared" si="1"/>
        <v/>
      </c>
      <c r="C106" s="14" t="str">
        <f>IF($A106&lt;&gt;"",MINIFS(Merchant!$A:$A,Merchant!$B:$B,$G$2),)</f>
        <v/>
      </c>
      <c r="D106" s="14" t="str">
        <f t="shared" si="2"/>
        <v/>
      </c>
      <c r="E106" s="14" t="str">
        <f t="shared" si="3"/>
        <v/>
      </c>
      <c r="F106" s="6" t="str">
        <f>IF($A106&lt;&gt;"",MAXIFS(Token!$B:$B,Token!$A:$A,$D106),)</f>
        <v/>
      </c>
    </row>
    <row r="107">
      <c r="A107" s="35" t="str">
        <f>IF(AND($L107*1&gt;=$G$3,$L107*1&lt;=$G$4,$I107*$J107&gt;0,CONCATENATE($H107:$L107)&lt;&gt;CONCATENATE($H108:$L108),$I107/POW(10,$J107)*MAXIFS(Token!$B:$B,Token!$A:$A,$K107)&gt;0.01),$L107/86400+DATE(1970,1,1)+IF($L107*1&gt;=$G$5,$G$6,0),)</f>
        <v/>
      </c>
      <c r="B107" s="22" t="str">
        <f t="shared" si="1"/>
        <v/>
      </c>
      <c r="C107" s="14" t="str">
        <f>IF($A107&lt;&gt;"",MINIFS(Merchant!$A:$A,Merchant!$B:$B,$G$2),)</f>
        <v/>
      </c>
      <c r="D107" s="14" t="str">
        <f t="shared" si="2"/>
        <v/>
      </c>
      <c r="E107" s="14" t="str">
        <f t="shared" si="3"/>
        <v/>
      </c>
      <c r="F107" s="6" t="str">
        <f>IF($A107&lt;&gt;"",MAXIFS(Token!$B:$B,Token!$A:$A,$D107),)</f>
        <v/>
      </c>
    </row>
    <row r="108">
      <c r="A108" s="35" t="str">
        <f>IF(AND($L108*1&gt;=$G$3,$L108*1&lt;=$G$4,$I108*$J108&gt;0,CONCATENATE($H108:$L108)&lt;&gt;CONCATENATE($H109:$L109),$I108/POW(10,$J108)*MAXIFS(Token!$B:$B,Token!$A:$A,$K108)&gt;0.01),$L108/86400+DATE(1970,1,1)+IF($L108*1&gt;=$G$5,$G$6,0),)</f>
        <v/>
      </c>
      <c r="B108" s="22" t="str">
        <f t="shared" si="1"/>
        <v/>
      </c>
      <c r="C108" s="14" t="str">
        <f>IF($A108&lt;&gt;"",MINIFS(Merchant!$A:$A,Merchant!$B:$B,$G$2),)</f>
        <v/>
      </c>
      <c r="D108" s="14" t="str">
        <f t="shared" si="2"/>
        <v/>
      </c>
      <c r="E108" s="14" t="str">
        <f t="shared" si="3"/>
        <v/>
      </c>
      <c r="F108" s="6" t="str">
        <f>IF($A108&lt;&gt;"",MAXIFS(Token!$B:$B,Token!$A:$A,$D108),)</f>
        <v/>
      </c>
    </row>
    <row r="109">
      <c r="A109" s="35" t="str">
        <f>IF(AND($L109*1&gt;=$G$3,$L109*1&lt;=$G$4,$I109*$J109&gt;0,CONCATENATE($H109:$L109)&lt;&gt;CONCATENATE($H110:$L110),$I109/POW(10,$J109)*MAXIFS(Token!$B:$B,Token!$A:$A,$K109)&gt;0.01),$L109/86400+DATE(1970,1,1)+IF($L109*1&gt;=$G$5,$G$6,0),)</f>
        <v/>
      </c>
      <c r="B109" s="22" t="str">
        <f t="shared" si="1"/>
        <v/>
      </c>
      <c r="C109" s="14" t="str">
        <f>IF($A109&lt;&gt;"",MINIFS(Merchant!$A:$A,Merchant!$B:$B,$G$2),)</f>
        <v/>
      </c>
      <c r="D109" s="14" t="str">
        <f t="shared" si="2"/>
        <v/>
      </c>
      <c r="E109" s="14" t="str">
        <f t="shared" si="3"/>
        <v/>
      </c>
      <c r="F109" s="6" t="str">
        <f>IF($A109&lt;&gt;"",MAXIFS(Token!$B:$B,Token!$A:$A,$D109),)</f>
        <v/>
      </c>
    </row>
    <row r="110">
      <c r="A110" s="35" t="str">
        <f>IF(AND($L110*1&gt;=$G$3,$L110*1&lt;=$G$4,$I110*$J110&gt;0,CONCATENATE($H110:$L110)&lt;&gt;CONCATENATE($H111:$L111),$I110/POW(10,$J110)*MAXIFS(Token!$B:$B,Token!$A:$A,$K110)&gt;0.01),$L110/86400+DATE(1970,1,1)+IF($L110*1&gt;=$G$5,$G$6,0),)</f>
        <v/>
      </c>
      <c r="B110" s="22" t="str">
        <f t="shared" si="1"/>
        <v/>
      </c>
      <c r="C110" s="14" t="str">
        <f>IF($A110&lt;&gt;"",MINIFS(Merchant!$A:$A,Merchant!$B:$B,$G$2),)</f>
        <v/>
      </c>
      <c r="D110" s="14" t="str">
        <f t="shared" si="2"/>
        <v/>
      </c>
      <c r="E110" s="14" t="str">
        <f t="shared" si="3"/>
        <v/>
      </c>
      <c r="F110" s="6" t="str">
        <f>IF($A110&lt;&gt;"",MAXIFS(Token!$B:$B,Token!$A:$A,$D110),)</f>
        <v/>
      </c>
    </row>
    <row r="111">
      <c r="A111" s="35" t="str">
        <f>IF(AND($L111*1&gt;=$G$3,$L111*1&lt;=$G$4,$I111*$J111&gt;0,CONCATENATE($H111:$L111)&lt;&gt;CONCATENATE($H112:$L112),$I111/POW(10,$J111)*MAXIFS(Token!$B:$B,Token!$A:$A,$K111)&gt;0.01),$L111/86400+DATE(1970,1,1)+IF($L111*1&gt;=$G$5,$G$6,0),)</f>
        <v/>
      </c>
      <c r="B111" s="22" t="str">
        <f t="shared" si="1"/>
        <v/>
      </c>
      <c r="C111" s="14" t="str">
        <f>IF($A111&lt;&gt;"",MINIFS(Merchant!$A:$A,Merchant!$B:$B,$G$2),)</f>
        <v/>
      </c>
      <c r="D111" s="14" t="str">
        <f t="shared" si="2"/>
        <v/>
      </c>
      <c r="E111" s="14" t="str">
        <f t="shared" si="3"/>
        <v/>
      </c>
      <c r="F111" s="6" t="str">
        <f>IF($A111&lt;&gt;"",MAXIFS(Token!$B:$B,Token!$A:$A,$D111),)</f>
        <v/>
      </c>
    </row>
    <row r="112">
      <c r="A112" s="35" t="str">
        <f>IF(AND($L112*1&gt;=$G$3,$L112*1&lt;=$G$4,$I112*$J112&gt;0,CONCATENATE($H112:$L112)&lt;&gt;CONCATENATE($H113:$L113),$I112/POW(10,$J112)*MAXIFS(Token!$B:$B,Token!$A:$A,$K112)&gt;0.01),$L112/86400+DATE(1970,1,1)+IF($L112*1&gt;=$G$5,$G$6,0),)</f>
        <v/>
      </c>
      <c r="B112" s="22" t="str">
        <f t="shared" si="1"/>
        <v/>
      </c>
      <c r="C112" s="14" t="str">
        <f>IF($A112&lt;&gt;"",MINIFS(Merchant!$A:$A,Merchant!$B:$B,$G$2),)</f>
        <v/>
      </c>
      <c r="D112" s="14" t="str">
        <f t="shared" si="2"/>
        <v/>
      </c>
      <c r="E112" s="14" t="str">
        <f t="shared" si="3"/>
        <v/>
      </c>
      <c r="F112" s="6" t="str">
        <f>IF($A112&lt;&gt;"",MAXIFS(Token!$B:$B,Token!$A:$A,$D112),)</f>
        <v/>
      </c>
    </row>
    <row r="113">
      <c r="A113" s="35" t="str">
        <f>IF(AND($L113*1&gt;=$G$3,$L113*1&lt;=$G$4,$I113*$J113&gt;0,CONCATENATE($H113:$L113)&lt;&gt;CONCATENATE($H114:$L114),$I113/POW(10,$J113)*MAXIFS(Token!$B:$B,Token!$A:$A,$K113)&gt;0.01),$L113/86400+DATE(1970,1,1)+IF($L113*1&gt;=$G$5,$G$6,0),)</f>
        <v/>
      </c>
      <c r="B113" s="22" t="str">
        <f t="shared" si="1"/>
        <v/>
      </c>
      <c r="C113" s="14" t="str">
        <f>IF($A113&lt;&gt;"",MINIFS(Merchant!$A:$A,Merchant!$B:$B,$G$2),)</f>
        <v/>
      </c>
      <c r="D113" s="14" t="str">
        <f t="shared" si="2"/>
        <v/>
      </c>
      <c r="E113" s="14" t="str">
        <f t="shared" si="3"/>
        <v/>
      </c>
      <c r="F113" s="6" t="str">
        <f>IF($A113&lt;&gt;"",MAXIFS(Token!$B:$B,Token!$A:$A,$D113),)</f>
        <v/>
      </c>
    </row>
    <row r="114">
      <c r="A114" s="35" t="str">
        <f>IF(AND($L114*1&gt;=$G$3,$L114*1&lt;=$G$4,$I114*$J114&gt;0,CONCATENATE($H114:$L114)&lt;&gt;CONCATENATE($H115:$L115),$I114/POW(10,$J114)*MAXIFS(Token!$B:$B,Token!$A:$A,$K114)&gt;0.01),$L114/86400+DATE(1970,1,1)+IF($L114*1&gt;=$G$5,$G$6,0),)</f>
        <v/>
      </c>
      <c r="B114" s="22" t="str">
        <f t="shared" si="1"/>
        <v/>
      </c>
      <c r="C114" s="14" t="str">
        <f>IF($A114&lt;&gt;"",MINIFS(Merchant!$A:$A,Merchant!$B:$B,$G$2),)</f>
        <v/>
      </c>
      <c r="D114" s="14" t="str">
        <f t="shared" si="2"/>
        <v/>
      </c>
      <c r="E114" s="14" t="str">
        <f t="shared" si="3"/>
        <v/>
      </c>
      <c r="F114" s="6" t="str">
        <f>IF($A114&lt;&gt;"",MAXIFS(Token!$B:$B,Token!$A:$A,$D114),)</f>
        <v/>
      </c>
    </row>
    <row r="115">
      <c r="A115" s="35" t="str">
        <f>IF(AND($L115*1&gt;=$G$3,$L115*1&lt;=$G$4,$I115*$J115&gt;0,CONCATENATE($H115:$L115)&lt;&gt;CONCATENATE($H116:$L116),$I115/POW(10,$J115)*MAXIFS(Token!$B:$B,Token!$A:$A,$K115)&gt;0.01),$L115/86400+DATE(1970,1,1)+IF($L115*1&gt;=$G$5,$G$6,0),)</f>
        <v/>
      </c>
      <c r="B115" s="22" t="str">
        <f t="shared" si="1"/>
        <v/>
      </c>
      <c r="C115" s="14" t="str">
        <f>IF($A115&lt;&gt;"",MINIFS(Merchant!$A:$A,Merchant!$B:$B,$G$2),)</f>
        <v/>
      </c>
      <c r="D115" s="14" t="str">
        <f t="shared" si="2"/>
        <v/>
      </c>
      <c r="E115" s="14" t="str">
        <f t="shared" si="3"/>
        <v/>
      </c>
      <c r="F115" s="6" t="str">
        <f>IF($A115&lt;&gt;"",MAXIFS(Token!$B:$B,Token!$A:$A,$D115),)</f>
        <v/>
      </c>
    </row>
    <row r="116">
      <c r="A116" s="35" t="str">
        <f>IF(AND($L116*1&gt;=$G$3,$L116*1&lt;=$G$4,$I116*$J116&gt;0,CONCATENATE($H116:$L116)&lt;&gt;CONCATENATE($H117:$L117),$I116/POW(10,$J116)*MAXIFS(Token!$B:$B,Token!$A:$A,$K116)&gt;0.01),$L116/86400+DATE(1970,1,1)+IF($L116*1&gt;=$G$5,$G$6,0),)</f>
        <v/>
      </c>
      <c r="B116" s="22" t="str">
        <f t="shared" si="1"/>
        <v/>
      </c>
      <c r="C116" s="14" t="str">
        <f>IF($A116&lt;&gt;"",MINIFS(Merchant!$A:$A,Merchant!$B:$B,$G$2),)</f>
        <v/>
      </c>
      <c r="D116" s="14" t="str">
        <f t="shared" si="2"/>
        <v/>
      </c>
      <c r="E116" s="14" t="str">
        <f t="shared" si="3"/>
        <v/>
      </c>
      <c r="F116" s="6" t="str">
        <f>IF($A116&lt;&gt;"",MAXIFS(Token!$B:$B,Token!$A:$A,$D116),)</f>
        <v/>
      </c>
    </row>
    <row r="117">
      <c r="A117" s="35" t="str">
        <f>IF(AND($L117*1&gt;=$G$3,$L117*1&lt;=$G$4,$I117*$J117&gt;0,CONCATENATE($H117:$L117)&lt;&gt;CONCATENATE($H118:$L118),$I117/POW(10,$J117)*MAXIFS(Token!$B:$B,Token!$A:$A,$K117)&gt;0.01),$L117/86400+DATE(1970,1,1)+IF($L117*1&gt;=$G$5,$G$6,0),)</f>
        <v/>
      </c>
      <c r="B117" s="22" t="str">
        <f t="shared" si="1"/>
        <v/>
      </c>
      <c r="C117" s="14" t="str">
        <f>IF($A117&lt;&gt;"",MINIFS(Merchant!$A:$A,Merchant!$B:$B,$G$2),)</f>
        <v/>
      </c>
      <c r="D117" s="14" t="str">
        <f t="shared" si="2"/>
        <v/>
      </c>
      <c r="E117" s="14" t="str">
        <f t="shared" si="3"/>
        <v/>
      </c>
      <c r="F117" s="6" t="str">
        <f>IF($A117&lt;&gt;"",MAXIFS(Token!$B:$B,Token!$A:$A,$D117),)</f>
        <v/>
      </c>
    </row>
    <row r="118">
      <c r="A118" s="35" t="str">
        <f>IF(AND($L118*1&gt;=$G$3,$L118*1&lt;=$G$4,$I118*$J118&gt;0,CONCATENATE($H118:$L118)&lt;&gt;CONCATENATE($H119:$L119),$I118/POW(10,$J118)*MAXIFS(Token!$B:$B,Token!$A:$A,$K118)&gt;0.01),$L118/86400+DATE(1970,1,1)+IF($L118*1&gt;=$G$5,$G$6,0),)</f>
        <v/>
      </c>
      <c r="B118" s="22" t="str">
        <f t="shared" si="1"/>
        <v/>
      </c>
      <c r="C118" s="14" t="str">
        <f>IF($A118&lt;&gt;"",MINIFS(Merchant!$A:$A,Merchant!$B:$B,$G$2),)</f>
        <v/>
      </c>
      <c r="D118" s="14" t="str">
        <f t="shared" si="2"/>
        <v/>
      </c>
      <c r="E118" s="14" t="str">
        <f t="shared" si="3"/>
        <v/>
      </c>
      <c r="F118" s="6" t="str">
        <f>IF($A118&lt;&gt;"",MAXIFS(Token!$B:$B,Token!$A:$A,$D118),)</f>
        <v/>
      </c>
    </row>
    <row r="119">
      <c r="A119" s="35" t="str">
        <f>IF(AND($L119*1&gt;=$G$3,$L119*1&lt;=$G$4,$I119*$J119&gt;0,CONCATENATE($H119:$L119)&lt;&gt;CONCATENATE($H120:$L120),$I119/POW(10,$J119)*MAXIFS(Token!$B:$B,Token!$A:$A,$K119)&gt;0.01),$L119/86400+DATE(1970,1,1)+IF($L119*1&gt;=$G$5,$G$6,0),)</f>
        <v/>
      </c>
      <c r="B119" s="22" t="str">
        <f t="shared" si="1"/>
        <v/>
      </c>
      <c r="C119" s="14" t="str">
        <f>IF($A119&lt;&gt;"",MINIFS(Merchant!$A:$A,Merchant!$B:$B,$G$2),)</f>
        <v/>
      </c>
      <c r="D119" s="14" t="str">
        <f t="shared" si="2"/>
        <v/>
      </c>
      <c r="E119" s="14" t="str">
        <f t="shared" si="3"/>
        <v/>
      </c>
      <c r="F119" s="6" t="str">
        <f>IF($A119&lt;&gt;"",MAXIFS(Token!$B:$B,Token!$A:$A,$D119),)</f>
        <v/>
      </c>
    </row>
    <row r="120">
      <c r="A120" s="35" t="str">
        <f>IF(AND($L120*1&gt;=$G$3,$L120*1&lt;=$G$4,$I120*$J120&gt;0,CONCATENATE($H120:$L120)&lt;&gt;CONCATENATE($H121:$L121),$I120/POW(10,$J120)*MAXIFS(Token!$B:$B,Token!$A:$A,$K120)&gt;0.01),$L120/86400+DATE(1970,1,1)+IF($L120*1&gt;=$G$5,$G$6,0),)</f>
        <v/>
      </c>
      <c r="B120" s="22" t="str">
        <f t="shared" si="1"/>
        <v/>
      </c>
      <c r="C120" s="14" t="str">
        <f>IF($A120&lt;&gt;"",MINIFS(Merchant!$A:$A,Merchant!$B:$B,$G$2),)</f>
        <v/>
      </c>
      <c r="D120" s="14" t="str">
        <f t="shared" si="2"/>
        <v/>
      </c>
      <c r="E120" s="14" t="str">
        <f t="shared" si="3"/>
        <v/>
      </c>
      <c r="F120" s="6" t="str">
        <f>IF($A120&lt;&gt;"",MAXIFS(Token!$B:$B,Token!$A:$A,$D120),)</f>
        <v/>
      </c>
    </row>
    <row r="121">
      <c r="A121" s="35" t="str">
        <f>IF(AND($L121*1&gt;=$G$3,$L121*1&lt;=$G$4,$I121*$J121&gt;0,CONCATENATE($H121:$L121)&lt;&gt;CONCATENATE($H122:$L122),$I121/POW(10,$J121)*MAXIFS(Token!$B:$B,Token!$A:$A,$K121)&gt;0.01),$L121/86400+DATE(1970,1,1)+IF($L121*1&gt;=$G$5,$G$6,0),)</f>
        <v/>
      </c>
      <c r="B121" s="22" t="str">
        <f t="shared" si="1"/>
        <v/>
      </c>
      <c r="C121" s="14" t="str">
        <f>IF($A121&lt;&gt;"",MINIFS(Merchant!$A:$A,Merchant!$B:$B,$G$2),)</f>
        <v/>
      </c>
      <c r="D121" s="14" t="str">
        <f t="shared" si="2"/>
        <v/>
      </c>
      <c r="E121" s="14" t="str">
        <f t="shared" si="3"/>
        <v/>
      </c>
      <c r="F121" s="6" t="str">
        <f>IF($A121&lt;&gt;"",MAXIFS(Token!$B:$B,Token!$A:$A,$D121),)</f>
        <v/>
      </c>
    </row>
    <row r="122">
      <c r="A122" s="35" t="str">
        <f>IF(AND($L122*1&gt;=$G$3,$L122*1&lt;=$G$4,$I122*$J122&gt;0,CONCATENATE($H122:$L122)&lt;&gt;CONCATENATE($H123:$L123),$I122/POW(10,$J122)*MAXIFS(Token!$B:$B,Token!$A:$A,$K122)&gt;0.01),$L122/86400+DATE(1970,1,1)+IF($L122*1&gt;=$G$5,$G$6,0),)</f>
        <v/>
      </c>
      <c r="B122" s="22" t="str">
        <f t="shared" si="1"/>
        <v/>
      </c>
      <c r="C122" s="14" t="str">
        <f>IF($A122&lt;&gt;"",MINIFS(Merchant!$A:$A,Merchant!$B:$B,$G$2),)</f>
        <v/>
      </c>
      <c r="D122" s="14" t="str">
        <f t="shared" si="2"/>
        <v/>
      </c>
      <c r="E122" s="14" t="str">
        <f t="shared" si="3"/>
        <v/>
      </c>
      <c r="F122" s="6" t="str">
        <f>IF($A122&lt;&gt;"",MAXIFS(Token!$B:$B,Token!$A:$A,$D122),)</f>
        <v/>
      </c>
    </row>
    <row r="123">
      <c r="A123" s="35" t="str">
        <f>IF(AND($L123*1&gt;=$G$3,$L123*1&lt;=$G$4,$I123*$J123&gt;0,CONCATENATE($H123:$L123)&lt;&gt;CONCATENATE($H124:$L124),$I123/POW(10,$J123)*MAXIFS(Token!$B:$B,Token!$A:$A,$K123)&gt;0.01),$L123/86400+DATE(1970,1,1)+IF($L123*1&gt;=$G$5,$G$6,0),)</f>
        <v/>
      </c>
      <c r="B123" s="22" t="str">
        <f t="shared" si="1"/>
        <v/>
      </c>
      <c r="C123" s="14" t="str">
        <f>IF($A123&lt;&gt;"",MINIFS(Merchant!$A:$A,Merchant!$B:$B,$G$2),)</f>
        <v/>
      </c>
      <c r="D123" s="14" t="str">
        <f t="shared" si="2"/>
        <v/>
      </c>
      <c r="E123" s="14" t="str">
        <f t="shared" si="3"/>
        <v/>
      </c>
      <c r="F123" s="6" t="str">
        <f>IF($A123&lt;&gt;"",MAXIFS(Token!$B:$B,Token!$A:$A,$D123),)</f>
        <v/>
      </c>
    </row>
    <row r="124">
      <c r="A124" s="35" t="str">
        <f>IF(AND($L124*1&gt;=$G$3,$L124*1&lt;=$G$4,$I124*$J124&gt;0,CONCATENATE($H124:$L124)&lt;&gt;CONCATENATE($H125:$L125),$I124/POW(10,$J124)*MAXIFS(Token!$B:$B,Token!$A:$A,$K124)&gt;0.01),$L124/86400+DATE(1970,1,1)+IF($L124*1&gt;=$G$5,$G$6,0),)</f>
        <v/>
      </c>
      <c r="B124" s="22" t="str">
        <f t="shared" si="1"/>
        <v/>
      </c>
      <c r="C124" s="14" t="str">
        <f>IF($A124&lt;&gt;"",MINIFS(Merchant!$A:$A,Merchant!$B:$B,$G$2),)</f>
        <v/>
      </c>
      <c r="D124" s="14" t="str">
        <f t="shared" si="2"/>
        <v/>
      </c>
      <c r="E124" s="14" t="str">
        <f t="shared" si="3"/>
        <v/>
      </c>
      <c r="F124" s="6" t="str">
        <f>IF($A124&lt;&gt;"",MAXIFS(Token!$B:$B,Token!$A:$A,$D124),)</f>
        <v/>
      </c>
    </row>
    <row r="125">
      <c r="A125" s="35" t="str">
        <f>IF(AND($L125*1&gt;=$G$3,$L125*1&lt;=$G$4,$I125*$J125&gt;0,CONCATENATE($H125:$L125)&lt;&gt;CONCATENATE($H126:$L126),$I125/POW(10,$J125)*MAXIFS(Token!$B:$B,Token!$A:$A,$K125)&gt;0.01),$L125/86400+DATE(1970,1,1)+IF($L125*1&gt;=$G$5,$G$6,0),)</f>
        <v/>
      </c>
      <c r="B125" s="22" t="str">
        <f t="shared" si="1"/>
        <v/>
      </c>
      <c r="C125" s="14" t="str">
        <f>IF($A125&lt;&gt;"",MINIFS(Merchant!$A:$A,Merchant!$B:$B,$G$2),)</f>
        <v/>
      </c>
      <c r="D125" s="14" t="str">
        <f t="shared" si="2"/>
        <v/>
      </c>
      <c r="E125" s="14" t="str">
        <f t="shared" si="3"/>
        <v/>
      </c>
      <c r="F125" s="6" t="str">
        <f>IF($A125&lt;&gt;"",MAXIFS(Token!$B:$B,Token!$A:$A,$D125),)</f>
        <v/>
      </c>
    </row>
    <row r="126">
      <c r="A126" s="35" t="str">
        <f>IF(AND($L126*1&gt;=$G$3,$L126*1&lt;=$G$4,$I126*$J126&gt;0,CONCATENATE($H126:$L126)&lt;&gt;CONCATENATE($H127:$L127),$I126/POW(10,$J126)*MAXIFS(Token!$B:$B,Token!$A:$A,$K126)&gt;0.01),$L126/86400+DATE(1970,1,1)+IF($L126*1&gt;=$G$5,$G$6,0),)</f>
        <v/>
      </c>
      <c r="B126" s="22" t="str">
        <f t="shared" si="1"/>
        <v/>
      </c>
      <c r="C126" s="14" t="str">
        <f>IF($A126&lt;&gt;"",MINIFS(Merchant!$A:$A,Merchant!$B:$B,$G$2),)</f>
        <v/>
      </c>
      <c r="D126" s="14" t="str">
        <f t="shared" si="2"/>
        <v/>
      </c>
      <c r="E126" s="14" t="str">
        <f t="shared" si="3"/>
        <v/>
      </c>
      <c r="F126" s="6" t="str">
        <f>IF($A126&lt;&gt;"",MAXIFS(Token!$B:$B,Token!$A:$A,$D126),)</f>
        <v/>
      </c>
    </row>
    <row r="127">
      <c r="A127" s="35" t="str">
        <f>IF(AND($L127*1&gt;=$G$3,$L127*1&lt;=$G$4,$I127*$J127&gt;0,CONCATENATE($H127:$L127)&lt;&gt;CONCATENATE($H128:$L128),$I127/POW(10,$J127)*MAXIFS(Token!$B:$B,Token!$A:$A,$K127)&gt;0.01),$L127/86400+DATE(1970,1,1)+IF($L127*1&gt;=$G$5,$G$6,0),)</f>
        <v/>
      </c>
      <c r="B127" s="22" t="str">
        <f t="shared" si="1"/>
        <v/>
      </c>
      <c r="C127" s="14" t="str">
        <f>IF($A127&lt;&gt;"",MINIFS(Merchant!$A:$A,Merchant!$B:$B,$G$2),)</f>
        <v/>
      </c>
      <c r="D127" s="14" t="str">
        <f t="shared" si="2"/>
        <v/>
      </c>
      <c r="E127" s="14" t="str">
        <f t="shared" si="3"/>
        <v/>
      </c>
      <c r="F127" s="6" t="str">
        <f>IF($A127&lt;&gt;"",MAXIFS(Token!$B:$B,Token!$A:$A,$D127),)</f>
        <v/>
      </c>
    </row>
    <row r="128">
      <c r="A128" s="35" t="str">
        <f>IF(AND($L128*1&gt;=$G$3,$L128*1&lt;=$G$4,$I128*$J128&gt;0,CONCATENATE($H128:$L128)&lt;&gt;CONCATENATE($H129:$L129),$I128/POW(10,$J128)*MAXIFS(Token!$B:$B,Token!$A:$A,$K128)&gt;0.01),$L128/86400+DATE(1970,1,1)+IF($L128*1&gt;=$G$5,$G$6,0),)</f>
        <v/>
      </c>
      <c r="B128" s="22" t="str">
        <f t="shared" si="1"/>
        <v/>
      </c>
      <c r="C128" s="14" t="str">
        <f>IF($A128&lt;&gt;"",MINIFS(Merchant!$A:$A,Merchant!$B:$B,$G$2),)</f>
        <v/>
      </c>
      <c r="D128" s="14" t="str">
        <f t="shared" si="2"/>
        <v/>
      </c>
      <c r="E128" s="14" t="str">
        <f t="shared" si="3"/>
        <v/>
      </c>
      <c r="F128" s="6" t="str">
        <f>IF($A128&lt;&gt;"",MAXIFS(Token!$B:$B,Token!$A:$A,$D128),)</f>
        <v/>
      </c>
    </row>
    <row r="129">
      <c r="A129" s="35" t="str">
        <f>IF(AND($L129*1&gt;=$G$3,$L129*1&lt;=$G$4,$I129*$J129&gt;0,CONCATENATE($H129:$L129)&lt;&gt;CONCATENATE($H130:$L130),$I129/POW(10,$J129)*MAXIFS(Token!$B:$B,Token!$A:$A,$K129)&gt;0.01),$L129/86400+DATE(1970,1,1)+IF($L129*1&gt;=$G$5,$G$6,0),)</f>
        <v/>
      </c>
      <c r="B129" s="22" t="str">
        <f t="shared" si="1"/>
        <v/>
      </c>
      <c r="C129" s="14" t="str">
        <f>IF($A129&lt;&gt;"",MINIFS(Merchant!$A:$A,Merchant!$B:$B,$G$2),)</f>
        <v/>
      </c>
      <c r="D129" s="14" t="str">
        <f t="shared" si="2"/>
        <v/>
      </c>
      <c r="E129" s="14" t="str">
        <f t="shared" si="3"/>
        <v/>
      </c>
      <c r="F129" s="6" t="str">
        <f>IF($A129&lt;&gt;"",MAXIFS(Token!$B:$B,Token!$A:$A,$D129),)</f>
        <v/>
      </c>
    </row>
    <row r="130">
      <c r="A130" s="35" t="str">
        <f>IF(AND($L130*1&gt;=$G$3,$L130*1&lt;=$G$4,$I130*$J130&gt;0,CONCATENATE($H130:$L130)&lt;&gt;CONCATENATE($H131:$L131),$I130/POW(10,$J130)*MAXIFS(Token!$B:$B,Token!$A:$A,$K130)&gt;0.01),$L130/86400+DATE(1970,1,1)+IF($L130*1&gt;=$G$5,$G$6,0),)</f>
        <v/>
      </c>
      <c r="B130" s="22" t="str">
        <f t="shared" si="1"/>
        <v/>
      </c>
      <c r="C130" s="14" t="str">
        <f>IF($A130&lt;&gt;"",MINIFS(Merchant!$A:$A,Merchant!$B:$B,$G$2),)</f>
        <v/>
      </c>
      <c r="D130" s="14" t="str">
        <f t="shared" si="2"/>
        <v/>
      </c>
      <c r="E130" s="14" t="str">
        <f t="shared" si="3"/>
        <v/>
      </c>
      <c r="F130" s="6" t="str">
        <f>IF($A130&lt;&gt;"",MAXIFS(Token!$B:$B,Token!$A:$A,$D130),)</f>
        <v/>
      </c>
    </row>
    <row r="131">
      <c r="A131" s="35" t="str">
        <f>IF(AND($L131*1&gt;=$G$3,$L131*1&lt;=$G$4,$I131*$J131&gt;0,CONCATENATE($H131:$L131)&lt;&gt;CONCATENATE($H132:$L132),$I131/POW(10,$J131)*MAXIFS(Token!$B:$B,Token!$A:$A,$K131)&gt;0.01),$L131/86400+DATE(1970,1,1)+IF($L131*1&gt;=$G$5,$G$6,0),)</f>
        <v/>
      </c>
      <c r="B131" s="22" t="str">
        <f t="shared" si="1"/>
        <v/>
      </c>
      <c r="C131" s="14" t="str">
        <f>IF($A131&lt;&gt;"",MINIFS(Merchant!$A:$A,Merchant!$B:$B,$G$2),)</f>
        <v/>
      </c>
      <c r="D131" s="14" t="str">
        <f t="shared" si="2"/>
        <v/>
      </c>
      <c r="E131" s="14" t="str">
        <f t="shared" si="3"/>
        <v/>
      </c>
      <c r="F131" s="6" t="str">
        <f>IF($A131&lt;&gt;"",MAXIFS(Token!$B:$B,Token!$A:$A,$D131),)</f>
        <v/>
      </c>
    </row>
    <row r="132">
      <c r="A132" s="35" t="str">
        <f>IF(AND($L132*1&gt;=$G$3,$L132*1&lt;=$G$4,$I132*$J132&gt;0,CONCATENATE($H132:$L132)&lt;&gt;CONCATENATE($H133:$L133),$I132/POW(10,$J132)*MAXIFS(Token!$B:$B,Token!$A:$A,$K132)&gt;0.01),$L132/86400+DATE(1970,1,1)+IF($L132*1&gt;=$G$5,$G$6,0),)</f>
        <v/>
      </c>
      <c r="B132" s="22" t="str">
        <f t="shared" si="1"/>
        <v/>
      </c>
      <c r="C132" s="14" t="str">
        <f>IF($A132&lt;&gt;"",MINIFS(Merchant!$A:$A,Merchant!$B:$B,$G$2),)</f>
        <v/>
      </c>
      <c r="D132" s="14" t="str">
        <f t="shared" si="2"/>
        <v/>
      </c>
      <c r="E132" s="14" t="str">
        <f t="shared" si="3"/>
        <v/>
      </c>
      <c r="F132" s="6" t="str">
        <f>IF($A132&lt;&gt;"",MAXIFS(Token!$B:$B,Token!$A:$A,$D132),)</f>
        <v/>
      </c>
    </row>
    <row r="133">
      <c r="A133" s="35" t="str">
        <f>IF(AND($L133*1&gt;=$G$3,$L133*1&lt;=$G$4,$I133*$J133&gt;0,CONCATENATE($H133:$L133)&lt;&gt;CONCATENATE($H134:$L134),$I133/POW(10,$J133)*MAXIFS(Token!$B:$B,Token!$A:$A,$K133)&gt;0.01),$L133/86400+DATE(1970,1,1)+IF($L133*1&gt;=$G$5,$G$6,0),)</f>
        <v/>
      </c>
      <c r="B133" s="22" t="str">
        <f t="shared" si="1"/>
        <v/>
      </c>
      <c r="C133" s="14" t="str">
        <f>IF($A133&lt;&gt;"",MINIFS(Merchant!$A:$A,Merchant!$B:$B,$G$2),)</f>
        <v/>
      </c>
      <c r="D133" s="14" t="str">
        <f t="shared" si="2"/>
        <v/>
      </c>
      <c r="E133" s="14" t="str">
        <f t="shared" si="3"/>
        <v/>
      </c>
      <c r="F133" s="6" t="str">
        <f>IF($A133&lt;&gt;"",MAXIFS(Token!$B:$B,Token!$A:$A,$D133),)</f>
        <v/>
      </c>
    </row>
    <row r="134">
      <c r="A134" s="35" t="str">
        <f>IF(AND($L134*1&gt;=$G$3,$L134*1&lt;=$G$4,$I134*$J134&gt;0,CONCATENATE($H134:$L134)&lt;&gt;CONCATENATE($H135:$L135),$I134/POW(10,$J134)*MAXIFS(Token!$B:$B,Token!$A:$A,$K134)&gt;0.01),$L134/86400+DATE(1970,1,1)+IF($L134*1&gt;=$G$5,$G$6,0),)</f>
        <v/>
      </c>
      <c r="B134" s="22" t="str">
        <f t="shared" si="1"/>
        <v/>
      </c>
      <c r="C134" s="14" t="str">
        <f>IF($A134&lt;&gt;"",MINIFS(Merchant!$A:$A,Merchant!$B:$B,$G$2),)</f>
        <v/>
      </c>
      <c r="D134" s="14" t="str">
        <f t="shared" si="2"/>
        <v/>
      </c>
      <c r="E134" s="14" t="str">
        <f t="shared" si="3"/>
        <v/>
      </c>
      <c r="F134" s="6" t="str">
        <f>IF($A134&lt;&gt;"",MAXIFS(Token!$B:$B,Token!$A:$A,$D134),)</f>
        <v/>
      </c>
    </row>
    <row r="135">
      <c r="A135" s="35" t="str">
        <f>IF(AND($L135*1&gt;=$G$3,$L135*1&lt;=$G$4,$I135*$J135&gt;0,CONCATENATE($H135:$L135)&lt;&gt;CONCATENATE($H136:$L136),$I135/POW(10,$J135)*MAXIFS(Token!$B:$B,Token!$A:$A,$K135)&gt;0.01),$L135/86400+DATE(1970,1,1)+IF($L135*1&gt;=$G$5,$G$6,0),)</f>
        <v/>
      </c>
      <c r="B135" s="22" t="str">
        <f t="shared" si="1"/>
        <v/>
      </c>
      <c r="C135" s="14" t="str">
        <f>IF($A135&lt;&gt;"",MINIFS(Merchant!$A:$A,Merchant!$B:$B,$G$2),)</f>
        <v/>
      </c>
      <c r="D135" s="14" t="str">
        <f t="shared" si="2"/>
        <v/>
      </c>
      <c r="E135" s="14" t="str">
        <f t="shared" si="3"/>
        <v/>
      </c>
      <c r="F135" s="6" t="str">
        <f>IF($A135&lt;&gt;"",MAXIFS(Token!$B:$B,Token!$A:$A,$D135),)</f>
        <v/>
      </c>
    </row>
    <row r="136">
      <c r="A136" s="35" t="str">
        <f>IF(AND($L136*1&gt;=$G$3,$L136*1&lt;=$G$4,$I136*$J136&gt;0,CONCATENATE($H136:$L136)&lt;&gt;CONCATENATE($H137:$L137),$I136/POW(10,$J136)*MAXIFS(Token!$B:$B,Token!$A:$A,$K136)&gt;0.01),$L136/86400+DATE(1970,1,1)+IF($L136*1&gt;=$G$5,$G$6,0),)</f>
        <v/>
      </c>
      <c r="B136" s="22" t="str">
        <f t="shared" si="1"/>
        <v/>
      </c>
      <c r="C136" s="14" t="str">
        <f>IF($A136&lt;&gt;"",MINIFS(Merchant!$A:$A,Merchant!$B:$B,$G$2),)</f>
        <v/>
      </c>
      <c r="D136" s="14" t="str">
        <f t="shared" si="2"/>
        <v/>
      </c>
      <c r="E136" s="14" t="str">
        <f t="shared" si="3"/>
        <v/>
      </c>
      <c r="F136" s="6" t="str">
        <f>IF($A136&lt;&gt;"",MAXIFS(Token!$B:$B,Token!$A:$A,$D136),)</f>
        <v/>
      </c>
    </row>
    <row r="137">
      <c r="A137" s="35" t="str">
        <f>IF(AND($L137*1&gt;=$G$3,$L137*1&lt;=$G$4,$I137*$J137&gt;0,CONCATENATE($H137:$L137)&lt;&gt;CONCATENATE($H138:$L138),$I137/POW(10,$J137)*MAXIFS(Token!$B:$B,Token!$A:$A,$K137)&gt;0.01),$L137/86400+DATE(1970,1,1)+IF($L137*1&gt;=$G$5,$G$6,0),)</f>
        <v/>
      </c>
      <c r="B137" s="22" t="str">
        <f t="shared" si="1"/>
        <v/>
      </c>
      <c r="C137" s="14" t="str">
        <f>IF($A137&lt;&gt;"",MINIFS(Merchant!$A:$A,Merchant!$B:$B,$G$2),)</f>
        <v/>
      </c>
      <c r="D137" s="14" t="str">
        <f t="shared" si="2"/>
        <v/>
      </c>
      <c r="E137" s="14" t="str">
        <f t="shared" si="3"/>
        <v/>
      </c>
      <c r="F137" s="6" t="str">
        <f>IF($A137&lt;&gt;"",MAXIFS(Token!$B:$B,Token!$A:$A,$D137),)</f>
        <v/>
      </c>
    </row>
    <row r="138">
      <c r="A138" s="35" t="str">
        <f>IF(AND($L138*1&gt;=$G$3,$L138*1&lt;=$G$4,$I138*$J138&gt;0,CONCATENATE($H138:$L138)&lt;&gt;CONCATENATE($H139:$L139),$I138/POW(10,$J138)*MAXIFS(Token!$B:$B,Token!$A:$A,$K138)&gt;0.01),$L138/86400+DATE(1970,1,1)+IF($L138*1&gt;=$G$5,$G$6,0),)</f>
        <v/>
      </c>
      <c r="B138" s="22" t="str">
        <f t="shared" si="1"/>
        <v/>
      </c>
      <c r="C138" s="14" t="str">
        <f>IF($A138&lt;&gt;"",MINIFS(Merchant!$A:$A,Merchant!$B:$B,$G$2),)</f>
        <v/>
      </c>
      <c r="D138" s="14" t="str">
        <f t="shared" si="2"/>
        <v/>
      </c>
      <c r="E138" s="14" t="str">
        <f t="shared" si="3"/>
        <v/>
      </c>
      <c r="F138" s="6" t="str">
        <f>IF($A138&lt;&gt;"",MAXIFS(Token!$B:$B,Token!$A:$A,$D138),)</f>
        <v/>
      </c>
    </row>
    <row r="139">
      <c r="A139" s="35" t="str">
        <f>IF(AND($L139*1&gt;=$G$3,$L139*1&lt;=$G$4,$I139*$J139&gt;0,CONCATENATE($H139:$L139)&lt;&gt;CONCATENATE($H140:$L140),$I139/POW(10,$J139)*MAXIFS(Token!$B:$B,Token!$A:$A,$K139)&gt;0.01),$L139/86400+DATE(1970,1,1)+IF($L139*1&gt;=$G$5,$G$6,0),)</f>
        <v/>
      </c>
      <c r="B139" s="22" t="str">
        <f t="shared" si="1"/>
        <v/>
      </c>
      <c r="C139" s="14" t="str">
        <f>IF($A139&lt;&gt;"",MINIFS(Merchant!$A:$A,Merchant!$B:$B,$G$2),)</f>
        <v/>
      </c>
      <c r="D139" s="14" t="str">
        <f t="shared" si="2"/>
        <v/>
      </c>
      <c r="E139" s="14" t="str">
        <f t="shared" si="3"/>
        <v/>
      </c>
      <c r="F139" s="6" t="str">
        <f>IF($A139&lt;&gt;"",MAXIFS(Token!$B:$B,Token!$A:$A,$D139),)</f>
        <v/>
      </c>
    </row>
    <row r="140">
      <c r="A140" s="35" t="str">
        <f>IF(AND($L140*1&gt;=$G$3,$L140*1&lt;=$G$4,$I140*$J140&gt;0,CONCATENATE($H140:$L140)&lt;&gt;CONCATENATE($H141:$L141),$I140/POW(10,$J140)*MAXIFS(Token!$B:$B,Token!$A:$A,$K140)&gt;0.01),$L140/86400+DATE(1970,1,1)+IF($L140*1&gt;=$G$5,$G$6,0),)</f>
        <v/>
      </c>
      <c r="B140" s="22" t="str">
        <f t="shared" si="1"/>
        <v/>
      </c>
      <c r="C140" s="14" t="str">
        <f>IF($A140&lt;&gt;"",MINIFS(Merchant!$A:$A,Merchant!$B:$B,$G$2),)</f>
        <v/>
      </c>
      <c r="D140" s="14" t="str">
        <f t="shared" si="2"/>
        <v/>
      </c>
      <c r="E140" s="14" t="str">
        <f t="shared" si="3"/>
        <v/>
      </c>
      <c r="F140" s="6" t="str">
        <f>IF($A140&lt;&gt;"",MAXIFS(Token!$B:$B,Token!$A:$A,$D140),)</f>
        <v/>
      </c>
    </row>
    <row r="141">
      <c r="A141" s="35" t="str">
        <f>IF(AND($L141*1&gt;=$G$3,$L141*1&lt;=$G$4,$I141*$J141&gt;0,CONCATENATE($H141:$L141)&lt;&gt;CONCATENATE($H142:$L142),$I141/POW(10,$J141)*MAXIFS(Token!$B:$B,Token!$A:$A,$K141)&gt;0.01),$L141/86400+DATE(1970,1,1)+IF($L141*1&gt;=$G$5,$G$6,0),)</f>
        <v/>
      </c>
      <c r="B141" s="22" t="str">
        <f t="shared" si="1"/>
        <v/>
      </c>
      <c r="C141" s="14" t="str">
        <f>IF($A141&lt;&gt;"",MINIFS(Merchant!$A:$A,Merchant!$B:$B,$G$2),)</f>
        <v/>
      </c>
      <c r="D141" s="14" t="str">
        <f t="shared" si="2"/>
        <v/>
      </c>
      <c r="E141" s="14" t="str">
        <f t="shared" si="3"/>
        <v/>
      </c>
      <c r="F141" s="6" t="str">
        <f>IF($A141&lt;&gt;"",MAXIFS(Token!$B:$B,Token!$A:$A,$D141),)</f>
        <v/>
      </c>
    </row>
    <row r="142">
      <c r="A142" s="35" t="str">
        <f>IF(AND($L142*1&gt;=$G$3,$L142*1&lt;=$G$4,$I142*$J142&gt;0,CONCATENATE($H142:$L142)&lt;&gt;CONCATENATE($H143:$L143),$I142/POW(10,$J142)*MAXIFS(Token!$B:$B,Token!$A:$A,$K142)&gt;0.01),$L142/86400+DATE(1970,1,1)+IF($L142*1&gt;=$G$5,$G$6,0),)</f>
        <v/>
      </c>
      <c r="B142" s="22" t="str">
        <f t="shared" si="1"/>
        <v/>
      </c>
      <c r="C142" s="14" t="str">
        <f>IF($A142&lt;&gt;"",MINIFS(Merchant!$A:$A,Merchant!$B:$B,$G$2),)</f>
        <v/>
      </c>
      <c r="D142" s="14" t="str">
        <f t="shared" si="2"/>
        <v/>
      </c>
      <c r="E142" s="14" t="str">
        <f t="shared" si="3"/>
        <v/>
      </c>
      <c r="F142" s="6" t="str">
        <f>IF($A142&lt;&gt;"",MAXIFS(Token!$B:$B,Token!$A:$A,$D142),)</f>
        <v/>
      </c>
    </row>
    <row r="143">
      <c r="A143" s="35" t="str">
        <f>IF(AND($L143*1&gt;=$G$3,$L143*1&lt;=$G$4,$I143*$J143&gt;0,CONCATENATE($H143:$L143)&lt;&gt;CONCATENATE($H144:$L144),$I143/POW(10,$J143)*MAXIFS(Token!$B:$B,Token!$A:$A,$K143)&gt;0.01),$L143/86400+DATE(1970,1,1)+IF($L143*1&gt;=$G$5,$G$6,0),)</f>
        <v/>
      </c>
      <c r="B143" s="22" t="str">
        <f t="shared" si="1"/>
        <v/>
      </c>
      <c r="C143" s="14" t="str">
        <f>IF($A143&lt;&gt;"",MINIFS(Merchant!$A:$A,Merchant!$B:$B,$G$2),)</f>
        <v/>
      </c>
      <c r="D143" s="14" t="str">
        <f t="shared" si="2"/>
        <v/>
      </c>
      <c r="E143" s="14" t="str">
        <f t="shared" si="3"/>
        <v/>
      </c>
      <c r="F143" s="6" t="str">
        <f>IF($A143&lt;&gt;"",MAXIFS(Token!$B:$B,Token!$A:$A,$D143),)</f>
        <v/>
      </c>
    </row>
    <row r="144">
      <c r="A144" s="35" t="str">
        <f>IF(AND($L144*1&gt;=$G$3,$L144*1&lt;=$G$4,$I144*$J144&gt;0,CONCATENATE($H144:$L144)&lt;&gt;CONCATENATE($H145:$L145),$I144/POW(10,$J144)*MAXIFS(Token!$B:$B,Token!$A:$A,$K144)&gt;0.01),$L144/86400+DATE(1970,1,1)+IF($L144*1&gt;=$G$5,$G$6,0),)</f>
        <v/>
      </c>
      <c r="B144" s="22" t="str">
        <f t="shared" si="1"/>
        <v/>
      </c>
      <c r="C144" s="14" t="str">
        <f>IF($A144&lt;&gt;"",MINIFS(Merchant!$A:$A,Merchant!$B:$B,$G$2),)</f>
        <v/>
      </c>
      <c r="D144" s="14" t="str">
        <f t="shared" si="2"/>
        <v/>
      </c>
      <c r="E144" s="14" t="str">
        <f t="shared" si="3"/>
        <v/>
      </c>
      <c r="F144" s="6" t="str">
        <f>IF($A144&lt;&gt;"",MAXIFS(Token!$B:$B,Token!$A:$A,$D144),)</f>
        <v/>
      </c>
    </row>
    <row r="145">
      <c r="A145" s="35" t="str">
        <f>IF(AND($L145*1&gt;=$G$3,$L145*1&lt;=$G$4,$I145*$J145&gt;0,CONCATENATE($H145:$L145)&lt;&gt;CONCATENATE($H146:$L146),$I145/POW(10,$J145)*MAXIFS(Token!$B:$B,Token!$A:$A,$K145)&gt;0.01),$L145/86400+DATE(1970,1,1)+IF($L145*1&gt;=$G$5,$G$6,0),)</f>
        <v/>
      </c>
      <c r="B145" s="22" t="str">
        <f t="shared" si="1"/>
        <v/>
      </c>
      <c r="C145" s="14" t="str">
        <f>IF($A145&lt;&gt;"",MINIFS(Merchant!$A:$A,Merchant!$B:$B,$G$2),)</f>
        <v/>
      </c>
      <c r="D145" s="14" t="str">
        <f t="shared" si="2"/>
        <v/>
      </c>
      <c r="E145" s="14" t="str">
        <f t="shared" si="3"/>
        <v/>
      </c>
      <c r="F145" s="6" t="str">
        <f>IF($A145&lt;&gt;"",MAXIFS(Token!$B:$B,Token!$A:$A,$D145),)</f>
        <v/>
      </c>
    </row>
    <row r="146">
      <c r="A146" s="35" t="str">
        <f>IF(AND($L146*1&gt;=$G$3,$L146*1&lt;=$G$4,$I146*$J146&gt;0,CONCATENATE($H146:$L146)&lt;&gt;CONCATENATE($H147:$L147),$I146/POW(10,$J146)*MAXIFS(Token!$B:$B,Token!$A:$A,$K146)&gt;0.01),$L146/86400+DATE(1970,1,1)+IF($L146*1&gt;=$G$5,$G$6,0),)</f>
        <v/>
      </c>
      <c r="B146" s="22" t="str">
        <f t="shared" si="1"/>
        <v/>
      </c>
      <c r="C146" s="14" t="str">
        <f>IF($A146&lt;&gt;"",MINIFS(Merchant!$A:$A,Merchant!$B:$B,$G$2),)</f>
        <v/>
      </c>
      <c r="D146" s="14" t="str">
        <f t="shared" si="2"/>
        <v/>
      </c>
      <c r="E146" s="14" t="str">
        <f t="shared" si="3"/>
        <v/>
      </c>
      <c r="F146" s="6" t="str">
        <f>IF($A146&lt;&gt;"",MAXIFS(Token!$B:$B,Token!$A:$A,$D146),)</f>
        <v/>
      </c>
    </row>
    <row r="147">
      <c r="A147" s="35" t="str">
        <f>IF(AND($L147*1&gt;=$G$3,$L147*1&lt;=$G$4,$I147*$J147&gt;0,CONCATENATE($H147:$L147)&lt;&gt;CONCATENATE($H148:$L148),$I147/POW(10,$J147)*MAXIFS(Token!$B:$B,Token!$A:$A,$K147)&gt;0.01),$L147/86400+DATE(1970,1,1)+IF($L147*1&gt;=$G$5,$G$6,0),)</f>
        <v/>
      </c>
      <c r="B147" s="22" t="str">
        <f t="shared" si="1"/>
        <v/>
      </c>
      <c r="C147" s="14" t="str">
        <f>IF($A147&lt;&gt;"",MINIFS(Merchant!$A:$A,Merchant!$B:$B,$G$2),)</f>
        <v/>
      </c>
      <c r="D147" s="14" t="str">
        <f t="shared" si="2"/>
        <v/>
      </c>
      <c r="E147" s="14" t="str">
        <f t="shared" si="3"/>
        <v/>
      </c>
      <c r="F147" s="6" t="str">
        <f>IF($A147&lt;&gt;"",MAXIFS(Token!$B:$B,Token!$A:$A,$D147),)</f>
        <v/>
      </c>
    </row>
    <row r="148">
      <c r="A148" s="35" t="str">
        <f>IF(AND($L148*1&gt;=$G$3,$L148*1&lt;=$G$4,$I148*$J148&gt;0,CONCATENATE($H148:$L148)&lt;&gt;CONCATENATE($H149:$L149),$I148/POW(10,$J148)*MAXIFS(Token!$B:$B,Token!$A:$A,$K148)&gt;0.01),$L148/86400+DATE(1970,1,1)+IF($L148*1&gt;=$G$5,$G$6,0),)</f>
        <v/>
      </c>
      <c r="B148" s="22" t="str">
        <f t="shared" si="1"/>
        <v/>
      </c>
      <c r="C148" s="14" t="str">
        <f>IF($A148&lt;&gt;"",MINIFS(Merchant!$A:$A,Merchant!$B:$B,$G$2),)</f>
        <v/>
      </c>
      <c r="D148" s="14" t="str">
        <f t="shared" si="2"/>
        <v/>
      </c>
      <c r="E148" s="14" t="str">
        <f t="shared" si="3"/>
        <v/>
      </c>
      <c r="F148" s="6" t="str">
        <f>IF($A148&lt;&gt;"",MAXIFS(Token!$B:$B,Token!$A:$A,$D148),)</f>
        <v/>
      </c>
    </row>
    <row r="149">
      <c r="A149" s="35" t="str">
        <f>IF(AND($L149*1&gt;=$G$3,$L149*1&lt;=$G$4,$I149*$J149&gt;0,CONCATENATE($H149:$L149)&lt;&gt;CONCATENATE($H150:$L150),$I149/POW(10,$J149)*MAXIFS(Token!$B:$B,Token!$A:$A,$K149)&gt;0.01),$L149/86400+DATE(1970,1,1)+IF($L149*1&gt;=$G$5,$G$6,0),)</f>
        <v/>
      </c>
      <c r="B149" s="22" t="str">
        <f t="shared" si="1"/>
        <v/>
      </c>
      <c r="C149" s="14" t="str">
        <f>IF($A149&lt;&gt;"",MINIFS(Merchant!$A:$A,Merchant!$B:$B,$G$2),)</f>
        <v/>
      </c>
      <c r="D149" s="14" t="str">
        <f t="shared" si="2"/>
        <v/>
      </c>
      <c r="E149" s="14" t="str">
        <f t="shared" si="3"/>
        <v/>
      </c>
      <c r="F149" s="6" t="str">
        <f>IF($A149&lt;&gt;"",MAXIFS(Token!$B:$B,Token!$A:$A,$D149),)</f>
        <v/>
      </c>
    </row>
    <row r="150">
      <c r="A150" s="35" t="str">
        <f>IF(AND($L150*1&gt;=$G$3,$L150*1&lt;=$G$4,$I150*$J150&gt;0,CONCATENATE($H150:$L150)&lt;&gt;CONCATENATE($H151:$L151),$I150/POW(10,$J150)*MAXIFS(Token!$B:$B,Token!$A:$A,$K150)&gt;0.01),$L150/86400+DATE(1970,1,1)+IF($L150*1&gt;=$G$5,$G$6,0),)</f>
        <v/>
      </c>
      <c r="B150" s="22" t="str">
        <f t="shared" si="1"/>
        <v/>
      </c>
      <c r="C150" s="14" t="str">
        <f>IF($A150&lt;&gt;"",MINIFS(Merchant!$A:$A,Merchant!$B:$B,$G$2),)</f>
        <v/>
      </c>
      <c r="D150" s="14" t="str">
        <f t="shared" si="2"/>
        <v/>
      </c>
      <c r="E150" s="14" t="str">
        <f t="shared" si="3"/>
        <v/>
      </c>
      <c r="F150" s="6" t="str">
        <f>IF($A150&lt;&gt;"",MAXIFS(Token!$B:$B,Token!$A:$A,$D150),)</f>
        <v/>
      </c>
    </row>
    <row r="151">
      <c r="A151" s="35" t="str">
        <f>IF(AND($L151*1&gt;=$G$3,$L151*1&lt;=$G$4,$I151*$J151&gt;0,CONCATENATE($H151:$L151)&lt;&gt;CONCATENATE($H152:$L152),$I151/POW(10,$J151)*MAXIFS(Token!$B:$B,Token!$A:$A,$K151)&gt;0.01),$L151/86400+DATE(1970,1,1)+IF($L151*1&gt;=$G$5,$G$6,0),)</f>
        <v/>
      </c>
      <c r="B151" s="22" t="str">
        <f t="shared" si="1"/>
        <v/>
      </c>
      <c r="C151" s="14" t="str">
        <f>IF($A151&lt;&gt;"",MINIFS(Merchant!$A:$A,Merchant!$B:$B,$G$2),)</f>
        <v/>
      </c>
      <c r="D151" s="14" t="str">
        <f t="shared" si="2"/>
        <v/>
      </c>
      <c r="E151" s="14" t="str">
        <f t="shared" si="3"/>
        <v/>
      </c>
      <c r="F151" s="6" t="str">
        <f>IF($A151&lt;&gt;"",MAXIFS(Token!$B:$B,Token!$A:$A,$D151),)</f>
        <v/>
      </c>
    </row>
    <row r="152">
      <c r="A152" s="35" t="str">
        <f>IF(AND($L152*1&gt;=$G$3,$L152*1&lt;=$G$4,$I152*$J152&gt;0,CONCATENATE($H152:$L152)&lt;&gt;CONCATENATE($H153:$L153),$I152/POW(10,$J152)*MAXIFS(Token!$B:$B,Token!$A:$A,$K152)&gt;0.01),$L152/86400+DATE(1970,1,1)+IF($L152*1&gt;=$G$5,$G$6,0),)</f>
        <v/>
      </c>
      <c r="B152" s="22" t="str">
        <f t="shared" si="1"/>
        <v/>
      </c>
      <c r="C152" s="14" t="str">
        <f>IF($A152&lt;&gt;"",MINIFS(Merchant!$A:$A,Merchant!$B:$B,$G$2),)</f>
        <v/>
      </c>
      <c r="D152" s="14" t="str">
        <f t="shared" si="2"/>
        <v/>
      </c>
      <c r="E152" s="14" t="str">
        <f t="shared" si="3"/>
        <v/>
      </c>
      <c r="F152" s="6" t="str">
        <f>IF($A152&lt;&gt;"",MAXIFS(Token!$B:$B,Token!$A:$A,$D152),)</f>
        <v/>
      </c>
    </row>
    <row r="153">
      <c r="A153" s="35" t="str">
        <f>IF(AND($L153*1&gt;=$G$3,$L153*1&lt;=$G$4,$I153*$J153&gt;0,CONCATENATE($H153:$L153)&lt;&gt;CONCATENATE($H154:$L154),$I153/POW(10,$J153)*MAXIFS(Token!$B:$B,Token!$A:$A,$K153)&gt;0.01),$L153/86400+DATE(1970,1,1)+IF($L153*1&gt;=$G$5,$G$6,0),)</f>
        <v/>
      </c>
      <c r="B153" s="22" t="str">
        <f t="shared" si="1"/>
        <v/>
      </c>
      <c r="C153" s="14" t="str">
        <f>IF($A153&lt;&gt;"",MINIFS(Merchant!$A:$A,Merchant!$B:$B,$G$2),)</f>
        <v/>
      </c>
      <c r="D153" s="14" t="str">
        <f t="shared" si="2"/>
        <v/>
      </c>
      <c r="E153" s="14" t="str">
        <f t="shared" si="3"/>
        <v/>
      </c>
      <c r="F153" s="6" t="str">
        <f>IF($A153&lt;&gt;"",MAXIFS(Token!$B:$B,Token!$A:$A,$D153),)</f>
        <v/>
      </c>
    </row>
    <row r="154">
      <c r="A154" s="35" t="str">
        <f>IF(AND($L154*1&gt;=$G$3,$L154*1&lt;=$G$4,$I154*$J154&gt;0,CONCATENATE($H154:$L154)&lt;&gt;CONCATENATE($H155:$L155),$I154/POW(10,$J154)*MAXIFS(Token!$B:$B,Token!$A:$A,$K154)&gt;0.01),$L154/86400+DATE(1970,1,1)+IF($L154*1&gt;=$G$5,$G$6,0),)</f>
        <v/>
      </c>
      <c r="B154" s="22" t="str">
        <f t="shared" si="1"/>
        <v/>
      </c>
      <c r="C154" s="14" t="str">
        <f>IF($A154&lt;&gt;"",MINIFS(Merchant!$A:$A,Merchant!$B:$B,$G$2),)</f>
        <v/>
      </c>
      <c r="D154" s="14" t="str">
        <f t="shared" si="2"/>
        <v/>
      </c>
      <c r="E154" s="14" t="str">
        <f t="shared" si="3"/>
        <v/>
      </c>
      <c r="F154" s="6" t="str">
        <f>IF($A154&lt;&gt;"",MAXIFS(Token!$B:$B,Token!$A:$A,$D154),)</f>
        <v/>
      </c>
    </row>
    <row r="155">
      <c r="A155" s="35" t="str">
        <f>IF(AND($L155*1&gt;=$G$3,$L155*1&lt;=$G$4,$I155*$J155&gt;0,CONCATENATE($H155:$L155)&lt;&gt;CONCATENATE($H156:$L156),$I155/POW(10,$J155)*MAXIFS(Token!$B:$B,Token!$A:$A,$K155)&gt;0.01),$L155/86400+DATE(1970,1,1)+IF($L155*1&gt;=$G$5,$G$6,0),)</f>
        <v/>
      </c>
      <c r="B155" s="22" t="str">
        <f t="shared" si="1"/>
        <v/>
      </c>
      <c r="C155" s="14" t="str">
        <f>IF($A155&lt;&gt;"",MINIFS(Merchant!$A:$A,Merchant!$B:$B,$G$2),)</f>
        <v/>
      </c>
      <c r="D155" s="14" t="str">
        <f t="shared" si="2"/>
        <v/>
      </c>
      <c r="E155" s="14" t="str">
        <f t="shared" si="3"/>
        <v/>
      </c>
      <c r="F155" s="6" t="str">
        <f>IF($A155&lt;&gt;"",MAXIFS(Token!$B:$B,Token!$A:$A,$D155),)</f>
        <v/>
      </c>
    </row>
    <row r="156">
      <c r="A156" s="35" t="str">
        <f>IF(AND($L156*1&gt;=$G$3,$L156*1&lt;=$G$4,$I156*$J156&gt;0,CONCATENATE($H156:$L156)&lt;&gt;CONCATENATE($H157:$L157),$I156/POW(10,$J156)*MAXIFS(Token!$B:$B,Token!$A:$A,$K156)&gt;0.01),$L156/86400+DATE(1970,1,1)+IF($L156*1&gt;=$G$5,$G$6,0),)</f>
        <v/>
      </c>
      <c r="B156" s="22" t="str">
        <f t="shared" si="1"/>
        <v/>
      </c>
      <c r="C156" s="14" t="str">
        <f>IF($A156&lt;&gt;"",MINIFS(Merchant!$A:$A,Merchant!$B:$B,$G$2),)</f>
        <v/>
      </c>
      <c r="D156" s="14" t="str">
        <f t="shared" si="2"/>
        <v/>
      </c>
      <c r="E156" s="14" t="str">
        <f t="shared" si="3"/>
        <v/>
      </c>
      <c r="F156" s="6" t="str">
        <f>IF($A156&lt;&gt;"",MAXIFS(Token!$B:$B,Token!$A:$A,$D156),)</f>
        <v/>
      </c>
    </row>
    <row r="157">
      <c r="A157" s="35" t="str">
        <f>IF(AND($L157*1&gt;=$G$3,$L157*1&lt;=$G$4,$I157*$J157&gt;0,CONCATENATE($H157:$L157)&lt;&gt;CONCATENATE($H158:$L158),$I157/POW(10,$J157)*MAXIFS(Token!$B:$B,Token!$A:$A,$K157)&gt;0.01),$L157/86400+DATE(1970,1,1)+IF($L157*1&gt;=$G$5,$G$6,0),)</f>
        <v/>
      </c>
      <c r="B157" s="22" t="str">
        <f t="shared" si="1"/>
        <v/>
      </c>
      <c r="C157" s="14" t="str">
        <f>IF($A157&lt;&gt;"",MINIFS(Merchant!$A:$A,Merchant!$B:$B,$G$2),)</f>
        <v/>
      </c>
      <c r="D157" s="14" t="str">
        <f t="shared" si="2"/>
        <v/>
      </c>
      <c r="E157" s="14" t="str">
        <f t="shared" si="3"/>
        <v/>
      </c>
      <c r="F157" s="6" t="str">
        <f>IF($A157&lt;&gt;"",MAXIFS(Token!$B:$B,Token!$A:$A,$D157),)</f>
        <v/>
      </c>
    </row>
    <row r="158">
      <c r="A158" s="35" t="str">
        <f>IF(AND($L158*1&gt;=$G$3,$L158*1&lt;=$G$4,$I158*$J158&gt;0,CONCATENATE($H158:$L158)&lt;&gt;CONCATENATE($H159:$L159),$I158/POW(10,$J158)*MAXIFS(Token!$B:$B,Token!$A:$A,$K158)&gt;0.01),$L158/86400+DATE(1970,1,1)+IF($L158*1&gt;=$G$5,$G$6,0),)</f>
        <v/>
      </c>
      <c r="B158" s="22" t="str">
        <f t="shared" si="1"/>
        <v/>
      </c>
      <c r="C158" s="14" t="str">
        <f>IF($A158&lt;&gt;"",MINIFS(Merchant!$A:$A,Merchant!$B:$B,$G$2),)</f>
        <v/>
      </c>
      <c r="D158" s="14" t="str">
        <f t="shared" si="2"/>
        <v/>
      </c>
      <c r="E158" s="14" t="str">
        <f t="shared" si="3"/>
        <v/>
      </c>
      <c r="F158" s="6" t="str">
        <f>IF($A158&lt;&gt;"",MAXIFS(Token!$B:$B,Token!$A:$A,$D158),)</f>
        <v/>
      </c>
    </row>
    <row r="159">
      <c r="A159" s="35" t="str">
        <f>IF(AND($L159*1&gt;=$G$3,$L159*1&lt;=$G$4,$I159*$J159&gt;0,CONCATENATE($H159:$L159)&lt;&gt;CONCATENATE($H160:$L160),$I159/POW(10,$J159)*MAXIFS(Token!$B:$B,Token!$A:$A,$K159)&gt;0.01),$L159/86400+DATE(1970,1,1)+IF($L159*1&gt;=$G$5,$G$6,0),)</f>
        <v/>
      </c>
      <c r="B159" s="22" t="str">
        <f t="shared" si="1"/>
        <v/>
      </c>
      <c r="C159" s="14" t="str">
        <f>IF($A159&lt;&gt;"",MINIFS(Merchant!$A:$A,Merchant!$B:$B,$G$2),)</f>
        <v/>
      </c>
      <c r="D159" s="14" t="str">
        <f t="shared" si="2"/>
        <v/>
      </c>
      <c r="E159" s="14" t="str">
        <f t="shared" si="3"/>
        <v/>
      </c>
      <c r="F159" s="6" t="str">
        <f>IF($A159&lt;&gt;"",MAXIFS(Token!$B:$B,Token!$A:$A,$D159),)</f>
        <v/>
      </c>
    </row>
    <row r="160">
      <c r="A160" s="35" t="str">
        <f>IF(AND($L160*1&gt;=$G$3,$L160*1&lt;=$G$4,$I160*$J160&gt;0,CONCATENATE($H160:$L160)&lt;&gt;CONCATENATE($H161:$L161),$I160/POW(10,$J160)*MAXIFS(Token!$B:$B,Token!$A:$A,$K160)&gt;0.01),$L160/86400+DATE(1970,1,1)+IF($L160*1&gt;=$G$5,$G$6,0),)</f>
        <v/>
      </c>
      <c r="B160" s="22" t="str">
        <f t="shared" si="1"/>
        <v/>
      </c>
      <c r="C160" s="14" t="str">
        <f>IF($A160&lt;&gt;"",MINIFS(Merchant!$A:$A,Merchant!$B:$B,$G$2),)</f>
        <v/>
      </c>
      <c r="D160" s="14" t="str">
        <f t="shared" si="2"/>
        <v/>
      </c>
      <c r="E160" s="14" t="str">
        <f t="shared" si="3"/>
        <v/>
      </c>
      <c r="F160" s="6" t="str">
        <f>IF($A160&lt;&gt;"",MAXIFS(Token!$B:$B,Token!$A:$A,$D160),)</f>
        <v/>
      </c>
    </row>
    <row r="161">
      <c r="A161" s="35" t="str">
        <f>IF(AND($L161*1&gt;=$G$3,$L161*1&lt;=$G$4,$I161*$J161&gt;0,CONCATENATE($H161:$L161)&lt;&gt;CONCATENATE($H162:$L162),$I161/POW(10,$J161)*MAXIFS(Token!$B:$B,Token!$A:$A,$K161)&gt;0.01),$L161/86400+DATE(1970,1,1)+IF($L161*1&gt;=$G$5,$G$6,0),)</f>
        <v/>
      </c>
      <c r="B161" s="22" t="str">
        <f t="shared" si="1"/>
        <v/>
      </c>
      <c r="C161" s="14" t="str">
        <f>IF($A161&lt;&gt;"",MINIFS(Merchant!$A:$A,Merchant!$B:$B,$G$2),)</f>
        <v/>
      </c>
      <c r="D161" s="14" t="str">
        <f t="shared" si="2"/>
        <v/>
      </c>
      <c r="E161" s="14" t="str">
        <f t="shared" si="3"/>
        <v/>
      </c>
      <c r="F161" s="6" t="str">
        <f>IF($A161&lt;&gt;"",MAXIFS(Token!$B:$B,Token!$A:$A,$D161),)</f>
        <v/>
      </c>
    </row>
    <row r="162">
      <c r="A162" s="35" t="str">
        <f>IF(AND($L162*1&gt;=$G$3,$L162*1&lt;=$G$4,$I162*$J162&gt;0,CONCATENATE($H162:$L162)&lt;&gt;CONCATENATE($H163:$L163),$I162/POW(10,$J162)*MAXIFS(Token!$B:$B,Token!$A:$A,$K162)&gt;0.01),$L162/86400+DATE(1970,1,1)+IF($L162*1&gt;=$G$5,$G$6,0),)</f>
        <v/>
      </c>
      <c r="B162" s="22" t="str">
        <f t="shared" si="1"/>
        <v/>
      </c>
      <c r="C162" s="14" t="str">
        <f>IF($A162&lt;&gt;"",MINIFS(Merchant!$A:$A,Merchant!$B:$B,$G$2),)</f>
        <v/>
      </c>
      <c r="D162" s="14" t="str">
        <f t="shared" si="2"/>
        <v/>
      </c>
      <c r="E162" s="14" t="str">
        <f t="shared" si="3"/>
        <v/>
      </c>
      <c r="F162" s="6" t="str">
        <f>IF($A162&lt;&gt;"",MAXIFS(Token!$B:$B,Token!$A:$A,$D162),)</f>
        <v/>
      </c>
    </row>
    <row r="163">
      <c r="A163" s="35" t="str">
        <f>IF(AND($L163*1&gt;=$G$3,$L163*1&lt;=$G$4,$I163*$J163&gt;0,CONCATENATE($H163:$L163)&lt;&gt;CONCATENATE($H164:$L164),$I163/POW(10,$J163)*MAXIFS(Token!$B:$B,Token!$A:$A,$K163)&gt;0.01),$L163/86400+DATE(1970,1,1)+IF($L163*1&gt;=$G$5,$G$6,0),)</f>
        <v/>
      </c>
      <c r="B163" s="22" t="str">
        <f t="shared" si="1"/>
        <v/>
      </c>
      <c r="C163" s="14" t="str">
        <f>IF($A163&lt;&gt;"",MINIFS(Merchant!$A:$A,Merchant!$B:$B,$G$2),)</f>
        <v/>
      </c>
      <c r="D163" s="14" t="str">
        <f t="shared" si="2"/>
        <v/>
      </c>
      <c r="E163" s="14" t="str">
        <f t="shared" si="3"/>
        <v/>
      </c>
      <c r="F163" s="6" t="str">
        <f>IF($A163&lt;&gt;"",MAXIFS(Token!$B:$B,Token!$A:$A,$D163),)</f>
        <v/>
      </c>
    </row>
    <row r="164">
      <c r="A164" s="35" t="str">
        <f>IF(AND($L164*1&gt;=$G$3,$L164*1&lt;=$G$4,$I164*$J164&gt;0,CONCATENATE($H164:$L164)&lt;&gt;CONCATENATE($H165:$L165),$I164/POW(10,$J164)*MAXIFS(Token!$B:$B,Token!$A:$A,$K164)&gt;0.01),$L164/86400+DATE(1970,1,1)+IF($L164*1&gt;=$G$5,$G$6,0),)</f>
        <v/>
      </c>
      <c r="B164" s="22" t="str">
        <f t="shared" si="1"/>
        <v/>
      </c>
      <c r="C164" s="14" t="str">
        <f>IF($A164&lt;&gt;"",MINIFS(Merchant!$A:$A,Merchant!$B:$B,$G$2),)</f>
        <v/>
      </c>
      <c r="D164" s="14" t="str">
        <f t="shared" si="2"/>
        <v/>
      </c>
      <c r="E164" s="14" t="str">
        <f t="shared" si="3"/>
        <v/>
      </c>
      <c r="F164" s="6" t="str">
        <f>IF($A164&lt;&gt;"",MAXIFS(Token!$B:$B,Token!$A:$A,$D164),)</f>
        <v/>
      </c>
    </row>
    <row r="165">
      <c r="A165" s="35" t="str">
        <f>IF(AND($L165*1&gt;=$G$3,$L165*1&lt;=$G$4,$I165*$J165&gt;0,CONCATENATE($H165:$L165)&lt;&gt;CONCATENATE($H166:$L166),$I165/POW(10,$J165)*MAXIFS(Token!$B:$B,Token!$A:$A,$K165)&gt;0.01),$L165/86400+DATE(1970,1,1)+IF($L165*1&gt;=$G$5,$G$6,0),)</f>
        <v/>
      </c>
      <c r="B165" s="22" t="str">
        <f t="shared" si="1"/>
        <v/>
      </c>
      <c r="C165" s="14" t="str">
        <f>IF($A165&lt;&gt;"",MINIFS(Merchant!$A:$A,Merchant!$B:$B,$G$2),)</f>
        <v/>
      </c>
      <c r="D165" s="14" t="str">
        <f t="shared" si="2"/>
        <v/>
      </c>
      <c r="E165" s="14" t="str">
        <f t="shared" si="3"/>
        <v/>
      </c>
      <c r="F165" s="6" t="str">
        <f>IF($A165&lt;&gt;"",MAXIFS(Token!$B:$B,Token!$A:$A,$D165),)</f>
        <v/>
      </c>
    </row>
    <row r="166">
      <c r="A166" s="35" t="str">
        <f>IF(AND($L166*1&gt;=$G$3,$L166*1&lt;=$G$4,$I166*$J166&gt;0,CONCATENATE($H166:$L166)&lt;&gt;CONCATENATE($H167:$L167),$I166/POW(10,$J166)*MAXIFS(Token!$B:$B,Token!$A:$A,$K166)&gt;0.01),$L166/86400+DATE(1970,1,1)+IF($L166*1&gt;=$G$5,$G$6,0),)</f>
        <v/>
      </c>
      <c r="B166" s="22" t="str">
        <f t="shared" si="1"/>
        <v/>
      </c>
      <c r="C166" s="14" t="str">
        <f>IF($A166&lt;&gt;"",MINIFS(Merchant!$A:$A,Merchant!$B:$B,$G$2),)</f>
        <v/>
      </c>
      <c r="D166" s="14" t="str">
        <f t="shared" si="2"/>
        <v/>
      </c>
      <c r="E166" s="14" t="str">
        <f t="shared" si="3"/>
        <v/>
      </c>
      <c r="F166" s="6" t="str">
        <f>IF($A166&lt;&gt;"",MAXIFS(Token!$B:$B,Token!$A:$A,$D166),)</f>
        <v/>
      </c>
    </row>
    <row r="167">
      <c r="A167" s="35" t="str">
        <f>IF(AND($L167*1&gt;=$G$3,$L167*1&lt;=$G$4,$I167*$J167&gt;0,CONCATENATE($H167:$L167)&lt;&gt;CONCATENATE($H168:$L168),$I167/POW(10,$J167)*MAXIFS(Token!$B:$B,Token!$A:$A,$K167)&gt;0.01),$L167/86400+DATE(1970,1,1)+IF($L167*1&gt;=$G$5,$G$6,0),)</f>
        <v/>
      </c>
      <c r="B167" s="22" t="str">
        <f t="shared" si="1"/>
        <v/>
      </c>
      <c r="C167" s="14" t="str">
        <f>IF($A167&lt;&gt;"",MINIFS(Merchant!$A:$A,Merchant!$B:$B,$G$2),)</f>
        <v/>
      </c>
      <c r="D167" s="14" t="str">
        <f t="shared" si="2"/>
        <v/>
      </c>
      <c r="E167" s="14" t="str">
        <f t="shared" si="3"/>
        <v/>
      </c>
      <c r="F167" s="6" t="str">
        <f>IF($A167&lt;&gt;"",MAXIFS(Token!$B:$B,Token!$A:$A,$D167),)</f>
        <v/>
      </c>
    </row>
    <row r="168">
      <c r="A168" s="35" t="str">
        <f>IF(AND($L168*1&gt;=$G$3,$L168*1&lt;=$G$4,$I168*$J168&gt;0,CONCATENATE($H168:$L168)&lt;&gt;CONCATENATE($H169:$L169),$I168/POW(10,$J168)*MAXIFS(Token!$B:$B,Token!$A:$A,$K168)&gt;0.01),$L168/86400+DATE(1970,1,1)+IF($L168*1&gt;=$G$5,$G$6,0),)</f>
        <v/>
      </c>
      <c r="B168" s="22" t="str">
        <f t="shared" si="1"/>
        <v/>
      </c>
      <c r="C168" s="14" t="str">
        <f>IF($A168&lt;&gt;"",MINIFS(Merchant!$A:$A,Merchant!$B:$B,$G$2),)</f>
        <v/>
      </c>
      <c r="D168" s="14" t="str">
        <f t="shared" si="2"/>
        <v/>
      </c>
      <c r="E168" s="14" t="str">
        <f t="shared" si="3"/>
        <v/>
      </c>
      <c r="F168" s="6" t="str">
        <f>IF($A168&lt;&gt;"",MAXIFS(Token!$B:$B,Token!$A:$A,$D168),)</f>
        <v/>
      </c>
    </row>
    <row r="169">
      <c r="A169" s="35" t="str">
        <f>IF(AND($L169*1&gt;=$G$3,$L169*1&lt;=$G$4,$I169*$J169&gt;0,CONCATENATE($H169:$L169)&lt;&gt;CONCATENATE($H170:$L170),$I169/POW(10,$J169)*MAXIFS(Token!$B:$B,Token!$A:$A,$K169)&gt;0.01),$L169/86400+DATE(1970,1,1)+IF($L169*1&gt;=$G$5,$G$6,0),)</f>
        <v/>
      </c>
      <c r="B169" s="22" t="str">
        <f t="shared" si="1"/>
        <v/>
      </c>
      <c r="C169" s="14" t="str">
        <f>IF($A169&lt;&gt;"",MINIFS(Merchant!$A:$A,Merchant!$B:$B,$G$2),)</f>
        <v/>
      </c>
      <c r="D169" s="14" t="str">
        <f t="shared" si="2"/>
        <v/>
      </c>
      <c r="E169" s="14" t="str">
        <f t="shared" si="3"/>
        <v/>
      </c>
      <c r="F169" s="6" t="str">
        <f>IF($A169&lt;&gt;"",MAXIFS(Token!$B:$B,Token!$A:$A,$D169),)</f>
        <v/>
      </c>
    </row>
    <row r="170">
      <c r="A170" s="35" t="str">
        <f>IF(AND($L170*1&gt;=$G$3,$L170*1&lt;=$G$4,$I170*$J170&gt;0,CONCATENATE($H170:$L170)&lt;&gt;CONCATENATE($H171:$L171),$I170/POW(10,$J170)*MAXIFS(Token!$B:$B,Token!$A:$A,$K170)&gt;0.01),$L170/86400+DATE(1970,1,1)+IF($L170*1&gt;=$G$5,$G$6,0),)</f>
        <v/>
      </c>
      <c r="B170" s="22" t="str">
        <f t="shared" si="1"/>
        <v/>
      </c>
      <c r="C170" s="14" t="str">
        <f>IF($A170&lt;&gt;"",MINIFS(Merchant!$A:$A,Merchant!$B:$B,$G$2),)</f>
        <v/>
      </c>
      <c r="D170" s="14" t="str">
        <f t="shared" si="2"/>
        <v/>
      </c>
      <c r="E170" s="14" t="str">
        <f t="shared" si="3"/>
        <v/>
      </c>
      <c r="F170" s="6" t="str">
        <f>IF($A170&lt;&gt;"",MAXIFS(Token!$B:$B,Token!$A:$A,$D170),)</f>
        <v/>
      </c>
    </row>
    <row r="171">
      <c r="A171" s="35" t="str">
        <f>IF(AND($L171*1&gt;=$G$3,$L171*1&lt;=$G$4,$I171*$J171&gt;0,CONCATENATE($H171:$L171)&lt;&gt;CONCATENATE($H172:$L172),$I171/POW(10,$J171)*MAXIFS(Token!$B:$B,Token!$A:$A,$K171)&gt;0.01),$L171/86400+DATE(1970,1,1)+IF($L171*1&gt;=$G$5,$G$6,0),)</f>
        <v/>
      </c>
      <c r="B171" s="22" t="str">
        <f t="shared" si="1"/>
        <v/>
      </c>
      <c r="C171" s="14" t="str">
        <f>IF($A171&lt;&gt;"",MINIFS(Merchant!$A:$A,Merchant!$B:$B,$G$2),)</f>
        <v/>
      </c>
      <c r="D171" s="14" t="str">
        <f t="shared" si="2"/>
        <v/>
      </c>
      <c r="E171" s="14" t="str">
        <f t="shared" si="3"/>
        <v/>
      </c>
      <c r="F171" s="6" t="str">
        <f>IF($A171&lt;&gt;"",MAXIFS(Token!$B:$B,Token!$A:$A,$D171),)</f>
        <v/>
      </c>
    </row>
    <row r="172">
      <c r="A172" s="35" t="str">
        <f>IF(AND($L172*1&gt;=$G$3,$L172*1&lt;=$G$4,$I172*$J172&gt;0,CONCATENATE($H172:$L172)&lt;&gt;CONCATENATE($H173:$L173),$I172/POW(10,$J172)*MAXIFS(Token!$B:$B,Token!$A:$A,$K172)&gt;0.01),$L172/86400+DATE(1970,1,1)+IF($L172*1&gt;=$G$5,$G$6,0),)</f>
        <v/>
      </c>
      <c r="B172" s="22" t="str">
        <f t="shared" si="1"/>
        <v/>
      </c>
      <c r="C172" s="14" t="str">
        <f>IF($A172&lt;&gt;"",MINIFS(Merchant!$A:$A,Merchant!$B:$B,$G$2),)</f>
        <v/>
      </c>
      <c r="D172" s="14" t="str">
        <f t="shared" si="2"/>
        <v/>
      </c>
      <c r="E172" s="14" t="str">
        <f t="shared" si="3"/>
        <v/>
      </c>
      <c r="F172" s="6" t="str">
        <f>IF($A172&lt;&gt;"",MAXIFS(Token!$B:$B,Token!$A:$A,$D172),)</f>
        <v/>
      </c>
    </row>
    <row r="173">
      <c r="A173" s="35" t="str">
        <f>IF(AND($L173*1&gt;=$G$3,$L173*1&lt;=$G$4,$I173*$J173&gt;0,CONCATENATE($H173:$L173)&lt;&gt;CONCATENATE($H174:$L174),$I173/POW(10,$J173)*MAXIFS(Token!$B:$B,Token!$A:$A,$K173)&gt;0.01),$L173/86400+DATE(1970,1,1)+IF($L173*1&gt;=$G$5,$G$6,0),)</f>
        <v/>
      </c>
      <c r="B173" s="22" t="str">
        <f t="shared" si="1"/>
        <v/>
      </c>
      <c r="C173" s="14" t="str">
        <f>IF($A173&lt;&gt;"",MINIFS(Merchant!$A:$A,Merchant!$B:$B,$G$2),)</f>
        <v/>
      </c>
      <c r="D173" s="14" t="str">
        <f t="shared" si="2"/>
        <v/>
      </c>
      <c r="E173" s="14" t="str">
        <f t="shared" si="3"/>
        <v/>
      </c>
      <c r="F173" s="6" t="str">
        <f>IF($A173&lt;&gt;"",MAXIFS(Token!$B:$B,Token!$A:$A,$D173),)</f>
        <v/>
      </c>
    </row>
    <row r="174">
      <c r="A174" s="35" t="str">
        <f>IF(AND($L174*1&gt;=$G$3,$L174*1&lt;=$G$4,$I174*$J174&gt;0,CONCATENATE($H174:$L174)&lt;&gt;CONCATENATE($H175:$L175),$I174/POW(10,$J174)*MAXIFS(Token!$B:$B,Token!$A:$A,$K174)&gt;0.01),$L174/86400+DATE(1970,1,1)+IF($L174*1&gt;=$G$5,$G$6,0),)</f>
        <v/>
      </c>
      <c r="B174" s="22" t="str">
        <f t="shared" si="1"/>
        <v/>
      </c>
      <c r="C174" s="14" t="str">
        <f>IF($A174&lt;&gt;"",MINIFS(Merchant!$A:$A,Merchant!$B:$B,$G$2),)</f>
        <v/>
      </c>
      <c r="D174" s="14" t="str">
        <f t="shared" si="2"/>
        <v/>
      </c>
      <c r="E174" s="14" t="str">
        <f t="shared" si="3"/>
        <v/>
      </c>
      <c r="F174" s="6" t="str">
        <f>IF($A174&lt;&gt;"",MAXIFS(Token!$B:$B,Token!$A:$A,$D174),)</f>
        <v/>
      </c>
    </row>
    <row r="175">
      <c r="A175" s="35" t="str">
        <f>IF(AND($L175*1&gt;=$G$3,$L175*1&lt;=$G$4,$I175*$J175&gt;0,CONCATENATE($H175:$L175)&lt;&gt;CONCATENATE($H176:$L176),$I175/POW(10,$J175)*MAXIFS(Token!$B:$B,Token!$A:$A,$K175)&gt;0.01),$L175/86400+DATE(1970,1,1)+IF($L175*1&gt;=$G$5,$G$6,0),)</f>
        <v/>
      </c>
      <c r="B175" s="22" t="str">
        <f t="shared" si="1"/>
        <v/>
      </c>
      <c r="C175" s="14" t="str">
        <f>IF($A175&lt;&gt;"",MINIFS(Merchant!$A:$A,Merchant!$B:$B,$G$2),)</f>
        <v/>
      </c>
      <c r="D175" s="14" t="str">
        <f t="shared" si="2"/>
        <v/>
      </c>
      <c r="E175" s="14" t="str">
        <f t="shared" si="3"/>
        <v/>
      </c>
      <c r="F175" s="6" t="str">
        <f>IF($A175&lt;&gt;"",MAXIFS(Token!$B:$B,Token!$A:$A,$D175),)</f>
        <v/>
      </c>
    </row>
    <row r="176">
      <c r="A176" s="35" t="str">
        <f>IF(AND($L176*1&gt;=$G$3,$L176*1&lt;=$G$4,$I176*$J176&gt;0,CONCATENATE($H176:$L176)&lt;&gt;CONCATENATE($H177:$L177),$I176/POW(10,$J176)*MAXIFS(Token!$B:$B,Token!$A:$A,$K176)&gt;0.01),$L176/86400+DATE(1970,1,1)+IF($L176*1&gt;=$G$5,$G$6,0),)</f>
        <v/>
      </c>
      <c r="B176" s="22" t="str">
        <f t="shared" si="1"/>
        <v/>
      </c>
      <c r="C176" s="14" t="str">
        <f>IF($A176&lt;&gt;"",MINIFS(Merchant!$A:$A,Merchant!$B:$B,$G$2),)</f>
        <v/>
      </c>
      <c r="D176" s="14" t="str">
        <f t="shared" si="2"/>
        <v/>
      </c>
      <c r="E176" s="14" t="str">
        <f t="shared" si="3"/>
        <v/>
      </c>
      <c r="F176" s="6" t="str">
        <f>IF($A176&lt;&gt;"",MAXIFS(Token!$B:$B,Token!$A:$A,$D176),)</f>
        <v/>
      </c>
    </row>
    <row r="177">
      <c r="A177" s="35" t="str">
        <f>IF(AND($L177*1&gt;=$G$3,$L177*1&lt;=$G$4,$I177*$J177&gt;0,CONCATENATE($H177:$L177)&lt;&gt;CONCATENATE($H178:$L178),$I177/POW(10,$J177)*MAXIFS(Token!$B:$B,Token!$A:$A,$K177)&gt;0.01),$L177/86400+DATE(1970,1,1)+IF($L177*1&gt;=$G$5,$G$6,0),)</f>
        <v/>
      </c>
      <c r="B177" s="22" t="str">
        <f t="shared" si="1"/>
        <v/>
      </c>
      <c r="C177" s="14" t="str">
        <f>IF($A177&lt;&gt;"",MINIFS(Merchant!$A:$A,Merchant!$B:$B,$G$2),)</f>
        <v/>
      </c>
      <c r="D177" s="14" t="str">
        <f t="shared" si="2"/>
        <v/>
      </c>
      <c r="E177" s="14" t="str">
        <f t="shared" si="3"/>
        <v/>
      </c>
      <c r="F177" s="6" t="str">
        <f>IF($A177&lt;&gt;"",MAXIFS(Token!$B:$B,Token!$A:$A,$D177),)</f>
        <v/>
      </c>
    </row>
    <row r="178">
      <c r="A178" s="35" t="str">
        <f>IF(AND($L178*1&gt;=$G$3,$L178*1&lt;=$G$4,$I178*$J178&gt;0,CONCATENATE($H178:$L178)&lt;&gt;CONCATENATE($H179:$L179),$I178/POW(10,$J178)*MAXIFS(Token!$B:$B,Token!$A:$A,$K178)&gt;0.01),$L178/86400+DATE(1970,1,1)+IF($L178*1&gt;=$G$5,$G$6,0),)</f>
        <v/>
      </c>
      <c r="B178" s="22" t="str">
        <f t="shared" si="1"/>
        <v/>
      </c>
      <c r="C178" s="14" t="str">
        <f>IF($A178&lt;&gt;"",MINIFS(Merchant!$A:$A,Merchant!$B:$B,$G$2),)</f>
        <v/>
      </c>
      <c r="D178" s="14" t="str">
        <f t="shared" si="2"/>
        <v/>
      </c>
      <c r="E178" s="14" t="str">
        <f t="shared" si="3"/>
        <v/>
      </c>
      <c r="F178" s="6" t="str">
        <f>IF($A178&lt;&gt;"",MAXIFS(Token!$B:$B,Token!$A:$A,$D178),)</f>
        <v/>
      </c>
    </row>
    <row r="179">
      <c r="A179" s="35" t="str">
        <f>IF(AND($L179*1&gt;=$G$3,$L179*1&lt;=$G$4,$I179*$J179&gt;0,CONCATENATE($H179:$L179)&lt;&gt;CONCATENATE($H180:$L180),$I179/POW(10,$J179)*MAXIFS(Token!$B:$B,Token!$A:$A,$K179)&gt;0.01),$L179/86400+DATE(1970,1,1)+IF($L179*1&gt;=$G$5,$G$6,0),)</f>
        <v/>
      </c>
      <c r="B179" s="22" t="str">
        <f t="shared" si="1"/>
        <v/>
      </c>
      <c r="C179" s="14" t="str">
        <f>IF($A179&lt;&gt;"",MINIFS(Merchant!$A:$A,Merchant!$B:$B,$G$2),)</f>
        <v/>
      </c>
      <c r="D179" s="14" t="str">
        <f t="shared" si="2"/>
        <v/>
      </c>
      <c r="E179" s="14" t="str">
        <f t="shared" si="3"/>
        <v/>
      </c>
      <c r="F179" s="6" t="str">
        <f>IF($A179&lt;&gt;"",MAXIFS(Token!$B:$B,Token!$A:$A,$D179),)</f>
        <v/>
      </c>
    </row>
    <row r="180">
      <c r="A180" s="35" t="str">
        <f>IF(AND($L180*1&gt;=$G$3,$L180*1&lt;=$G$4,$I180*$J180&gt;0,CONCATENATE($H180:$L180)&lt;&gt;CONCATENATE($H181:$L181),$I180/POW(10,$J180)*MAXIFS(Token!$B:$B,Token!$A:$A,$K180)&gt;0.01),$L180/86400+DATE(1970,1,1)+IF($L180*1&gt;=$G$5,$G$6,0),)</f>
        <v/>
      </c>
      <c r="B180" s="22" t="str">
        <f t="shared" si="1"/>
        <v/>
      </c>
      <c r="C180" s="14" t="str">
        <f>IF($A180&lt;&gt;"",MINIFS(Merchant!$A:$A,Merchant!$B:$B,$G$2),)</f>
        <v/>
      </c>
      <c r="D180" s="14" t="str">
        <f t="shared" si="2"/>
        <v/>
      </c>
      <c r="E180" s="14" t="str">
        <f t="shared" si="3"/>
        <v/>
      </c>
      <c r="F180" s="6" t="str">
        <f>IF($A180&lt;&gt;"",MAXIFS(Token!$B:$B,Token!$A:$A,$D180),)</f>
        <v/>
      </c>
    </row>
    <row r="181">
      <c r="A181" s="35" t="str">
        <f>IF(AND($L181*1&gt;=$G$3,$L181*1&lt;=$G$4,$I181*$J181&gt;0,CONCATENATE($H181:$L181)&lt;&gt;CONCATENATE($H182:$L182),$I181/POW(10,$J181)*MAXIFS(Token!$B:$B,Token!$A:$A,$K181)&gt;0.01),$L181/86400+DATE(1970,1,1)+IF($L181*1&gt;=$G$5,$G$6,0),)</f>
        <v/>
      </c>
      <c r="B181" s="22" t="str">
        <f t="shared" si="1"/>
        <v/>
      </c>
      <c r="C181" s="14" t="str">
        <f>IF($A181&lt;&gt;"",MINIFS(Merchant!$A:$A,Merchant!$B:$B,$G$2),)</f>
        <v/>
      </c>
      <c r="D181" s="14" t="str">
        <f t="shared" si="2"/>
        <v/>
      </c>
      <c r="E181" s="14" t="str">
        <f t="shared" si="3"/>
        <v/>
      </c>
      <c r="F181" s="6" t="str">
        <f>IF($A181&lt;&gt;"",MAXIFS(Token!$B:$B,Token!$A:$A,$D181),)</f>
        <v/>
      </c>
    </row>
    <row r="182">
      <c r="A182" s="35" t="str">
        <f>IF(AND($L182*1&gt;=$G$3,$L182*1&lt;=$G$4,$I182*$J182&gt;0,CONCATENATE($H182:$L182)&lt;&gt;CONCATENATE($H183:$L183),$I182/POW(10,$J182)*MAXIFS(Token!$B:$B,Token!$A:$A,$K182)&gt;0.01),$L182/86400+DATE(1970,1,1)+IF($L182*1&gt;=$G$5,$G$6,0),)</f>
        <v/>
      </c>
      <c r="B182" s="22" t="str">
        <f t="shared" si="1"/>
        <v/>
      </c>
      <c r="C182" s="14" t="str">
        <f>IF($A182&lt;&gt;"",MINIFS(Merchant!$A:$A,Merchant!$B:$B,$G$2),)</f>
        <v/>
      </c>
      <c r="D182" s="14" t="str">
        <f t="shared" si="2"/>
        <v/>
      </c>
      <c r="E182" s="14" t="str">
        <f t="shared" si="3"/>
        <v/>
      </c>
      <c r="F182" s="6" t="str">
        <f>IF($A182&lt;&gt;"",MAXIFS(Token!$B:$B,Token!$A:$A,$D182),)</f>
        <v/>
      </c>
    </row>
    <row r="183">
      <c r="A183" s="35" t="str">
        <f>IF(AND($L183*1&gt;=$G$3,$L183*1&lt;=$G$4,$I183*$J183&gt;0,CONCATENATE($H183:$L183)&lt;&gt;CONCATENATE($H184:$L184),$I183/POW(10,$J183)*MAXIFS(Token!$B:$B,Token!$A:$A,$K183)&gt;0.01),$L183/86400+DATE(1970,1,1)+IF($L183*1&gt;=$G$5,$G$6,0),)</f>
        <v/>
      </c>
      <c r="B183" s="22" t="str">
        <f t="shared" si="1"/>
        <v/>
      </c>
      <c r="C183" s="14" t="str">
        <f>IF($A183&lt;&gt;"",MINIFS(Merchant!$A:$A,Merchant!$B:$B,$G$2),)</f>
        <v/>
      </c>
      <c r="D183" s="14" t="str">
        <f t="shared" si="2"/>
        <v/>
      </c>
      <c r="E183" s="14" t="str">
        <f t="shared" si="3"/>
        <v/>
      </c>
      <c r="F183" s="6" t="str">
        <f>IF($A183&lt;&gt;"",MAXIFS(Token!$B:$B,Token!$A:$A,$D183),)</f>
        <v/>
      </c>
    </row>
    <row r="184">
      <c r="A184" s="35" t="str">
        <f>IF(AND($L184*1&gt;=$G$3,$L184*1&lt;=$G$4,$I184*$J184&gt;0,CONCATENATE($H184:$L184)&lt;&gt;CONCATENATE($H185:$L185),$I184/POW(10,$J184)*MAXIFS(Token!$B:$B,Token!$A:$A,$K184)&gt;0.01),$L184/86400+DATE(1970,1,1)+IF($L184*1&gt;=$G$5,$G$6,0),)</f>
        <v/>
      </c>
      <c r="B184" s="22" t="str">
        <f t="shared" si="1"/>
        <v/>
      </c>
      <c r="C184" s="14" t="str">
        <f>IF($A184&lt;&gt;"",MINIFS(Merchant!$A:$A,Merchant!$B:$B,$G$2),)</f>
        <v/>
      </c>
      <c r="D184" s="14" t="str">
        <f t="shared" si="2"/>
        <v/>
      </c>
      <c r="E184" s="14" t="str">
        <f t="shared" si="3"/>
        <v/>
      </c>
      <c r="F184" s="6" t="str">
        <f>IF($A184&lt;&gt;"",MAXIFS(Token!$B:$B,Token!$A:$A,$D184),)</f>
        <v/>
      </c>
    </row>
    <row r="185">
      <c r="A185" s="35" t="str">
        <f>IF(AND($L185*1&gt;=$G$3,$L185*1&lt;=$G$4,$I185*$J185&gt;0,CONCATENATE($H185:$L185)&lt;&gt;CONCATENATE($H186:$L186),$I185/POW(10,$J185)*MAXIFS(Token!$B:$B,Token!$A:$A,$K185)&gt;0.01),$L185/86400+DATE(1970,1,1)+IF($L185*1&gt;=$G$5,$G$6,0),)</f>
        <v/>
      </c>
      <c r="B185" s="22" t="str">
        <f t="shared" si="1"/>
        <v/>
      </c>
      <c r="C185" s="14" t="str">
        <f>IF($A185&lt;&gt;"",MINIFS(Merchant!$A:$A,Merchant!$B:$B,$G$2),)</f>
        <v/>
      </c>
      <c r="D185" s="14" t="str">
        <f t="shared" si="2"/>
        <v/>
      </c>
      <c r="E185" s="14" t="str">
        <f t="shared" si="3"/>
        <v/>
      </c>
      <c r="F185" s="6" t="str">
        <f>IF($A185&lt;&gt;"",MAXIFS(Token!$B:$B,Token!$A:$A,$D185),)</f>
        <v/>
      </c>
    </row>
    <row r="186">
      <c r="A186" s="35" t="str">
        <f>IF(AND($L186*1&gt;=$G$3,$L186*1&lt;=$G$4,$I186*$J186&gt;0,CONCATENATE($H186:$L186)&lt;&gt;CONCATENATE($H187:$L187),$I186/POW(10,$J186)*MAXIFS(Token!$B:$B,Token!$A:$A,$K186)&gt;0.01),$L186/86400+DATE(1970,1,1)+IF($L186*1&gt;=$G$5,$G$6,0),)</f>
        <v/>
      </c>
      <c r="B186" s="22" t="str">
        <f t="shared" si="1"/>
        <v/>
      </c>
      <c r="C186" s="14" t="str">
        <f>IF($A186&lt;&gt;"",MINIFS(Merchant!$A:$A,Merchant!$B:$B,$G$2),)</f>
        <v/>
      </c>
      <c r="D186" s="14" t="str">
        <f t="shared" si="2"/>
        <v/>
      </c>
      <c r="E186" s="14" t="str">
        <f t="shared" si="3"/>
        <v/>
      </c>
      <c r="F186" s="6" t="str">
        <f>IF($A186&lt;&gt;"",MAXIFS(Token!$B:$B,Token!$A:$A,$D186),)</f>
        <v/>
      </c>
    </row>
    <row r="187">
      <c r="A187" s="35" t="str">
        <f>IF(AND($L187*1&gt;=$G$3,$L187*1&lt;=$G$4,$I187*$J187&gt;0,CONCATENATE($H187:$L187)&lt;&gt;CONCATENATE($H188:$L188),$I187/POW(10,$J187)*MAXIFS(Token!$B:$B,Token!$A:$A,$K187)&gt;0.01),$L187/86400+DATE(1970,1,1)+IF($L187*1&gt;=$G$5,$G$6,0),)</f>
        <v/>
      </c>
      <c r="B187" s="22" t="str">
        <f t="shared" si="1"/>
        <v/>
      </c>
      <c r="C187" s="14" t="str">
        <f>IF($A187&lt;&gt;"",MINIFS(Merchant!$A:$A,Merchant!$B:$B,$G$2),)</f>
        <v/>
      </c>
      <c r="D187" s="14" t="str">
        <f t="shared" si="2"/>
        <v/>
      </c>
      <c r="E187" s="14" t="str">
        <f t="shared" si="3"/>
        <v/>
      </c>
      <c r="F187" s="6" t="str">
        <f>IF($A187&lt;&gt;"",MAXIFS(Token!$B:$B,Token!$A:$A,$D187),)</f>
        <v/>
      </c>
    </row>
    <row r="188">
      <c r="A188" s="35" t="str">
        <f>IF(AND($L188*1&gt;=$G$3,$L188*1&lt;=$G$4,$I188*$J188&gt;0,CONCATENATE($H188:$L188)&lt;&gt;CONCATENATE($H189:$L189),$I188/POW(10,$J188)*MAXIFS(Token!$B:$B,Token!$A:$A,$K188)&gt;0.01),$L188/86400+DATE(1970,1,1)+IF($L188*1&gt;=$G$5,$G$6,0),)</f>
        <v/>
      </c>
      <c r="B188" s="22" t="str">
        <f t="shared" si="1"/>
        <v/>
      </c>
      <c r="C188" s="14" t="str">
        <f>IF($A188&lt;&gt;"",MINIFS(Merchant!$A:$A,Merchant!$B:$B,$G$2),)</f>
        <v/>
      </c>
      <c r="D188" s="14" t="str">
        <f t="shared" si="2"/>
        <v/>
      </c>
      <c r="E188" s="14" t="str">
        <f t="shared" si="3"/>
        <v/>
      </c>
      <c r="F188" s="6" t="str">
        <f>IF($A188&lt;&gt;"",MAXIFS(Token!$B:$B,Token!$A:$A,$D188),)</f>
        <v/>
      </c>
    </row>
    <row r="189">
      <c r="A189" s="35" t="str">
        <f>IF(AND($L189*1&gt;=$G$3,$L189*1&lt;=$G$4,$I189*$J189&gt;0,CONCATENATE($H189:$L189)&lt;&gt;CONCATENATE($H190:$L190),$I189/POW(10,$J189)*MAXIFS(Token!$B:$B,Token!$A:$A,$K189)&gt;0.01),$L189/86400+DATE(1970,1,1)+IF($L189*1&gt;=$G$5,$G$6,0),)</f>
        <v/>
      </c>
      <c r="B189" s="22" t="str">
        <f t="shared" si="1"/>
        <v/>
      </c>
      <c r="C189" s="14" t="str">
        <f>IF($A189&lt;&gt;"",MINIFS(Merchant!$A:$A,Merchant!$B:$B,$G$2),)</f>
        <v/>
      </c>
      <c r="D189" s="14" t="str">
        <f t="shared" si="2"/>
        <v/>
      </c>
      <c r="E189" s="14" t="str">
        <f t="shared" si="3"/>
        <v/>
      </c>
      <c r="F189" s="6" t="str">
        <f>IF($A189&lt;&gt;"",MAXIFS(Token!$B:$B,Token!$A:$A,$D189),)</f>
        <v/>
      </c>
    </row>
    <row r="190">
      <c r="A190" s="35" t="str">
        <f>IF(AND($L190*1&gt;=$G$3,$L190*1&lt;=$G$4,$I190*$J190&gt;0,CONCATENATE($H190:$L190)&lt;&gt;CONCATENATE($H191:$L191),$I190/POW(10,$J190)*MAXIFS(Token!$B:$B,Token!$A:$A,$K190)&gt;0.01),$L190/86400+DATE(1970,1,1)+IF($L190*1&gt;=$G$5,$G$6,0),)</f>
        <v/>
      </c>
      <c r="B190" s="22" t="str">
        <f t="shared" si="1"/>
        <v/>
      </c>
      <c r="C190" s="14" t="str">
        <f>IF($A190&lt;&gt;"",MINIFS(Merchant!$A:$A,Merchant!$B:$B,$G$2),)</f>
        <v/>
      </c>
      <c r="D190" s="14" t="str">
        <f t="shared" si="2"/>
        <v/>
      </c>
      <c r="E190" s="14" t="str">
        <f t="shared" si="3"/>
        <v/>
      </c>
      <c r="F190" s="6" t="str">
        <f>IF($A190&lt;&gt;"",MAXIFS(Token!$B:$B,Token!$A:$A,$D190),)</f>
        <v/>
      </c>
    </row>
    <row r="191">
      <c r="A191" s="35" t="str">
        <f>IF(AND($L191*1&gt;=$G$3,$L191*1&lt;=$G$4,$I191*$J191&gt;0,CONCATENATE($H191:$L191)&lt;&gt;CONCATENATE($H192:$L192),$I191/POW(10,$J191)*MAXIFS(Token!$B:$B,Token!$A:$A,$K191)&gt;0.01),$L191/86400+DATE(1970,1,1)+IF($L191*1&gt;=$G$5,$G$6,0),)</f>
        <v/>
      </c>
      <c r="B191" s="22" t="str">
        <f t="shared" si="1"/>
        <v/>
      </c>
      <c r="C191" s="14" t="str">
        <f>IF($A191&lt;&gt;"",MINIFS(Merchant!$A:$A,Merchant!$B:$B,$G$2),)</f>
        <v/>
      </c>
      <c r="D191" s="14" t="str">
        <f t="shared" si="2"/>
        <v/>
      </c>
      <c r="E191" s="14" t="str">
        <f t="shared" si="3"/>
        <v/>
      </c>
      <c r="F191" s="6" t="str">
        <f>IF($A191&lt;&gt;"",MAXIFS(Token!$B:$B,Token!$A:$A,$D191),)</f>
        <v/>
      </c>
    </row>
    <row r="192">
      <c r="A192" s="35" t="str">
        <f>IF(AND($L192*1&gt;=$G$3,$L192*1&lt;=$G$4,$I192*$J192&gt;0,CONCATENATE($H192:$L192)&lt;&gt;CONCATENATE($H193:$L193),$I192/POW(10,$J192)*MAXIFS(Token!$B:$B,Token!$A:$A,$K192)&gt;0.01),$L192/86400+DATE(1970,1,1)+IF($L192*1&gt;=$G$5,$G$6,0),)</f>
        <v/>
      </c>
      <c r="B192" s="22" t="str">
        <f t="shared" si="1"/>
        <v/>
      </c>
      <c r="C192" s="14" t="str">
        <f>IF($A192&lt;&gt;"",MINIFS(Merchant!$A:$A,Merchant!$B:$B,$G$2),)</f>
        <v/>
      </c>
      <c r="D192" s="14" t="str">
        <f t="shared" si="2"/>
        <v/>
      </c>
      <c r="E192" s="14" t="str">
        <f t="shared" si="3"/>
        <v/>
      </c>
      <c r="F192" s="6" t="str">
        <f>IF($A192&lt;&gt;"",MAXIFS(Token!$B:$B,Token!$A:$A,$D192),)</f>
        <v/>
      </c>
    </row>
    <row r="193">
      <c r="A193" s="35" t="str">
        <f>IF(AND($L193*1&gt;=$G$3,$L193*1&lt;=$G$4,$I193*$J193&gt;0,CONCATENATE($H193:$L193)&lt;&gt;CONCATENATE($H194:$L194),$I193/POW(10,$J193)*MAXIFS(Token!$B:$B,Token!$A:$A,$K193)&gt;0.01),$L193/86400+DATE(1970,1,1)+IF($L193*1&gt;=$G$5,$G$6,0),)</f>
        <v/>
      </c>
      <c r="B193" s="22" t="str">
        <f t="shared" si="1"/>
        <v/>
      </c>
      <c r="C193" s="14" t="str">
        <f>IF($A193&lt;&gt;"",MINIFS(Merchant!$A:$A,Merchant!$B:$B,$G$2),)</f>
        <v/>
      </c>
      <c r="D193" s="14" t="str">
        <f t="shared" si="2"/>
        <v/>
      </c>
      <c r="E193" s="14" t="str">
        <f t="shared" si="3"/>
        <v/>
      </c>
      <c r="F193" s="6" t="str">
        <f>IF($A193&lt;&gt;"",MAXIFS(Token!$B:$B,Token!$A:$A,$D193),)</f>
        <v/>
      </c>
    </row>
    <row r="194">
      <c r="A194" s="35" t="str">
        <f>IF(AND($L194*1&gt;=$G$3,$L194*1&lt;=$G$4,$I194*$J194&gt;0,CONCATENATE($H194:$L194)&lt;&gt;CONCATENATE($H195:$L195),$I194/POW(10,$J194)*MAXIFS(Token!$B:$B,Token!$A:$A,$K194)&gt;0.01),$L194/86400+DATE(1970,1,1)+IF($L194*1&gt;=$G$5,$G$6,0),)</f>
        <v/>
      </c>
      <c r="B194" s="22" t="str">
        <f t="shared" si="1"/>
        <v/>
      </c>
      <c r="C194" s="14" t="str">
        <f>IF($A194&lt;&gt;"",MINIFS(Merchant!$A:$A,Merchant!$B:$B,$G$2),)</f>
        <v/>
      </c>
      <c r="D194" s="14" t="str">
        <f t="shared" si="2"/>
        <v/>
      </c>
      <c r="E194" s="14" t="str">
        <f t="shared" si="3"/>
        <v/>
      </c>
      <c r="F194" s="6" t="str">
        <f>IF($A194&lt;&gt;"",MAXIFS(Token!$B:$B,Token!$A:$A,$D194),)</f>
        <v/>
      </c>
    </row>
    <row r="195">
      <c r="A195" s="35" t="str">
        <f>IF(AND($L195*1&gt;=$G$3,$L195*1&lt;=$G$4,$I195*$J195&gt;0,CONCATENATE($H195:$L195)&lt;&gt;CONCATENATE($H196:$L196),$I195/POW(10,$J195)*MAXIFS(Token!$B:$B,Token!$A:$A,$K195)&gt;0.01),$L195/86400+DATE(1970,1,1)+IF($L195*1&gt;=$G$5,$G$6,0),)</f>
        <v/>
      </c>
      <c r="B195" s="22" t="str">
        <f t="shared" si="1"/>
        <v/>
      </c>
      <c r="C195" s="14" t="str">
        <f>IF($A195&lt;&gt;"",MINIFS(Merchant!$A:$A,Merchant!$B:$B,$G$2),)</f>
        <v/>
      </c>
      <c r="D195" s="14" t="str">
        <f t="shared" si="2"/>
        <v/>
      </c>
      <c r="E195" s="14" t="str">
        <f t="shared" si="3"/>
        <v/>
      </c>
      <c r="F195" s="6" t="str">
        <f>IF($A195&lt;&gt;"",MAXIFS(Token!$B:$B,Token!$A:$A,$D195),)</f>
        <v/>
      </c>
    </row>
    <row r="196">
      <c r="A196" s="35" t="str">
        <f>IF(AND($L196*1&gt;=$G$3,$L196*1&lt;=$G$4,$I196*$J196&gt;0,CONCATENATE($H196:$L196)&lt;&gt;CONCATENATE($H197:$L197),$I196/POW(10,$J196)*MAXIFS(Token!$B:$B,Token!$A:$A,$K196)&gt;0.01),$L196/86400+DATE(1970,1,1)+IF($L196*1&gt;=$G$5,$G$6,0),)</f>
        <v/>
      </c>
      <c r="B196" s="22" t="str">
        <f t="shared" si="1"/>
        <v/>
      </c>
      <c r="C196" s="14" t="str">
        <f>IF($A196&lt;&gt;"",MINIFS(Merchant!$A:$A,Merchant!$B:$B,$G$2),)</f>
        <v/>
      </c>
      <c r="D196" s="14" t="str">
        <f t="shared" si="2"/>
        <v/>
      </c>
      <c r="E196" s="14" t="str">
        <f t="shared" si="3"/>
        <v/>
      </c>
      <c r="F196" s="6" t="str">
        <f>IF($A196&lt;&gt;"",MAXIFS(Token!$B:$B,Token!$A:$A,$D196),)</f>
        <v/>
      </c>
    </row>
    <row r="197">
      <c r="A197" s="35" t="str">
        <f>IF(AND($L197*1&gt;=$G$3,$L197*1&lt;=$G$4,$I197*$J197&gt;0,CONCATENATE($H197:$L197)&lt;&gt;CONCATENATE($H198:$L198),$I197/POW(10,$J197)*MAXIFS(Token!$B:$B,Token!$A:$A,$K197)&gt;0.01),$L197/86400+DATE(1970,1,1)+IF($L197*1&gt;=$G$5,$G$6,0),)</f>
        <v/>
      </c>
      <c r="B197" s="22" t="str">
        <f t="shared" si="1"/>
        <v/>
      </c>
      <c r="C197" s="14" t="str">
        <f>IF($A197&lt;&gt;"",MINIFS(Merchant!$A:$A,Merchant!$B:$B,$G$2),)</f>
        <v/>
      </c>
      <c r="D197" s="14" t="str">
        <f t="shared" si="2"/>
        <v/>
      </c>
      <c r="E197" s="14" t="str">
        <f t="shared" si="3"/>
        <v/>
      </c>
      <c r="F197" s="6" t="str">
        <f>IF($A197&lt;&gt;"",MAXIFS(Token!$B:$B,Token!$A:$A,$D197),)</f>
        <v/>
      </c>
    </row>
    <row r="198">
      <c r="A198" s="35" t="str">
        <f>IF(AND($L198*1&gt;=$G$3,$L198*1&lt;=$G$4,$I198*$J198&gt;0,CONCATENATE($H198:$L198)&lt;&gt;CONCATENATE($H199:$L199),$I198/POW(10,$J198)*MAXIFS(Token!$B:$B,Token!$A:$A,$K198)&gt;0.01),$L198/86400+DATE(1970,1,1)+IF($L198*1&gt;=$G$5,$G$6,0),)</f>
        <v/>
      </c>
      <c r="B198" s="22" t="str">
        <f t="shared" si="1"/>
        <v/>
      </c>
      <c r="C198" s="14" t="str">
        <f>IF($A198&lt;&gt;"",MINIFS(Merchant!$A:$A,Merchant!$B:$B,$G$2),)</f>
        <v/>
      </c>
      <c r="D198" s="14" t="str">
        <f t="shared" si="2"/>
        <v/>
      </c>
      <c r="E198" s="14" t="str">
        <f t="shared" si="3"/>
        <v/>
      </c>
      <c r="F198" s="6" t="str">
        <f>IF($A198&lt;&gt;"",MAXIFS(Token!$B:$B,Token!$A:$A,$D198),)</f>
        <v/>
      </c>
    </row>
    <row r="199">
      <c r="A199" s="35" t="str">
        <f>IF(AND($L199*1&gt;=$G$3,$L199*1&lt;=$G$4,$I199*$J199&gt;0,CONCATENATE($H199:$L199)&lt;&gt;CONCATENATE($H200:$L200),$I199/POW(10,$J199)*MAXIFS(Token!$B:$B,Token!$A:$A,$K199)&gt;0.01),$L199/86400+DATE(1970,1,1)+IF($L199*1&gt;=$G$5,$G$6,0),)</f>
        <v/>
      </c>
      <c r="B199" s="22" t="str">
        <f t="shared" si="1"/>
        <v/>
      </c>
      <c r="C199" s="14" t="str">
        <f>IF($A199&lt;&gt;"",MINIFS(Merchant!$A:$A,Merchant!$B:$B,$G$2),)</f>
        <v/>
      </c>
      <c r="D199" s="14" t="str">
        <f t="shared" si="2"/>
        <v/>
      </c>
      <c r="E199" s="14" t="str">
        <f t="shared" si="3"/>
        <v/>
      </c>
      <c r="F199" s="6" t="str">
        <f>IF($A199&lt;&gt;"",MAXIFS(Token!$B:$B,Token!$A:$A,$D199),)</f>
        <v/>
      </c>
    </row>
    <row r="200">
      <c r="A200" s="35" t="str">
        <f>IF(AND($L200*1&gt;=$G$3,$L200*1&lt;=$G$4,$I200*$J200&gt;0,CONCATENATE($H200:$L200)&lt;&gt;CONCATENATE($H201:$L201),$I200/POW(10,$J200)*MAXIFS(Token!$B:$B,Token!$A:$A,$K200)&gt;0.01),$L200/86400+DATE(1970,1,1)+IF($L200*1&gt;=$G$5,$G$6,0),)</f>
        <v/>
      </c>
      <c r="B200" s="22" t="str">
        <f t="shared" si="1"/>
        <v/>
      </c>
      <c r="C200" s="14" t="str">
        <f>IF($A200&lt;&gt;"",MINIFS(Merchant!$A:$A,Merchant!$B:$B,$G$2),)</f>
        <v/>
      </c>
      <c r="D200" s="14" t="str">
        <f t="shared" si="2"/>
        <v/>
      </c>
      <c r="E200" s="14" t="str">
        <f t="shared" si="3"/>
        <v/>
      </c>
      <c r="F200" s="6" t="str">
        <f>IF($A200&lt;&gt;"",MAXIFS(Token!$B:$B,Token!$A:$A,$D200),)</f>
        <v/>
      </c>
    </row>
    <row r="201">
      <c r="A201" s="35" t="str">
        <f>IF(AND($L201*1&gt;=$G$3,$L201*1&lt;=$G$4,$I201*$J201&gt;0,CONCATENATE($H201:$L201)&lt;&gt;CONCATENATE($H202:$L202),$I201/POW(10,$J201)*MAXIFS(Token!$B:$B,Token!$A:$A,$K201)&gt;0.01),$L201/86400+DATE(1970,1,1)+IF($L201*1&gt;=$G$5,$G$6,0),)</f>
        <v/>
      </c>
      <c r="B201" s="22" t="str">
        <f t="shared" si="1"/>
        <v/>
      </c>
      <c r="C201" s="14" t="str">
        <f>IF($A201&lt;&gt;"",MINIFS(Merchant!$A:$A,Merchant!$B:$B,$G$2),)</f>
        <v/>
      </c>
      <c r="D201" s="14" t="str">
        <f t="shared" si="2"/>
        <v/>
      </c>
      <c r="E201" s="14" t="str">
        <f t="shared" si="3"/>
        <v/>
      </c>
      <c r="F201" s="6" t="str">
        <f>IF($A201&lt;&gt;"",MAXIFS(Token!$B:$B,Token!$A:$A,$D201),)</f>
        <v/>
      </c>
    </row>
    <row r="202">
      <c r="A202" s="35" t="str">
        <f>IF(AND($L202*1&gt;=$G$3,$L202*1&lt;=$G$4,$I202*$J202&gt;0,CONCATENATE($H202:$L202)&lt;&gt;CONCATENATE($H203:$L203),$I202/POW(10,$J202)*MAXIFS(Token!$B:$B,Token!$A:$A,$K202)&gt;0.01),$L202/86400+DATE(1970,1,1)+IF($L202*1&gt;=$G$5,$G$6,0),)</f>
        <v/>
      </c>
      <c r="B202" s="22" t="str">
        <f t="shared" si="1"/>
        <v/>
      </c>
      <c r="C202" s="14" t="str">
        <f>IF($A202&lt;&gt;"",MINIFS(Merchant!$A:$A,Merchant!$B:$B,$G$2),)</f>
        <v/>
      </c>
      <c r="D202" s="14" t="str">
        <f t="shared" si="2"/>
        <v/>
      </c>
      <c r="E202" s="14" t="str">
        <f t="shared" si="3"/>
        <v/>
      </c>
      <c r="F202" s="6" t="str">
        <f>IF($A202&lt;&gt;"",MAXIFS(Token!$B:$B,Token!$A:$A,$D202),)</f>
        <v/>
      </c>
    </row>
    <row r="203">
      <c r="A203" s="35" t="str">
        <f>IF(AND($L203*1&gt;=$G$3,$L203*1&lt;=$G$4,$I203*$J203&gt;0,CONCATENATE($H203:$L203)&lt;&gt;CONCATENATE($H204:$L204),$I203/POW(10,$J203)*MAXIFS(Token!$B:$B,Token!$A:$A,$K203)&gt;0.01),$L203/86400+DATE(1970,1,1)+IF($L203*1&gt;=$G$5,$G$6,0),)</f>
        <v/>
      </c>
      <c r="B203" s="22" t="str">
        <f t="shared" si="1"/>
        <v/>
      </c>
      <c r="C203" s="14" t="str">
        <f>IF($A203&lt;&gt;"",MINIFS(Merchant!$A:$A,Merchant!$B:$B,$G$2),)</f>
        <v/>
      </c>
      <c r="D203" s="14" t="str">
        <f t="shared" si="2"/>
        <v/>
      </c>
      <c r="E203" s="14" t="str">
        <f t="shared" si="3"/>
        <v/>
      </c>
      <c r="F203" s="6" t="str">
        <f>IF($A203&lt;&gt;"",MAXIFS(Token!$B:$B,Token!$A:$A,$D203),)</f>
        <v/>
      </c>
    </row>
    <row r="204">
      <c r="A204" s="35" t="str">
        <f>IF(AND($L204*1&gt;=$G$3,$L204*1&lt;=$G$4,$I204*$J204&gt;0,CONCATENATE($H204:$L204)&lt;&gt;CONCATENATE($H205:$L205),$I204/POW(10,$J204)*MAXIFS(Token!$B:$B,Token!$A:$A,$K204)&gt;0.01),$L204/86400+DATE(1970,1,1)+IF($L204*1&gt;=$G$5,$G$6,0),)</f>
        <v/>
      </c>
      <c r="B204" s="22" t="str">
        <f t="shared" si="1"/>
        <v/>
      </c>
      <c r="C204" s="14" t="str">
        <f>IF($A204&lt;&gt;"",MINIFS(Merchant!$A:$A,Merchant!$B:$B,$G$2),)</f>
        <v/>
      </c>
      <c r="D204" s="14" t="str">
        <f t="shared" si="2"/>
        <v/>
      </c>
      <c r="E204" s="14" t="str">
        <f t="shared" si="3"/>
        <v/>
      </c>
      <c r="F204" s="6" t="str">
        <f>IF($A204&lt;&gt;"",MAXIFS(Token!$B:$B,Token!$A:$A,$D204),)</f>
        <v/>
      </c>
    </row>
    <row r="205">
      <c r="A205" s="35" t="str">
        <f>IF(AND($L205*1&gt;=$G$3,$L205*1&lt;=$G$4,$I205*$J205&gt;0,CONCATENATE($H205:$L205)&lt;&gt;CONCATENATE($H206:$L206),$I205/POW(10,$J205)*MAXIFS(Token!$B:$B,Token!$A:$A,$K205)&gt;0.01),$L205/86400+DATE(1970,1,1)+IF($L205*1&gt;=$G$5,$G$6,0),)</f>
        <v/>
      </c>
      <c r="B205" s="22" t="str">
        <f t="shared" si="1"/>
        <v/>
      </c>
      <c r="C205" s="14" t="str">
        <f>IF($A205&lt;&gt;"",MINIFS(Merchant!$A:$A,Merchant!$B:$B,$G$2),)</f>
        <v/>
      </c>
      <c r="D205" s="14" t="str">
        <f t="shared" si="2"/>
        <v/>
      </c>
      <c r="E205" s="14" t="str">
        <f t="shared" si="3"/>
        <v/>
      </c>
      <c r="F205" s="6" t="str">
        <f>IF($A205&lt;&gt;"",MAXIFS(Token!$B:$B,Token!$A:$A,$D205),)</f>
        <v/>
      </c>
    </row>
    <row r="206">
      <c r="A206" s="35" t="str">
        <f>IF(AND($L206*1&gt;=$G$3,$L206*1&lt;=$G$4,$I206*$J206&gt;0,CONCATENATE($H206:$L206)&lt;&gt;CONCATENATE($H207:$L207),$I206/POW(10,$J206)*MAXIFS(Token!$B:$B,Token!$A:$A,$K206)&gt;0.01),$L206/86400+DATE(1970,1,1)+IF($L206*1&gt;=$G$5,$G$6,0),)</f>
        <v/>
      </c>
      <c r="B206" s="22" t="str">
        <f t="shared" si="1"/>
        <v/>
      </c>
      <c r="C206" s="14" t="str">
        <f>IF($A206&lt;&gt;"",MINIFS(Merchant!$A:$A,Merchant!$B:$B,$G$2),)</f>
        <v/>
      </c>
      <c r="D206" s="14" t="str">
        <f t="shared" si="2"/>
        <v/>
      </c>
      <c r="E206" s="14" t="str">
        <f t="shared" si="3"/>
        <v/>
      </c>
      <c r="F206" s="6" t="str">
        <f>IF($A206&lt;&gt;"",MAXIFS(Token!$B:$B,Token!$A:$A,$D206),)</f>
        <v/>
      </c>
    </row>
    <row r="207">
      <c r="A207" s="35" t="str">
        <f>IF(AND($L207*1&gt;=$G$3,$L207*1&lt;=$G$4,$I207*$J207&gt;0,CONCATENATE($H207:$L207)&lt;&gt;CONCATENATE($H208:$L208),$I207/POW(10,$J207)*MAXIFS(Token!$B:$B,Token!$A:$A,$K207)&gt;0.01),$L207/86400+DATE(1970,1,1)+IF($L207*1&gt;=$G$5,$G$6,0),)</f>
        <v/>
      </c>
      <c r="B207" s="22" t="str">
        <f t="shared" si="1"/>
        <v/>
      </c>
      <c r="C207" s="14" t="str">
        <f>IF($A207&lt;&gt;"",MINIFS(Merchant!$A:$A,Merchant!$B:$B,$G$2),)</f>
        <v/>
      </c>
      <c r="D207" s="14" t="str">
        <f t="shared" si="2"/>
        <v/>
      </c>
      <c r="E207" s="14" t="str">
        <f t="shared" si="3"/>
        <v/>
      </c>
      <c r="F207" s="6" t="str">
        <f>IF($A207&lt;&gt;"",MAXIFS(Token!$B:$B,Token!$A:$A,$D207),)</f>
        <v/>
      </c>
    </row>
    <row r="208">
      <c r="A208" s="35" t="str">
        <f>IF(AND($L208*1&gt;=$G$3,$L208*1&lt;=$G$4,$I208*$J208&gt;0,CONCATENATE($H208:$L208)&lt;&gt;CONCATENATE($H209:$L209),$I208/POW(10,$J208)*MAXIFS(Token!$B:$B,Token!$A:$A,$K208)&gt;0.01),$L208/86400+DATE(1970,1,1)+IF($L208*1&gt;=$G$5,$G$6,0),)</f>
        <v/>
      </c>
      <c r="B208" s="22" t="str">
        <f t="shared" si="1"/>
        <v/>
      </c>
      <c r="C208" s="14" t="str">
        <f>IF($A208&lt;&gt;"",MINIFS(Merchant!$A:$A,Merchant!$B:$B,$G$2),)</f>
        <v/>
      </c>
      <c r="D208" s="14" t="str">
        <f t="shared" si="2"/>
        <v/>
      </c>
      <c r="E208" s="14" t="str">
        <f t="shared" si="3"/>
        <v/>
      </c>
      <c r="F208" s="6" t="str">
        <f>IF($A208&lt;&gt;"",MAXIFS(Token!$B:$B,Token!$A:$A,$D208),)</f>
        <v/>
      </c>
    </row>
    <row r="209">
      <c r="A209" s="35" t="str">
        <f>IF(AND($L209*1&gt;=$G$3,$L209*1&lt;=$G$4,$I209*$J209&gt;0,CONCATENATE($H209:$L209)&lt;&gt;CONCATENATE($H210:$L210),$I209/POW(10,$J209)*MAXIFS(Token!$B:$B,Token!$A:$A,$K209)&gt;0.01),$L209/86400+DATE(1970,1,1)+IF($L209*1&gt;=$G$5,$G$6,0),)</f>
        <v/>
      </c>
      <c r="B209" s="22" t="str">
        <f t="shared" si="1"/>
        <v/>
      </c>
      <c r="C209" s="14" t="str">
        <f>IF($A209&lt;&gt;"",MINIFS(Merchant!$A:$A,Merchant!$B:$B,$G$2),)</f>
        <v/>
      </c>
      <c r="D209" s="14" t="str">
        <f t="shared" si="2"/>
        <v/>
      </c>
      <c r="E209" s="14" t="str">
        <f t="shared" si="3"/>
        <v/>
      </c>
      <c r="F209" s="6" t="str">
        <f>IF($A209&lt;&gt;"",MAXIFS(Token!$B:$B,Token!$A:$A,$D209),)</f>
        <v/>
      </c>
    </row>
    <row r="210">
      <c r="A210" s="35" t="str">
        <f>IF(AND($L210*1&gt;=$G$3,$L210*1&lt;=$G$4,$I210*$J210&gt;0,CONCATENATE($H210:$L210)&lt;&gt;CONCATENATE($H211:$L211),$I210/POW(10,$J210)*MAXIFS(Token!$B:$B,Token!$A:$A,$K210)&gt;0.01),$L210/86400+DATE(1970,1,1)+IF($L210*1&gt;=$G$5,$G$6,0),)</f>
        <v/>
      </c>
      <c r="B210" s="22" t="str">
        <f t="shared" si="1"/>
        <v/>
      </c>
      <c r="C210" s="14" t="str">
        <f>IF($A210&lt;&gt;"",MINIFS(Merchant!$A:$A,Merchant!$B:$B,$G$2),)</f>
        <v/>
      </c>
      <c r="D210" s="14" t="str">
        <f t="shared" si="2"/>
        <v/>
      </c>
      <c r="E210" s="14" t="str">
        <f t="shared" si="3"/>
        <v/>
      </c>
      <c r="F210" s="6" t="str">
        <f>IF($A210&lt;&gt;"",MAXIFS(Token!$B:$B,Token!$A:$A,$D210),)</f>
        <v/>
      </c>
    </row>
    <row r="211">
      <c r="A211" s="35" t="str">
        <f>IF(AND($L211*1&gt;=$G$3,$L211*1&lt;=$G$4,$I211*$J211&gt;0,CONCATENATE($H211:$L211)&lt;&gt;CONCATENATE($H212:$L212),$I211/POW(10,$J211)*MAXIFS(Token!$B:$B,Token!$A:$A,$K211)&gt;0.01),$L211/86400+DATE(1970,1,1)+IF($L211*1&gt;=$G$5,$G$6,0),)</f>
        <v/>
      </c>
      <c r="B211" s="22" t="str">
        <f t="shared" si="1"/>
        <v/>
      </c>
      <c r="C211" s="14" t="str">
        <f>IF($A211&lt;&gt;"",MINIFS(Merchant!$A:$A,Merchant!$B:$B,$G$2),)</f>
        <v/>
      </c>
      <c r="D211" s="14" t="str">
        <f t="shared" si="2"/>
        <v/>
      </c>
      <c r="E211" s="14" t="str">
        <f t="shared" si="3"/>
        <v/>
      </c>
      <c r="F211" s="6" t="str">
        <f>IF($A211&lt;&gt;"",MAXIFS(Token!$B:$B,Token!$A:$A,$D211),)</f>
        <v/>
      </c>
    </row>
    <row r="212">
      <c r="A212" s="35" t="str">
        <f>IF(AND($L212*1&gt;=$G$3,$L212*1&lt;=$G$4,$I212*$J212&gt;0,CONCATENATE($H212:$L212)&lt;&gt;CONCATENATE($H213:$L213),$I212/POW(10,$J212)*MAXIFS(Token!$B:$B,Token!$A:$A,$K212)&gt;0.01),$L212/86400+DATE(1970,1,1)+IF($L212*1&gt;=$G$5,$G$6,0),)</f>
        <v/>
      </c>
      <c r="B212" s="22" t="str">
        <f t="shared" si="1"/>
        <v/>
      </c>
      <c r="C212" s="14" t="str">
        <f>IF($A212&lt;&gt;"",MINIFS(Merchant!$A:$A,Merchant!$B:$B,$G$2),)</f>
        <v/>
      </c>
      <c r="D212" s="14" t="str">
        <f t="shared" si="2"/>
        <v/>
      </c>
      <c r="E212" s="14" t="str">
        <f t="shared" si="3"/>
        <v/>
      </c>
      <c r="F212" s="6" t="str">
        <f>IF($A212&lt;&gt;"",MAXIFS(Token!$B:$B,Token!$A:$A,$D212),)</f>
        <v/>
      </c>
    </row>
    <row r="213">
      <c r="A213" s="35" t="str">
        <f>IF(AND($L213*1&gt;=$G$3,$L213*1&lt;=$G$4,$I213*$J213&gt;0,CONCATENATE($H213:$L213)&lt;&gt;CONCATENATE($H214:$L214),$I213/POW(10,$J213)*MAXIFS(Token!$B:$B,Token!$A:$A,$K213)&gt;0.01),$L213/86400+DATE(1970,1,1)+IF($L213*1&gt;=$G$5,$G$6,0),)</f>
        <v/>
      </c>
      <c r="B213" s="22" t="str">
        <f t="shared" si="1"/>
        <v/>
      </c>
      <c r="C213" s="14" t="str">
        <f>IF($A213&lt;&gt;"",MINIFS(Merchant!$A:$A,Merchant!$B:$B,$G$2),)</f>
        <v/>
      </c>
      <c r="D213" s="14" t="str">
        <f t="shared" si="2"/>
        <v/>
      </c>
      <c r="E213" s="14" t="str">
        <f t="shared" si="3"/>
        <v/>
      </c>
      <c r="F213" s="6" t="str">
        <f>IF($A213&lt;&gt;"",MAXIFS(Token!$B:$B,Token!$A:$A,$D213),)</f>
        <v/>
      </c>
    </row>
    <row r="214">
      <c r="A214" s="35" t="str">
        <f>IF(AND($L214*1&gt;=$G$3,$L214*1&lt;=$G$4,$I214*$J214&gt;0,CONCATENATE($H214:$L214)&lt;&gt;CONCATENATE($H215:$L215),$I214/POW(10,$J214)*MAXIFS(Token!$B:$B,Token!$A:$A,$K214)&gt;0.01),$L214/86400+DATE(1970,1,1)+IF($L214*1&gt;=$G$5,$G$6,0),)</f>
        <v/>
      </c>
      <c r="B214" s="22" t="str">
        <f t="shared" si="1"/>
        <v/>
      </c>
      <c r="C214" s="14" t="str">
        <f>IF($A214&lt;&gt;"",MINIFS(Merchant!$A:$A,Merchant!$B:$B,$G$2),)</f>
        <v/>
      </c>
      <c r="D214" s="14" t="str">
        <f t="shared" si="2"/>
        <v/>
      </c>
      <c r="E214" s="14" t="str">
        <f t="shared" si="3"/>
        <v/>
      </c>
      <c r="F214" s="6" t="str">
        <f>IF($A214&lt;&gt;"",MAXIFS(Token!$B:$B,Token!$A:$A,$D214),)</f>
        <v/>
      </c>
    </row>
    <row r="215">
      <c r="A215" s="35" t="str">
        <f>IF(AND($L215*1&gt;=$G$3,$L215*1&lt;=$G$4,$I215*$J215&gt;0,CONCATENATE($H215:$L215)&lt;&gt;CONCATENATE($H216:$L216),$I215/POW(10,$J215)*MAXIFS(Token!$B:$B,Token!$A:$A,$K215)&gt;0.01),$L215/86400+DATE(1970,1,1)+IF($L215*1&gt;=$G$5,$G$6,0),)</f>
        <v/>
      </c>
      <c r="B215" s="22" t="str">
        <f t="shared" si="1"/>
        <v/>
      </c>
      <c r="C215" s="14" t="str">
        <f>IF($A215&lt;&gt;"",MINIFS(Merchant!$A:$A,Merchant!$B:$B,$G$2),)</f>
        <v/>
      </c>
      <c r="D215" s="14" t="str">
        <f t="shared" si="2"/>
        <v/>
      </c>
      <c r="E215" s="14" t="str">
        <f t="shared" si="3"/>
        <v/>
      </c>
      <c r="F215" s="6" t="str">
        <f>IF($A215&lt;&gt;"",MAXIFS(Token!$B:$B,Token!$A:$A,$D215),)</f>
        <v/>
      </c>
    </row>
    <row r="216">
      <c r="A216" s="35" t="str">
        <f>IF(AND($L216*1&gt;=$G$3,$L216*1&lt;=$G$4,$I216*$J216&gt;0,CONCATENATE($H216:$L216)&lt;&gt;CONCATENATE($H217:$L217),$I216/POW(10,$J216)*MAXIFS(Token!$B:$B,Token!$A:$A,$K216)&gt;0.01),$L216/86400+DATE(1970,1,1)+IF($L216*1&gt;=$G$5,$G$6,0),)</f>
        <v/>
      </c>
      <c r="B216" s="22" t="str">
        <f t="shared" si="1"/>
        <v/>
      </c>
      <c r="C216" s="14" t="str">
        <f>IF($A216&lt;&gt;"",MINIFS(Merchant!$A:$A,Merchant!$B:$B,$G$2),)</f>
        <v/>
      </c>
      <c r="D216" s="14" t="str">
        <f t="shared" si="2"/>
        <v/>
      </c>
      <c r="E216" s="14" t="str">
        <f t="shared" si="3"/>
        <v/>
      </c>
      <c r="F216" s="6" t="str">
        <f>IF($A216&lt;&gt;"",MAXIFS(Token!$B:$B,Token!$A:$A,$D216),)</f>
        <v/>
      </c>
    </row>
    <row r="217">
      <c r="A217" s="35" t="str">
        <f>IF(AND($L217*1&gt;=$G$3,$L217*1&lt;=$G$4,$I217*$J217&gt;0,CONCATENATE($H217:$L217)&lt;&gt;CONCATENATE($H218:$L218),$I217/POW(10,$J217)*MAXIFS(Token!$B:$B,Token!$A:$A,$K217)&gt;0.01),$L217/86400+DATE(1970,1,1)+IF($L217*1&gt;=$G$5,$G$6,0),)</f>
        <v/>
      </c>
      <c r="B217" s="22" t="str">
        <f t="shared" si="1"/>
        <v/>
      </c>
      <c r="C217" s="14" t="str">
        <f>IF($A217&lt;&gt;"",MINIFS(Merchant!$A:$A,Merchant!$B:$B,$G$2),)</f>
        <v/>
      </c>
      <c r="D217" s="14" t="str">
        <f t="shared" si="2"/>
        <v/>
      </c>
      <c r="E217" s="14" t="str">
        <f t="shared" si="3"/>
        <v/>
      </c>
      <c r="F217" s="6" t="str">
        <f>IF($A217&lt;&gt;"",MAXIFS(Token!$B:$B,Token!$A:$A,$D217),)</f>
        <v/>
      </c>
    </row>
    <row r="218">
      <c r="A218" s="35" t="str">
        <f>IF(AND($L218*1&gt;=$G$3,$L218*1&lt;=$G$4,$I218*$J218&gt;0,CONCATENATE($H218:$L218)&lt;&gt;CONCATENATE($H219:$L219),$I218/POW(10,$J218)*MAXIFS(Token!$B:$B,Token!$A:$A,$K218)&gt;0.01),$L218/86400+DATE(1970,1,1)+IF($L218*1&gt;=$G$5,$G$6,0),)</f>
        <v/>
      </c>
      <c r="B218" s="22" t="str">
        <f t="shared" si="1"/>
        <v/>
      </c>
      <c r="C218" s="14" t="str">
        <f>IF($A218&lt;&gt;"",MINIFS(Merchant!$A:$A,Merchant!$B:$B,$G$2),)</f>
        <v/>
      </c>
      <c r="D218" s="14" t="str">
        <f t="shared" si="2"/>
        <v/>
      </c>
      <c r="E218" s="14" t="str">
        <f t="shared" si="3"/>
        <v/>
      </c>
      <c r="F218" s="6" t="str">
        <f>IF($A218&lt;&gt;"",MAXIFS(Token!$B:$B,Token!$A:$A,$D218),)</f>
        <v/>
      </c>
    </row>
    <row r="219">
      <c r="A219" s="35" t="str">
        <f>IF(AND($L219*1&gt;=$G$3,$L219*1&lt;=$G$4,$I219*$J219&gt;0,CONCATENATE($H219:$L219)&lt;&gt;CONCATENATE($H220:$L220),$I219/POW(10,$J219)*MAXIFS(Token!$B:$B,Token!$A:$A,$K219)&gt;0.01),$L219/86400+DATE(1970,1,1)+IF($L219*1&gt;=$G$5,$G$6,0),)</f>
        <v/>
      </c>
      <c r="B219" s="22" t="str">
        <f t="shared" si="1"/>
        <v/>
      </c>
      <c r="C219" s="14" t="str">
        <f>IF($A219&lt;&gt;"",MINIFS(Merchant!$A:$A,Merchant!$B:$B,$G$2),)</f>
        <v/>
      </c>
      <c r="D219" s="14" t="str">
        <f t="shared" si="2"/>
        <v/>
      </c>
      <c r="E219" s="14" t="str">
        <f t="shared" si="3"/>
        <v/>
      </c>
      <c r="F219" s="6" t="str">
        <f>IF($A219&lt;&gt;"",MAXIFS(Token!$B:$B,Token!$A:$A,$D219),)</f>
        <v/>
      </c>
    </row>
    <row r="220">
      <c r="A220" s="35" t="str">
        <f>IF(AND($L220*1&gt;=$G$3,$L220*1&lt;=$G$4,$I220*$J220&gt;0,CONCATENATE($H220:$L220)&lt;&gt;CONCATENATE($H221:$L221),$I220/POW(10,$J220)*MAXIFS(Token!$B:$B,Token!$A:$A,$K220)&gt;0.01),$L220/86400+DATE(1970,1,1)+IF($L220*1&gt;=$G$5,$G$6,0),)</f>
        <v/>
      </c>
      <c r="B220" s="22" t="str">
        <f t="shared" si="1"/>
        <v/>
      </c>
      <c r="C220" s="14" t="str">
        <f>IF($A220&lt;&gt;"",MINIFS(Merchant!$A:$A,Merchant!$B:$B,$G$2),)</f>
        <v/>
      </c>
      <c r="D220" s="14" t="str">
        <f t="shared" si="2"/>
        <v/>
      </c>
      <c r="E220" s="14" t="str">
        <f t="shared" si="3"/>
        <v/>
      </c>
      <c r="F220" s="6" t="str">
        <f>IF($A220&lt;&gt;"",MAXIFS(Token!$B:$B,Token!$A:$A,$D220),)</f>
        <v/>
      </c>
    </row>
    <row r="221">
      <c r="A221" s="35" t="str">
        <f>IF(AND($L221*1&gt;=$G$3,$L221*1&lt;=$G$4,$I221*$J221&gt;0,CONCATENATE($H221:$L221)&lt;&gt;CONCATENATE($H222:$L222),$I221/POW(10,$J221)*MAXIFS(Token!$B:$B,Token!$A:$A,$K221)&gt;0.01),$L221/86400+DATE(1970,1,1)+IF($L221*1&gt;=$G$5,$G$6,0),)</f>
        <v/>
      </c>
      <c r="B221" s="22" t="str">
        <f t="shared" si="1"/>
        <v/>
      </c>
      <c r="C221" s="14" t="str">
        <f>IF($A221&lt;&gt;"",MINIFS(Merchant!$A:$A,Merchant!$B:$B,$G$2),)</f>
        <v/>
      </c>
      <c r="D221" s="14" t="str">
        <f t="shared" si="2"/>
        <v/>
      </c>
      <c r="E221" s="14" t="str">
        <f t="shared" si="3"/>
        <v/>
      </c>
      <c r="F221" s="6" t="str">
        <f>IF($A221&lt;&gt;"",MAXIFS(Token!$B:$B,Token!$A:$A,$D221),)</f>
        <v/>
      </c>
    </row>
    <row r="222">
      <c r="A222" s="35" t="str">
        <f>IF(AND($L222*1&gt;=$G$3,$L222*1&lt;=$G$4,$I222*$J222&gt;0,CONCATENATE($H222:$L222)&lt;&gt;CONCATENATE($H223:$L223),$I222/POW(10,$J222)*MAXIFS(Token!$B:$B,Token!$A:$A,$K222)&gt;0.01),$L222/86400+DATE(1970,1,1)+IF($L222*1&gt;=$G$5,$G$6,0),)</f>
        <v/>
      </c>
      <c r="B222" s="22" t="str">
        <f t="shared" si="1"/>
        <v/>
      </c>
      <c r="C222" s="14" t="str">
        <f>IF($A222&lt;&gt;"",MINIFS(Merchant!$A:$A,Merchant!$B:$B,$G$2),)</f>
        <v/>
      </c>
      <c r="D222" s="14" t="str">
        <f t="shared" si="2"/>
        <v/>
      </c>
      <c r="E222" s="14" t="str">
        <f t="shared" si="3"/>
        <v/>
      </c>
      <c r="F222" s="6" t="str">
        <f>IF($A222&lt;&gt;"",MAXIFS(Token!$B:$B,Token!$A:$A,$D222),)</f>
        <v/>
      </c>
    </row>
    <row r="223">
      <c r="A223" s="35" t="str">
        <f>IF(AND($L223*1&gt;=$G$3,$L223*1&lt;=$G$4,$I223*$J223&gt;0,CONCATENATE($H223:$L223)&lt;&gt;CONCATENATE($H224:$L224),$I223/POW(10,$J223)*MAXIFS(Token!$B:$B,Token!$A:$A,$K223)&gt;0.01),$L223/86400+DATE(1970,1,1)+IF($L223*1&gt;=$G$5,$G$6,0),)</f>
        <v/>
      </c>
      <c r="B223" s="22" t="str">
        <f t="shared" si="1"/>
        <v/>
      </c>
      <c r="C223" s="14" t="str">
        <f>IF($A223&lt;&gt;"",MINIFS(Merchant!$A:$A,Merchant!$B:$B,$G$2),)</f>
        <v/>
      </c>
      <c r="D223" s="14" t="str">
        <f t="shared" si="2"/>
        <v/>
      </c>
      <c r="E223" s="14" t="str">
        <f t="shared" si="3"/>
        <v/>
      </c>
      <c r="F223" s="6" t="str">
        <f>IF($A223&lt;&gt;"",MAXIFS(Token!$B:$B,Token!$A:$A,$D223),)</f>
        <v/>
      </c>
    </row>
    <row r="224">
      <c r="A224" s="35" t="str">
        <f>IF(AND($L224*1&gt;=$G$3,$L224*1&lt;=$G$4,$I224*$J224&gt;0,CONCATENATE($H224:$L224)&lt;&gt;CONCATENATE($H225:$L225),$I224/POW(10,$J224)*MAXIFS(Token!$B:$B,Token!$A:$A,$K224)&gt;0.01),$L224/86400+DATE(1970,1,1)+IF($L224*1&gt;=$G$5,$G$6,0),)</f>
        <v/>
      </c>
      <c r="B224" s="22" t="str">
        <f t="shared" si="1"/>
        <v/>
      </c>
      <c r="C224" s="14" t="str">
        <f>IF($A224&lt;&gt;"",MINIFS(Merchant!$A:$A,Merchant!$B:$B,$G$2),)</f>
        <v/>
      </c>
      <c r="D224" s="14" t="str">
        <f t="shared" si="2"/>
        <v/>
      </c>
      <c r="E224" s="14" t="str">
        <f t="shared" si="3"/>
        <v/>
      </c>
      <c r="F224" s="6" t="str">
        <f>IF($A224&lt;&gt;"",MAXIFS(Token!$B:$B,Token!$A:$A,$D224),)</f>
        <v/>
      </c>
    </row>
    <row r="225">
      <c r="A225" s="35" t="str">
        <f>IF(AND($L225*1&gt;=$G$3,$L225*1&lt;=$G$4,$I225*$J225&gt;0,CONCATENATE($H225:$L225)&lt;&gt;CONCATENATE($H226:$L226),$I225/POW(10,$J225)*MAXIFS(Token!$B:$B,Token!$A:$A,$K225)&gt;0.01),$L225/86400+DATE(1970,1,1)+IF($L225*1&gt;=$G$5,$G$6,0),)</f>
        <v/>
      </c>
      <c r="B225" s="22" t="str">
        <f t="shared" si="1"/>
        <v/>
      </c>
      <c r="C225" s="14" t="str">
        <f>IF($A225&lt;&gt;"",MINIFS(Merchant!$A:$A,Merchant!$B:$B,$G$2),)</f>
        <v/>
      </c>
      <c r="D225" s="14" t="str">
        <f t="shared" si="2"/>
        <v/>
      </c>
      <c r="E225" s="14" t="str">
        <f t="shared" si="3"/>
        <v/>
      </c>
      <c r="F225" s="6" t="str">
        <f>IF($A225&lt;&gt;"",MAXIFS(Token!$B:$B,Token!$A:$A,$D225),)</f>
        <v/>
      </c>
    </row>
    <row r="226">
      <c r="A226" s="35" t="str">
        <f>IF(AND($L226*1&gt;=$G$3,$L226*1&lt;=$G$4,$I226*$J226&gt;0,CONCATENATE($H226:$L226)&lt;&gt;CONCATENATE($H227:$L227),$I226/POW(10,$J226)*MAXIFS(Token!$B:$B,Token!$A:$A,$K226)&gt;0.01),$L226/86400+DATE(1970,1,1)+IF($L226*1&gt;=$G$5,$G$6,0),)</f>
        <v/>
      </c>
      <c r="B226" s="22" t="str">
        <f t="shared" si="1"/>
        <v/>
      </c>
      <c r="C226" s="14" t="str">
        <f>IF($A226&lt;&gt;"",MINIFS(Merchant!$A:$A,Merchant!$B:$B,$G$2),)</f>
        <v/>
      </c>
      <c r="D226" s="14" t="str">
        <f t="shared" si="2"/>
        <v/>
      </c>
      <c r="E226" s="14" t="str">
        <f t="shared" si="3"/>
        <v/>
      </c>
      <c r="F226" s="6" t="str">
        <f>IF($A226&lt;&gt;"",MAXIFS(Token!$B:$B,Token!$A:$A,$D226),)</f>
        <v/>
      </c>
    </row>
    <row r="227">
      <c r="A227" s="35" t="str">
        <f>IF(AND($L227*1&gt;=$G$3,$L227*1&lt;=$G$4,$I227*$J227&gt;0,CONCATENATE($H227:$L227)&lt;&gt;CONCATENATE($H228:$L228),$I227/POW(10,$J227)*MAXIFS(Token!$B:$B,Token!$A:$A,$K227)&gt;0.01),$L227/86400+DATE(1970,1,1)+IF($L227*1&gt;=$G$5,$G$6,0),)</f>
        <v/>
      </c>
      <c r="B227" s="22" t="str">
        <f t="shared" si="1"/>
        <v/>
      </c>
      <c r="C227" s="14" t="str">
        <f>IF($A227&lt;&gt;"",MINIFS(Merchant!$A:$A,Merchant!$B:$B,$G$2),)</f>
        <v/>
      </c>
      <c r="D227" s="14" t="str">
        <f t="shared" si="2"/>
        <v/>
      </c>
      <c r="E227" s="14" t="str">
        <f t="shared" si="3"/>
        <v/>
      </c>
      <c r="F227" s="6" t="str">
        <f>IF($A227&lt;&gt;"",MAXIFS(Token!$B:$B,Token!$A:$A,$D227),)</f>
        <v/>
      </c>
    </row>
    <row r="228">
      <c r="A228" s="35" t="str">
        <f>IF(AND($L228*1&gt;=$G$3,$L228*1&lt;=$G$4,$I228*$J228&gt;0,CONCATENATE($H228:$L228)&lt;&gt;CONCATENATE($H229:$L229),$I228/POW(10,$J228)*MAXIFS(Token!$B:$B,Token!$A:$A,$K228)&gt;0.01),$L228/86400+DATE(1970,1,1)+IF($L228*1&gt;=$G$5,$G$6,0),)</f>
        <v/>
      </c>
      <c r="B228" s="22" t="str">
        <f t="shared" si="1"/>
        <v/>
      </c>
      <c r="C228" s="14" t="str">
        <f>IF($A228&lt;&gt;"",MINIFS(Merchant!$A:$A,Merchant!$B:$B,$G$2),)</f>
        <v/>
      </c>
      <c r="D228" s="14" t="str">
        <f t="shared" si="2"/>
        <v/>
      </c>
      <c r="E228" s="14" t="str">
        <f t="shared" si="3"/>
        <v/>
      </c>
      <c r="F228" s="6" t="str">
        <f>IF($A228&lt;&gt;"",MAXIFS(Token!$B:$B,Token!$A:$A,$D228),)</f>
        <v/>
      </c>
    </row>
    <row r="229">
      <c r="A229" s="35" t="str">
        <f>IF(AND($L229*1&gt;=$G$3,$L229*1&lt;=$G$4,$I229*$J229&gt;0,CONCATENATE($H229:$L229)&lt;&gt;CONCATENATE($H230:$L230),$I229/POW(10,$J229)*MAXIFS(Token!$B:$B,Token!$A:$A,$K229)&gt;0.01),$L229/86400+DATE(1970,1,1)+IF($L229*1&gt;=$G$5,$G$6,0),)</f>
        <v/>
      </c>
      <c r="B229" s="22" t="str">
        <f t="shared" si="1"/>
        <v/>
      </c>
      <c r="C229" s="14" t="str">
        <f>IF($A229&lt;&gt;"",MINIFS(Merchant!$A:$A,Merchant!$B:$B,$G$2),)</f>
        <v/>
      </c>
      <c r="D229" s="14" t="str">
        <f t="shared" si="2"/>
        <v/>
      </c>
      <c r="E229" s="14" t="str">
        <f t="shared" si="3"/>
        <v/>
      </c>
      <c r="F229" s="6" t="str">
        <f>IF($A229&lt;&gt;"",MAXIFS(Token!$B:$B,Token!$A:$A,$D229),)</f>
        <v/>
      </c>
    </row>
    <row r="230">
      <c r="A230" s="35" t="str">
        <f>IF(AND($L230*1&gt;=$G$3,$L230*1&lt;=$G$4,$I230*$J230&gt;0,CONCATENATE($H230:$L230)&lt;&gt;CONCATENATE($H231:$L231),$I230/POW(10,$J230)*MAXIFS(Token!$B:$B,Token!$A:$A,$K230)&gt;0.01),$L230/86400+DATE(1970,1,1)+IF($L230*1&gt;=$G$5,$G$6,0),)</f>
        <v/>
      </c>
      <c r="B230" s="22" t="str">
        <f t="shared" si="1"/>
        <v/>
      </c>
      <c r="C230" s="14" t="str">
        <f>IF($A230&lt;&gt;"",MINIFS(Merchant!$A:$A,Merchant!$B:$B,$G$2),)</f>
        <v/>
      </c>
      <c r="D230" s="14" t="str">
        <f t="shared" si="2"/>
        <v/>
      </c>
      <c r="E230" s="14" t="str">
        <f t="shared" si="3"/>
        <v/>
      </c>
      <c r="F230" s="6" t="str">
        <f>IF($A230&lt;&gt;"",MAXIFS(Token!$B:$B,Token!$A:$A,$D230),)</f>
        <v/>
      </c>
    </row>
    <row r="231">
      <c r="A231" s="35" t="str">
        <f>IF(AND($L231*1&gt;=$G$3,$L231*1&lt;=$G$4,$I231*$J231&gt;0,CONCATENATE($H231:$L231)&lt;&gt;CONCATENATE($H232:$L232),$I231/POW(10,$J231)*MAXIFS(Token!$B:$B,Token!$A:$A,$K231)&gt;0.01),$L231/86400+DATE(1970,1,1)+IF($L231*1&gt;=$G$5,$G$6,0),)</f>
        <v/>
      </c>
      <c r="B231" s="22" t="str">
        <f t="shared" si="1"/>
        <v/>
      </c>
      <c r="C231" s="14" t="str">
        <f>IF($A231&lt;&gt;"",MINIFS(Merchant!$A:$A,Merchant!$B:$B,$G$2),)</f>
        <v/>
      </c>
      <c r="D231" s="14" t="str">
        <f t="shared" si="2"/>
        <v/>
      </c>
      <c r="E231" s="14" t="str">
        <f t="shared" si="3"/>
        <v/>
      </c>
      <c r="F231" s="6" t="str">
        <f>IF($A231&lt;&gt;"",MAXIFS(Token!$B:$B,Token!$A:$A,$D231),)</f>
        <v/>
      </c>
    </row>
    <row r="232">
      <c r="A232" s="35" t="str">
        <f>IF(AND($L232*1&gt;=$G$3,$L232*1&lt;=$G$4,$I232*$J232&gt;0,CONCATENATE($H232:$L232)&lt;&gt;CONCATENATE($H233:$L233),$I232/POW(10,$J232)*MAXIFS(Token!$B:$B,Token!$A:$A,$K232)&gt;0.01),$L232/86400+DATE(1970,1,1)+IF($L232*1&gt;=$G$5,$G$6,0),)</f>
        <v/>
      </c>
      <c r="B232" s="22" t="str">
        <f t="shared" si="1"/>
        <v/>
      </c>
      <c r="C232" s="14" t="str">
        <f>IF($A232&lt;&gt;"",MINIFS(Merchant!$A:$A,Merchant!$B:$B,$G$2),)</f>
        <v/>
      </c>
      <c r="D232" s="14" t="str">
        <f t="shared" si="2"/>
        <v/>
      </c>
      <c r="E232" s="14" t="str">
        <f t="shared" si="3"/>
        <v/>
      </c>
      <c r="F232" s="6" t="str">
        <f>IF($A232&lt;&gt;"",MAXIFS(Token!$B:$B,Token!$A:$A,$D232),)</f>
        <v/>
      </c>
    </row>
    <row r="233">
      <c r="A233" s="35" t="str">
        <f>IF(AND($L233*1&gt;=$G$3,$L233*1&lt;=$G$4,$I233*$J233&gt;0,CONCATENATE($H233:$L233)&lt;&gt;CONCATENATE($H234:$L234),$I233/POW(10,$J233)*MAXIFS(Token!$B:$B,Token!$A:$A,$K233)&gt;0.01),$L233/86400+DATE(1970,1,1)+IF($L233*1&gt;=$G$5,$G$6,0),)</f>
        <v/>
      </c>
      <c r="B233" s="22" t="str">
        <f t="shared" si="1"/>
        <v/>
      </c>
      <c r="C233" s="14" t="str">
        <f>IF($A233&lt;&gt;"",MINIFS(Merchant!$A:$A,Merchant!$B:$B,$G$2),)</f>
        <v/>
      </c>
      <c r="D233" s="14" t="str">
        <f t="shared" si="2"/>
        <v/>
      </c>
      <c r="E233" s="14" t="str">
        <f t="shared" si="3"/>
        <v/>
      </c>
      <c r="F233" s="6" t="str">
        <f>IF($A233&lt;&gt;"",MAXIFS(Token!$B:$B,Token!$A:$A,$D233),)</f>
        <v/>
      </c>
    </row>
    <row r="234">
      <c r="A234" s="35" t="str">
        <f>IF(AND($L234*1&gt;=$G$3,$L234*1&lt;=$G$4,$I234*$J234&gt;0,CONCATENATE($H234:$L234)&lt;&gt;CONCATENATE($H235:$L235),$I234/POW(10,$J234)*MAXIFS(Token!$B:$B,Token!$A:$A,$K234)&gt;0.01),$L234/86400+DATE(1970,1,1)+IF($L234*1&gt;=$G$5,$G$6,0),)</f>
        <v/>
      </c>
      <c r="B234" s="22" t="str">
        <f t="shared" si="1"/>
        <v/>
      </c>
      <c r="C234" s="14" t="str">
        <f>IF($A234&lt;&gt;"",MINIFS(Merchant!$A:$A,Merchant!$B:$B,$G$2),)</f>
        <v/>
      </c>
      <c r="D234" s="14" t="str">
        <f t="shared" si="2"/>
        <v/>
      </c>
      <c r="E234" s="14" t="str">
        <f t="shared" si="3"/>
        <v/>
      </c>
      <c r="F234" s="6" t="str">
        <f>IF($A234&lt;&gt;"",MAXIFS(Token!$B:$B,Token!$A:$A,$D234),)</f>
        <v/>
      </c>
    </row>
    <row r="235">
      <c r="A235" s="35" t="str">
        <f>IF(AND($L235*1&gt;=$G$3,$L235*1&lt;=$G$4,$I235*$J235&gt;0,CONCATENATE($H235:$L235)&lt;&gt;CONCATENATE($H236:$L236),$I235/POW(10,$J235)*MAXIFS(Token!$B:$B,Token!$A:$A,$K235)&gt;0.01),$L235/86400+DATE(1970,1,1)+IF($L235*1&gt;=$G$5,$G$6,0),)</f>
        <v/>
      </c>
      <c r="B235" s="22" t="str">
        <f t="shared" si="1"/>
        <v/>
      </c>
      <c r="C235" s="14" t="str">
        <f>IF($A235&lt;&gt;"",MINIFS(Merchant!$A:$A,Merchant!$B:$B,$G$2),)</f>
        <v/>
      </c>
      <c r="D235" s="14" t="str">
        <f t="shared" si="2"/>
        <v/>
      </c>
      <c r="E235" s="14" t="str">
        <f t="shared" si="3"/>
        <v/>
      </c>
      <c r="F235" s="6" t="str">
        <f>IF($A235&lt;&gt;"",MAXIFS(Token!$B:$B,Token!$A:$A,$D235),)</f>
        <v/>
      </c>
    </row>
    <row r="236">
      <c r="A236" s="35" t="str">
        <f>IF(AND($L236*1&gt;=$G$3,$L236*1&lt;=$G$4,$I236*$J236&gt;0,CONCATENATE($H236:$L236)&lt;&gt;CONCATENATE($H237:$L237),$I236/POW(10,$J236)*MAXIFS(Token!$B:$B,Token!$A:$A,$K236)&gt;0.01),$L236/86400+DATE(1970,1,1)+IF($L236*1&gt;=$G$5,$G$6,0),)</f>
        <v/>
      </c>
      <c r="B236" s="22" t="str">
        <f t="shared" si="1"/>
        <v/>
      </c>
      <c r="C236" s="14" t="str">
        <f>IF($A236&lt;&gt;"",MINIFS(Merchant!$A:$A,Merchant!$B:$B,$G$2),)</f>
        <v/>
      </c>
      <c r="D236" s="14" t="str">
        <f t="shared" si="2"/>
        <v/>
      </c>
      <c r="E236" s="14" t="str">
        <f t="shared" si="3"/>
        <v/>
      </c>
      <c r="F236" s="6" t="str">
        <f>IF($A236&lt;&gt;"",MAXIFS(Token!$B:$B,Token!$A:$A,$D236),)</f>
        <v/>
      </c>
    </row>
    <row r="237">
      <c r="A237" s="35" t="str">
        <f>IF(AND($L237*1&gt;=$G$3,$L237*1&lt;=$G$4,$I237*$J237&gt;0,CONCATENATE($H237:$L237)&lt;&gt;CONCATENATE($H238:$L238),$I237/POW(10,$J237)*MAXIFS(Token!$B:$B,Token!$A:$A,$K237)&gt;0.01),$L237/86400+DATE(1970,1,1)+IF($L237*1&gt;=$G$5,$G$6,0),)</f>
        <v/>
      </c>
      <c r="B237" s="22" t="str">
        <f t="shared" si="1"/>
        <v/>
      </c>
      <c r="C237" s="14" t="str">
        <f>IF($A237&lt;&gt;"",MINIFS(Merchant!$A:$A,Merchant!$B:$B,$G$2),)</f>
        <v/>
      </c>
      <c r="D237" s="14" t="str">
        <f t="shared" si="2"/>
        <v/>
      </c>
      <c r="E237" s="14" t="str">
        <f t="shared" si="3"/>
        <v/>
      </c>
      <c r="F237" s="6" t="str">
        <f>IF($A237&lt;&gt;"",MAXIFS(Token!$B:$B,Token!$A:$A,$D237),)</f>
        <v/>
      </c>
    </row>
    <row r="238">
      <c r="A238" s="35" t="str">
        <f>IF(AND($L238*1&gt;=$G$3,$L238*1&lt;=$G$4,$I238*$J238&gt;0,CONCATENATE($H238:$L238)&lt;&gt;CONCATENATE($H239:$L239),$I238/POW(10,$J238)*MAXIFS(Token!$B:$B,Token!$A:$A,$K238)&gt;0.01),$L238/86400+DATE(1970,1,1)+IF($L238*1&gt;=$G$5,$G$6,0),)</f>
        <v/>
      </c>
      <c r="B238" s="22" t="str">
        <f t="shared" si="1"/>
        <v/>
      </c>
      <c r="C238" s="14" t="str">
        <f>IF($A238&lt;&gt;"",MINIFS(Merchant!$A:$A,Merchant!$B:$B,$G$2),)</f>
        <v/>
      </c>
      <c r="D238" s="14" t="str">
        <f t="shared" si="2"/>
        <v/>
      </c>
      <c r="E238" s="14" t="str">
        <f t="shared" si="3"/>
        <v/>
      </c>
      <c r="F238" s="6" t="str">
        <f>IF($A238&lt;&gt;"",MAXIFS(Token!$B:$B,Token!$A:$A,$D238),)</f>
        <v/>
      </c>
    </row>
    <row r="239">
      <c r="A239" s="35" t="str">
        <f>IF(AND($L239*1&gt;=$G$3,$L239*1&lt;=$G$4,$I239*$J239&gt;0,CONCATENATE($H239:$L239)&lt;&gt;CONCATENATE($H240:$L240),$I239/POW(10,$J239)*MAXIFS(Token!$B:$B,Token!$A:$A,$K239)&gt;0.01),$L239/86400+DATE(1970,1,1)+IF($L239*1&gt;=$G$5,$G$6,0),)</f>
        <v/>
      </c>
      <c r="B239" s="22" t="str">
        <f t="shared" si="1"/>
        <v/>
      </c>
      <c r="C239" s="14" t="str">
        <f>IF($A239&lt;&gt;"",MINIFS(Merchant!$A:$A,Merchant!$B:$B,$G$2),)</f>
        <v/>
      </c>
      <c r="D239" s="14" t="str">
        <f t="shared" si="2"/>
        <v/>
      </c>
      <c r="E239" s="14" t="str">
        <f t="shared" si="3"/>
        <v/>
      </c>
      <c r="F239" s="6" t="str">
        <f>IF($A239&lt;&gt;"",MAXIFS(Token!$B:$B,Token!$A:$A,$D239),)</f>
        <v/>
      </c>
    </row>
    <row r="240">
      <c r="A240" s="35" t="str">
        <f>IF(AND($L240*1&gt;=$G$3,$L240*1&lt;=$G$4,$I240*$J240&gt;0,CONCATENATE($H240:$L240)&lt;&gt;CONCATENATE($H241:$L241),$I240/POW(10,$J240)*MAXIFS(Token!$B:$B,Token!$A:$A,$K240)&gt;0.01),$L240/86400+DATE(1970,1,1)+IF($L240*1&gt;=$G$5,$G$6,0),)</f>
        <v/>
      </c>
      <c r="B240" s="22" t="str">
        <f t="shared" si="1"/>
        <v/>
      </c>
      <c r="C240" s="14" t="str">
        <f>IF($A240&lt;&gt;"",MINIFS(Merchant!$A:$A,Merchant!$B:$B,$G$2),)</f>
        <v/>
      </c>
      <c r="D240" s="14" t="str">
        <f t="shared" si="2"/>
        <v/>
      </c>
      <c r="E240" s="14" t="str">
        <f t="shared" si="3"/>
        <v/>
      </c>
      <c r="F240" s="6" t="str">
        <f>IF($A240&lt;&gt;"",MAXIFS(Token!$B:$B,Token!$A:$A,$D240),)</f>
        <v/>
      </c>
    </row>
    <row r="241">
      <c r="A241" s="35" t="str">
        <f>IF(AND($L241*1&gt;=$G$3,$L241*1&lt;=$G$4,$I241*$J241&gt;0,CONCATENATE($H241:$L241)&lt;&gt;CONCATENATE($H242:$L242),$I241/POW(10,$J241)*MAXIFS(Token!$B:$B,Token!$A:$A,$K241)&gt;0.01),$L241/86400+DATE(1970,1,1)+IF($L241*1&gt;=$G$5,$G$6,0),)</f>
        <v/>
      </c>
      <c r="B241" s="22" t="str">
        <f t="shared" si="1"/>
        <v/>
      </c>
      <c r="C241" s="14" t="str">
        <f>IF($A241&lt;&gt;"",MINIFS(Merchant!$A:$A,Merchant!$B:$B,$G$2),)</f>
        <v/>
      </c>
      <c r="D241" s="14" t="str">
        <f t="shared" si="2"/>
        <v/>
      </c>
      <c r="E241" s="14" t="str">
        <f t="shared" si="3"/>
        <v/>
      </c>
      <c r="F241" s="6" t="str">
        <f>IF($A241&lt;&gt;"",MAXIFS(Token!$B:$B,Token!$A:$A,$D241),)</f>
        <v/>
      </c>
    </row>
    <row r="242">
      <c r="A242" s="35" t="str">
        <f>IF(AND($L242*1&gt;=$G$3,$L242*1&lt;=$G$4,$I242*$J242&gt;0,CONCATENATE($H242:$L242)&lt;&gt;CONCATENATE($H243:$L243),$I242/POW(10,$J242)*MAXIFS(Token!$B:$B,Token!$A:$A,$K242)&gt;0.01),$L242/86400+DATE(1970,1,1)+IF($L242*1&gt;=$G$5,$G$6,0),)</f>
        <v/>
      </c>
      <c r="B242" s="22" t="str">
        <f t="shared" si="1"/>
        <v/>
      </c>
      <c r="C242" s="14" t="str">
        <f>IF($A242&lt;&gt;"",MINIFS(Merchant!$A:$A,Merchant!$B:$B,$G$2),)</f>
        <v/>
      </c>
      <c r="D242" s="14" t="str">
        <f t="shared" si="2"/>
        <v/>
      </c>
      <c r="E242" s="14" t="str">
        <f t="shared" si="3"/>
        <v/>
      </c>
      <c r="F242" s="6" t="str">
        <f>IF($A242&lt;&gt;"",MAXIFS(Token!$B:$B,Token!$A:$A,$D242),)</f>
        <v/>
      </c>
    </row>
    <row r="243">
      <c r="A243" s="35" t="str">
        <f>IF(AND($L243*1&gt;=$G$3,$L243*1&lt;=$G$4,$I243*$J243&gt;0,CONCATENATE($H243:$L243)&lt;&gt;CONCATENATE($H244:$L244),$I243/POW(10,$J243)*MAXIFS(Token!$B:$B,Token!$A:$A,$K243)&gt;0.01),$L243/86400+DATE(1970,1,1)+IF($L243*1&gt;=$G$5,$G$6,0),)</f>
        <v/>
      </c>
      <c r="B243" s="22" t="str">
        <f t="shared" si="1"/>
        <v/>
      </c>
      <c r="C243" s="14" t="str">
        <f>IF($A243&lt;&gt;"",MINIFS(Merchant!$A:$A,Merchant!$B:$B,$G$2),)</f>
        <v/>
      </c>
      <c r="D243" s="14" t="str">
        <f t="shared" si="2"/>
        <v/>
      </c>
      <c r="E243" s="14" t="str">
        <f t="shared" si="3"/>
        <v/>
      </c>
      <c r="F243" s="6" t="str">
        <f>IF($A243&lt;&gt;"",MAXIFS(Token!$B:$B,Token!$A:$A,$D243),)</f>
        <v/>
      </c>
    </row>
    <row r="244">
      <c r="A244" s="35" t="str">
        <f>IF(AND($L244*1&gt;=$G$3,$L244*1&lt;=$G$4,$I244*$J244&gt;0,CONCATENATE($H244:$L244)&lt;&gt;CONCATENATE($H245:$L245),$I244/POW(10,$J244)*MAXIFS(Token!$B:$B,Token!$A:$A,$K244)&gt;0.01),$L244/86400+DATE(1970,1,1)+IF($L244*1&gt;=$G$5,$G$6,0),)</f>
        <v/>
      </c>
      <c r="B244" s="22" t="str">
        <f t="shared" si="1"/>
        <v/>
      </c>
      <c r="C244" s="14" t="str">
        <f>IF($A244&lt;&gt;"",MINIFS(Merchant!$A:$A,Merchant!$B:$B,$G$2),)</f>
        <v/>
      </c>
      <c r="D244" s="14" t="str">
        <f t="shared" si="2"/>
        <v/>
      </c>
      <c r="E244" s="14" t="str">
        <f t="shared" si="3"/>
        <v/>
      </c>
      <c r="F244" s="6" t="str">
        <f>IF($A244&lt;&gt;"",MAXIFS(Token!$B:$B,Token!$A:$A,$D244),)</f>
        <v/>
      </c>
    </row>
    <row r="245">
      <c r="A245" s="35" t="str">
        <f>IF(AND($L245*1&gt;=$G$3,$L245*1&lt;=$G$4,$I245*$J245&gt;0,CONCATENATE($H245:$L245)&lt;&gt;CONCATENATE($H246:$L246),$I245/POW(10,$J245)*MAXIFS(Token!$B:$B,Token!$A:$A,$K245)&gt;0.01),$L245/86400+DATE(1970,1,1)+IF($L245*1&gt;=$G$5,$G$6,0),)</f>
        <v/>
      </c>
      <c r="B245" s="22" t="str">
        <f t="shared" si="1"/>
        <v/>
      </c>
      <c r="C245" s="14" t="str">
        <f>IF($A245&lt;&gt;"",MINIFS(Merchant!$A:$A,Merchant!$B:$B,$G$2),)</f>
        <v/>
      </c>
      <c r="D245" s="14" t="str">
        <f t="shared" si="2"/>
        <v/>
      </c>
      <c r="E245" s="14" t="str">
        <f t="shared" si="3"/>
        <v/>
      </c>
      <c r="F245" s="6" t="str">
        <f>IF($A245&lt;&gt;"",MAXIFS(Token!$B:$B,Token!$A:$A,$D245),)</f>
        <v/>
      </c>
    </row>
    <row r="246">
      <c r="A246" s="35" t="str">
        <f>IF(AND($L246*1&gt;=$G$3,$L246*1&lt;=$G$4,$I246*$J246&gt;0,CONCATENATE($H246:$L246)&lt;&gt;CONCATENATE($H247:$L247),$I246/POW(10,$J246)*MAXIFS(Token!$B:$B,Token!$A:$A,$K246)&gt;0.01),$L246/86400+DATE(1970,1,1)+IF($L246*1&gt;=$G$5,$G$6,0),)</f>
        <v/>
      </c>
      <c r="B246" s="22" t="str">
        <f t="shared" si="1"/>
        <v/>
      </c>
      <c r="C246" s="14" t="str">
        <f>IF($A246&lt;&gt;"",MINIFS(Merchant!$A:$A,Merchant!$B:$B,$G$2),)</f>
        <v/>
      </c>
      <c r="D246" s="14" t="str">
        <f t="shared" si="2"/>
        <v/>
      </c>
      <c r="E246" s="14" t="str">
        <f t="shared" si="3"/>
        <v/>
      </c>
      <c r="F246" s="6" t="str">
        <f>IF($A246&lt;&gt;"",MAXIFS(Token!$B:$B,Token!$A:$A,$D246),)</f>
        <v/>
      </c>
    </row>
    <row r="247">
      <c r="A247" s="35" t="str">
        <f>IF(AND($L247*1&gt;=$G$3,$L247*1&lt;=$G$4,$I247*$J247&gt;0,CONCATENATE($H247:$L247)&lt;&gt;CONCATENATE($H248:$L248),$I247/POW(10,$J247)*MAXIFS(Token!$B:$B,Token!$A:$A,$K247)&gt;0.01),$L247/86400+DATE(1970,1,1)+IF($L247*1&gt;=$G$5,$G$6,0),)</f>
        <v/>
      </c>
      <c r="B247" s="22" t="str">
        <f t="shared" si="1"/>
        <v/>
      </c>
      <c r="C247" s="14" t="str">
        <f>IF($A247&lt;&gt;"",MINIFS(Merchant!$A:$A,Merchant!$B:$B,$G$2),)</f>
        <v/>
      </c>
      <c r="D247" s="14" t="str">
        <f t="shared" si="2"/>
        <v/>
      </c>
      <c r="E247" s="14" t="str">
        <f t="shared" si="3"/>
        <v/>
      </c>
      <c r="F247" s="6" t="str">
        <f>IF($A247&lt;&gt;"",MAXIFS(Token!$B:$B,Token!$A:$A,$D247),)</f>
        <v/>
      </c>
    </row>
    <row r="248">
      <c r="A248" s="35" t="str">
        <f>IF(AND($L248*1&gt;=$G$3,$L248*1&lt;=$G$4,$I248*$J248&gt;0,CONCATENATE($H248:$L248)&lt;&gt;CONCATENATE($H249:$L249),$I248/POW(10,$J248)*MAXIFS(Token!$B:$B,Token!$A:$A,$K248)&gt;0.01),$L248/86400+DATE(1970,1,1)+IF($L248*1&gt;=$G$5,$G$6,0),)</f>
        <v/>
      </c>
      <c r="B248" s="22" t="str">
        <f t="shared" si="1"/>
        <v/>
      </c>
      <c r="C248" s="14" t="str">
        <f>IF($A248&lt;&gt;"",MINIFS(Merchant!$A:$A,Merchant!$B:$B,$G$2),)</f>
        <v/>
      </c>
      <c r="D248" s="14" t="str">
        <f t="shared" si="2"/>
        <v/>
      </c>
      <c r="E248" s="14" t="str">
        <f t="shared" si="3"/>
        <v/>
      </c>
      <c r="F248" s="6" t="str">
        <f>IF($A248&lt;&gt;"",MAXIFS(Token!$B:$B,Token!$A:$A,$D248),)</f>
        <v/>
      </c>
    </row>
    <row r="249">
      <c r="A249" s="35" t="str">
        <f>IF(AND($L249*1&gt;=$G$3,$L249*1&lt;=$G$4,$I249*$J249&gt;0,CONCATENATE($H249:$L249)&lt;&gt;CONCATENATE($H250:$L250),$I249/POW(10,$J249)*MAXIFS(Token!$B:$B,Token!$A:$A,$K249)&gt;0.01),$L249/86400+DATE(1970,1,1)+IF($L249*1&gt;=$G$5,$G$6,0),)</f>
        <v/>
      </c>
      <c r="B249" s="22" t="str">
        <f t="shared" si="1"/>
        <v/>
      </c>
      <c r="C249" s="14" t="str">
        <f>IF($A249&lt;&gt;"",MINIFS(Merchant!$A:$A,Merchant!$B:$B,$G$2),)</f>
        <v/>
      </c>
      <c r="D249" s="14" t="str">
        <f t="shared" si="2"/>
        <v/>
      </c>
      <c r="E249" s="14" t="str">
        <f t="shared" si="3"/>
        <v/>
      </c>
      <c r="F249" s="6" t="str">
        <f>IF($A249&lt;&gt;"",MAXIFS(Token!$B:$B,Token!$A:$A,$D249),)</f>
        <v/>
      </c>
    </row>
    <row r="250">
      <c r="A250" s="35" t="str">
        <f>IF(AND($L250*1&gt;=$G$3,$L250*1&lt;=$G$4,$I250*$J250&gt;0,CONCATENATE($H250:$L250)&lt;&gt;CONCATENATE($H251:$L251),$I250/POW(10,$J250)*MAXIFS(Token!$B:$B,Token!$A:$A,$K250)&gt;0.01),$L250/86400+DATE(1970,1,1)+IF($L250*1&gt;=$G$5,$G$6,0),)</f>
        <v/>
      </c>
      <c r="B250" s="22" t="str">
        <f t="shared" si="1"/>
        <v/>
      </c>
      <c r="C250" s="14" t="str">
        <f>IF($A250&lt;&gt;"",MINIFS(Merchant!$A:$A,Merchant!$B:$B,$G$2),)</f>
        <v/>
      </c>
      <c r="D250" s="14" t="str">
        <f t="shared" si="2"/>
        <v/>
      </c>
      <c r="E250" s="14" t="str">
        <f t="shared" si="3"/>
        <v/>
      </c>
      <c r="F250" s="6" t="str">
        <f>IF($A250&lt;&gt;"",MAXIFS(Token!$B:$B,Token!$A:$A,$D250),)</f>
        <v/>
      </c>
    </row>
    <row r="251">
      <c r="A251" s="35" t="str">
        <f>IF(AND($L251*1&gt;=$G$3,$L251*1&lt;=$G$4,$I251*$J251&gt;0,CONCATENATE($H251:$L251)&lt;&gt;CONCATENATE($H252:$L252),$I251/POW(10,$J251)*MAXIFS(Token!$B:$B,Token!$A:$A,$K251)&gt;0.01),$L251/86400+DATE(1970,1,1)+IF($L251*1&gt;=$G$5,$G$6,0),)</f>
        <v/>
      </c>
      <c r="B251" s="22" t="str">
        <f t="shared" si="1"/>
        <v/>
      </c>
      <c r="C251" s="14" t="str">
        <f>IF($A251&lt;&gt;"",MINIFS(Merchant!$A:$A,Merchant!$B:$B,$G$2),)</f>
        <v/>
      </c>
      <c r="D251" s="14" t="str">
        <f t="shared" si="2"/>
        <v/>
      </c>
      <c r="E251" s="14" t="str">
        <f t="shared" si="3"/>
        <v/>
      </c>
      <c r="F251" s="6" t="str">
        <f>IF($A251&lt;&gt;"",MAXIFS(Token!$B:$B,Token!$A:$A,$D251),)</f>
        <v/>
      </c>
    </row>
    <row r="252">
      <c r="A252" s="35" t="str">
        <f>IF(AND($L252*1&gt;=$G$3,$L252*1&lt;=$G$4,$I252*$J252&gt;0,CONCATENATE($H252:$L252)&lt;&gt;CONCATENATE($H253:$L253),$I252/POW(10,$J252)*MAXIFS(Token!$B:$B,Token!$A:$A,$K252)&gt;0.01),$L252/86400+DATE(1970,1,1)+IF($L252*1&gt;=$G$5,$G$6,0),)</f>
        <v/>
      </c>
      <c r="B252" s="22" t="str">
        <f t="shared" si="1"/>
        <v/>
      </c>
      <c r="C252" s="14" t="str">
        <f>IF($A252&lt;&gt;"",MINIFS(Merchant!$A:$A,Merchant!$B:$B,$G$2),)</f>
        <v/>
      </c>
      <c r="D252" s="14" t="str">
        <f t="shared" si="2"/>
        <v/>
      </c>
      <c r="E252" s="14" t="str">
        <f t="shared" si="3"/>
        <v/>
      </c>
      <c r="F252" s="6" t="str">
        <f>IF($A252&lt;&gt;"",MAXIFS(Token!$B:$B,Token!$A:$A,$D252),)</f>
        <v/>
      </c>
    </row>
    <row r="253">
      <c r="A253" s="35" t="str">
        <f>IF(AND($L253*1&gt;=$G$3,$L253*1&lt;=$G$4,$I253*$J253&gt;0,CONCATENATE($H253:$L253)&lt;&gt;CONCATENATE($H254:$L254),$I253/POW(10,$J253)*MAXIFS(Token!$B:$B,Token!$A:$A,$K253)&gt;0.01),$L253/86400+DATE(1970,1,1)+IF($L253*1&gt;=$G$5,$G$6,0),)</f>
        <v/>
      </c>
      <c r="B253" s="22" t="str">
        <f t="shared" si="1"/>
        <v/>
      </c>
      <c r="C253" s="14" t="str">
        <f>IF($A253&lt;&gt;"",MINIFS(Merchant!$A:$A,Merchant!$B:$B,$G$2),)</f>
        <v/>
      </c>
      <c r="D253" s="14" t="str">
        <f t="shared" si="2"/>
        <v/>
      </c>
      <c r="E253" s="14" t="str">
        <f t="shared" si="3"/>
        <v/>
      </c>
      <c r="F253" s="6" t="str">
        <f>IF($A253&lt;&gt;"",MAXIFS(Token!$B:$B,Token!$A:$A,$D253),)</f>
        <v/>
      </c>
    </row>
    <row r="254">
      <c r="A254" s="35" t="str">
        <f>IF(AND($L254*1&gt;=$G$3,$L254*1&lt;=$G$4,$I254*$J254&gt;0,CONCATENATE($H254:$L254)&lt;&gt;CONCATENATE($H255:$L255),$I254/POW(10,$J254)*MAXIFS(Token!$B:$B,Token!$A:$A,$K254)&gt;0.01),$L254/86400+DATE(1970,1,1)+IF($L254*1&gt;=$G$5,$G$6,0),)</f>
        <v/>
      </c>
      <c r="B254" s="22" t="str">
        <f t="shared" si="1"/>
        <v/>
      </c>
      <c r="C254" s="14" t="str">
        <f>IF($A254&lt;&gt;"",MINIFS(Merchant!$A:$A,Merchant!$B:$B,$G$2),)</f>
        <v/>
      </c>
      <c r="D254" s="14" t="str">
        <f t="shared" si="2"/>
        <v/>
      </c>
      <c r="E254" s="14" t="str">
        <f t="shared" si="3"/>
        <v/>
      </c>
      <c r="F254" s="6" t="str">
        <f>IF($A254&lt;&gt;"",MAXIFS(Token!$B:$B,Token!$A:$A,$D254),)</f>
        <v/>
      </c>
    </row>
    <row r="255">
      <c r="A255" s="35" t="str">
        <f>IF(AND($L255*1&gt;=$G$3,$L255*1&lt;=$G$4,$I255*$J255&gt;0,CONCATENATE($H255:$L255)&lt;&gt;CONCATENATE($H256:$L256),$I255/POW(10,$J255)*MAXIFS(Token!$B:$B,Token!$A:$A,$K255)&gt;0.01),$L255/86400+DATE(1970,1,1)+IF($L255*1&gt;=$G$5,$G$6,0),)</f>
        <v/>
      </c>
      <c r="B255" s="22" t="str">
        <f t="shared" si="1"/>
        <v/>
      </c>
      <c r="C255" s="14" t="str">
        <f>IF($A255&lt;&gt;"",MINIFS(Merchant!$A:$A,Merchant!$B:$B,$G$2),)</f>
        <v/>
      </c>
      <c r="D255" s="14" t="str">
        <f t="shared" si="2"/>
        <v/>
      </c>
      <c r="E255" s="14" t="str">
        <f t="shared" si="3"/>
        <v/>
      </c>
      <c r="F255" s="6" t="str">
        <f>IF($A255&lt;&gt;"",MAXIFS(Token!$B:$B,Token!$A:$A,$D255),)</f>
        <v/>
      </c>
    </row>
    <row r="256">
      <c r="A256" s="35" t="str">
        <f>IF(AND($L256*1&gt;=$G$3,$L256*1&lt;=$G$4,$I256*$J256&gt;0,CONCATENATE($H256:$L256)&lt;&gt;CONCATENATE($H257:$L257),$I256/POW(10,$J256)*MAXIFS(Token!$B:$B,Token!$A:$A,$K256)&gt;0.01),$L256/86400+DATE(1970,1,1)+IF($L256*1&gt;=$G$5,$G$6,0),)</f>
        <v/>
      </c>
      <c r="B256" s="22" t="str">
        <f t="shared" si="1"/>
        <v/>
      </c>
      <c r="C256" s="14" t="str">
        <f>IF($A256&lt;&gt;"",MINIFS(Merchant!$A:$A,Merchant!$B:$B,$G$2),)</f>
        <v/>
      </c>
      <c r="D256" s="14" t="str">
        <f t="shared" si="2"/>
        <v/>
      </c>
      <c r="E256" s="14" t="str">
        <f t="shared" si="3"/>
        <v/>
      </c>
      <c r="F256" s="6" t="str">
        <f>IF($A256&lt;&gt;"",MAXIFS(Token!$B:$B,Token!$A:$A,$D256),)</f>
        <v/>
      </c>
    </row>
    <row r="257">
      <c r="A257" s="35" t="str">
        <f>IF(AND($L257*1&gt;=$G$3,$L257*1&lt;=$G$4,$I257*$J257&gt;0,CONCATENATE($H257:$L257)&lt;&gt;CONCATENATE($H258:$L258),$I257/POW(10,$J257)*MAXIFS(Token!$B:$B,Token!$A:$A,$K257)&gt;0.01),$L257/86400+DATE(1970,1,1)+IF($L257*1&gt;=$G$5,$G$6,0),)</f>
        <v/>
      </c>
      <c r="B257" s="22" t="str">
        <f t="shared" si="1"/>
        <v/>
      </c>
      <c r="C257" s="14" t="str">
        <f>IF($A257&lt;&gt;"",MINIFS(Merchant!$A:$A,Merchant!$B:$B,$G$2),)</f>
        <v/>
      </c>
      <c r="D257" s="14" t="str">
        <f t="shared" si="2"/>
        <v/>
      </c>
      <c r="E257" s="14" t="str">
        <f t="shared" si="3"/>
        <v/>
      </c>
      <c r="F257" s="6" t="str">
        <f>IF($A257&lt;&gt;"",MAXIFS(Token!$B:$B,Token!$A:$A,$D257),)</f>
        <v/>
      </c>
    </row>
    <row r="258">
      <c r="A258" s="35" t="str">
        <f>IF(AND($L258*1&gt;=$G$3,$L258*1&lt;=$G$4,$I258*$J258&gt;0,CONCATENATE($H258:$L258)&lt;&gt;CONCATENATE($H259:$L259),$I258/POW(10,$J258)*MAXIFS(Token!$B:$B,Token!$A:$A,$K258)&gt;0.01),$L258/86400+DATE(1970,1,1)+IF($L258*1&gt;=$G$5,$G$6,0),)</f>
        <v/>
      </c>
      <c r="B258" s="22" t="str">
        <f t="shared" si="1"/>
        <v/>
      </c>
      <c r="C258" s="14" t="str">
        <f>IF($A258&lt;&gt;"",MINIFS(Merchant!$A:$A,Merchant!$B:$B,$G$2),)</f>
        <v/>
      </c>
      <c r="D258" s="14" t="str">
        <f t="shared" si="2"/>
        <v/>
      </c>
      <c r="E258" s="14" t="str">
        <f t="shared" si="3"/>
        <v/>
      </c>
      <c r="F258" s="6" t="str">
        <f>IF($A258&lt;&gt;"",MAXIFS(Token!$B:$B,Token!$A:$A,$D258),)</f>
        <v/>
      </c>
    </row>
    <row r="259">
      <c r="A259" s="35" t="str">
        <f>IF(AND($L259*1&gt;=$G$3,$L259*1&lt;=$G$4,$I259*$J259&gt;0,CONCATENATE($H259:$L259)&lt;&gt;CONCATENATE($H260:$L260),$I259/POW(10,$J259)*MAXIFS(Token!$B:$B,Token!$A:$A,$K259)&gt;0.01),$L259/86400+DATE(1970,1,1)+IF($L259*1&gt;=$G$5,$G$6,0),)</f>
        <v/>
      </c>
      <c r="B259" s="22" t="str">
        <f t="shared" si="1"/>
        <v/>
      </c>
      <c r="C259" s="14" t="str">
        <f>IF($A259&lt;&gt;"",MINIFS(Merchant!$A:$A,Merchant!$B:$B,$G$2),)</f>
        <v/>
      </c>
      <c r="D259" s="14" t="str">
        <f t="shared" si="2"/>
        <v/>
      </c>
      <c r="E259" s="14" t="str">
        <f t="shared" si="3"/>
        <v/>
      </c>
      <c r="F259" s="6" t="str">
        <f>IF($A259&lt;&gt;"",MAXIFS(Token!$B:$B,Token!$A:$A,$D259),)</f>
        <v/>
      </c>
    </row>
    <row r="260">
      <c r="A260" s="35" t="str">
        <f>IF(AND($L260*1&gt;=$G$3,$L260*1&lt;=$G$4,$I260*$J260&gt;0,CONCATENATE($H260:$L260)&lt;&gt;CONCATENATE($H261:$L261),$I260/POW(10,$J260)*MAXIFS(Token!$B:$B,Token!$A:$A,$K260)&gt;0.01),$L260/86400+DATE(1970,1,1)+IF($L260*1&gt;=$G$5,$G$6,0),)</f>
        <v/>
      </c>
      <c r="B260" s="22" t="str">
        <f t="shared" si="1"/>
        <v/>
      </c>
      <c r="C260" s="14" t="str">
        <f>IF($A260&lt;&gt;"",MINIFS(Merchant!$A:$A,Merchant!$B:$B,$G$2),)</f>
        <v/>
      </c>
      <c r="D260" s="14" t="str">
        <f t="shared" si="2"/>
        <v/>
      </c>
      <c r="E260" s="14" t="str">
        <f t="shared" si="3"/>
        <v/>
      </c>
      <c r="F260" s="6" t="str">
        <f>IF($A260&lt;&gt;"",MAXIFS(Token!$B:$B,Token!$A:$A,$D260),)</f>
        <v/>
      </c>
    </row>
    <row r="261">
      <c r="A261" s="35" t="str">
        <f>IF(AND($L261*1&gt;=$G$3,$L261*1&lt;=$G$4,$I261*$J261&gt;0,CONCATENATE($H261:$L261)&lt;&gt;CONCATENATE($H262:$L262),$I261/POW(10,$J261)*MAXIFS(Token!$B:$B,Token!$A:$A,$K261)&gt;0.01),$L261/86400+DATE(1970,1,1)+IF($L261*1&gt;=$G$5,$G$6,0),)</f>
        <v/>
      </c>
      <c r="B261" s="22" t="str">
        <f t="shared" si="1"/>
        <v/>
      </c>
      <c r="C261" s="14" t="str">
        <f>IF($A261&lt;&gt;"",MINIFS(Merchant!$A:$A,Merchant!$B:$B,$G$2),)</f>
        <v/>
      </c>
      <c r="D261" s="14" t="str">
        <f t="shared" si="2"/>
        <v/>
      </c>
      <c r="E261" s="14" t="str">
        <f t="shared" si="3"/>
        <v/>
      </c>
      <c r="F261" s="6" t="str">
        <f>IF($A261&lt;&gt;"",MAXIFS(Token!$B:$B,Token!$A:$A,$D261),)</f>
        <v/>
      </c>
    </row>
    <row r="262">
      <c r="A262" s="35" t="str">
        <f>IF(AND($L262*1&gt;=$G$3,$L262*1&lt;=$G$4,$I262*$J262&gt;0,CONCATENATE($H262:$L262)&lt;&gt;CONCATENATE($H263:$L263),$I262/POW(10,$J262)*MAXIFS(Token!$B:$B,Token!$A:$A,$K262)&gt;0.01),$L262/86400+DATE(1970,1,1)+IF($L262*1&gt;=$G$5,$G$6,0),)</f>
        <v/>
      </c>
      <c r="B262" s="22" t="str">
        <f t="shared" si="1"/>
        <v/>
      </c>
      <c r="C262" s="14" t="str">
        <f>IF($A262&lt;&gt;"",MINIFS(Merchant!$A:$A,Merchant!$B:$B,$G$2),)</f>
        <v/>
      </c>
      <c r="D262" s="14" t="str">
        <f t="shared" si="2"/>
        <v/>
      </c>
      <c r="E262" s="14" t="str">
        <f t="shared" si="3"/>
        <v/>
      </c>
      <c r="F262" s="6" t="str">
        <f>IF($A262&lt;&gt;"",MAXIFS(Token!$B:$B,Token!$A:$A,$D262),)</f>
        <v/>
      </c>
    </row>
    <row r="263">
      <c r="A263" s="35" t="str">
        <f>IF(AND($L263*1&gt;=$G$3,$L263*1&lt;=$G$4,$I263*$J263&gt;0,CONCATENATE($H263:$L263)&lt;&gt;CONCATENATE($H264:$L264),$I263/POW(10,$J263)*MAXIFS(Token!$B:$B,Token!$A:$A,$K263)&gt;0.01),$L263/86400+DATE(1970,1,1)+IF($L263*1&gt;=$G$5,$G$6,0),)</f>
        <v/>
      </c>
      <c r="B263" s="22" t="str">
        <f t="shared" si="1"/>
        <v/>
      </c>
      <c r="C263" s="14" t="str">
        <f>IF($A263&lt;&gt;"",MINIFS(Merchant!$A:$A,Merchant!$B:$B,$G$2),)</f>
        <v/>
      </c>
      <c r="D263" s="14" t="str">
        <f t="shared" si="2"/>
        <v/>
      </c>
      <c r="E263" s="14" t="str">
        <f t="shared" si="3"/>
        <v/>
      </c>
      <c r="F263" s="6" t="str">
        <f>IF($A263&lt;&gt;"",MAXIFS(Token!$B:$B,Token!$A:$A,$D263),)</f>
        <v/>
      </c>
    </row>
    <row r="264">
      <c r="A264" s="35" t="str">
        <f>IF(AND($L264*1&gt;=$G$3,$L264*1&lt;=$G$4,$I264*$J264&gt;0,CONCATENATE($H264:$L264)&lt;&gt;CONCATENATE($H265:$L265),$I264/POW(10,$J264)*MAXIFS(Token!$B:$B,Token!$A:$A,$K264)&gt;0.01),$L264/86400+DATE(1970,1,1)+IF($L264*1&gt;=$G$5,$G$6,0),)</f>
        <v/>
      </c>
      <c r="B264" s="22" t="str">
        <f t="shared" si="1"/>
        <v/>
      </c>
      <c r="C264" s="14" t="str">
        <f>IF($A264&lt;&gt;"",MINIFS(Merchant!$A:$A,Merchant!$B:$B,$G$2),)</f>
        <v/>
      </c>
      <c r="D264" s="14" t="str">
        <f t="shared" si="2"/>
        <v/>
      </c>
      <c r="E264" s="14" t="str">
        <f t="shared" si="3"/>
        <v/>
      </c>
      <c r="F264" s="6" t="str">
        <f>IF($A264&lt;&gt;"",MAXIFS(Token!$B:$B,Token!$A:$A,$D264),)</f>
        <v/>
      </c>
    </row>
    <row r="265">
      <c r="A265" s="35" t="str">
        <f>IF(AND($L265*1&gt;=$G$3,$L265*1&lt;=$G$4,$I265*$J265&gt;0,CONCATENATE($H265:$L265)&lt;&gt;CONCATENATE($H266:$L266),$I265/POW(10,$J265)*MAXIFS(Token!$B:$B,Token!$A:$A,$K265)&gt;0.01),$L265/86400+DATE(1970,1,1)+IF($L265*1&gt;=$G$5,$G$6,0),)</f>
        <v/>
      </c>
      <c r="B265" s="22" t="str">
        <f t="shared" si="1"/>
        <v/>
      </c>
      <c r="C265" s="14" t="str">
        <f>IF($A265&lt;&gt;"",MINIFS(Merchant!$A:$A,Merchant!$B:$B,$G$2),)</f>
        <v/>
      </c>
      <c r="D265" s="14" t="str">
        <f t="shared" si="2"/>
        <v/>
      </c>
      <c r="E265" s="14" t="str">
        <f t="shared" si="3"/>
        <v/>
      </c>
      <c r="F265" s="6" t="str">
        <f>IF($A265&lt;&gt;"",MAXIFS(Token!$B:$B,Token!$A:$A,$D265),)</f>
        <v/>
      </c>
    </row>
    <row r="266">
      <c r="A266" s="35" t="str">
        <f>IF(AND($L266*1&gt;=$G$3,$L266*1&lt;=$G$4,$I266*$J266&gt;0,CONCATENATE($H266:$L266)&lt;&gt;CONCATENATE($H267:$L267),$I266/POW(10,$J266)*MAXIFS(Token!$B:$B,Token!$A:$A,$K266)&gt;0.01),$L266/86400+DATE(1970,1,1)+IF($L266*1&gt;=$G$5,$G$6,0),)</f>
        <v/>
      </c>
      <c r="B266" s="22" t="str">
        <f t="shared" si="1"/>
        <v/>
      </c>
      <c r="C266" s="14" t="str">
        <f>IF($A266&lt;&gt;"",MINIFS(Merchant!$A:$A,Merchant!$B:$B,$G$2),)</f>
        <v/>
      </c>
      <c r="D266" s="14" t="str">
        <f t="shared" si="2"/>
        <v/>
      </c>
      <c r="E266" s="14" t="str">
        <f t="shared" si="3"/>
        <v/>
      </c>
      <c r="F266" s="6" t="str">
        <f>IF($A266&lt;&gt;"",MAXIFS(Token!$B:$B,Token!$A:$A,$D266),)</f>
        <v/>
      </c>
    </row>
    <row r="267">
      <c r="A267" s="35" t="str">
        <f>IF(AND($L267*1&gt;=$G$3,$L267*1&lt;=$G$4,$I267*$J267&gt;0,CONCATENATE($H267:$L267)&lt;&gt;CONCATENATE($H268:$L268),$I267/POW(10,$J267)*MAXIFS(Token!$B:$B,Token!$A:$A,$K267)&gt;0.01),$L267/86400+DATE(1970,1,1)+IF($L267*1&gt;=$G$5,$G$6,0),)</f>
        <v/>
      </c>
      <c r="B267" s="22" t="str">
        <f t="shared" si="1"/>
        <v/>
      </c>
      <c r="C267" s="14" t="str">
        <f>IF($A267&lt;&gt;"",MINIFS(Merchant!$A:$A,Merchant!$B:$B,$G$2),)</f>
        <v/>
      </c>
      <c r="D267" s="14" t="str">
        <f t="shared" si="2"/>
        <v/>
      </c>
      <c r="E267" s="14" t="str">
        <f t="shared" si="3"/>
        <v/>
      </c>
      <c r="F267" s="6" t="str">
        <f>IF($A267&lt;&gt;"",MAXIFS(Token!$B:$B,Token!$A:$A,$D267),)</f>
        <v/>
      </c>
    </row>
    <row r="268">
      <c r="A268" s="35" t="str">
        <f>IF(AND($L268*1&gt;=$G$3,$L268*1&lt;=$G$4,$I268*$J268&gt;0,CONCATENATE($H268:$L268)&lt;&gt;CONCATENATE($H269:$L269),$I268/POW(10,$J268)*MAXIFS(Token!$B:$B,Token!$A:$A,$K268)&gt;0.01),$L268/86400+DATE(1970,1,1)+IF($L268*1&gt;=$G$5,$G$6,0),)</f>
        <v/>
      </c>
      <c r="B268" s="22" t="str">
        <f t="shared" si="1"/>
        <v/>
      </c>
      <c r="C268" s="14" t="str">
        <f>IF($A268&lt;&gt;"",MINIFS(Merchant!$A:$A,Merchant!$B:$B,$G$2),)</f>
        <v/>
      </c>
      <c r="D268" s="14" t="str">
        <f t="shared" si="2"/>
        <v/>
      </c>
      <c r="E268" s="14" t="str">
        <f t="shared" si="3"/>
        <v/>
      </c>
      <c r="F268" s="6" t="str">
        <f>IF($A268&lt;&gt;"",MAXIFS(Token!$B:$B,Token!$A:$A,$D268),)</f>
        <v/>
      </c>
    </row>
    <row r="269">
      <c r="A269" s="35" t="str">
        <f>IF(AND($L269*1&gt;=$G$3,$L269*1&lt;=$G$4,$I269*$J269&gt;0,CONCATENATE($H269:$L269)&lt;&gt;CONCATENATE($H270:$L270),$I269/POW(10,$J269)*MAXIFS(Token!$B:$B,Token!$A:$A,$K269)&gt;0.01),$L269/86400+DATE(1970,1,1)+IF($L269*1&gt;=$G$5,$G$6,0),)</f>
        <v/>
      </c>
      <c r="B269" s="22" t="str">
        <f t="shared" si="1"/>
        <v/>
      </c>
      <c r="C269" s="14" t="str">
        <f>IF($A269&lt;&gt;"",MINIFS(Merchant!$A:$A,Merchant!$B:$B,$G$2),)</f>
        <v/>
      </c>
      <c r="D269" s="14" t="str">
        <f t="shared" si="2"/>
        <v/>
      </c>
      <c r="E269" s="14" t="str">
        <f t="shared" si="3"/>
        <v/>
      </c>
      <c r="F269" s="6" t="str">
        <f>IF($A269&lt;&gt;"",MAXIFS(Token!$B:$B,Token!$A:$A,$D269),)</f>
        <v/>
      </c>
    </row>
    <row r="270">
      <c r="A270" s="35" t="str">
        <f>IF(AND($L270*1&gt;=$G$3,$L270*1&lt;=$G$4,$I270*$J270&gt;0,CONCATENATE($H270:$L270)&lt;&gt;CONCATENATE($H271:$L271),$I270/POW(10,$J270)*MAXIFS(Token!$B:$B,Token!$A:$A,$K270)&gt;0.01),$L270/86400+DATE(1970,1,1)+IF($L270*1&gt;=$G$5,$G$6,0),)</f>
        <v/>
      </c>
      <c r="B270" s="22" t="str">
        <f t="shared" si="1"/>
        <v/>
      </c>
      <c r="C270" s="14" t="str">
        <f>IF($A270&lt;&gt;"",MINIFS(Merchant!$A:$A,Merchant!$B:$B,$G$2),)</f>
        <v/>
      </c>
      <c r="D270" s="14" t="str">
        <f t="shared" si="2"/>
        <v/>
      </c>
      <c r="E270" s="14" t="str">
        <f t="shared" si="3"/>
        <v/>
      </c>
      <c r="F270" s="6" t="str">
        <f>IF($A270&lt;&gt;"",MAXIFS(Token!$B:$B,Token!$A:$A,$D270),)</f>
        <v/>
      </c>
    </row>
    <row r="271">
      <c r="A271" s="35" t="str">
        <f>IF(AND($L271*1&gt;=$G$3,$L271*1&lt;=$G$4,$I271*$J271&gt;0,CONCATENATE($H271:$L271)&lt;&gt;CONCATENATE($H272:$L272),$I271/POW(10,$J271)*MAXIFS(Token!$B:$B,Token!$A:$A,$K271)&gt;0.01),$L271/86400+DATE(1970,1,1)+IF($L271*1&gt;=$G$5,$G$6,0),)</f>
        <v/>
      </c>
      <c r="B271" s="22" t="str">
        <f t="shared" si="1"/>
        <v/>
      </c>
      <c r="C271" s="14" t="str">
        <f>IF($A271&lt;&gt;"",MINIFS(Merchant!$A:$A,Merchant!$B:$B,$G$2),)</f>
        <v/>
      </c>
      <c r="D271" s="14" t="str">
        <f t="shared" si="2"/>
        <v/>
      </c>
      <c r="E271" s="14" t="str">
        <f t="shared" si="3"/>
        <v/>
      </c>
      <c r="F271" s="6" t="str">
        <f>IF($A271&lt;&gt;"",MAXIFS(Token!$B:$B,Token!$A:$A,$D271),)</f>
        <v/>
      </c>
    </row>
    <row r="272">
      <c r="A272" s="35" t="str">
        <f>IF(AND($L272*1&gt;=$G$3,$L272*1&lt;=$G$4,$I272*$J272&gt;0,CONCATENATE($H272:$L272)&lt;&gt;CONCATENATE($H273:$L273),$I272/POW(10,$J272)*MAXIFS(Token!$B:$B,Token!$A:$A,$K272)&gt;0.01),$L272/86400+DATE(1970,1,1)+IF($L272*1&gt;=$G$5,$G$6,0),)</f>
        <v/>
      </c>
      <c r="B272" s="22" t="str">
        <f t="shared" si="1"/>
        <v/>
      </c>
      <c r="C272" s="14" t="str">
        <f>IF($A272&lt;&gt;"",MINIFS(Merchant!$A:$A,Merchant!$B:$B,$G$2),)</f>
        <v/>
      </c>
      <c r="D272" s="14" t="str">
        <f t="shared" si="2"/>
        <v/>
      </c>
      <c r="E272" s="14" t="str">
        <f t="shared" si="3"/>
        <v/>
      </c>
      <c r="F272" s="6" t="str">
        <f>IF($A272&lt;&gt;"",MAXIFS(Token!$B:$B,Token!$A:$A,$D272),)</f>
        <v/>
      </c>
    </row>
    <row r="273">
      <c r="A273" s="35" t="str">
        <f>IF(AND($L273*1&gt;=$G$3,$L273*1&lt;=$G$4,$I273*$J273&gt;0,CONCATENATE($H273:$L273)&lt;&gt;CONCATENATE($H274:$L274),$I273/POW(10,$J273)*MAXIFS(Token!$B:$B,Token!$A:$A,$K273)&gt;0.01),$L273/86400+DATE(1970,1,1)+IF($L273*1&gt;=$G$5,$G$6,0),)</f>
        <v/>
      </c>
      <c r="B273" s="22" t="str">
        <f t="shared" si="1"/>
        <v/>
      </c>
      <c r="C273" s="14" t="str">
        <f>IF($A273&lt;&gt;"",MINIFS(Merchant!$A:$A,Merchant!$B:$B,$G$2),)</f>
        <v/>
      </c>
      <c r="D273" s="14" t="str">
        <f t="shared" si="2"/>
        <v/>
      </c>
      <c r="E273" s="14" t="str">
        <f t="shared" si="3"/>
        <v/>
      </c>
      <c r="F273" s="6" t="str">
        <f>IF($A273&lt;&gt;"",MAXIFS(Token!$B:$B,Token!$A:$A,$D273),)</f>
        <v/>
      </c>
    </row>
    <row r="274">
      <c r="A274" s="35" t="str">
        <f>IF(AND($L274*1&gt;=$G$3,$L274*1&lt;=$G$4,$I274*$J274&gt;0,CONCATENATE($H274:$L274)&lt;&gt;CONCATENATE($H275:$L275),$I274/POW(10,$J274)*MAXIFS(Token!$B:$B,Token!$A:$A,$K274)&gt;0.01),$L274/86400+DATE(1970,1,1)+IF($L274*1&gt;=$G$5,$G$6,0),)</f>
        <v/>
      </c>
      <c r="B274" s="22" t="str">
        <f t="shared" si="1"/>
        <v/>
      </c>
      <c r="C274" s="14" t="str">
        <f>IF($A274&lt;&gt;"",MINIFS(Merchant!$A:$A,Merchant!$B:$B,$G$2),)</f>
        <v/>
      </c>
      <c r="D274" s="14" t="str">
        <f t="shared" si="2"/>
        <v/>
      </c>
      <c r="E274" s="14" t="str">
        <f t="shared" si="3"/>
        <v/>
      </c>
      <c r="F274" s="6" t="str">
        <f>IF($A274&lt;&gt;"",MAXIFS(Token!$B:$B,Token!$A:$A,$D274),)</f>
        <v/>
      </c>
    </row>
    <row r="275">
      <c r="A275" s="35" t="str">
        <f>IF(AND($L275*1&gt;=$G$3,$L275*1&lt;=$G$4,$I275*$J275&gt;0,CONCATENATE($H275:$L275)&lt;&gt;CONCATENATE($H276:$L276),$I275/POW(10,$J275)*MAXIFS(Token!$B:$B,Token!$A:$A,$K275)&gt;0.01),$L275/86400+DATE(1970,1,1)+IF($L275*1&gt;=$G$5,$G$6,0),)</f>
        <v/>
      </c>
      <c r="B275" s="22" t="str">
        <f t="shared" si="1"/>
        <v/>
      </c>
      <c r="C275" s="14" t="str">
        <f>IF($A275&lt;&gt;"",MINIFS(Merchant!$A:$A,Merchant!$B:$B,$G$2),)</f>
        <v/>
      </c>
      <c r="D275" s="14" t="str">
        <f t="shared" si="2"/>
        <v/>
      </c>
      <c r="E275" s="14" t="str">
        <f t="shared" si="3"/>
        <v/>
      </c>
      <c r="F275" s="6" t="str">
        <f>IF($A275&lt;&gt;"",MAXIFS(Token!$B:$B,Token!$A:$A,$D275),)</f>
        <v/>
      </c>
    </row>
    <row r="276">
      <c r="A276" s="35" t="str">
        <f>IF(AND($L276*1&gt;=$G$3,$L276*1&lt;=$G$4,$I276*$J276&gt;0,CONCATENATE($H276:$L276)&lt;&gt;CONCATENATE($H277:$L277),$I276/POW(10,$J276)*MAXIFS(Token!$B:$B,Token!$A:$A,$K276)&gt;0.01),$L276/86400+DATE(1970,1,1)+IF($L276*1&gt;=$G$5,$G$6,0),)</f>
        <v/>
      </c>
      <c r="B276" s="22" t="str">
        <f t="shared" si="1"/>
        <v/>
      </c>
      <c r="C276" s="14" t="str">
        <f>IF($A276&lt;&gt;"",MINIFS(Merchant!$A:$A,Merchant!$B:$B,$G$2),)</f>
        <v/>
      </c>
      <c r="D276" s="14" t="str">
        <f t="shared" si="2"/>
        <v/>
      </c>
      <c r="E276" s="14" t="str">
        <f t="shared" si="3"/>
        <v/>
      </c>
      <c r="F276" s="6" t="str">
        <f>IF($A276&lt;&gt;"",MAXIFS(Token!$B:$B,Token!$A:$A,$D276),)</f>
        <v/>
      </c>
    </row>
    <row r="277">
      <c r="A277" s="35" t="str">
        <f>IF(AND($L277*1&gt;=$G$3,$L277*1&lt;=$G$4,$I277*$J277&gt;0,CONCATENATE($H277:$L277)&lt;&gt;CONCATENATE($H278:$L278),$I277/POW(10,$J277)*MAXIFS(Token!$B:$B,Token!$A:$A,$K277)&gt;0.01),$L277/86400+DATE(1970,1,1)+IF($L277*1&gt;=$G$5,$G$6,0),)</f>
        <v/>
      </c>
      <c r="B277" s="22" t="str">
        <f t="shared" si="1"/>
        <v/>
      </c>
      <c r="C277" s="14" t="str">
        <f>IF($A277&lt;&gt;"",MINIFS(Merchant!$A:$A,Merchant!$B:$B,$G$2),)</f>
        <v/>
      </c>
      <c r="D277" s="14" t="str">
        <f t="shared" si="2"/>
        <v/>
      </c>
      <c r="E277" s="14" t="str">
        <f t="shared" si="3"/>
        <v/>
      </c>
      <c r="F277" s="6" t="str">
        <f>IF($A277&lt;&gt;"",MAXIFS(Token!$B:$B,Token!$A:$A,$D277),)</f>
        <v/>
      </c>
    </row>
    <row r="278">
      <c r="A278" s="35" t="str">
        <f>IF(AND($L278*1&gt;=$G$3,$L278*1&lt;=$G$4,$I278*$J278&gt;0,CONCATENATE($H278:$L278)&lt;&gt;CONCATENATE($H279:$L279),$I278/POW(10,$J278)*MAXIFS(Token!$B:$B,Token!$A:$A,$K278)&gt;0.01),$L278/86400+DATE(1970,1,1)+IF($L278*1&gt;=$G$5,$G$6,0),)</f>
        <v/>
      </c>
      <c r="B278" s="22" t="str">
        <f t="shared" si="1"/>
        <v/>
      </c>
      <c r="C278" s="14" t="str">
        <f>IF($A278&lt;&gt;"",MINIFS(Merchant!$A:$A,Merchant!$B:$B,$G$2),)</f>
        <v/>
      </c>
      <c r="D278" s="14" t="str">
        <f t="shared" si="2"/>
        <v/>
      </c>
      <c r="E278" s="14" t="str">
        <f t="shared" si="3"/>
        <v/>
      </c>
      <c r="F278" s="6" t="str">
        <f>IF($A278&lt;&gt;"",MAXIFS(Token!$B:$B,Token!$A:$A,$D278),)</f>
        <v/>
      </c>
    </row>
    <row r="279">
      <c r="A279" s="35" t="str">
        <f>IF(AND($L279*1&gt;=$G$3,$L279*1&lt;=$G$4,$I279*$J279&gt;0,CONCATENATE($H279:$L279)&lt;&gt;CONCATENATE($H280:$L280),$I279/POW(10,$J279)*MAXIFS(Token!$B:$B,Token!$A:$A,$K279)&gt;0.01),$L279/86400+DATE(1970,1,1)+IF($L279*1&gt;=$G$5,$G$6,0),)</f>
        <v/>
      </c>
      <c r="B279" s="22" t="str">
        <f t="shared" si="1"/>
        <v/>
      </c>
      <c r="C279" s="14" t="str">
        <f>IF($A279&lt;&gt;"",MINIFS(Merchant!$A:$A,Merchant!$B:$B,$G$2),)</f>
        <v/>
      </c>
      <c r="D279" s="14" t="str">
        <f t="shared" si="2"/>
        <v/>
      </c>
      <c r="E279" s="14" t="str">
        <f t="shared" si="3"/>
        <v/>
      </c>
      <c r="F279" s="6" t="str">
        <f>IF($A279&lt;&gt;"",MAXIFS(Token!$B:$B,Token!$A:$A,$D279),)</f>
        <v/>
      </c>
    </row>
    <row r="280">
      <c r="A280" s="35" t="str">
        <f>IF(AND($L280*1&gt;=$G$3,$L280*1&lt;=$G$4,$I280*$J280&gt;0,CONCATENATE($H280:$L280)&lt;&gt;CONCATENATE($H281:$L281),$I280/POW(10,$J280)*MAXIFS(Token!$B:$B,Token!$A:$A,$K280)&gt;0.01),$L280/86400+DATE(1970,1,1)+IF($L280*1&gt;=$G$5,$G$6,0),)</f>
        <v/>
      </c>
      <c r="B280" s="22" t="str">
        <f t="shared" si="1"/>
        <v/>
      </c>
      <c r="C280" s="14" t="str">
        <f>IF($A280&lt;&gt;"",MINIFS(Merchant!$A:$A,Merchant!$B:$B,$G$2),)</f>
        <v/>
      </c>
      <c r="D280" s="14" t="str">
        <f t="shared" si="2"/>
        <v/>
      </c>
      <c r="E280" s="14" t="str">
        <f t="shared" si="3"/>
        <v/>
      </c>
      <c r="F280" s="6" t="str">
        <f>IF($A280&lt;&gt;"",MAXIFS(Token!$B:$B,Token!$A:$A,$D280),)</f>
        <v/>
      </c>
    </row>
    <row r="281">
      <c r="A281" s="35" t="str">
        <f>IF(AND($L281*1&gt;=$G$3,$L281*1&lt;=$G$4,$I281*$J281&gt;0,CONCATENATE($H281:$L281)&lt;&gt;CONCATENATE($H282:$L282),$I281/POW(10,$J281)*MAXIFS(Token!$B:$B,Token!$A:$A,$K281)&gt;0.01),$L281/86400+DATE(1970,1,1)+IF($L281*1&gt;=$G$5,$G$6,0),)</f>
        <v/>
      </c>
      <c r="B281" s="22" t="str">
        <f t="shared" si="1"/>
        <v/>
      </c>
      <c r="C281" s="14" t="str">
        <f>IF($A281&lt;&gt;"",MINIFS(Merchant!$A:$A,Merchant!$B:$B,$G$2),)</f>
        <v/>
      </c>
      <c r="D281" s="14" t="str">
        <f t="shared" si="2"/>
        <v/>
      </c>
      <c r="E281" s="14" t="str">
        <f t="shared" si="3"/>
        <v/>
      </c>
      <c r="F281" s="6" t="str">
        <f>IF($A281&lt;&gt;"",MAXIFS(Token!$B:$B,Token!$A:$A,$D281),)</f>
        <v/>
      </c>
    </row>
    <row r="282">
      <c r="A282" s="35" t="str">
        <f>IF(AND($L282*1&gt;=$G$3,$L282*1&lt;=$G$4,$I282*$J282&gt;0,CONCATENATE($H282:$L282)&lt;&gt;CONCATENATE($H283:$L283),$I282/POW(10,$J282)*MAXIFS(Token!$B:$B,Token!$A:$A,$K282)&gt;0.01),$L282/86400+DATE(1970,1,1)+IF($L282*1&gt;=$G$5,$G$6,0),)</f>
        <v/>
      </c>
      <c r="B282" s="22" t="str">
        <f t="shared" si="1"/>
        <v/>
      </c>
      <c r="C282" s="14" t="str">
        <f>IF($A282&lt;&gt;"",MINIFS(Merchant!$A:$A,Merchant!$B:$B,$G$2),)</f>
        <v/>
      </c>
      <c r="D282" s="14" t="str">
        <f t="shared" si="2"/>
        <v/>
      </c>
      <c r="E282" s="14" t="str">
        <f t="shared" si="3"/>
        <v/>
      </c>
      <c r="F282" s="6" t="str">
        <f>IF($A282&lt;&gt;"",MAXIFS(Token!$B:$B,Token!$A:$A,$D282),)</f>
        <v/>
      </c>
    </row>
    <row r="283">
      <c r="A283" s="35" t="str">
        <f>IF(AND($L283*1&gt;=$G$3,$L283*1&lt;=$G$4,$I283*$J283&gt;0,CONCATENATE($H283:$L283)&lt;&gt;CONCATENATE($H284:$L284),$I283/POW(10,$J283)*MAXIFS(Token!$B:$B,Token!$A:$A,$K283)&gt;0.01),$L283/86400+DATE(1970,1,1)+IF($L283*1&gt;=$G$5,$G$6,0),)</f>
        <v/>
      </c>
      <c r="B283" s="22" t="str">
        <f t="shared" si="1"/>
        <v/>
      </c>
      <c r="C283" s="14" t="str">
        <f>IF($A283&lt;&gt;"",MINIFS(Merchant!$A:$A,Merchant!$B:$B,$G$2),)</f>
        <v/>
      </c>
      <c r="D283" s="14" t="str">
        <f t="shared" si="2"/>
        <v/>
      </c>
      <c r="E283" s="14" t="str">
        <f t="shared" si="3"/>
        <v/>
      </c>
      <c r="F283" s="6" t="str">
        <f>IF($A283&lt;&gt;"",MAXIFS(Token!$B:$B,Token!$A:$A,$D283),)</f>
        <v/>
      </c>
    </row>
    <row r="284">
      <c r="A284" s="35" t="str">
        <f>IF(AND($L284*1&gt;=$G$3,$L284*1&lt;=$G$4,$I284*$J284&gt;0,CONCATENATE($H284:$L284)&lt;&gt;CONCATENATE($H285:$L285),$I284/POW(10,$J284)*MAXIFS(Token!$B:$B,Token!$A:$A,$K284)&gt;0.01),$L284/86400+DATE(1970,1,1)+IF($L284*1&gt;=$G$5,$G$6,0),)</f>
        <v/>
      </c>
      <c r="B284" s="22" t="str">
        <f t="shared" si="1"/>
        <v/>
      </c>
      <c r="C284" s="14" t="str">
        <f>IF($A284&lt;&gt;"",MINIFS(Merchant!$A:$A,Merchant!$B:$B,$G$2),)</f>
        <v/>
      </c>
      <c r="D284" s="14" t="str">
        <f t="shared" si="2"/>
        <v/>
      </c>
      <c r="E284" s="14" t="str">
        <f t="shared" si="3"/>
        <v/>
      </c>
      <c r="F284" s="6" t="str">
        <f>IF($A284&lt;&gt;"",MAXIFS(Token!$B:$B,Token!$A:$A,$D284),)</f>
        <v/>
      </c>
    </row>
    <row r="285">
      <c r="A285" s="35" t="str">
        <f>IF(AND($L285*1&gt;=$G$3,$L285*1&lt;=$G$4,$I285*$J285&gt;0,CONCATENATE($H285:$L285)&lt;&gt;CONCATENATE($H286:$L286),$I285/POW(10,$J285)*MAXIFS(Token!$B:$B,Token!$A:$A,$K285)&gt;0.01),$L285/86400+DATE(1970,1,1)+IF($L285*1&gt;=$G$5,$G$6,0),)</f>
        <v/>
      </c>
      <c r="B285" s="22" t="str">
        <f t="shared" si="1"/>
        <v/>
      </c>
      <c r="C285" s="14" t="str">
        <f>IF($A285&lt;&gt;"",MINIFS(Merchant!$A:$A,Merchant!$B:$B,$G$2),)</f>
        <v/>
      </c>
      <c r="D285" s="14" t="str">
        <f t="shared" si="2"/>
        <v/>
      </c>
      <c r="E285" s="14" t="str">
        <f t="shared" si="3"/>
        <v/>
      </c>
      <c r="F285" s="6" t="str">
        <f>IF($A285&lt;&gt;"",MAXIFS(Token!$B:$B,Token!$A:$A,$D285),)</f>
        <v/>
      </c>
    </row>
    <row r="286">
      <c r="A286" s="35" t="str">
        <f>IF(AND($L286*1&gt;=$G$3,$L286*1&lt;=$G$4,$I286*$J286&gt;0,CONCATENATE($H286:$L286)&lt;&gt;CONCATENATE($H287:$L287),$I286/POW(10,$J286)*MAXIFS(Token!$B:$B,Token!$A:$A,$K286)&gt;0.01),$L286/86400+DATE(1970,1,1)+IF($L286*1&gt;=$G$5,$G$6,0),)</f>
        <v/>
      </c>
      <c r="B286" s="22" t="str">
        <f t="shared" si="1"/>
        <v/>
      </c>
      <c r="C286" s="14" t="str">
        <f>IF($A286&lt;&gt;"",MINIFS(Merchant!$A:$A,Merchant!$B:$B,$G$2),)</f>
        <v/>
      </c>
      <c r="D286" s="14" t="str">
        <f t="shared" si="2"/>
        <v/>
      </c>
      <c r="E286" s="14" t="str">
        <f t="shared" si="3"/>
        <v/>
      </c>
      <c r="F286" s="6" t="str">
        <f>IF($A286&lt;&gt;"",MAXIFS(Token!$B:$B,Token!$A:$A,$D286),)</f>
        <v/>
      </c>
    </row>
    <row r="287">
      <c r="A287" s="35" t="str">
        <f>IF(AND($L287*1&gt;=$G$3,$L287*1&lt;=$G$4,$I287*$J287&gt;0,CONCATENATE($H287:$L287)&lt;&gt;CONCATENATE($H288:$L288),$I287/POW(10,$J287)*MAXIFS(Token!$B:$B,Token!$A:$A,$K287)&gt;0.01),$L287/86400+DATE(1970,1,1)+IF($L287*1&gt;=$G$5,$G$6,0),)</f>
        <v/>
      </c>
      <c r="B287" s="22" t="str">
        <f t="shared" si="1"/>
        <v/>
      </c>
      <c r="C287" s="14" t="str">
        <f>IF($A287&lt;&gt;"",MINIFS(Merchant!$A:$A,Merchant!$B:$B,$G$2),)</f>
        <v/>
      </c>
      <c r="D287" s="14" t="str">
        <f t="shared" si="2"/>
        <v/>
      </c>
      <c r="E287" s="14" t="str">
        <f t="shared" si="3"/>
        <v/>
      </c>
      <c r="F287" s="6" t="str">
        <f>IF($A287&lt;&gt;"",MAXIFS(Token!$B:$B,Token!$A:$A,$D287),)</f>
        <v/>
      </c>
    </row>
    <row r="288">
      <c r="A288" s="35" t="str">
        <f>IF(AND($L288*1&gt;=$G$3,$L288*1&lt;=$G$4,$I288*$J288&gt;0,CONCATENATE($H288:$L288)&lt;&gt;CONCATENATE($H289:$L289),$I288/POW(10,$J288)*MAXIFS(Token!$B:$B,Token!$A:$A,$K288)&gt;0.01),$L288/86400+DATE(1970,1,1)+IF($L288*1&gt;=$G$5,$G$6,0),)</f>
        <v/>
      </c>
      <c r="B288" s="22" t="str">
        <f t="shared" si="1"/>
        <v/>
      </c>
      <c r="C288" s="14" t="str">
        <f>IF($A288&lt;&gt;"",MINIFS(Merchant!$A:$A,Merchant!$B:$B,$G$2),)</f>
        <v/>
      </c>
      <c r="D288" s="14" t="str">
        <f t="shared" si="2"/>
        <v/>
      </c>
      <c r="E288" s="14" t="str">
        <f t="shared" si="3"/>
        <v/>
      </c>
      <c r="F288" s="6" t="str">
        <f>IF($A288&lt;&gt;"",MAXIFS(Token!$B:$B,Token!$A:$A,$D288),)</f>
        <v/>
      </c>
    </row>
    <row r="289">
      <c r="A289" s="35" t="str">
        <f>IF(AND($L289*1&gt;=$G$3,$L289*1&lt;=$G$4,$I289*$J289&gt;0,CONCATENATE($H289:$L289)&lt;&gt;CONCATENATE($H290:$L290),$I289/POW(10,$J289)*MAXIFS(Token!$B:$B,Token!$A:$A,$K289)&gt;0.01),$L289/86400+DATE(1970,1,1)+IF($L289*1&gt;=$G$5,$G$6,0),)</f>
        <v/>
      </c>
      <c r="B289" s="22" t="str">
        <f t="shared" si="1"/>
        <v/>
      </c>
      <c r="C289" s="14" t="str">
        <f>IF($A289&lt;&gt;"",MINIFS(Merchant!$A:$A,Merchant!$B:$B,$G$2),)</f>
        <v/>
      </c>
      <c r="D289" s="14" t="str">
        <f t="shared" si="2"/>
        <v/>
      </c>
      <c r="E289" s="14" t="str">
        <f t="shared" si="3"/>
        <v/>
      </c>
      <c r="F289" s="6" t="str">
        <f>IF($A289&lt;&gt;"",MAXIFS(Token!$B:$B,Token!$A:$A,$D289),)</f>
        <v/>
      </c>
    </row>
    <row r="290">
      <c r="A290" s="35" t="str">
        <f>IF(AND($L290*1&gt;=$G$3,$L290*1&lt;=$G$4,$I290*$J290&gt;0,CONCATENATE($H290:$L290)&lt;&gt;CONCATENATE($H291:$L291),$I290/POW(10,$J290)*MAXIFS(Token!$B:$B,Token!$A:$A,$K290)&gt;0.01),$L290/86400+DATE(1970,1,1)+IF($L290*1&gt;=$G$5,$G$6,0),)</f>
        <v/>
      </c>
      <c r="B290" s="22" t="str">
        <f t="shared" si="1"/>
        <v/>
      </c>
      <c r="C290" s="14" t="str">
        <f>IF($A290&lt;&gt;"",MINIFS(Merchant!$A:$A,Merchant!$B:$B,$G$2),)</f>
        <v/>
      </c>
      <c r="D290" s="14" t="str">
        <f t="shared" si="2"/>
        <v/>
      </c>
      <c r="E290" s="14" t="str">
        <f t="shared" si="3"/>
        <v/>
      </c>
      <c r="F290" s="6" t="str">
        <f>IF($A290&lt;&gt;"",MAXIFS(Token!$B:$B,Token!$A:$A,$D290),)</f>
        <v/>
      </c>
    </row>
    <row r="291">
      <c r="A291" s="35" t="str">
        <f>IF(AND($L291*1&gt;=$G$3,$L291*1&lt;=$G$4,$I291*$J291&gt;0,CONCATENATE($H291:$L291)&lt;&gt;CONCATENATE($H292:$L292),$I291/POW(10,$J291)*MAXIFS(Token!$B:$B,Token!$A:$A,$K291)&gt;0.01),$L291/86400+DATE(1970,1,1)+IF($L291*1&gt;=$G$5,$G$6,0),)</f>
        <v/>
      </c>
      <c r="B291" s="22" t="str">
        <f t="shared" si="1"/>
        <v/>
      </c>
      <c r="C291" s="14" t="str">
        <f>IF($A291&lt;&gt;"",MINIFS(Merchant!$A:$A,Merchant!$B:$B,$G$2),)</f>
        <v/>
      </c>
      <c r="D291" s="14" t="str">
        <f t="shared" si="2"/>
        <v/>
      </c>
      <c r="E291" s="14" t="str">
        <f t="shared" si="3"/>
        <v/>
      </c>
      <c r="F291" s="6" t="str">
        <f>IF($A291&lt;&gt;"",MAXIFS(Token!$B:$B,Token!$A:$A,$D291),)</f>
        <v/>
      </c>
    </row>
    <row r="292">
      <c r="A292" s="35" t="str">
        <f>IF(AND($L292*1&gt;=$G$3,$L292*1&lt;=$G$4,$I292*$J292&gt;0,CONCATENATE($H292:$L292)&lt;&gt;CONCATENATE($H293:$L293),$I292/POW(10,$J292)*MAXIFS(Token!$B:$B,Token!$A:$A,$K292)&gt;0.01),$L292/86400+DATE(1970,1,1)+IF($L292*1&gt;=$G$5,$G$6,0),)</f>
        <v/>
      </c>
      <c r="B292" s="22" t="str">
        <f t="shared" si="1"/>
        <v/>
      </c>
      <c r="C292" s="14" t="str">
        <f>IF($A292&lt;&gt;"",MINIFS(Merchant!$A:$A,Merchant!$B:$B,$G$2),)</f>
        <v/>
      </c>
      <c r="D292" s="14" t="str">
        <f t="shared" si="2"/>
        <v/>
      </c>
      <c r="E292" s="14" t="str">
        <f t="shared" si="3"/>
        <v/>
      </c>
      <c r="F292" s="6" t="str">
        <f>IF($A292&lt;&gt;"",MAXIFS(Token!$B:$B,Token!$A:$A,$D292),)</f>
        <v/>
      </c>
    </row>
    <row r="293">
      <c r="A293" s="35" t="str">
        <f>IF(AND($L293*1&gt;=$G$3,$L293*1&lt;=$G$4,$I293*$J293&gt;0,CONCATENATE($H293:$L293)&lt;&gt;CONCATENATE($H294:$L294),$I293/POW(10,$J293)*MAXIFS(Token!$B:$B,Token!$A:$A,$K293)&gt;0.01),$L293/86400+DATE(1970,1,1)+IF($L293*1&gt;=$G$5,$G$6,0),)</f>
        <v/>
      </c>
      <c r="B293" s="22" t="str">
        <f t="shared" si="1"/>
        <v/>
      </c>
      <c r="C293" s="14" t="str">
        <f>IF($A293&lt;&gt;"",MINIFS(Merchant!$A:$A,Merchant!$B:$B,$G$2),)</f>
        <v/>
      </c>
      <c r="D293" s="14" t="str">
        <f t="shared" si="2"/>
        <v/>
      </c>
      <c r="E293" s="14" t="str">
        <f t="shared" si="3"/>
        <v/>
      </c>
      <c r="F293" s="6" t="str">
        <f>IF($A293&lt;&gt;"",MAXIFS(Token!$B:$B,Token!$A:$A,$D293),)</f>
        <v/>
      </c>
    </row>
    <row r="294">
      <c r="A294" s="35" t="str">
        <f>IF(AND($L294*1&gt;=$G$3,$L294*1&lt;=$G$4,$I294*$J294&gt;0,CONCATENATE($H294:$L294)&lt;&gt;CONCATENATE($H295:$L295),$I294/POW(10,$J294)*MAXIFS(Token!$B:$B,Token!$A:$A,$K294)&gt;0.01),$L294/86400+DATE(1970,1,1)+IF($L294*1&gt;=$G$5,$G$6,0),)</f>
        <v/>
      </c>
      <c r="B294" s="22" t="str">
        <f t="shared" si="1"/>
        <v/>
      </c>
      <c r="C294" s="14" t="str">
        <f>IF($A294&lt;&gt;"",MINIFS(Merchant!$A:$A,Merchant!$B:$B,$G$2),)</f>
        <v/>
      </c>
      <c r="D294" s="14" t="str">
        <f t="shared" si="2"/>
        <v/>
      </c>
      <c r="E294" s="14" t="str">
        <f t="shared" si="3"/>
        <v/>
      </c>
      <c r="F294" s="6" t="str">
        <f>IF($A294&lt;&gt;"",MAXIFS(Token!$B:$B,Token!$A:$A,$D294),)</f>
        <v/>
      </c>
    </row>
    <row r="295">
      <c r="A295" s="35" t="str">
        <f>IF(AND($L295*1&gt;=$G$3,$L295*1&lt;=$G$4,$I295*$J295&gt;0,CONCATENATE($H295:$L295)&lt;&gt;CONCATENATE($H296:$L296),$I295/POW(10,$J295)*MAXIFS(Token!$B:$B,Token!$A:$A,$K295)&gt;0.01),$L295/86400+DATE(1970,1,1)+IF($L295*1&gt;=$G$5,$G$6,0),)</f>
        <v/>
      </c>
      <c r="B295" s="22" t="str">
        <f t="shared" si="1"/>
        <v/>
      </c>
      <c r="C295" s="14" t="str">
        <f>IF($A295&lt;&gt;"",MINIFS(Merchant!$A:$A,Merchant!$B:$B,$G$2),)</f>
        <v/>
      </c>
      <c r="D295" s="14" t="str">
        <f t="shared" si="2"/>
        <v/>
      </c>
      <c r="E295" s="14" t="str">
        <f t="shared" si="3"/>
        <v/>
      </c>
      <c r="F295" s="6" t="str">
        <f>IF($A295&lt;&gt;"",MAXIFS(Token!$B:$B,Token!$A:$A,$D295),)</f>
        <v/>
      </c>
    </row>
    <row r="296">
      <c r="A296" s="35" t="str">
        <f>IF(AND($L296*1&gt;=$G$3,$L296*1&lt;=$G$4,$I296*$J296&gt;0,CONCATENATE($H296:$L296)&lt;&gt;CONCATENATE($H297:$L297),$I296/POW(10,$J296)*MAXIFS(Token!$B:$B,Token!$A:$A,$K296)&gt;0.01),$L296/86400+DATE(1970,1,1)+IF($L296*1&gt;=$G$5,$G$6,0),)</f>
        <v/>
      </c>
      <c r="B296" s="22" t="str">
        <f t="shared" si="1"/>
        <v/>
      </c>
      <c r="C296" s="14" t="str">
        <f>IF($A296&lt;&gt;"",MINIFS(Merchant!$A:$A,Merchant!$B:$B,$G$2),)</f>
        <v/>
      </c>
      <c r="D296" s="14" t="str">
        <f t="shared" si="2"/>
        <v/>
      </c>
      <c r="E296" s="14" t="str">
        <f t="shared" si="3"/>
        <v/>
      </c>
      <c r="F296" s="6" t="str">
        <f>IF($A296&lt;&gt;"",MAXIFS(Token!$B:$B,Token!$A:$A,$D296),)</f>
        <v/>
      </c>
    </row>
    <row r="297">
      <c r="A297" s="35" t="str">
        <f>IF(AND($L297*1&gt;=$G$3,$L297*1&lt;=$G$4,$I297*$J297&gt;0,CONCATENATE($H297:$L297)&lt;&gt;CONCATENATE($H298:$L298),$I297/POW(10,$J297)*MAXIFS(Token!$B:$B,Token!$A:$A,$K297)&gt;0.01),$L297/86400+DATE(1970,1,1)+IF($L297*1&gt;=$G$5,$G$6,0),)</f>
        <v/>
      </c>
      <c r="B297" s="22" t="str">
        <f t="shared" si="1"/>
        <v/>
      </c>
      <c r="C297" s="14" t="str">
        <f>IF($A297&lt;&gt;"",MINIFS(Merchant!$A:$A,Merchant!$B:$B,$G$2),)</f>
        <v/>
      </c>
      <c r="D297" s="14" t="str">
        <f t="shared" si="2"/>
        <v/>
      </c>
      <c r="E297" s="14" t="str">
        <f t="shared" si="3"/>
        <v/>
      </c>
      <c r="F297" s="6" t="str">
        <f>IF($A297&lt;&gt;"",MAXIFS(Token!$B:$B,Token!$A:$A,$D297),)</f>
        <v/>
      </c>
    </row>
    <row r="298">
      <c r="A298" s="35" t="str">
        <f>IF(AND($L298*1&gt;=$G$3,$L298*1&lt;=$G$4,$I298*$J298&gt;0,CONCATENATE($H298:$L298)&lt;&gt;CONCATENATE($H299:$L299),$I298/POW(10,$J298)*MAXIFS(Token!$B:$B,Token!$A:$A,$K298)&gt;0.01),$L298/86400+DATE(1970,1,1)+IF($L298*1&gt;=$G$5,$G$6,0),)</f>
        <v/>
      </c>
      <c r="B298" s="22" t="str">
        <f t="shared" si="1"/>
        <v/>
      </c>
      <c r="C298" s="14" t="str">
        <f>IF($A298&lt;&gt;"",MINIFS(Merchant!$A:$A,Merchant!$B:$B,$G$2),)</f>
        <v/>
      </c>
      <c r="D298" s="14" t="str">
        <f t="shared" si="2"/>
        <v/>
      </c>
      <c r="E298" s="14" t="str">
        <f t="shared" si="3"/>
        <v/>
      </c>
      <c r="F298" s="6" t="str">
        <f>IF($A298&lt;&gt;"",MAXIFS(Token!$B:$B,Token!$A:$A,$D298),)</f>
        <v/>
      </c>
    </row>
    <row r="299">
      <c r="A299" s="35" t="str">
        <f>IF(AND($L299*1&gt;=$G$3,$L299*1&lt;=$G$4,$I299*$J299&gt;0,CONCATENATE($H299:$L299)&lt;&gt;CONCATENATE($H300:$L300),$I299/POW(10,$J299)*MAXIFS(Token!$B:$B,Token!$A:$A,$K299)&gt;0.01),$L299/86400+DATE(1970,1,1)+IF($L299*1&gt;=$G$5,$G$6,0),)</f>
        <v/>
      </c>
      <c r="B299" s="22" t="str">
        <f t="shared" si="1"/>
        <v/>
      </c>
      <c r="C299" s="14" t="str">
        <f>IF($A299&lt;&gt;"",MINIFS(Merchant!$A:$A,Merchant!$B:$B,$G$2),)</f>
        <v/>
      </c>
      <c r="D299" s="14" t="str">
        <f t="shared" si="2"/>
        <v/>
      </c>
      <c r="E299" s="14" t="str">
        <f t="shared" si="3"/>
        <v/>
      </c>
      <c r="F299" s="6" t="str">
        <f>IF($A299&lt;&gt;"",MAXIFS(Token!$B:$B,Token!$A:$A,$D299),)</f>
        <v/>
      </c>
    </row>
    <row r="300">
      <c r="A300" s="35" t="str">
        <f>IF(AND($L300*1&gt;=$G$3,$L300*1&lt;=$G$4,$I300*$J300&gt;0,CONCATENATE($H300:$L300)&lt;&gt;CONCATENATE($H301:$L301),$I300/POW(10,$J300)*MAXIFS(Token!$B:$B,Token!$A:$A,$K300)&gt;0.01),$L300/86400+DATE(1970,1,1)+IF($L300*1&gt;=$G$5,$G$6,0),)</f>
        <v/>
      </c>
      <c r="B300" s="22" t="str">
        <f t="shared" si="1"/>
        <v/>
      </c>
      <c r="C300" s="14" t="str">
        <f>IF($A300&lt;&gt;"",MINIFS(Merchant!$A:$A,Merchant!$B:$B,$G$2),)</f>
        <v/>
      </c>
      <c r="D300" s="14" t="str">
        <f t="shared" si="2"/>
        <v/>
      </c>
      <c r="E300" s="14" t="str">
        <f t="shared" si="3"/>
        <v/>
      </c>
      <c r="F300" s="6" t="str">
        <f>IF($A300&lt;&gt;"",MAXIFS(Token!$B:$B,Token!$A:$A,$D300),)</f>
        <v/>
      </c>
    </row>
    <row r="301">
      <c r="A301" s="35" t="str">
        <f>IF(AND($L301*1&gt;=$G$3,$L301*1&lt;=$G$4,$I301*$J301&gt;0,CONCATENATE($H301:$L301)&lt;&gt;CONCATENATE($H302:$L302),$I301/POW(10,$J301)*MAXIFS(Token!$B:$B,Token!$A:$A,$K301)&gt;0.01),$L301/86400+DATE(1970,1,1)+IF($L301*1&gt;=$G$5,$G$6,0),)</f>
        <v/>
      </c>
      <c r="B301" s="22" t="str">
        <f t="shared" si="1"/>
        <v/>
      </c>
      <c r="C301" s="14" t="str">
        <f>IF($A301&lt;&gt;"",MINIFS(Merchant!$A:$A,Merchant!$B:$B,$G$2),)</f>
        <v/>
      </c>
      <c r="D301" s="14" t="str">
        <f t="shared" si="2"/>
        <v/>
      </c>
      <c r="E301" s="14" t="str">
        <f t="shared" si="3"/>
        <v/>
      </c>
      <c r="F301" s="6" t="str">
        <f>IF($A301&lt;&gt;"",MAXIFS(Token!$B:$B,Token!$A:$A,$D301),)</f>
        <v/>
      </c>
    </row>
    <row r="302">
      <c r="A302" s="35" t="str">
        <f>IF(AND($L302*1&gt;=$G$3,$L302*1&lt;=$G$4,$I302*$J302&gt;0,CONCATENATE($H302:$L302)&lt;&gt;CONCATENATE($H303:$L303),$I302/POW(10,$J302)*MAXIFS(Token!$B:$B,Token!$A:$A,$K302)&gt;0.01),$L302/86400+DATE(1970,1,1)+IF($L302*1&gt;=$G$5,$G$6,0),)</f>
        <v/>
      </c>
      <c r="B302" s="22" t="str">
        <f t="shared" si="1"/>
        <v/>
      </c>
      <c r="C302" s="14" t="str">
        <f>IF($A302&lt;&gt;"",MINIFS(Merchant!$A:$A,Merchant!$B:$B,$G$2),)</f>
        <v/>
      </c>
      <c r="D302" s="14" t="str">
        <f t="shared" si="2"/>
        <v/>
      </c>
      <c r="E302" s="14" t="str">
        <f t="shared" si="3"/>
        <v/>
      </c>
      <c r="F302" s="6" t="str">
        <f>IF($A302&lt;&gt;"",MAXIFS(Token!$B:$B,Token!$A:$A,$D302),)</f>
        <v/>
      </c>
    </row>
    <row r="303">
      <c r="A303" s="35" t="str">
        <f>IF(AND($L303*1&gt;=$G$3,$L303*1&lt;=$G$4,$I303*$J303&gt;0,CONCATENATE($H303:$L303)&lt;&gt;CONCATENATE($H304:$L304),$I303/POW(10,$J303)*MAXIFS(Token!$B:$B,Token!$A:$A,$K303)&gt;0.01),$L303/86400+DATE(1970,1,1)+IF($L303*1&gt;=$G$5,$G$6,0),)</f>
        <v/>
      </c>
      <c r="B303" s="22" t="str">
        <f t="shared" si="1"/>
        <v/>
      </c>
      <c r="C303" s="14" t="str">
        <f>IF($A303&lt;&gt;"",MINIFS(Merchant!$A:$A,Merchant!$B:$B,$G$2),)</f>
        <v/>
      </c>
      <c r="D303" s="14" t="str">
        <f t="shared" si="2"/>
        <v/>
      </c>
      <c r="E303" s="14" t="str">
        <f t="shared" si="3"/>
        <v/>
      </c>
      <c r="F303" s="6" t="str">
        <f>IF($A303&lt;&gt;"",MAXIFS(Token!$B:$B,Token!$A:$A,$D303),)</f>
        <v/>
      </c>
    </row>
    <row r="304">
      <c r="A304" s="35" t="str">
        <f>IF(AND($L304*1&gt;=$G$3,$L304*1&lt;=$G$4,$I304*$J304&gt;0,CONCATENATE($H304:$L304)&lt;&gt;CONCATENATE($H305:$L305),$I304/POW(10,$J304)*MAXIFS(Token!$B:$B,Token!$A:$A,$K304)&gt;0.01),$L304/86400+DATE(1970,1,1)+IF($L304*1&gt;=$G$5,$G$6,0),)</f>
        <v/>
      </c>
      <c r="B304" s="22" t="str">
        <f t="shared" si="1"/>
        <v/>
      </c>
      <c r="C304" s="14" t="str">
        <f>IF($A304&lt;&gt;"",MINIFS(Merchant!$A:$A,Merchant!$B:$B,$G$2),)</f>
        <v/>
      </c>
      <c r="D304" s="14" t="str">
        <f t="shared" si="2"/>
        <v/>
      </c>
      <c r="E304" s="14" t="str">
        <f t="shared" si="3"/>
        <v/>
      </c>
      <c r="F304" s="6" t="str">
        <f>IF($A304&lt;&gt;"",MAXIFS(Token!$B:$B,Token!$A:$A,$D304),)</f>
        <v/>
      </c>
    </row>
    <row r="305">
      <c r="A305" s="35" t="str">
        <f>IF(AND($L305*1&gt;=$G$3,$L305*1&lt;=$G$4,$I305*$J305&gt;0,CONCATENATE($H305:$L305)&lt;&gt;CONCATENATE($H306:$L306),$I305/POW(10,$J305)*MAXIFS(Token!$B:$B,Token!$A:$A,$K305)&gt;0.01),$L305/86400+DATE(1970,1,1)+IF($L305*1&gt;=$G$5,$G$6,0),)</f>
        <v/>
      </c>
      <c r="B305" s="22" t="str">
        <f t="shared" si="1"/>
        <v/>
      </c>
      <c r="C305" s="14" t="str">
        <f>IF($A305&lt;&gt;"",MINIFS(Merchant!$A:$A,Merchant!$B:$B,$G$2),)</f>
        <v/>
      </c>
      <c r="D305" s="14" t="str">
        <f t="shared" si="2"/>
        <v/>
      </c>
      <c r="E305" s="14" t="str">
        <f t="shared" si="3"/>
        <v/>
      </c>
      <c r="F305" s="6" t="str">
        <f>IF($A305&lt;&gt;"",MAXIFS(Token!$B:$B,Token!$A:$A,$D305),)</f>
        <v/>
      </c>
    </row>
    <row r="306">
      <c r="A306" s="35" t="str">
        <f>IF(AND($L306*1&gt;=$G$3,$L306*1&lt;=$G$4,$I306*$J306&gt;0,CONCATENATE($H306:$L306)&lt;&gt;CONCATENATE($H307:$L307),$I306/POW(10,$J306)*MAXIFS(Token!$B:$B,Token!$A:$A,$K306)&gt;0.01),$L306/86400+DATE(1970,1,1)+IF($L306*1&gt;=$G$5,$G$6,0),)</f>
        <v/>
      </c>
      <c r="B306" s="22" t="str">
        <f t="shared" si="1"/>
        <v/>
      </c>
      <c r="C306" s="14" t="str">
        <f>IF($A306&lt;&gt;"",MINIFS(Merchant!$A:$A,Merchant!$B:$B,$G$2),)</f>
        <v/>
      </c>
      <c r="D306" s="14" t="str">
        <f t="shared" si="2"/>
        <v/>
      </c>
      <c r="E306" s="14" t="str">
        <f t="shared" si="3"/>
        <v/>
      </c>
      <c r="F306" s="6" t="str">
        <f>IF($A306&lt;&gt;"",MAXIFS(Token!$B:$B,Token!$A:$A,$D306),)</f>
        <v/>
      </c>
    </row>
    <row r="307">
      <c r="A307" s="35" t="str">
        <f>IF(AND($L307*1&gt;=$G$3,$L307*1&lt;=$G$4,$I307*$J307&gt;0,CONCATENATE($H307:$L307)&lt;&gt;CONCATENATE($H308:$L308),$I307/POW(10,$J307)*MAXIFS(Token!$B:$B,Token!$A:$A,$K307)&gt;0.01),$L307/86400+DATE(1970,1,1)+IF($L307*1&gt;=$G$5,$G$6,0),)</f>
        <v/>
      </c>
      <c r="B307" s="22" t="str">
        <f t="shared" si="1"/>
        <v/>
      </c>
      <c r="C307" s="14" t="str">
        <f>IF($A307&lt;&gt;"",MINIFS(Merchant!$A:$A,Merchant!$B:$B,$G$2),)</f>
        <v/>
      </c>
      <c r="D307" s="14" t="str">
        <f t="shared" si="2"/>
        <v/>
      </c>
      <c r="E307" s="14" t="str">
        <f t="shared" si="3"/>
        <v/>
      </c>
      <c r="F307" s="6" t="str">
        <f>IF($A307&lt;&gt;"",MAXIFS(Token!$B:$B,Token!$A:$A,$D307),)</f>
        <v/>
      </c>
    </row>
    <row r="308">
      <c r="A308" s="35" t="str">
        <f>IF(AND($L308*1&gt;=$G$3,$L308*1&lt;=$G$4,$I308*$J308&gt;0,CONCATENATE($H308:$L308)&lt;&gt;CONCATENATE($H309:$L309),$I308/POW(10,$J308)*MAXIFS(Token!$B:$B,Token!$A:$A,$K308)&gt;0.01),$L308/86400+DATE(1970,1,1)+IF($L308*1&gt;=$G$5,$G$6,0),)</f>
        <v/>
      </c>
      <c r="B308" s="22" t="str">
        <f t="shared" si="1"/>
        <v/>
      </c>
      <c r="C308" s="14" t="str">
        <f>IF($A308&lt;&gt;"",MINIFS(Merchant!$A:$A,Merchant!$B:$B,$G$2),)</f>
        <v/>
      </c>
      <c r="D308" s="14" t="str">
        <f t="shared" si="2"/>
        <v/>
      </c>
      <c r="E308" s="14" t="str">
        <f t="shared" si="3"/>
        <v/>
      </c>
      <c r="F308" s="6" t="str">
        <f>IF($A308&lt;&gt;"",MAXIFS(Token!$B:$B,Token!$A:$A,$D308),)</f>
        <v/>
      </c>
    </row>
    <row r="309">
      <c r="A309" s="35" t="str">
        <f>IF(AND($L309*1&gt;=$G$3,$L309*1&lt;=$G$4,$I309*$J309&gt;0,CONCATENATE($H309:$L309)&lt;&gt;CONCATENATE($H310:$L310),$I309/POW(10,$J309)*MAXIFS(Token!$B:$B,Token!$A:$A,$K309)&gt;0.01),$L309/86400+DATE(1970,1,1)+IF($L309*1&gt;=$G$5,$G$6,0),)</f>
        <v/>
      </c>
      <c r="B309" s="22" t="str">
        <f t="shared" si="1"/>
        <v/>
      </c>
      <c r="C309" s="14" t="str">
        <f>IF($A309&lt;&gt;"",MINIFS(Merchant!$A:$A,Merchant!$B:$B,$G$2),)</f>
        <v/>
      </c>
      <c r="D309" s="14" t="str">
        <f t="shared" si="2"/>
        <v/>
      </c>
      <c r="E309" s="14" t="str">
        <f t="shared" si="3"/>
        <v/>
      </c>
      <c r="F309" s="6" t="str">
        <f>IF($A309&lt;&gt;"",MAXIFS(Token!$B:$B,Token!$A:$A,$D309),)</f>
        <v/>
      </c>
    </row>
    <row r="310">
      <c r="A310" s="35" t="str">
        <f>IF(AND($L310*1&gt;=$G$3,$L310*1&lt;=$G$4,$I310*$J310&gt;0,CONCATENATE($H310:$L310)&lt;&gt;CONCATENATE($H311:$L311),$I310/POW(10,$J310)*MAXIFS(Token!$B:$B,Token!$A:$A,$K310)&gt;0.01),$L310/86400+DATE(1970,1,1)+IF($L310*1&gt;=$G$5,$G$6,0),)</f>
        <v/>
      </c>
      <c r="B310" s="22" t="str">
        <f t="shared" si="1"/>
        <v/>
      </c>
      <c r="C310" s="14" t="str">
        <f>IF($A310&lt;&gt;"",MINIFS(Merchant!$A:$A,Merchant!$B:$B,$G$2),)</f>
        <v/>
      </c>
      <c r="D310" s="14" t="str">
        <f t="shared" si="2"/>
        <v/>
      </c>
      <c r="E310" s="14" t="str">
        <f t="shared" si="3"/>
        <v/>
      </c>
      <c r="F310" s="6" t="str">
        <f>IF($A310&lt;&gt;"",MAXIFS(Token!$B:$B,Token!$A:$A,$D310),)</f>
        <v/>
      </c>
    </row>
    <row r="311">
      <c r="A311" s="35" t="str">
        <f>IF(AND($L311*1&gt;=$G$3,$L311*1&lt;=$G$4,$I311*$J311&gt;0,CONCATENATE($H311:$L311)&lt;&gt;CONCATENATE($H312:$L312),$I311/POW(10,$J311)*MAXIFS(Token!$B:$B,Token!$A:$A,$K311)&gt;0.01),$L311/86400+DATE(1970,1,1)+IF($L311*1&gt;=$G$5,$G$6,0),)</f>
        <v/>
      </c>
      <c r="B311" s="22" t="str">
        <f t="shared" si="1"/>
        <v/>
      </c>
      <c r="C311" s="14" t="str">
        <f>IF($A311&lt;&gt;"",MINIFS(Merchant!$A:$A,Merchant!$B:$B,$G$2),)</f>
        <v/>
      </c>
      <c r="D311" s="14" t="str">
        <f t="shared" si="2"/>
        <v/>
      </c>
      <c r="E311" s="14" t="str">
        <f t="shared" si="3"/>
        <v/>
      </c>
      <c r="F311" s="6" t="str">
        <f>IF($A311&lt;&gt;"",MAXIFS(Token!$B:$B,Token!$A:$A,$D311),)</f>
        <v/>
      </c>
    </row>
    <row r="312">
      <c r="A312" s="35" t="str">
        <f>IF(AND($L312*1&gt;=$G$3,$L312*1&lt;=$G$4,$I312*$J312&gt;0,CONCATENATE($H312:$L312)&lt;&gt;CONCATENATE($H313:$L313),$I312/POW(10,$J312)*MAXIFS(Token!$B:$B,Token!$A:$A,$K312)&gt;0.01),$L312/86400+DATE(1970,1,1)+IF($L312*1&gt;=$G$5,$G$6,0),)</f>
        <v/>
      </c>
      <c r="B312" s="22" t="str">
        <f t="shared" si="1"/>
        <v/>
      </c>
      <c r="C312" s="14" t="str">
        <f>IF($A312&lt;&gt;"",MINIFS(Merchant!$A:$A,Merchant!$B:$B,$G$2),)</f>
        <v/>
      </c>
      <c r="D312" s="14" t="str">
        <f t="shared" si="2"/>
        <v/>
      </c>
      <c r="E312" s="14" t="str">
        <f t="shared" si="3"/>
        <v/>
      </c>
      <c r="F312" s="6" t="str">
        <f>IF($A312&lt;&gt;"",MAXIFS(Token!$B:$B,Token!$A:$A,$D312),)</f>
        <v/>
      </c>
    </row>
    <row r="313">
      <c r="A313" s="35" t="str">
        <f>IF(AND($L313*1&gt;=$G$3,$L313*1&lt;=$G$4,$I313*$J313&gt;0,CONCATENATE($H313:$L313)&lt;&gt;CONCATENATE($H314:$L314),$I313/POW(10,$J313)*MAXIFS(Token!$B:$B,Token!$A:$A,$K313)&gt;0.01),$L313/86400+DATE(1970,1,1)+IF($L313*1&gt;=$G$5,$G$6,0),)</f>
        <v/>
      </c>
      <c r="B313" s="22" t="str">
        <f t="shared" si="1"/>
        <v/>
      </c>
      <c r="C313" s="14" t="str">
        <f>IF($A313&lt;&gt;"",MINIFS(Merchant!$A:$A,Merchant!$B:$B,$G$2),)</f>
        <v/>
      </c>
      <c r="D313" s="14" t="str">
        <f t="shared" si="2"/>
        <v/>
      </c>
      <c r="E313" s="14" t="str">
        <f t="shared" si="3"/>
        <v/>
      </c>
      <c r="F313" s="6" t="str">
        <f>IF($A313&lt;&gt;"",MAXIFS(Token!$B:$B,Token!$A:$A,$D313),)</f>
        <v/>
      </c>
    </row>
    <row r="314">
      <c r="A314" s="35" t="str">
        <f>IF(AND($L314*1&gt;=$G$3,$L314*1&lt;=$G$4,$I314*$J314&gt;0,CONCATENATE($H314:$L314)&lt;&gt;CONCATENATE($H315:$L315),$I314/POW(10,$J314)*MAXIFS(Token!$B:$B,Token!$A:$A,$K314)&gt;0.01),$L314/86400+DATE(1970,1,1)+IF($L314*1&gt;=$G$5,$G$6,0),)</f>
        <v/>
      </c>
      <c r="B314" s="22" t="str">
        <f t="shared" si="1"/>
        <v/>
      </c>
      <c r="C314" s="14" t="str">
        <f>IF($A314&lt;&gt;"",MINIFS(Merchant!$A:$A,Merchant!$B:$B,$G$2),)</f>
        <v/>
      </c>
      <c r="D314" s="14" t="str">
        <f t="shared" si="2"/>
        <v/>
      </c>
      <c r="E314" s="14" t="str">
        <f t="shared" si="3"/>
        <v/>
      </c>
      <c r="F314" s="6" t="str">
        <f>IF($A314&lt;&gt;"",MAXIFS(Token!$B:$B,Token!$A:$A,$D314),)</f>
        <v/>
      </c>
    </row>
    <row r="315">
      <c r="A315" s="35" t="str">
        <f>IF(AND($L315*1&gt;=$G$3,$L315*1&lt;=$G$4,$I315*$J315&gt;0,CONCATENATE($H315:$L315)&lt;&gt;CONCATENATE($H316:$L316),$I315/POW(10,$J315)*MAXIFS(Token!$B:$B,Token!$A:$A,$K315)&gt;0.01),$L315/86400+DATE(1970,1,1)+IF($L315*1&gt;=$G$5,$G$6,0),)</f>
        <v/>
      </c>
      <c r="B315" s="22" t="str">
        <f t="shared" si="1"/>
        <v/>
      </c>
      <c r="C315" s="14" t="str">
        <f>IF($A315&lt;&gt;"",MINIFS(Merchant!$A:$A,Merchant!$B:$B,$G$2),)</f>
        <v/>
      </c>
      <c r="D315" s="14" t="str">
        <f t="shared" si="2"/>
        <v/>
      </c>
      <c r="E315" s="14" t="str">
        <f t="shared" si="3"/>
        <v/>
      </c>
      <c r="F315" s="6" t="str">
        <f>IF($A315&lt;&gt;"",MAXIFS(Token!$B:$B,Token!$A:$A,$D315),)</f>
        <v/>
      </c>
    </row>
    <row r="316">
      <c r="A316" s="35" t="str">
        <f>IF(AND($L316*1&gt;=$G$3,$L316*1&lt;=$G$4,$I316*$J316&gt;0,CONCATENATE($H316:$L316)&lt;&gt;CONCATENATE($H317:$L317),$I316/POW(10,$J316)*MAXIFS(Token!$B:$B,Token!$A:$A,$K316)&gt;0.01),$L316/86400+DATE(1970,1,1)+IF($L316*1&gt;=$G$5,$G$6,0),)</f>
        <v/>
      </c>
      <c r="B316" s="22" t="str">
        <f t="shared" si="1"/>
        <v/>
      </c>
      <c r="C316" s="14" t="str">
        <f>IF($A316&lt;&gt;"",MINIFS(Merchant!$A:$A,Merchant!$B:$B,$G$2),)</f>
        <v/>
      </c>
      <c r="D316" s="14" t="str">
        <f t="shared" si="2"/>
        <v/>
      </c>
      <c r="E316" s="14" t="str">
        <f t="shared" si="3"/>
        <v/>
      </c>
      <c r="F316" s="6" t="str">
        <f>IF($A316&lt;&gt;"",MAXIFS(Token!$B:$B,Token!$A:$A,$D316),)</f>
        <v/>
      </c>
    </row>
    <row r="317">
      <c r="A317" s="35" t="str">
        <f>IF(AND($L317*1&gt;=$G$3,$L317*1&lt;=$G$4,$I317*$J317&gt;0,CONCATENATE($H317:$L317)&lt;&gt;CONCATENATE($H318:$L318),$I317/POW(10,$J317)*MAXIFS(Token!$B:$B,Token!$A:$A,$K317)&gt;0.01),$L317/86400+DATE(1970,1,1)+IF($L317*1&gt;=$G$5,$G$6,0),)</f>
        <v/>
      </c>
      <c r="B317" s="22" t="str">
        <f t="shared" si="1"/>
        <v/>
      </c>
      <c r="C317" s="14" t="str">
        <f>IF($A317&lt;&gt;"",MINIFS(Merchant!$A:$A,Merchant!$B:$B,$G$2),)</f>
        <v/>
      </c>
      <c r="D317" s="14" t="str">
        <f t="shared" si="2"/>
        <v/>
      </c>
      <c r="E317" s="14" t="str">
        <f t="shared" si="3"/>
        <v/>
      </c>
      <c r="F317" s="6" t="str">
        <f>IF($A317&lt;&gt;"",MAXIFS(Token!$B:$B,Token!$A:$A,$D317),)</f>
        <v/>
      </c>
    </row>
    <row r="318">
      <c r="A318" s="35" t="str">
        <f>IF(AND($L318*1&gt;=$G$3,$L318*1&lt;=$G$4,$I318*$J318&gt;0,CONCATENATE($H318:$L318)&lt;&gt;CONCATENATE($H319:$L319),$I318/POW(10,$J318)*MAXIFS(Token!$B:$B,Token!$A:$A,$K318)&gt;0.01),$L318/86400+DATE(1970,1,1)+IF($L318*1&gt;=$G$5,$G$6,0),)</f>
        <v/>
      </c>
      <c r="B318" s="22" t="str">
        <f t="shared" si="1"/>
        <v/>
      </c>
      <c r="C318" s="14" t="str">
        <f>IF($A318&lt;&gt;"",MINIFS(Merchant!$A:$A,Merchant!$B:$B,$G$2),)</f>
        <v/>
      </c>
      <c r="D318" s="14" t="str">
        <f t="shared" si="2"/>
        <v/>
      </c>
      <c r="E318" s="14" t="str">
        <f t="shared" si="3"/>
        <v/>
      </c>
      <c r="F318" s="6" t="str">
        <f>IF($A318&lt;&gt;"",MAXIFS(Token!$B:$B,Token!$A:$A,$D318),)</f>
        <v/>
      </c>
    </row>
    <row r="319">
      <c r="A319" s="35" t="str">
        <f>IF(AND($L319*1&gt;=$G$3,$L319*1&lt;=$G$4,$I319*$J319&gt;0,CONCATENATE($H319:$L319)&lt;&gt;CONCATENATE($H320:$L320),$I319/POW(10,$J319)*MAXIFS(Token!$B:$B,Token!$A:$A,$K319)&gt;0.01),$L319/86400+DATE(1970,1,1)+IF($L319*1&gt;=$G$5,$G$6,0),)</f>
        <v/>
      </c>
      <c r="B319" s="22" t="str">
        <f t="shared" si="1"/>
        <v/>
      </c>
      <c r="C319" s="14" t="str">
        <f>IF($A319&lt;&gt;"",MINIFS(Merchant!$A:$A,Merchant!$B:$B,$G$2),)</f>
        <v/>
      </c>
      <c r="D319" s="14" t="str">
        <f t="shared" si="2"/>
        <v/>
      </c>
      <c r="E319" s="14" t="str">
        <f t="shared" si="3"/>
        <v/>
      </c>
      <c r="F319" s="6" t="str">
        <f>IF($A319&lt;&gt;"",MAXIFS(Token!$B:$B,Token!$A:$A,$D319),)</f>
        <v/>
      </c>
    </row>
    <row r="320">
      <c r="A320" s="35" t="str">
        <f>IF(AND($L320*1&gt;=$G$3,$L320*1&lt;=$G$4,$I320*$J320&gt;0,CONCATENATE($H320:$L320)&lt;&gt;CONCATENATE($H321:$L321),$I320/POW(10,$J320)*MAXIFS(Token!$B:$B,Token!$A:$A,$K320)&gt;0.01),$L320/86400+DATE(1970,1,1)+IF($L320*1&gt;=$G$5,$G$6,0),)</f>
        <v/>
      </c>
      <c r="B320" s="22" t="str">
        <f t="shared" si="1"/>
        <v/>
      </c>
      <c r="C320" s="14" t="str">
        <f>IF($A320&lt;&gt;"",MINIFS(Merchant!$A:$A,Merchant!$B:$B,$G$2),)</f>
        <v/>
      </c>
      <c r="D320" s="14" t="str">
        <f t="shared" si="2"/>
        <v/>
      </c>
      <c r="E320" s="14" t="str">
        <f t="shared" si="3"/>
        <v/>
      </c>
      <c r="F320" s="6" t="str">
        <f>IF($A320&lt;&gt;"",MAXIFS(Token!$B:$B,Token!$A:$A,$D320),)</f>
        <v/>
      </c>
    </row>
    <row r="321">
      <c r="A321" s="35" t="str">
        <f>IF(AND($L321*1&gt;=$G$3,$L321*1&lt;=$G$4,$I321*$J321&gt;0,CONCATENATE($H321:$L321)&lt;&gt;CONCATENATE($H322:$L322),$I321/POW(10,$J321)*MAXIFS(Token!$B:$B,Token!$A:$A,$K321)&gt;0.01),$L321/86400+DATE(1970,1,1)+IF($L321*1&gt;=$G$5,$G$6,0),)</f>
        <v/>
      </c>
      <c r="B321" s="22" t="str">
        <f t="shared" si="1"/>
        <v/>
      </c>
      <c r="C321" s="14" t="str">
        <f>IF($A321&lt;&gt;"",MINIFS(Merchant!$A:$A,Merchant!$B:$B,$G$2),)</f>
        <v/>
      </c>
      <c r="D321" s="14" t="str">
        <f t="shared" si="2"/>
        <v/>
      </c>
      <c r="E321" s="14" t="str">
        <f t="shared" si="3"/>
        <v/>
      </c>
      <c r="F321" s="6" t="str">
        <f>IF($A321&lt;&gt;"",MAXIFS(Token!$B:$B,Token!$A:$A,$D321),)</f>
        <v/>
      </c>
    </row>
    <row r="322">
      <c r="A322" s="35" t="str">
        <f>IF(AND($L322*1&gt;=$G$3,$L322*1&lt;=$G$4,$I322*$J322&gt;0,CONCATENATE($H322:$L322)&lt;&gt;CONCATENATE($H323:$L323),$I322/POW(10,$J322)*MAXIFS(Token!$B:$B,Token!$A:$A,$K322)&gt;0.01),$L322/86400+DATE(1970,1,1)+IF($L322*1&gt;=$G$5,$G$6,0),)</f>
        <v/>
      </c>
      <c r="B322" s="22" t="str">
        <f t="shared" si="1"/>
        <v/>
      </c>
      <c r="C322" s="14" t="str">
        <f>IF($A322&lt;&gt;"",MINIFS(Merchant!$A:$A,Merchant!$B:$B,$G$2),)</f>
        <v/>
      </c>
      <c r="D322" s="14" t="str">
        <f t="shared" si="2"/>
        <v/>
      </c>
      <c r="E322" s="14" t="str">
        <f t="shared" si="3"/>
        <v/>
      </c>
      <c r="F322" s="6" t="str">
        <f>IF($A322&lt;&gt;"",MAXIFS(Token!$B:$B,Token!$A:$A,$D322),)</f>
        <v/>
      </c>
    </row>
    <row r="323">
      <c r="A323" s="35" t="str">
        <f>IF(AND($L323*1&gt;=$G$3,$L323*1&lt;=$G$4,$I323*$J323&gt;0,CONCATENATE($H323:$L323)&lt;&gt;CONCATENATE($H324:$L324),$I323/POW(10,$J323)*MAXIFS(Token!$B:$B,Token!$A:$A,$K323)&gt;0.01),$L323/86400+DATE(1970,1,1)+IF($L323*1&gt;=$G$5,$G$6,0),)</f>
        <v/>
      </c>
      <c r="B323" s="22" t="str">
        <f t="shared" si="1"/>
        <v/>
      </c>
      <c r="C323" s="14" t="str">
        <f>IF($A323&lt;&gt;"",MINIFS(Merchant!$A:$A,Merchant!$B:$B,$G$2),)</f>
        <v/>
      </c>
      <c r="D323" s="14" t="str">
        <f t="shared" si="2"/>
        <v/>
      </c>
      <c r="E323" s="14" t="str">
        <f t="shared" si="3"/>
        <v/>
      </c>
      <c r="F323" s="6" t="str">
        <f>IF($A323&lt;&gt;"",MAXIFS(Token!$B:$B,Token!$A:$A,$D323),)</f>
        <v/>
      </c>
    </row>
    <row r="324">
      <c r="A324" s="35" t="str">
        <f>IF(AND($L324*1&gt;=$G$3,$L324*1&lt;=$G$4,$I324*$J324&gt;0,CONCATENATE($H324:$L324)&lt;&gt;CONCATENATE($H325:$L325),$I324/POW(10,$J324)*MAXIFS(Token!$B:$B,Token!$A:$A,$K324)&gt;0.01),$L324/86400+DATE(1970,1,1)+IF($L324*1&gt;=$G$5,$G$6,0),)</f>
        <v/>
      </c>
      <c r="B324" s="22" t="str">
        <f t="shared" si="1"/>
        <v/>
      </c>
      <c r="C324" s="14" t="str">
        <f>IF($A324&lt;&gt;"",MINIFS(Merchant!$A:$A,Merchant!$B:$B,$G$2),)</f>
        <v/>
      </c>
      <c r="D324" s="14" t="str">
        <f t="shared" si="2"/>
        <v/>
      </c>
      <c r="E324" s="14" t="str">
        <f t="shared" si="3"/>
        <v/>
      </c>
      <c r="F324" s="6" t="str">
        <f>IF($A324&lt;&gt;"",MAXIFS(Token!$B:$B,Token!$A:$A,$D324),)</f>
        <v/>
      </c>
    </row>
    <row r="325">
      <c r="A325" s="35" t="str">
        <f>IF(AND($L325*1&gt;=$G$3,$L325*1&lt;=$G$4,$I325*$J325&gt;0,CONCATENATE($H325:$L325)&lt;&gt;CONCATENATE($H326:$L326),$I325/POW(10,$J325)*MAXIFS(Token!$B:$B,Token!$A:$A,$K325)&gt;0.01),$L325/86400+DATE(1970,1,1)+IF($L325*1&gt;=$G$5,$G$6,0),)</f>
        <v/>
      </c>
      <c r="B325" s="22" t="str">
        <f t="shared" si="1"/>
        <v/>
      </c>
      <c r="C325" s="14" t="str">
        <f>IF($A325&lt;&gt;"",MINIFS(Merchant!$A:$A,Merchant!$B:$B,$G$2),)</f>
        <v/>
      </c>
      <c r="D325" s="14" t="str">
        <f t="shared" si="2"/>
        <v/>
      </c>
      <c r="E325" s="14" t="str">
        <f t="shared" si="3"/>
        <v/>
      </c>
      <c r="F325" s="6" t="str">
        <f>IF($A325&lt;&gt;"",MAXIFS(Token!$B:$B,Token!$A:$A,$D325),)</f>
        <v/>
      </c>
    </row>
    <row r="326">
      <c r="A326" s="35" t="str">
        <f>IF(AND($L326*1&gt;=$G$3,$L326*1&lt;=$G$4,$I326*$J326&gt;0,CONCATENATE($H326:$L326)&lt;&gt;CONCATENATE($H327:$L327),$I326/POW(10,$J326)*MAXIFS(Token!$B:$B,Token!$A:$A,$K326)&gt;0.01),$L326/86400+DATE(1970,1,1)+IF($L326*1&gt;=$G$5,$G$6,0),)</f>
        <v/>
      </c>
      <c r="B326" s="22" t="str">
        <f t="shared" si="1"/>
        <v/>
      </c>
      <c r="C326" s="14" t="str">
        <f>IF($A326&lt;&gt;"",MINIFS(Merchant!$A:$A,Merchant!$B:$B,$G$2),)</f>
        <v/>
      </c>
      <c r="D326" s="14" t="str">
        <f t="shared" si="2"/>
        <v/>
      </c>
      <c r="E326" s="14" t="str">
        <f t="shared" si="3"/>
        <v/>
      </c>
      <c r="F326" s="6" t="str">
        <f>IF($A326&lt;&gt;"",MAXIFS(Token!$B:$B,Token!$A:$A,$D326),)</f>
        <v/>
      </c>
    </row>
    <row r="327">
      <c r="A327" s="35" t="str">
        <f>IF(AND($L327*1&gt;=$G$3,$L327*1&lt;=$G$4,$I327*$J327&gt;0,CONCATENATE($H327:$L327)&lt;&gt;CONCATENATE($H328:$L328),$I327/POW(10,$J327)*MAXIFS(Token!$B:$B,Token!$A:$A,$K327)&gt;0.01),$L327/86400+DATE(1970,1,1)+IF($L327*1&gt;=$G$5,$G$6,0),)</f>
        <v/>
      </c>
      <c r="B327" s="22" t="str">
        <f t="shared" si="1"/>
        <v/>
      </c>
      <c r="C327" s="14" t="str">
        <f>IF($A327&lt;&gt;"",MINIFS(Merchant!$A:$A,Merchant!$B:$B,$G$2),)</f>
        <v/>
      </c>
      <c r="D327" s="14" t="str">
        <f t="shared" si="2"/>
        <v/>
      </c>
      <c r="E327" s="14" t="str">
        <f t="shared" si="3"/>
        <v/>
      </c>
      <c r="F327" s="6" t="str">
        <f>IF($A327&lt;&gt;"",MAXIFS(Token!$B:$B,Token!$A:$A,$D327),)</f>
        <v/>
      </c>
    </row>
    <row r="328">
      <c r="A328" s="35" t="str">
        <f>IF(AND($L328*1&gt;=$G$3,$L328*1&lt;=$G$4,$I328*$J328&gt;0,CONCATENATE($H328:$L328)&lt;&gt;CONCATENATE($H329:$L329),$I328/POW(10,$J328)*MAXIFS(Token!$B:$B,Token!$A:$A,$K328)&gt;0.01),$L328/86400+DATE(1970,1,1)+IF($L328*1&gt;=$G$5,$G$6,0),)</f>
        <v/>
      </c>
      <c r="B328" s="22" t="str">
        <f t="shared" si="1"/>
        <v/>
      </c>
      <c r="C328" s="14" t="str">
        <f>IF($A328&lt;&gt;"",MINIFS(Merchant!$A:$A,Merchant!$B:$B,$G$2),)</f>
        <v/>
      </c>
      <c r="D328" s="14" t="str">
        <f t="shared" si="2"/>
        <v/>
      </c>
      <c r="E328" s="14" t="str">
        <f t="shared" si="3"/>
        <v/>
      </c>
      <c r="F328" s="6" t="str">
        <f>IF($A328&lt;&gt;"",MAXIFS(Token!$B:$B,Token!$A:$A,$D328),)</f>
        <v/>
      </c>
    </row>
    <row r="329">
      <c r="A329" s="35" t="str">
        <f>IF(AND($L329*1&gt;=$G$3,$L329*1&lt;=$G$4,$I329*$J329&gt;0,CONCATENATE($H329:$L329)&lt;&gt;CONCATENATE($H330:$L330),$I329/POW(10,$J329)*MAXIFS(Token!$B:$B,Token!$A:$A,$K329)&gt;0.01),$L329/86400+DATE(1970,1,1)+IF($L329*1&gt;=$G$5,$G$6,0),)</f>
        <v/>
      </c>
      <c r="B329" s="22" t="str">
        <f t="shared" si="1"/>
        <v/>
      </c>
      <c r="C329" s="14" t="str">
        <f>IF($A329&lt;&gt;"",MINIFS(Merchant!$A:$A,Merchant!$B:$B,$G$2),)</f>
        <v/>
      </c>
      <c r="D329" s="14" t="str">
        <f t="shared" si="2"/>
        <v/>
      </c>
      <c r="E329" s="14" t="str">
        <f t="shared" si="3"/>
        <v/>
      </c>
      <c r="F329" s="6" t="str">
        <f>IF($A329&lt;&gt;"",MAXIFS(Token!$B:$B,Token!$A:$A,$D329),)</f>
        <v/>
      </c>
    </row>
    <row r="330">
      <c r="A330" s="35" t="str">
        <f>IF(AND($L330*1&gt;=$G$3,$L330*1&lt;=$G$4,$I330*$J330&gt;0,CONCATENATE($H330:$L330)&lt;&gt;CONCATENATE($H331:$L331),$I330/POW(10,$J330)*MAXIFS(Token!$B:$B,Token!$A:$A,$K330)&gt;0.01),$L330/86400+DATE(1970,1,1)+IF($L330*1&gt;=$G$5,$G$6,0),)</f>
        <v/>
      </c>
      <c r="B330" s="22" t="str">
        <f t="shared" si="1"/>
        <v/>
      </c>
      <c r="C330" s="14" t="str">
        <f>IF($A330&lt;&gt;"",MINIFS(Merchant!$A:$A,Merchant!$B:$B,$G$2),)</f>
        <v/>
      </c>
      <c r="D330" s="14" t="str">
        <f t="shared" si="2"/>
        <v/>
      </c>
      <c r="E330" s="14" t="str">
        <f t="shared" si="3"/>
        <v/>
      </c>
      <c r="F330" s="6" t="str">
        <f>IF($A330&lt;&gt;"",MAXIFS(Token!$B:$B,Token!$A:$A,$D330),)</f>
        <v/>
      </c>
    </row>
    <row r="331">
      <c r="A331" s="35" t="str">
        <f>IF(AND($L331*1&gt;=$G$3,$L331*1&lt;=$G$4,$I331*$J331&gt;0,CONCATENATE($H331:$L331)&lt;&gt;CONCATENATE($H332:$L332),$I331/POW(10,$J331)*MAXIFS(Token!$B:$B,Token!$A:$A,$K331)&gt;0.01),$L331/86400+DATE(1970,1,1)+IF($L331*1&gt;=$G$5,$G$6,0),)</f>
        <v/>
      </c>
      <c r="B331" s="22" t="str">
        <f t="shared" si="1"/>
        <v/>
      </c>
      <c r="C331" s="14" t="str">
        <f>IF($A331&lt;&gt;"",MINIFS(Merchant!$A:$A,Merchant!$B:$B,$G$2),)</f>
        <v/>
      </c>
      <c r="D331" s="14" t="str">
        <f t="shared" si="2"/>
        <v/>
      </c>
      <c r="E331" s="14" t="str">
        <f t="shared" si="3"/>
        <v/>
      </c>
      <c r="F331" s="6" t="str">
        <f>IF($A331&lt;&gt;"",MAXIFS(Token!$B:$B,Token!$A:$A,$D331),)</f>
        <v/>
      </c>
    </row>
    <row r="332">
      <c r="A332" s="35" t="str">
        <f>IF(AND($L332*1&gt;=$G$3,$L332*1&lt;=$G$4,$I332*$J332&gt;0,CONCATENATE($H332:$L332)&lt;&gt;CONCATENATE($H333:$L333),$I332/POW(10,$J332)*MAXIFS(Token!$B:$B,Token!$A:$A,$K332)&gt;0.01),$L332/86400+DATE(1970,1,1)+IF($L332*1&gt;=$G$5,$G$6,0),)</f>
        <v/>
      </c>
      <c r="B332" s="22" t="str">
        <f t="shared" si="1"/>
        <v/>
      </c>
      <c r="C332" s="14" t="str">
        <f>IF($A332&lt;&gt;"",MINIFS(Merchant!$A:$A,Merchant!$B:$B,$G$2),)</f>
        <v/>
      </c>
      <c r="D332" s="14" t="str">
        <f t="shared" si="2"/>
        <v/>
      </c>
      <c r="E332" s="14" t="str">
        <f t="shared" si="3"/>
        <v/>
      </c>
      <c r="F332" s="6" t="str">
        <f>IF($A332&lt;&gt;"",MAXIFS(Token!$B:$B,Token!$A:$A,$D332),)</f>
        <v/>
      </c>
    </row>
    <row r="333">
      <c r="A333" s="35" t="str">
        <f>IF(AND($L333*1&gt;=$G$3,$L333*1&lt;=$G$4,$I333*$J333&gt;0,CONCATENATE($H333:$L333)&lt;&gt;CONCATENATE($H334:$L334),$I333/POW(10,$J333)*MAXIFS(Token!$B:$B,Token!$A:$A,$K333)&gt;0.01),$L333/86400+DATE(1970,1,1)+IF($L333*1&gt;=$G$5,$G$6,0),)</f>
        <v/>
      </c>
      <c r="B333" s="22" t="str">
        <f t="shared" si="1"/>
        <v/>
      </c>
      <c r="C333" s="14" t="str">
        <f>IF($A333&lt;&gt;"",MINIFS(Merchant!$A:$A,Merchant!$B:$B,$G$2),)</f>
        <v/>
      </c>
      <c r="D333" s="14" t="str">
        <f t="shared" si="2"/>
        <v/>
      </c>
      <c r="E333" s="14" t="str">
        <f t="shared" si="3"/>
        <v/>
      </c>
      <c r="F333" s="6" t="str">
        <f>IF($A333&lt;&gt;"",MAXIFS(Token!$B:$B,Token!$A:$A,$D333),)</f>
        <v/>
      </c>
    </row>
    <row r="334">
      <c r="A334" s="35" t="str">
        <f>IF(AND($L334*1&gt;=$G$3,$L334*1&lt;=$G$4,$I334*$J334&gt;0,CONCATENATE($H334:$L334)&lt;&gt;CONCATENATE($H335:$L335),$I334/POW(10,$J334)*MAXIFS(Token!$B:$B,Token!$A:$A,$K334)&gt;0.01),$L334/86400+DATE(1970,1,1)+IF($L334*1&gt;=$G$5,$G$6,0),)</f>
        <v/>
      </c>
      <c r="B334" s="22" t="str">
        <f t="shared" si="1"/>
        <v/>
      </c>
      <c r="C334" s="14" t="str">
        <f>IF($A334&lt;&gt;"",MINIFS(Merchant!$A:$A,Merchant!$B:$B,$G$2),)</f>
        <v/>
      </c>
      <c r="D334" s="14" t="str">
        <f t="shared" si="2"/>
        <v/>
      </c>
      <c r="E334" s="14" t="str">
        <f t="shared" si="3"/>
        <v/>
      </c>
      <c r="F334" s="6" t="str">
        <f>IF($A334&lt;&gt;"",MAXIFS(Token!$B:$B,Token!$A:$A,$D334),)</f>
        <v/>
      </c>
    </row>
    <row r="335">
      <c r="A335" s="35" t="str">
        <f>IF(AND($L335*1&gt;=$G$3,$L335*1&lt;=$G$4,$I335*$J335&gt;0,CONCATENATE($H335:$L335)&lt;&gt;CONCATENATE($H336:$L336),$I335/POW(10,$J335)*MAXIFS(Token!$B:$B,Token!$A:$A,$K335)&gt;0.01),$L335/86400+DATE(1970,1,1)+IF($L335*1&gt;=$G$5,$G$6,0),)</f>
        <v/>
      </c>
      <c r="B335" s="22" t="str">
        <f t="shared" si="1"/>
        <v/>
      </c>
      <c r="C335" s="14" t="str">
        <f>IF($A335&lt;&gt;"",MINIFS(Merchant!$A:$A,Merchant!$B:$B,$G$2),)</f>
        <v/>
      </c>
      <c r="D335" s="14" t="str">
        <f t="shared" si="2"/>
        <v/>
      </c>
      <c r="E335" s="14" t="str">
        <f t="shared" si="3"/>
        <v/>
      </c>
      <c r="F335" s="6" t="str">
        <f>IF($A335&lt;&gt;"",MAXIFS(Token!$B:$B,Token!$A:$A,$D335),)</f>
        <v/>
      </c>
    </row>
    <row r="336">
      <c r="A336" s="35" t="str">
        <f>IF(AND($L336*1&gt;=$G$3,$L336*1&lt;=$G$4,$I336*$J336&gt;0,CONCATENATE($H336:$L336)&lt;&gt;CONCATENATE($H337:$L337),$I336/POW(10,$J336)*MAXIFS(Token!$B:$B,Token!$A:$A,$K336)&gt;0.01),$L336/86400+DATE(1970,1,1)+IF($L336*1&gt;=$G$5,$G$6,0),)</f>
        <v/>
      </c>
      <c r="B336" s="22" t="str">
        <f t="shared" si="1"/>
        <v/>
      </c>
      <c r="C336" s="14" t="str">
        <f>IF($A336&lt;&gt;"",MINIFS(Merchant!$A:$A,Merchant!$B:$B,$G$2),)</f>
        <v/>
      </c>
      <c r="D336" s="14" t="str">
        <f t="shared" si="2"/>
        <v/>
      </c>
      <c r="E336" s="14" t="str">
        <f t="shared" si="3"/>
        <v/>
      </c>
      <c r="F336" s="6" t="str">
        <f>IF($A336&lt;&gt;"",MAXIFS(Token!$B:$B,Token!$A:$A,$D336),)</f>
        <v/>
      </c>
    </row>
    <row r="337">
      <c r="A337" s="35" t="str">
        <f>IF(AND($L337*1&gt;=$G$3,$L337*1&lt;=$G$4,$I337*$J337&gt;0,CONCATENATE($H337:$L337)&lt;&gt;CONCATENATE($H338:$L338),$I337/POW(10,$J337)*MAXIFS(Token!$B:$B,Token!$A:$A,$K337)&gt;0.01),$L337/86400+DATE(1970,1,1)+IF($L337*1&gt;=$G$5,$G$6,0),)</f>
        <v/>
      </c>
      <c r="B337" s="22" t="str">
        <f t="shared" si="1"/>
        <v/>
      </c>
      <c r="C337" s="14" t="str">
        <f>IF($A337&lt;&gt;"",MINIFS(Merchant!$A:$A,Merchant!$B:$B,$G$2),)</f>
        <v/>
      </c>
      <c r="D337" s="14" t="str">
        <f t="shared" si="2"/>
        <v/>
      </c>
      <c r="E337" s="14" t="str">
        <f t="shared" si="3"/>
        <v/>
      </c>
      <c r="F337" s="6" t="str">
        <f>IF($A337&lt;&gt;"",MAXIFS(Token!$B:$B,Token!$A:$A,$D337),)</f>
        <v/>
      </c>
    </row>
    <row r="338">
      <c r="A338" s="35" t="str">
        <f>IF(AND($L338*1&gt;=$G$3,$L338*1&lt;=$G$4,$I338*$J338&gt;0,CONCATENATE($H338:$L338)&lt;&gt;CONCATENATE($H339:$L339),$I338/POW(10,$J338)*MAXIFS(Token!$B:$B,Token!$A:$A,$K338)&gt;0.01),$L338/86400+DATE(1970,1,1)+IF($L338*1&gt;=$G$5,$G$6,0),)</f>
        <v/>
      </c>
      <c r="B338" s="22" t="str">
        <f t="shared" si="1"/>
        <v/>
      </c>
      <c r="C338" s="14" t="str">
        <f>IF($A338&lt;&gt;"",MINIFS(Merchant!$A:$A,Merchant!$B:$B,$G$2),)</f>
        <v/>
      </c>
      <c r="D338" s="14" t="str">
        <f t="shared" si="2"/>
        <v/>
      </c>
      <c r="E338" s="14" t="str">
        <f t="shared" si="3"/>
        <v/>
      </c>
      <c r="F338" s="6" t="str">
        <f>IF($A338&lt;&gt;"",MAXIFS(Token!$B:$B,Token!$A:$A,$D338),)</f>
        <v/>
      </c>
    </row>
    <row r="339">
      <c r="A339" s="35" t="str">
        <f>IF(AND($L339*1&gt;=$G$3,$L339*1&lt;=$G$4,$I339*$J339&gt;0,CONCATENATE($H339:$L339)&lt;&gt;CONCATENATE($H340:$L340),$I339/POW(10,$J339)*MAXIFS(Token!$B:$B,Token!$A:$A,$K339)&gt;0.01),$L339/86400+DATE(1970,1,1)+IF($L339*1&gt;=$G$5,$G$6,0),)</f>
        <v/>
      </c>
      <c r="B339" s="22" t="str">
        <f t="shared" si="1"/>
        <v/>
      </c>
      <c r="C339" s="14" t="str">
        <f>IF($A339&lt;&gt;"",MINIFS(Merchant!$A:$A,Merchant!$B:$B,$G$2),)</f>
        <v/>
      </c>
      <c r="D339" s="14" t="str">
        <f t="shared" si="2"/>
        <v/>
      </c>
      <c r="E339" s="14" t="str">
        <f t="shared" si="3"/>
        <v/>
      </c>
      <c r="F339" s="6" t="str">
        <f>IF($A339&lt;&gt;"",MAXIFS(Token!$B:$B,Token!$A:$A,$D339),)</f>
        <v/>
      </c>
    </row>
    <row r="340">
      <c r="A340" s="35" t="str">
        <f>IF(AND($L340*1&gt;=$G$3,$L340*1&lt;=$G$4,$I340*$J340&gt;0,CONCATENATE($H340:$L340)&lt;&gt;CONCATENATE($H341:$L341),$I340/POW(10,$J340)*MAXIFS(Token!$B:$B,Token!$A:$A,$K340)&gt;0.01),$L340/86400+DATE(1970,1,1)+IF($L340*1&gt;=$G$5,$G$6,0),)</f>
        <v/>
      </c>
      <c r="B340" s="22" t="str">
        <f t="shared" si="1"/>
        <v/>
      </c>
      <c r="C340" s="14" t="str">
        <f>IF($A340&lt;&gt;"",MINIFS(Merchant!$A:$A,Merchant!$B:$B,$G$2),)</f>
        <v/>
      </c>
      <c r="D340" s="14" t="str">
        <f t="shared" si="2"/>
        <v/>
      </c>
      <c r="E340" s="14" t="str">
        <f t="shared" si="3"/>
        <v/>
      </c>
      <c r="F340" s="6" t="str">
        <f>IF($A340&lt;&gt;"",MAXIFS(Token!$B:$B,Token!$A:$A,$D340),)</f>
        <v/>
      </c>
    </row>
    <row r="341">
      <c r="A341" s="35" t="str">
        <f>IF(AND($L341*1&gt;=$G$3,$L341*1&lt;=$G$4,$I341*$J341&gt;0,CONCATENATE($H341:$L341)&lt;&gt;CONCATENATE($H342:$L342),$I341/POW(10,$J341)*MAXIFS(Token!$B:$B,Token!$A:$A,$K341)&gt;0.01),$L341/86400+DATE(1970,1,1)+IF($L341*1&gt;=$G$5,$G$6,0),)</f>
        <v/>
      </c>
      <c r="B341" s="22" t="str">
        <f t="shared" si="1"/>
        <v/>
      </c>
      <c r="C341" s="14" t="str">
        <f>IF($A341&lt;&gt;"",MINIFS(Merchant!$A:$A,Merchant!$B:$B,$G$2),)</f>
        <v/>
      </c>
      <c r="D341" s="14" t="str">
        <f t="shared" si="2"/>
        <v/>
      </c>
      <c r="E341" s="14" t="str">
        <f t="shared" si="3"/>
        <v/>
      </c>
      <c r="F341" s="6" t="str">
        <f>IF($A341&lt;&gt;"",MAXIFS(Token!$B:$B,Token!$A:$A,$D341),)</f>
        <v/>
      </c>
    </row>
    <row r="342">
      <c r="A342" s="35" t="str">
        <f>IF(AND($L342*1&gt;=$G$3,$L342*1&lt;=$G$4,$I342*$J342&gt;0,CONCATENATE($H342:$L342)&lt;&gt;CONCATENATE($H343:$L343),$I342/POW(10,$J342)*MAXIFS(Token!$B:$B,Token!$A:$A,$K342)&gt;0.01),$L342/86400+DATE(1970,1,1)+IF($L342*1&gt;=$G$5,$G$6,0),)</f>
        <v/>
      </c>
      <c r="B342" s="22" t="str">
        <f t="shared" si="1"/>
        <v/>
      </c>
      <c r="C342" s="14" t="str">
        <f>IF($A342&lt;&gt;"",MINIFS(Merchant!$A:$A,Merchant!$B:$B,$G$2),)</f>
        <v/>
      </c>
      <c r="D342" s="14" t="str">
        <f t="shared" si="2"/>
        <v/>
      </c>
      <c r="E342" s="14" t="str">
        <f t="shared" si="3"/>
        <v/>
      </c>
      <c r="F342" s="6" t="str">
        <f>IF($A342&lt;&gt;"",MAXIFS(Token!$B:$B,Token!$A:$A,$D342),)</f>
        <v/>
      </c>
    </row>
    <row r="343">
      <c r="A343" s="35" t="str">
        <f>IF(AND($L343*1&gt;=$G$3,$L343*1&lt;=$G$4,$I343*$J343&gt;0,CONCATENATE($H343:$L343)&lt;&gt;CONCATENATE($H344:$L344),$I343/POW(10,$J343)*MAXIFS(Token!$B:$B,Token!$A:$A,$K343)&gt;0.01),$L343/86400+DATE(1970,1,1)+IF($L343*1&gt;=$G$5,$G$6,0),)</f>
        <v/>
      </c>
      <c r="B343" s="22" t="str">
        <f t="shared" si="1"/>
        <v/>
      </c>
      <c r="C343" s="14" t="str">
        <f>IF($A343&lt;&gt;"",MINIFS(Merchant!$A:$A,Merchant!$B:$B,$G$2),)</f>
        <v/>
      </c>
      <c r="D343" s="14" t="str">
        <f t="shared" si="2"/>
        <v/>
      </c>
      <c r="E343" s="14" t="str">
        <f t="shared" si="3"/>
        <v/>
      </c>
      <c r="F343" s="6" t="str">
        <f>IF($A343&lt;&gt;"",MAXIFS(Token!$B:$B,Token!$A:$A,$D343),)</f>
        <v/>
      </c>
    </row>
    <row r="344">
      <c r="A344" s="35" t="str">
        <f>IF(AND($L344*1&gt;=$G$3,$L344*1&lt;=$G$4,$I344*$J344&gt;0,CONCATENATE($H344:$L344)&lt;&gt;CONCATENATE($H345:$L345),$I344/POW(10,$J344)*MAXIFS(Token!$B:$B,Token!$A:$A,$K344)&gt;0.01),$L344/86400+DATE(1970,1,1)+IF($L344*1&gt;=$G$5,$G$6,0),)</f>
        <v/>
      </c>
      <c r="B344" s="22" t="str">
        <f t="shared" si="1"/>
        <v/>
      </c>
      <c r="C344" s="14" t="str">
        <f>IF($A344&lt;&gt;"",MINIFS(Merchant!$A:$A,Merchant!$B:$B,$G$2),)</f>
        <v/>
      </c>
      <c r="D344" s="14" t="str">
        <f t="shared" si="2"/>
        <v/>
      </c>
      <c r="E344" s="14" t="str">
        <f t="shared" si="3"/>
        <v/>
      </c>
      <c r="F344" s="6" t="str">
        <f>IF($A344&lt;&gt;"",MAXIFS(Token!$B:$B,Token!$A:$A,$D344),)</f>
        <v/>
      </c>
    </row>
    <row r="345">
      <c r="A345" s="35" t="str">
        <f>IF(AND($L345*1&gt;=$G$3,$L345*1&lt;=$G$4,$I345*$J345&gt;0,CONCATENATE($H345:$L345)&lt;&gt;CONCATENATE($H346:$L346),$I345/POW(10,$J345)*MAXIFS(Token!$B:$B,Token!$A:$A,$K345)&gt;0.01),$L345/86400+DATE(1970,1,1)+IF($L345*1&gt;=$G$5,$G$6,0),)</f>
        <v/>
      </c>
      <c r="B345" s="22" t="str">
        <f t="shared" si="1"/>
        <v/>
      </c>
      <c r="C345" s="14" t="str">
        <f>IF($A345&lt;&gt;"",MINIFS(Merchant!$A:$A,Merchant!$B:$B,$G$2),)</f>
        <v/>
      </c>
      <c r="D345" s="14" t="str">
        <f t="shared" si="2"/>
        <v/>
      </c>
      <c r="E345" s="14" t="str">
        <f t="shared" si="3"/>
        <v/>
      </c>
      <c r="F345" s="6" t="str">
        <f>IF($A345&lt;&gt;"",MAXIFS(Token!$B:$B,Token!$A:$A,$D345),)</f>
        <v/>
      </c>
    </row>
    <row r="346">
      <c r="A346" s="35" t="str">
        <f>IF(AND($L346*1&gt;=$G$3,$L346*1&lt;=$G$4,$I346*$J346&gt;0,CONCATENATE($H346:$L346)&lt;&gt;CONCATENATE($H347:$L347),$I346/POW(10,$J346)*MAXIFS(Token!$B:$B,Token!$A:$A,$K346)&gt;0.01),$L346/86400+DATE(1970,1,1)+IF($L346*1&gt;=$G$5,$G$6,0),)</f>
        <v/>
      </c>
      <c r="B346" s="22" t="str">
        <f t="shared" si="1"/>
        <v/>
      </c>
      <c r="C346" s="14" t="str">
        <f>IF($A346&lt;&gt;"",MINIFS(Merchant!$A:$A,Merchant!$B:$B,$G$2),)</f>
        <v/>
      </c>
      <c r="D346" s="14" t="str">
        <f t="shared" si="2"/>
        <v/>
      </c>
      <c r="E346" s="14" t="str">
        <f t="shared" si="3"/>
        <v/>
      </c>
      <c r="F346" s="6" t="str">
        <f>IF($A346&lt;&gt;"",MAXIFS(Token!$B:$B,Token!$A:$A,$D346),)</f>
        <v/>
      </c>
    </row>
    <row r="347">
      <c r="A347" s="35" t="str">
        <f>IF(AND($L347*1&gt;=$G$3,$L347*1&lt;=$G$4,$I347*$J347&gt;0,CONCATENATE($H347:$L347)&lt;&gt;CONCATENATE($H348:$L348),$I347/POW(10,$J347)*MAXIFS(Token!$B:$B,Token!$A:$A,$K347)&gt;0.01),$L347/86400+DATE(1970,1,1)+IF($L347*1&gt;=$G$5,$G$6,0),)</f>
        <v/>
      </c>
      <c r="B347" s="22" t="str">
        <f t="shared" si="1"/>
        <v/>
      </c>
      <c r="C347" s="14" t="str">
        <f>IF($A347&lt;&gt;"",MINIFS(Merchant!$A:$A,Merchant!$B:$B,$G$2),)</f>
        <v/>
      </c>
      <c r="D347" s="14" t="str">
        <f t="shared" si="2"/>
        <v/>
      </c>
      <c r="E347" s="14" t="str">
        <f t="shared" si="3"/>
        <v/>
      </c>
      <c r="F347" s="6" t="str">
        <f>IF($A347&lt;&gt;"",MAXIFS(Token!$B:$B,Token!$A:$A,$D347),)</f>
        <v/>
      </c>
    </row>
    <row r="348">
      <c r="A348" s="35" t="str">
        <f>IF(AND($L348*1&gt;=$G$3,$L348*1&lt;=$G$4,$I348*$J348&gt;0,CONCATENATE($H348:$L348)&lt;&gt;CONCATENATE($H349:$L349),$I348/POW(10,$J348)*MAXIFS(Token!$B:$B,Token!$A:$A,$K348)&gt;0.01),$L348/86400+DATE(1970,1,1)+IF($L348*1&gt;=$G$5,$G$6,0),)</f>
        <v/>
      </c>
      <c r="B348" s="22" t="str">
        <f t="shared" si="1"/>
        <v/>
      </c>
      <c r="C348" s="14" t="str">
        <f>IF($A348&lt;&gt;"",MINIFS(Merchant!$A:$A,Merchant!$B:$B,$G$2),)</f>
        <v/>
      </c>
      <c r="D348" s="14" t="str">
        <f t="shared" si="2"/>
        <v/>
      </c>
      <c r="E348" s="14" t="str">
        <f t="shared" si="3"/>
        <v/>
      </c>
      <c r="F348" s="6" t="str">
        <f>IF($A348&lt;&gt;"",MAXIFS(Token!$B:$B,Token!$A:$A,$D348),)</f>
        <v/>
      </c>
    </row>
    <row r="349">
      <c r="A349" s="35" t="str">
        <f>IF(AND($L349*1&gt;=$G$3,$L349*1&lt;=$G$4,$I349*$J349&gt;0,CONCATENATE($H349:$L349)&lt;&gt;CONCATENATE($H350:$L350),$I349/POW(10,$J349)*MAXIFS(Token!$B:$B,Token!$A:$A,$K349)&gt;0.01),$L349/86400+DATE(1970,1,1)+IF($L349*1&gt;=$G$5,$G$6,0),)</f>
        <v/>
      </c>
      <c r="B349" s="22" t="str">
        <f t="shared" si="1"/>
        <v/>
      </c>
      <c r="C349" s="14" t="str">
        <f>IF($A349&lt;&gt;"",MINIFS(Merchant!$A:$A,Merchant!$B:$B,$G$2),)</f>
        <v/>
      </c>
      <c r="D349" s="14" t="str">
        <f t="shared" si="2"/>
        <v/>
      </c>
      <c r="E349" s="14" t="str">
        <f t="shared" si="3"/>
        <v/>
      </c>
      <c r="F349" s="6" t="str">
        <f>IF($A349&lt;&gt;"",MAXIFS(Token!$B:$B,Token!$A:$A,$D349),)</f>
        <v/>
      </c>
    </row>
    <row r="350">
      <c r="A350" s="35" t="str">
        <f>IF(AND($L350*1&gt;=$G$3,$L350*1&lt;=$G$4,$I350*$J350&gt;0,CONCATENATE($H350:$L350)&lt;&gt;CONCATENATE($H351:$L351),$I350/POW(10,$J350)*MAXIFS(Token!$B:$B,Token!$A:$A,$K350)&gt;0.01),$L350/86400+DATE(1970,1,1)+IF($L350*1&gt;=$G$5,$G$6,0),)</f>
        <v/>
      </c>
      <c r="B350" s="22" t="str">
        <f t="shared" si="1"/>
        <v/>
      </c>
      <c r="C350" s="14" t="str">
        <f>IF($A350&lt;&gt;"",MINIFS(Merchant!$A:$A,Merchant!$B:$B,$G$2),)</f>
        <v/>
      </c>
      <c r="D350" s="14" t="str">
        <f t="shared" si="2"/>
        <v/>
      </c>
      <c r="E350" s="14" t="str">
        <f t="shared" si="3"/>
        <v/>
      </c>
      <c r="F350" s="6" t="str">
        <f>IF($A350&lt;&gt;"",MAXIFS(Token!$B:$B,Token!$A:$A,$D350),)</f>
        <v/>
      </c>
    </row>
    <row r="351">
      <c r="A351" s="35" t="str">
        <f>IF(AND($L351*1&gt;=$G$3,$L351*1&lt;=$G$4,$I351*$J351&gt;0,CONCATENATE($H351:$L351)&lt;&gt;CONCATENATE($H352:$L352),$I351/POW(10,$J351)*MAXIFS(Token!$B:$B,Token!$A:$A,$K351)&gt;0.01),$L351/86400+DATE(1970,1,1)+IF($L351*1&gt;=$G$5,$G$6,0),)</f>
        <v/>
      </c>
      <c r="B351" s="22" t="str">
        <f t="shared" si="1"/>
        <v/>
      </c>
      <c r="C351" s="14" t="str">
        <f>IF($A351&lt;&gt;"",MINIFS(Merchant!$A:$A,Merchant!$B:$B,$G$2),)</f>
        <v/>
      </c>
      <c r="D351" s="14" t="str">
        <f t="shared" si="2"/>
        <v/>
      </c>
      <c r="E351" s="14" t="str">
        <f t="shared" si="3"/>
        <v/>
      </c>
      <c r="F351" s="6" t="str">
        <f>IF($A351&lt;&gt;"",MAXIFS(Token!$B:$B,Token!$A:$A,$D351),)</f>
        <v/>
      </c>
    </row>
    <row r="352">
      <c r="A352" s="35" t="str">
        <f>IF(AND($L352*1&gt;=$G$3,$L352*1&lt;=$G$4,$I352*$J352&gt;0,CONCATENATE($H352:$L352)&lt;&gt;CONCATENATE($H353:$L353),$I352/POW(10,$J352)*MAXIFS(Token!$B:$B,Token!$A:$A,$K352)&gt;0.01),$L352/86400+DATE(1970,1,1)+IF($L352*1&gt;=$G$5,$G$6,0),)</f>
        <v/>
      </c>
      <c r="B352" s="22" t="str">
        <f t="shared" si="1"/>
        <v/>
      </c>
      <c r="C352" s="14" t="str">
        <f>IF($A352&lt;&gt;"",MINIFS(Merchant!$A:$A,Merchant!$B:$B,$G$2),)</f>
        <v/>
      </c>
      <c r="D352" s="14" t="str">
        <f t="shared" si="2"/>
        <v/>
      </c>
      <c r="E352" s="14" t="str">
        <f t="shared" si="3"/>
        <v/>
      </c>
      <c r="F352" s="6" t="str">
        <f>IF($A352&lt;&gt;"",MAXIFS(Token!$B:$B,Token!$A:$A,$D352),)</f>
        <v/>
      </c>
    </row>
    <row r="353">
      <c r="A353" s="35" t="str">
        <f>IF(AND($L353*1&gt;=$G$3,$L353*1&lt;=$G$4,$I353*$J353&gt;0,CONCATENATE($H353:$L353)&lt;&gt;CONCATENATE($H354:$L354),$I353/POW(10,$J353)*MAXIFS(Token!$B:$B,Token!$A:$A,$K353)&gt;0.01),$L353/86400+DATE(1970,1,1)+IF($L353*1&gt;=$G$5,$G$6,0),)</f>
        <v/>
      </c>
      <c r="B353" s="22" t="str">
        <f t="shared" si="1"/>
        <v/>
      </c>
      <c r="C353" s="14" t="str">
        <f>IF($A353&lt;&gt;"",MINIFS(Merchant!$A:$A,Merchant!$B:$B,$G$2),)</f>
        <v/>
      </c>
      <c r="D353" s="14" t="str">
        <f t="shared" si="2"/>
        <v/>
      </c>
      <c r="E353" s="14" t="str">
        <f t="shared" si="3"/>
        <v/>
      </c>
      <c r="F353" s="6" t="str">
        <f>IF($A353&lt;&gt;"",MAXIFS(Token!$B:$B,Token!$A:$A,$D353),)</f>
        <v/>
      </c>
    </row>
    <row r="354">
      <c r="A354" s="35" t="str">
        <f>IF(AND($L354*1&gt;=$G$3,$L354*1&lt;=$G$4,$I354*$J354&gt;0,CONCATENATE($H354:$L354)&lt;&gt;CONCATENATE($H355:$L355),$I354/POW(10,$J354)*MAXIFS(Token!$B:$B,Token!$A:$A,$K354)&gt;0.01),$L354/86400+DATE(1970,1,1)+IF($L354*1&gt;=$G$5,$G$6,0),)</f>
        <v/>
      </c>
      <c r="B354" s="22" t="str">
        <f t="shared" si="1"/>
        <v/>
      </c>
      <c r="C354" s="14" t="str">
        <f>IF($A354&lt;&gt;"",MINIFS(Merchant!$A:$A,Merchant!$B:$B,$G$2),)</f>
        <v/>
      </c>
      <c r="D354" s="14" t="str">
        <f t="shared" si="2"/>
        <v/>
      </c>
      <c r="E354" s="14" t="str">
        <f t="shared" si="3"/>
        <v/>
      </c>
      <c r="F354" s="6" t="str">
        <f>IF($A354&lt;&gt;"",MAXIFS(Token!$B:$B,Token!$A:$A,$D354),)</f>
        <v/>
      </c>
    </row>
    <row r="355">
      <c r="A355" s="35" t="str">
        <f>IF(AND($L355*1&gt;=$G$3,$L355*1&lt;=$G$4,$I355*$J355&gt;0,CONCATENATE($H355:$L355)&lt;&gt;CONCATENATE($H356:$L356),$I355/POW(10,$J355)*MAXIFS(Token!$B:$B,Token!$A:$A,$K355)&gt;0.01),$L355/86400+DATE(1970,1,1)+IF($L355*1&gt;=$G$5,$G$6,0),)</f>
        <v/>
      </c>
      <c r="B355" s="22" t="str">
        <f t="shared" si="1"/>
        <v/>
      </c>
      <c r="C355" s="14" t="str">
        <f>IF($A355&lt;&gt;"",MINIFS(Merchant!$A:$A,Merchant!$B:$B,$G$2),)</f>
        <v/>
      </c>
      <c r="D355" s="14" t="str">
        <f t="shared" si="2"/>
        <v/>
      </c>
      <c r="E355" s="14" t="str">
        <f t="shared" si="3"/>
        <v/>
      </c>
      <c r="F355" s="6" t="str">
        <f>IF($A355&lt;&gt;"",MAXIFS(Token!$B:$B,Token!$A:$A,$D355),)</f>
        <v/>
      </c>
    </row>
    <row r="356">
      <c r="A356" s="35" t="str">
        <f>IF(AND($L356*1&gt;=$G$3,$L356*1&lt;=$G$4,$I356*$J356&gt;0,CONCATENATE($H356:$L356)&lt;&gt;CONCATENATE($H357:$L357),$I356/POW(10,$J356)*MAXIFS(Token!$B:$B,Token!$A:$A,$K356)&gt;0.01),$L356/86400+DATE(1970,1,1)+IF($L356*1&gt;=$G$5,$G$6,0),)</f>
        <v/>
      </c>
      <c r="B356" s="22" t="str">
        <f t="shared" si="1"/>
        <v/>
      </c>
      <c r="C356" s="14" t="str">
        <f>IF($A356&lt;&gt;"",MINIFS(Merchant!$A:$A,Merchant!$B:$B,$G$2),)</f>
        <v/>
      </c>
      <c r="D356" s="14" t="str">
        <f t="shared" si="2"/>
        <v/>
      </c>
      <c r="E356" s="14" t="str">
        <f t="shared" si="3"/>
        <v/>
      </c>
      <c r="F356" s="6" t="str">
        <f>IF($A356&lt;&gt;"",MAXIFS(Token!$B:$B,Token!$A:$A,$D356),)</f>
        <v/>
      </c>
    </row>
    <row r="357">
      <c r="A357" s="35" t="str">
        <f>IF(AND($L357*1&gt;=$G$3,$L357*1&lt;=$G$4,$I357*$J357&gt;0,CONCATENATE($H357:$L357)&lt;&gt;CONCATENATE($H358:$L358),$I357/POW(10,$J357)*MAXIFS(Token!$B:$B,Token!$A:$A,$K357)&gt;0.01),$L357/86400+DATE(1970,1,1)+IF($L357*1&gt;=$G$5,$G$6,0),)</f>
        <v/>
      </c>
      <c r="B357" s="22" t="str">
        <f t="shared" si="1"/>
        <v/>
      </c>
      <c r="C357" s="14" t="str">
        <f>IF($A357&lt;&gt;"",MINIFS(Merchant!$A:$A,Merchant!$B:$B,$G$2),)</f>
        <v/>
      </c>
      <c r="D357" s="14" t="str">
        <f t="shared" si="2"/>
        <v/>
      </c>
      <c r="E357" s="14" t="str">
        <f t="shared" si="3"/>
        <v/>
      </c>
      <c r="F357" s="6" t="str">
        <f>IF($A357&lt;&gt;"",MAXIFS(Token!$B:$B,Token!$A:$A,$D357),)</f>
        <v/>
      </c>
    </row>
    <row r="358">
      <c r="A358" s="35" t="str">
        <f>IF(AND($L358*1&gt;=$G$3,$L358*1&lt;=$G$4,$I358*$J358&gt;0,CONCATENATE($H358:$L358)&lt;&gt;CONCATENATE($H359:$L359),$I358/POW(10,$J358)*MAXIFS(Token!$B:$B,Token!$A:$A,$K358)&gt;0.01),$L358/86400+DATE(1970,1,1)+IF($L358*1&gt;=$G$5,$G$6,0),)</f>
        <v/>
      </c>
      <c r="B358" s="22" t="str">
        <f t="shared" si="1"/>
        <v/>
      </c>
      <c r="C358" s="14" t="str">
        <f>IF($A358&lt;&gt;"",MINIFS(Merchant!$A:$A,Merchant!$B:$B,$G$2),)</f>
        <v/>
      </c>
      <c r="D358" s="14" t="str">
        <f t="shared" si="2"/>
        <v/>
      </c>
      <c r="E358" s="14" t="str">
        <f t="shared" si="3"/>
        <v/>
      </c>
      <c r="F358" s="6" t="str">
        <f>IF($A358&lt;&gt;"",MAXIFS(Token!$B:$B,Token!$A:$A,$D358),)</f>
        <v/>
      </c>
    </row>
    <row r="359">
      <c r="A359" s="35" t="str">
        <f>IF(AND($L359*1&gt;=$G$3,$L359*1&lt;=$G$4,$I359*$J359&gt;0,CONCATENATE($H359:$L359)&lt;&gt;CONCATENATE($H360:$L360),$I359/POW(10,$J359)*MAXIFS(Token!$B:$B,Token!$A:$A,$K359)&gt;0.01),$L359/86400+DATE(1970,1,1)+IF($L359*1&gt;=$G$5,$G$6,0),)</f>
        <v/>
      </c>
      <c r="B359" s="22" t="str">
        <f t="shared" si="1"/>
        <v/>
      </c>
      <c r="C359" s="14" t="str">
        <f>IF($A359&lt;&gt;"",MINIFS(Merchant!$A:$A,Merchant!$B:$B,$G$2),)</f>
        <v/>
      </c>
      <c r="D359" s="14" t="str">
        <f t="shared" si="2"/>
        <v/>
      </c>
      <c r="E359" s="14" t="str">
        <f t="shared" si="3"/>
        <v/>
      </c>
      <c r="F359" s="6" t="str">
        <f>IF($A359&lt;&gt;"",MAXIFS(Token!$B:$B,Token!$A:$A,$D359),)</f>
        <v/>
      </c>
    </row>
    <row r="360">
      <c r="A360" s="35" t="str">
        <f>IF(AND($L360*1&gt;=$G$3,$L360*1&lt;=$G$4,$I360*$J360&gt;0,CONCATENATE($H360:$L360)&lt;&gt;CONCATENATE($H361:$L361),$I360/POW(10,$J360)*MAXIFS(Token!$B:$B,Token!$A:$A,$K360)&gt;0.01),$L360/86400+DATE(1970,1,1)+IF($L360*1&gt;=$G$5,$G$6,0),)</f>
        <v/>
      </c>
      <c r="B360" s="22" t="str">
        <f t="shared" si="1"/>
        <v/>
      </c>
      <c r="C360" s="14" t="str">
        <f>IF($A360&lt;&gt;"",MINIFS(Merchant!$A:$A,Merchant!$B:$B,$G$2),)</f>
        <v/>
      </c>
      <c r="D360" s="14" t="str">
        <f t="shared" si="2"/>
        <v/>
      </c>
      <c r="E360" s="14" t="str">
        <f t="shared" si="3"/>
        <v/>
      </c>
      <c r="F360" s="6" t="str">
        <f>IF($A360&lt;&gt;"",MAXIFS(Token!$B:$B,Token!$A:$A,$D360),)</f>
        <v/>
      </c>
    </row>
    <row r="361">
      <c r="A361" s="35" t="str">
        <f>IF(AND($L361*1&gt;=$G$3,$L361*1&lt;=$G$4,$I361*$J361&gt;0,CONCATENATE($H361:$L361)&lt;&gt;CONCATENATE($H362:$L362),$I361/POW(10,$J361)*MAXIFS(Token!$B:$B,Token!$A:$A,$K361)&gt;0.01),$L361/86400+DATE(1970,1,1)+IF($L361*1&gt;=$G$5,$G$6,0),)</f>
        <v/>
      </c>
      <c r="B361" s="22" t="str">
        <f t="shared" si="1"/>
        <v/>
      </c>
      <c r="C361" s="14" t="str">
        <f>IF($A361&lt;&gt;"",MINIFS(Merchant!$A:$A,Merchant!$B:$B,$G$2),)</f>
        <v/>
      </c>
      <c r="D361" s="14" t="str">
        <f t="shared" si="2"/>
        <v/>
      </c>
      <c r="E361" s="14" t="str">
        <f t="shared" si="3"/>
        <v/>
      </c>
      <c r="F361" s="6" t="str">
        <f>IF($A361&lt;&gt;"",MAXIFS(Token!$B:$B,Token!$A:$A,$D361),)</f>
        <v/>
      </c>
    </row>
    <row r="362">
      <c r="A362" s="35" t="str">
        <f>IF(AND($L362*1&gt;=$G$3,$L362*1&lt;=$G$4,$I362*$J362&gt;0,CONCATENATE($H362:$L362)&lt;&gt;CONCATENATE($H363:$L363),$I362/POW(10,$J362)*MAXIFS(Token!$B:$B,Token!$A:$A,$K362)&gt;0.01),$L362/86400+DATE(1970,1,1)+IF($L362*1&gt;=$G$5,$G$6,0),)</f>
        <v/>
      </c>
      <c r="B362" s="22" t="str">
        <f t="shared" si="1"/>
        <v/>
      </c>
      <c r="C362" s="14" t="str">
        <f>IF($A362&lt;&gt;"",MINIFS(Merchant!$A:$A,Merchant!$B:$B,$G$2),)</f>
        <v/>
      </c>
      <c r="D362" s="14" t="str">
        <f t="shared" si="2"/>
        <v/>
      </c>
      <c r="E362" s="14" t="str">
        <f t="shared" si="3"/>
        <v/>
      </c>
      <c r="F362" s="6" t="str">
        <f>IF($A362&lt;&gt;"",MAXIFS(Token!$B:$B,Token!$A:$A,$D362),)</f>
        <v/>
      </c>
    </row>
    <row r="363">
      <c r="A363" s="35" t="str">
        <f>IF(AND($L363*1&gt;=$G$3,$L363*1&lt;=$G$4,$I363*$J363&gt;0,CONCATENATE($H363:$L363)&lt;&gt;CONCATENATE($H364:$L364),$I363/POW(10,$J363)*MAXIFS(Token!$B:$B,Token!$A:$A,$K363)&gt;0.01),$L363/86400+DATE(1970,1,1)+IF($L363*1&gt;=$G$5,$G$6,0),)</f>
        <v/>
      </c>
      <c r="B363" s="22" t="str">
        <f t="shared" si="1"/>
        <v/>
      </c>
      <c r="C363" s="14" t="str">
        <f>IF($A363&lt;&gt;"",MINIFS(Merchant!$A:$A,Merchant!$B:$B,$G$2),)</f>
        <v/>
      </c>
      <c r="D363" s="14" t="str">
        <f t="shared" si="2"/>
        <v/>
      </c>
      <c r="E363" s="14" t="str">
        <f t="shared" si="3"/>
        <v/>
      </c>
      <c r="F363" s="6" t="str">
        <f>IF($A363&lt;&gt;"",MAXIFS(Token!$B:$B,Token!$A:$A,$D363),)</f>
        <v/>
      </c>
    </row>
    <row r="364">
      <c r="A364" s="35" t="str">
        <f>IF(AND($L364*1&gt;=$G$3,$L364*1&lt;=$G$4,$I364*$J364&gt;0,CONCATENATE($H364:$L364)&lt;&gt;CONCATENATE($H365:$L365),$I364/POW(10,$J364)*MAXIFS(Token!$B:$B,Token!$A:$A,$K364)&gt;0.01),$L364/86400+DATE(1970,1,1)+IF($L364*1&gt;=$G$5,$G$6,0),)</f>
        <v/>
      </c>
      <c r="B364" s="22" t="str">
        <f t="shared" si="1"/>
        <v/>
      </c>
      <c r="C364" s="14" t="str">
        <f>IF($A364&lt;&gt;"",MINIFS(Merchant!$A:$A,Merchant!$B:$B,$G$2),)</f>
        <v/>
      </c>
      <c r="D364" s="14" t="str">
        <f t="shared" si="2"/>
        <v/>
      </c>
      <c r="E364" s="14" t="str">
        <f t="shared" si="3"/>
        <v/>
      </c>
      <c r="F364" s="6" t="str">
        <f>IF($A364&lt;&gt;"",MAXIFS(Token!$B:$B,Token!$A:$A,$D364),)</f>
        <v/>
      </c>
    </row>
    <row r="365">
      <c r="A365" s="35" t="str">
        <f>IF(AND($L365*1&gt;=$G$3,$L365*1&lt;=$G$4,$I365*$J365&gt;0,CONCATENATE($H365:$L365)&lt;&gt;CONCATENATE($H366:$L366),$I365/POW(10,$J365)*MAXIFS(Token!$B:$B,Token!$A:$A,$K365)&gt;0.01),$L365/86400+DATE(1970,1,1)+IF($L365*1&gt;=$G$5,$G$6,0),)</f>
        <v/>
      </c>
      <c r="B365" s="22" t="str">
        <f t="shared" si="1"/>
        <v/>
      </c>
      <c r="C365" s="14" t="str">
        <f>IF($A365&lt;&gt;"",MINIFS(Merchant!$A:$A,Merchant!$B:$B,$G$2),)</f>
        <v/>
      </c>
      <c r="D365" s="14" t="str">
        <f t="shared" si="2"/>
        <v/>
      </c>
      <c r="E365" s="14" t="str">
        <f t="shared" si="3"/>
        <v/>
      </c>
      <c r="F365" s="6" t="str">
        <f>IF($A365&lt;&gt;"",MAXIFS(Token!$B:$B,Token!$A:$A,$D365),)</f>
        <v/>
      </c>
    </row>
    <row r="366">
      <c r="A366" s="35" t="str">
        <f>IF(AND($L366*1&gt;=$G$3,$L366*1&lt;=$G$4,$I366*$J366&gt;0,CONCATENATE($H366:$L366)&lt;&gt;CONCATENATE($H367:$L367),$I366/POW(10,$J366)*MAXIFS(Token!$B:$B,Token!$A:$A,$K366)&gt;0.01),$L366/86400+DATE(1970,1,1)+IF($L366*1&gt;=$G$5,$G$6,0),)</f>
        <v/>
      </c>
      <c r="B366" s="22" t="str">
        <f t="shared" si="1"/>
        <v/>
      </c>
      <c r="C366" s="14" t="str">
        <f>IF($A366&lt;&gt;"",MINIFS(Merchant!$A:$A,Merchant!$B:$B,$G$2),)</f>
        <v/>
      </c>
      <c r="D366" s="14" t="str">
        <f t="shared" si="2"/>
        <v/>
      </c>
      <c r="E366" s="14" t="str">
        <f t="shared" si="3"/>
        <v/>
      </c>
      <c r="F366" s="6" t="str">
        <f>IF($A366&lt;&gt;"",MAXIFS(Token!$B:$B,Token!$A:$A,$D366),)</f>
        <v/>
      </c>
    </row>
    <row r="367">
      <c r="A367" s="35" t="str">
        <f>IF(AND($L367*1&gt;=$G$3,$L367*1&lt;=$G$4,$I367*$J367&gt;0,CONCATENATE($H367:$L367)&lt;&gt;CONCATENATE($H368:$L368),$I367/POW(10,$J367)*MAXIFS(Token!$B:$B,Token!$A:$A,$K367)&gt;0.01),$L367/86400+DATE(1970,1,1)+IF($L367*1&gt;=$G$5,$G$6,0),)</f>
        <v/>
      </c>
      <c r="B367" s="22" t="str">
        <f t="shared" si="1"/>
        <v/>
      </c>
      <c r="C367" s="14" t="str">
        <f>IF($A367&lt;&gt;"",MINIFS(Merchant!$A:$A,Merchant!$B:$B,$G$2),)</f>
        <v/>
      </c>
      <c r="D367" s="14" t="str">
        <f t="shared" si="2"/>
        <v/>
      </c>
      <c r="E367" s="14" t="str">
        <f t="shared" si="3"/>
        <v/>
      </c>
      <c r="F367" s="6" t="str">
        <f>IF($A367&lt;&gt;"",MAXIFS(Token!$B:$B,Token!$A:$A,$D367),)</f>
        <v/>
      </c>
    </row>
    <row r="368">
      <c r="A368" s="35" t="str">
        <f>IF(AND($L368*1&gt;=$G$3,$L368*1&lt;=$G$4,$I368*$J368&gt;0,CONCATENATE($H368:$L368)&lt;&gt;CONCATENATE($H369:$L369),$I368/POW(10,$J368)*MAXIFS(Token!$B:$B,Token!$A:$A,$K368)&gt;0.01),$L368/86400+DATE(1970,1,1)+IF($L368*1&gt;=$G$5,$G$6,0),)</f>
        <v/>
      </c>
      <c r="B368" s="22" t="str">
        <f t="shared" si="1"/>
        <v/>
      </c>
      <c r="C368" s="14" t="str">
        <f>IF($A368&lt;&gt;"",MINIFS(Merchant!$A:$A,Merchant!$B:$B,$G$2),)</f>
        <v/>
      </c>
      <c r="D368" s="14" t="str">
        <f t="shared" si="2"/>
        <v/>
      </c>
      <c r="E368" s="14" t="str">
        <f t="shared" si="3"/>
        <v/>
      </c>
      <c r="F368" s="6" t="str">
        <f>IF($A368&lt;&gt;"",MAXIFS(Token!$B:$B,Token!$A:$A,$D368),)</f>
        <v/>
      </c>
    </row>
    <row r="369">
      <c r="A369" s="35" t="str">
        <f>IF(AND($L369*1&gt;=$G$3,$L369*1&lt;=$G$4,$I369*$J369&gt;0,CONCATENATE($H369:$L369)&lt;&gt;CONCATENATE($H370:$L370),$I369/POW(10,$J369)*MAXIFS(Token!$B:$B,Token!$A:$A,$K369)&gt;0.01),$L369/86400+DATE(1970,1,1)+IF($L369*1&gt;=$G$5,$G$6,0),)</f>
        <v/>
      </c>
      <c r="B369" s="22" t="str">
        <f t="shared" si="1"/>
        <v/>
      </c>
      <c r="C369" s="14" t="str">
        <f>IF($A369&lt;&gt;"",MINIFS(Merchant!$A:$A,Merchant!$B:$B,$G$2),)</f>
        <v/>
      </c>
      <c r="D369" s="14" t="str">
        <f t="shared" si="2"/>
        <v/>
      </c>
      <c r="E369" s="14" t="str">
        <f t="shared" si="3"/>
        <v/>
      </c>
      <c r="F369" s="6" t="str">
        <f>IF($A369&lt;&gt;"",MAXIFS(Token!$B:$B,Token!$A:$A,$D369),)</f>
        <v/>
      </c>
    </row>
    <row r="370">
      <c r="A370" s="35" t="str">
        <f>IF(AND($L370*1&gt;=$G$3,$L370*1&lt;=$G$4,$I370*$J370&gt;0,CONCATENATE($H370:$L370)&lt;&gt;CONCATENATE($H371:$L371),$I370/POW(10,$J370)*MAXIFS(Token!$B:$B,Token!$A:$A,$K370)&gt;0.01),$L370/86400+DATE(1970,1,1)+IF($L370*1&gt;=$G$5,$G$6,0),)</f>
        <v/>
      </c>
      <c r="B370" s="22" t="str">
        <f t="shared" si="1"/>
        <v/>
      </c>
      <c r="C370" s="14" t="str">
        <f>IF($A370&lt;&gt;"",MINIFS(Merchant!$A:$A,Merchant!$B:$B,$G$2),)</f>
        <v/>
      </c>
      <c r="D370" s="14" t="str">
        <f t="shared" si="2"/>
        <v/>
      </c>
      <c r="E370" s="14" t="str">
        <f t="shared" si="3"/>
        <v/>
      </c>
      <c r="F370" s="6" t="str">
        <f>IF($A370&lt;&gt;"",MAXIFS(Token!$B:$B,Token!$A:$A,$D370),)</f>
        <v/>
      </c>
    </row>
    <row r="371">
      <c r="A371" s="35" t="str">
        <f>IF(AND($L371*1&gt;=$G$3,$L371*1&lt;=$G$4,$I371*$J371&gt;0,CONCATENATE($H371:$L371)&lt;&gt;CONCATENATE($H372:$L372),$I371/POW(10,$J371)*MAXIFS(Token!$B:$B,Token!$A:$A,$K371)&gt;0.01),$L371/86400+DATE(1970,1,1)+IF($L371*1&gt;=$G$5,$G$6,0),)</f>
        <v/>
      </c>
      <c r="B371" s="22" t="str">
        <f t="shared" si="1"/>
        <v/>
      </c>
      <c r="C371" s="14" t="str">
        <f>IF($A371&lt;&gt;"",MINIFS(Merchant!$A:$A,Merchant!$B:$B,$G$2),)</f>
        <v/>
      </c>
      <c r="D371" s="14" t="str">
        <f t="shared" si="2"/>
        <v/>
      </c>
      <c r="E371" s="14" t="str">
        <f t="shared" si="3"/>
        <v/>
      </c>
      <c r="F371" s="6" t="str">
        <f>IF($A371&lt;&gt;"",MAXIFS(Token!$B:$B,Token!$A:$A,$D371),)</f>
        <v/>
      </c>
    </row>
    <row r="372">
      <c r="A372" s="35" t="str">
        <f>IF(AND($L372*1&gt;=$G$3,$L372*1&lt;=$G$4,$I372*$J372&gt;0,CONCATENATE($H372:$L372)&lt;&gt;CONCATENATE($H373:$L373),$I372/POW(10,$J372)*MAXIFS(Token!$B:$B,Token!$A:$A,$K372)&gt;0.01),$L372/86400+DATE(1970,1,1)+IF($L372*1&gt;=$G$5,$G$6,0),)</f>
        <v/>
      </c>
      <c r="B372" s="22" t="str">
        <f t="shared" si="1"/>
        <v/>
      </c>
      <c r="C372" s="14" t="str">
        <f>IF($A372&lt;&gt;"",MINIFS(Merchant!$A:$A,Merchant!$B:$B,$G$2),)</f>
        <v/>
      </c>
      <c r="D372" s="14" t="str">
        <f t="shared" si="2"/>
        <v/>
      </c>
      <c r="E372" s="14" t="str">
        <f t="shared" si="3"/>
        <v/>
      </c>
      <c r="F372" s="6" t="str">
        <f>IF($A372&lt;&gt;"",MAXIFS(Token!$B:$B,Token!$A:$A,$D372),)</f>
        <v/>
      </c>
    </row>
    <row r="373">
      <c r="A373" s="35" t="str">
        <f>IF(AND($L373*1&gt;=$G$3,$L373*1&lt;=$G$4,$I373*$J373&gt;0,CONCATENATE($H373:$L373)&lt;&gt;CONCATENATE($H374:$L374),$I373/POW(10,$J373)*MAXIFS(Token!$B:$B,Token!$A:$A,$K373)&gt;0.01),$L373/86400+DATE(1970,1,1)+IF($L373*1&gt;=$G$5,$G$6,0),)</f>
        <v/>
      </c>
      <c r="B373" s="22" t="str">
        <f t="shared" si="1"/>
        <v/>
      </c>
      <c r="C373" s="14" t="str">
        <f>IF($A373&lt;&gt;"",MINIFS(Merchant!$A:$A,Merchant!$B:$B,$G$2),)</f>
        <v/>
      </c>
      <c r="D373" s="14" t="str">
        <f t="shared" si="2"/>
        <v/>
      </c>
      <c r="E373" s="14" t="str">
        <f t="shared" si="3"/>
        <v/>
      </c>
      <c r="F373" s="6" t="str">
        <f>IF($A373&lt;&gt;"",MAXIFS(Token!$B:$B,Token!$A:$A,$D373),)</f>
        <v/>
      </c>
    </row>
    <row r="374">
      <c r="A374" s="35" t="str">
        <f>IF(AND($L374*1&gt;=$G$3,$L374*1&lt;=$G$4,$I374*$J374&gt;0,CONCATENATE($H374:$L374)&lt;&gt;CONCATENATE($H375:$L375),$I374/POW(10,$J374)*MAXIFS(Token!$B:$B,Token!$A:$A,$K374)&gt;0.01),$L374/86400+DATE(1970,1,1)+IF($L374*1&gt;=$G$5,$G$6,0),)</f>
        <v/>
      </c>
      <c r="B374" s="22" t="str">
        <f t="shared" si="1"/>
        <v/>
      </c>
      <c r="C374" s="14" t="str">
        <f>IF($A374&lt;&gt;"",MINIFS(Merchant!$A:$A,Merchant!$B:$B,$G$2),)</f>
        <v/>
      </c>
      <c r="D374" s="14" t="str">
        <f t="shared" si="2"/>
        <v/>
      </c>
      <c r="E374" s="14" t="str">
        <f t="shared" si="3"/>
        <v/>
      </c>
      <c r="F374" s="6" t="str">
        <f>IF($A374&lt;&gt;"",MAXIFS(Token!$B:$B,Token!$A:$A,$D374),)</f>
        <v/>
      </c>
    </row>
    <row r="375">
      <c r="A375" s="35" t="str">
        <f>IF(AND($L375*1&gt;=$G$3,$L375*1&lt;=$G$4,$I375*$J375&gt;0,CONCATENATE($H375:$L375)&lt;&gt;CONCATENATE($H376:$L376),$I375/POW(10,$J375)*MAXIFS(Token!$B:$B,Token!$A:$A,$K375)&gt;0.01),$L375/86400+DATE(1970,1,1)+IF($L375*1&gt;=$G$5,$G$6,0),)</f>
        <v/>
      </c>
      <c r="B375" s="22" t="str">
        <f t="shared" si="1"/>
        <v/>
      </c>
      <c r="C375" s="14" t="str">
        <f>IF($A375&lt;&gt;"",MINIFS(Merchant!$A:$A,Merchant!$B:$B,$G$2),)</f>
        <v/>
      </c>
      <c r="D375" s="14" t="str">
        <f t="shared" si="2"/>
        <v/>
      </c>
      <c r="E375" s="14" t="str">
        <f t="shared" si="3"/>
        <v/>
      </c>
      <c r="F375" s="6" t="str">
        <f>IF($A375&lt;&gt;"",MAXIFS(Token!$B:$B,Token!$A:$A,$D375),)</f>
        <v/>
      </c>
    </row>
    <row r="376">
      <c r="A376" s="35" t="str">
        <f>IF(AND($L376*1&gt;=$G$3,$L376*1&lt;=$G$4,$I376*$J376&gt;0,CONCATENATE($H376:$L376)&lt;&gt;CONCATENATE($H377:$L377),$I376/POW(10,$J376)*MAXIFS(Token!$B:$B,Token!$A:$A,$K376)&gt;0.01),$L376/86400+DATE(1970,1,1)+IF($L376*1&gt;=$G$5,$G$6,0),)</f>
        <v/>
      </c>
      <c r="B376" s="22" t="str">
        <f t="shared" si="1"/>
        <v/>
      </c>
      <c r="C376" s="14" t="str">
        <f>IF($A376&lt;&gt;"",MINIFS(Merchant!$A:$A,Merchant!$B:$B,$G$2),)</f>
        <v/>
      </c>
      <c r="D376" s="14" t="str">
        <f t="shared" si="2"/>
        <v/>
      </c>
      <c r="E376" s="14" t="str">
        <f t="shared" si="3"/>
        <v/>
      </c>
      <c r="F376" s="6" t="str">
        <f>IF($A376&lt;&gt;"",MAXIFS(Token!$B:$B,Token!$A:$A,$D376),)</f>
        <v/>
      </c>
    </row>
    <row r="377">
      <c r="A377" s="35" t="str">
        <f>IF(AND($L377*1&gt;=$G$3,$L377*1&lt;=$G$4,$I377*$J377&gt;0,CONCATENATE($H377:$L377)&lt;&gt;CONCATENATE($H378:$L378),$I377/POW(10,$J377)*MAXIFS(Token!$B:$B,Token!$A:$A,$K377)&gt;0.01),$L377/86400+DATE(1970,1,1)+IF($L377*1&gt;=$G$5,$G$6,0),)</f>
        <v/>
      </c>
      <c r="B377" s="22" t="str">
        <f t="shared" si="1"/>
        <v/>
      </c>
      <c r="C377" s="14" t="str">
        <f>IF($A377&lt;&gt;"",MINIFS(Merchant!$A:$A,Merchant!$B:$B,$G$2),)</f>
        <v/>
      </c>
      <c r="D377" s="14" t="str">
        <f t="shared" si="2"/>
        <v/>
      </c>
      <c r="E377" s="14" t="str">
        <f t="shared" si="3"/>
        <v/>
      </c>
      <c r="F377" s="6" t="str">
        <f>IF($A377&lt;&gt;"",MAXIFS(Token!$B:$B,Token!$A:$A,$D377),)</f>
        <v/>
      </c>
    </row>
    <row r="378">
      <c r="A378" s="35" t="str">
        <f>IF(AND($L378*1&gt;=$G$3,$L378*1&lt;=$G$4,$I378*$J378&gt;0,CONCATENATE($H378:$L378)&lt;&gt;CONCATENATE($H379:$L379),$I378/POW(10,$J378)*MAXIFS(Token!$B:$B,Token!$A:$A,$K378)&gt;0.01),$L378/86400+DATE(1970,1,1)+IF($L378*1&gt;=$G$5,$G$6,0),)</f>
        <v/>
      </c>
      <c r="B378" s="22" t="str">
        <f t="shared" si="1"/>
        <v/>
      </c>
      <c r="C378" s="14" t="str">
        <f>IF($A378&lt;&gt;"",MINIFS(Merchant!$A:$A,Merchant!$B:$B,$G$2),)</f>
        <v/>
      </c>
      <c r="D378" s="14" t="str">
        <f t="shared" si="2"/>
        <v/>
      </c>
      <c r="E378" s="14" t="str">
        <f t="shared" si="3"/>
        <v/>
      </c>
      <c r="F378" s="6" t="str">
        <f>IF($A378&lt;&gt;"",MAXIFS(Token!$B:$B,Token!$A:$A,$D378),)</f>
        <v/>
      </c>
    </row>
    <row r="379">
      <c r="A379" s="35" t="str">
        <f>IF(AND($L379*1&gt;=$G$3,$L379*1&lt;=$G$4,$I379*$J379&gt;0,CONCATENATE($H379:$L379)&lt;&gt;CONCATENATE($H380:$L380),$I379/POW(10,$J379)*MAXIFS(Token!$B:$B,Token!$A:$A,$K379)&gt;0.01),$L379/86400+DATE(1970,1,1)+IF($L379*1&gt;=$G$5,$G$6,0),)</f>
        <v/>
      </c>
      <c r="B379" s="22" t="str">
        <f t="shared" si="1"/>
        <v/>
      </c>
      <c r="C379" s="14" t="str">
        <f>IF($A379&lt;&gt;"",MINIFS(Merchant!$A:$A,Merchant!$B:$B,$G$2),)</f>
        <v/>
      </c>
      <c r="D379" s="14" t="str">
        <f t="shared" si="2"/>
        <v/>
      </c>
      <c r="E379" s="14" t="str">
        <f t="shared" si="3"/>
        <v/>
      </c>
      <c r="F379" s="6" t="str">
        <f>IF($A379&lt;&gt;"",MAXIFS(Token!$B:$B,Token!$A:$A,$D379),)</f>
        <v/>
      </c>
    </row>
    <row r="380">
      <c r="A380" s="35" t="str">
        <f>IF(AND($L380*1&gt;=$G$3,$L380*1&lt;=$G$4,$I380*$J380&gt;0,CONCATENATE($H380:$L380)&lt;&gt;CONCATENATE($H381:$L381),$I380/POW(10,$J380)*MAXIFS(Token!$B:$B,Token!$A:$A,$K380)&gt;0.01),$L380/86400+DATE(1970,1,1)+IF($L380*1&gt;=$G$5,$G$6,0),)</f>
        <v/>
      </c>
      <c r="B380" s="22" t="str">
        <f t="shared" si="1"/>
        <v/>
      </c>
      <c r="C380" s="14" t="str">
        <f>IF($A380&lt;&gt;"",MINIFS(Merchant!$A:$A,Merchant!$B:$B,$G$2),)</f>
        <v/>
      </c>
      <c r="D380" s="14" t="str">
        <f t="shared" si="2"/>
        <v/>
      </c>
      <c r="E380" s="14" t="str">
        <f t="shared" si="3"/>
        <v/>
      </c>
      <c r="F380" s="6" t="str">
        <f>IF($A380&lt;&gt;"",MAXIFS(Token!$B:$B,Token!$A:$A,$D380),)</f>
        <v/>
      </c>
    </row>
    <row r="381">
      <c r="A381" s="35" t="str">
        <f>IF(AND($L381*1&gt;=$G$3,$L381*1&lt;=$G$4,$I381*$J381&gt;0,CONCATENATE($H381:$L381)&lt;&gt;CONCATENATE($H382:$L382),$I381/POW(10,$J381)*MAXIFS(Token!$B:$B,Token!$A:$A,$K381)&gt;0.01),$L381/86400+DATE(1970,1,1)+IF($L381*1&gt;=$G$5,$G$6,0),)</f>
        <v/>
      </c>
      <c r="B381" s="22" t="str">
        <f t="shared" si="1"/>
        <v/>
      </c>
      <c r="C381" s="14" t="str">
        <f>IF($A381&lt;&gt;"",MINIFS(Merchant!$A:$A,Merchant!$B:$B,$G$2),)</f>
        <v/>
      </c>
      <c r="D381" s="14" t="str">
        <f t="shared" si="2"/>
        <v/>
      </c>
      <c r="E381" s="14" t="str">
        <f t="shared" si="3"/>
        <v/>
      </c>
      <c r="F381" s="6" t="str">
        <f>IF($A381&lt;&gt;"",MAXIFS(Token!$B:$B,Token!$A:$A,$D381),)</f>
        <v/>
      </c>
    </row>
    <row r="382">
      <c r="A382" s="35" t="str">
        <f>IF(AND($L382*1&gt;=$G$3,$L382*1&lt;=$G$4,$I382*$J382&gt;0,CONCATENATE($H382:$L382)&lt;&gt;CONCATENATE($H383:$L383),$I382/POW(10,$J382)*MAXIFS(Token!$B:$B,Token!$A:$A,$K382)&gt;0.01),$L382/86400+DATE(1970,1,1)+IF($L382*1&gt;=$G$5,$G$6,0),)</f>
        <v/>
      </c>
      <c r="B382" s="22" t="str">
        <f t="shared" si="1"/>
        <v/>
      </c>
      <c r="C382" s="14" t="str">
        <f>IF($A382&lt;&gt;"",MINIFS(Merchant!$A:$A,Merchant!$B:$B,$G$2),)</f>
        <v/>
      </c>
      <c r="D382" s="14" t="str">
        <f t="shared" si="2"/>
        <v/>
      </c>
      <c r="E382" s="14" t="str">
        <f t="shared" si="3"/>
        <v/>
      </c>
      <c r="F382" s="6" t="str">
        <f>IF($A382&lt;&gt;"",MAXIFS(Token!$B:$B,Token!$A:$A,$D382),)</f>
        <v/>
      </c>
    </row>
    <row r="383">
      <c r="A383" s="35" t="str">
        <f>IF(AND($L383*1&gt;=$G$3,$L383*1&lt;=$G$4,$I383*$J383&gt;0,CONCATENATE($H383:$L383)&lt;&gt;CONCATENATE($H384:$L384),$I383/POW(10,$J383)*MAXIFS(Token!$B:$B,Token!$A:$A,$K383)&gt;0.01),$L383/86400+DATE(1970,1,1)+IF($L383*1&gt;=$G$5,$G$6,0),)</f>
        <v/>
      </c>
      <c r="B383" s="22" t="str">
        <f t="shared" si="1"/>
        <v/>
      </c>
      <c r="C383" s="14" t="str">
        <f>IF($A383&lt;&gt;"",MINIFS(Merchant!$A:$A,Merchant!$B:$B,$G$2),)</f>
        <v/>
      </c>
      <c r="D383" s="14" t="str">
        <f t="shared" si="2"/>
        <v/>
      </c>
      <c r="E383" s="14" t="str">
        <f t="shared" si="3"/>
        <v/>
      </c>
      <c r="F383" s="6" t="str">
        <f>IF($A383&lt;&gt;"",MAXIFS(Token!$B:$B,Token!$A:$A,$D383),)</f>
        <v/>
      </c>
    </row>
    <row r="384">
      <c r="A384" s="35" t="str">
        <f>IF(AND($L384*1&gt;=$G$3,$L384*1&lt;=$G$4,$I384*$J384&gt;0,CONCATENATE($H384:$L384)&lt;&gt;CONCATENATE($H385:$L385),$I384/POW(10,$J384)*MAXIFS(Token!$B:$B,Token!$A:$A,$K384)&gt;0.01),$L384/86400+DATE(1970,1,1)+IF($L384*1&gt;=$G$5,$G$6,0),)</f>
        <v/>
      </c>
      <c r="B384" s="22" t="str">
        <f t="shared" si="1"/>
        <v/>
      </c>
      <c r="C384" s="14" t="str">
        <f>IF($A384&lt;&gt;"",MINIFS(Merchant!$A:$A,Merchant!$B:$B,$G$2),)</f>
        <v/>
      </c>
      <c r="D384" s="14" t="str">
        <f t="shared" si="2"/>
        <v/>
      </c>
      <c r="E384" s="14" t="str">
        <f t="shared" si="3"/>
        <v/>
      </c>
      <c r="F384" s="6" t="str">
        <f>IF($A384&lt;&gt;"",MAXIFS(Token!$B:$B,Token!$A:$A,$D384),)</f>
        <v/>
      </c>
    </row>
    <row r="385">
      <c r="A385" s="35" t="str">
        <f>IF(AND($L385*1&gt;=$G$3,$L385*1&lt;=$G$4,$I385*$J385&gt;0,CONCATENATE($H385:$L385)&lt;&gt;CONCATENATE($H386:$L386),$I385/POW(10,$J385)*MAXIFS(Token!$B:$B,Token!$A:$A,$K385)&gt;0.01),$L385/86400+DATE(1970,1,1)+IF($L385*1&gt;=$G$5,$G$6,0),)</f>
        <v/>
      </c>
      <c r="B385" s="22" t="str">
        <f t="shared" si="1"/>
        <v/>
      </c>
      <c r="C385" s="14" t="str">
        <f>IF($A385&lt;&gt;"",MINIFS(Merchant!$A:$A,Merchant!$B:$B,$G$2),)</f>
        <v/>
      </c>
      <c r="D385" s="14" t="str">
        <f t="shared" si="2"/>
        <v/>
      </c>
      <c r="E385" s="14" t="str">
        <f t="shared" si="3"/>
        <v/>
      </c>
      <c r="F385" s="6" t="str">
        <f>IF($A385&lt;&gt;"",MAXIFS(Token!$B:$B,Token!$A:$A,$D385),)</f>
        <v/>
      </c>
    </row>
    <row r="386">
      <c r="A386" s="35" t="str">
        <f>IF(AND($L386*1&gt;=$G$3,$L386*1&lt;=$G$4,$I386*$J386&gt;0,CONCATENATE($H386:$L386)&lt;&gt;CONCATENATE($H387:$L387),$I386/POW(10,$J386)*MAXIFS(Token!$B:$B,Token!$A:$A,$K386)&gt;0.01),$L386/86400+DATE(1970,1,1)+IF($L386*1&gt;=$G$5,$G$6,0),)</f>
        <v/>
      </c>
      <c r="B386" s="22" t="str">
        <f t="shared" si="1"/>
        <v/>
      </c>
      <c r="C386" s="14" t="str">
        <f>IF($A386&lt;&gt;"",MINIFS(Merchant!$A:$A,Merchant!$B:$B,$G$2),)</f>
        <v/>
      </c>
      <c r="D386" s="14" t="str">
        <f t="shared" si="2"/>
        <v/>
      </c>
      <c r="E386" s="14" t="str">
        <f t="shared" si="3"/>
        <v/>
      </c>
      <c r="F386" s="6" t="str">
        <f>IF($A386&lt;&gt;"",MAXIFS(Token!$B:$B,Token!$A:$A,$D386),)</f>
        <v/>
      </c>
    </row>
    <row r="387">
      <c r="A387" s="35" t="str">
        <f>IF(AND($L387*1&gt;=$G$3,$L387*1&lt;=$G$4,$I387*$J387&gt;0,CONCATENATE($H387:$L387)&lt;&gt;CONCATENATE($H388:$L388),$I387/POW(10,$J387)*MAXIFS(Token!$B:$B,Token!$A:$A,$K387)&gt;0.01),$L387/86400+DATE(1970,1,1)+IF($L387*1&gt;=$G$5,$G$6,0),)</f>
        <v/>
      </c>
      <c r="B387" s="22" t="str">
        <f t="shared" si="1"/>
        <v/>
      </c>
      <c r="C387" s="14" t="str">
        <f>IF($A387&lt;&gt;"",MINIFS(Merchant!$A:$A,Merchant!$B:$B,$G$2),)</f>
        <v/>
      </c>
      <c r="D387" s="14" t="str">
        <f t="shared" si="2"/>
        <v/>
      </c>
      <c r="E387" s="14" t="str">
        <f t="shared" si="3"/>
        <v/>
      </c>
      <c r="F387" s="6" t="str">
        <f>IF($A387&lt;&gt;"",MAXIFS(Token!$B:$B,Token!$A:$A,$D387),)</f>
        <v/>
      </c>
    </row>
    <row r="388">
      <c r="A388" s="35" t="str">
        <f>IF(AND($L388*1&gt;=$G$3,$L388*1&lt;=$G$4,$I388*$J388&gt;0,CONCATENATE($H388:$L388)&lt;&gt;CONCATENATE($H389:$L389),$I388/POW(10,$J388)*MAXIFS(Token!$B:$B,Token!$A:$A,$K388)&gt;0.01),$L388/86400+DATE(1970,1,1)+IF($L388*1&gt;=$G$5,$G$6,0),)</f>
        <v/>
      </c>
      <c r="B388" s="22" t="str">
        <f t="shared" si="1"/>
        <v/>
      </c>
      <c r="C388" s="14" t="str">
        <f>IF($A388&lt;&gt;"",MINIFS(Merchant!$A:$A,Merchant!$B:$B,$G$2),)</f>
        <v/>
      </c>
      <c r="D388" s="14" t="str">
        <f t="shared" si="2"/>
        <v/>
      </c>
      <c r="E388" s="14" t="str">
        <f t="shared" si="3"/>
        <v/>
      </c>
      <c r="F388" s="6" t="str">
        <f>IF($A388&lt;&gt;"",MAXIFS(Token!$B:$B,Token!$A:$A,$D388),)</f>
        <v/>
      </c>
    </row>
    <row r="389">
      <c r="A389" s="35" t="str">
        <f>IF(AND($L389*1&gt;=$G$3,$L389*1&lt;=$G$4,$I389*$J389&gt;0,CONCATENATE($H389:$L389)&lt;&gt;CONCATENATE($H390:$L390),$I389/POW(10,$J389)*MAXIFS(Token!$B:$B,Token!$A:$A,$K389)&gt;0.01),$L389/86400+DATE(1970,1,1)+IF($L389*1&gt;=$G$5,$G$6,0),)</f>
        <v/>
      </c>
      <c r="B389" s="22" t="str">
        <f t="shared" si="1"/>
        <v/>
      </c>
      <c r="C389" s="14" t="str">
        <f>IF($A389&lt;&gt;"",MINIFS(Merchant!$A:$A,Merchant!$B:$B,$G$2),)</f>
        <v/>
      </c>
      <c r="D389" s="14" t="str">
        <f t="shared" si="2"/>
        <v/>
      </c>
      <c r="E389" s="14" t="str">
        <f t="shared" si="3"/>
        <v/>
      </c>
      <c r="F389" s="6" t="str">
        <f>IF($A389&lt;&gt;"",MAXIFS(Token!$B:$B,Token!$A:$A,$D389),)</f>
        <v/>
      </c>
    </row>
    <row r="390">
      <c r="A390" s="35" t="str">
        <f>IF(AND($L390*1&gt;=$G$3,$L390*1&lt;=$G$4,$I390*$J390&gt;0,CONCATENATE($H390:$L390)&lt;&gt;CONCATENATE($H391:$L391),$I390/POW(10,$J390)*MAXIFS(Token!$B:$B,Token!$A:$A,$K390)&gt;0.01),$L390/86400+DATE(1970,1,1)+IF($L390*1&gt;=$G$5,$G$6,0),)</f>
        <v/>
      </c>
      <c r="B390" s="22" t="str">
        <f t="shared" si="1"/>
        <v/>
      </c>
      <c r="C390" s="14" t="str">
        <f>IF($A390&lt;&gt;"",MINIFS(Merchant!$A:$A,Merchant!$B:$B,$G$2),)</f>
        <v/>
      </c>
      <c r="D390" s="14" t="str">
        <f t="shared" si="2"/>
        <v/>
      </c>
      <c r="E390" s="14" t="str">
        <f t="shared" si="3"/>
        <v/>
      </c>
      <c r="F390" s="6" t="str">
        <f>IF($A390&lt;&gt;"",MAXIFS(Token!$B:$B,Token!$A:$A,$D390),)</f>
        <v/>
      </c>
    </row>
    <row r="391">
      <c r="A391" s="35" t="str">
        <f>IF(AND($L391*1&gt;=$G$3,$L391*1&lt;=$G$4,$I391*$J391&gt;0,CONCATENATE($H391:$L391)&lt;&gt;CONCATENATE($H392:$L392),$I391/POW(10,$J391)*MAXIFS(Token!$B:$B,Token!$A:$A,$K391)&gt;0.01),$L391/86400+DATE(1970,1,1)+IF($L391*1&gt;=$G$5,$G$6,0),)</f>
        <v/>
      </c>
      <c r="B391" s="22" t="str">
        <f t="shared" si="1"/>
        <v/>
      </c>
      <c r="C391" s="14" t="str">
        <f>IF($A391&lt;&gt;"",MINIFS(Merchant!$A:$A,Merchant!$B:$B,$G$2),)</f>
        <v/>
      </c>
      <c r="D391" s="14" t="str">
        <f t="shared" si="2"/>
        <v/>
      </c>
      <c r="E391" s="14" t="str">
        <f t="shared" si="3"/>
        <v/>
      </c>
      <c r="F391" s="6" t="str">
        <f>IF($A391&lt;&gt;"",MAXIFS(Token!$B:$B,Token!$A:$A,$D391),)</f>
        <v/>
      </c>
    </row>
    <row r="392">
      <c r="A392" s="35" t="str">
        <f>IF(AND($L392*1&gt;=$G$3,$L392*1&lt;=$G$4,$I392*$J392&gt;0,CONCATENATE($H392:$L392)&lt;&gt;CONCATENATE($H393:$L393),$I392/POW(10,$J392)*MAXIFS(Token!$B:$B,Token!$A:$A,$K392)&gt;0.01),$L392/86400+DATE(1970,1,1)+IF($L392*1&gt;=$G$5,$G$6,0),)</f>
        <v/>
      </c>
      <c r="B392" s="22" t="str">
        <f t="shared" si="1"/>
        <v/>
      </c>
      <c r="C392" s="14" t="str">
        <f>IF($A392&lt;&gt;"",MINIFS(Merchant!$A:$A,Merchant!$B:$B,$G$2),)</f>
        <v/>
      </c>
      <c r="D392" s="14" t="str">
        <f t="shared" si="2"/>
        <v/>
      </c>
      <c r="E392" s="14" t="str">
        <f t="shared" si="3"/>
        <v/>
      </c>
      <c r="F392" s="6" t="str">
        <f>IF($A392&lt;&gt;"",MAXIFS(Token!$B:$B,Token!$A:$A,$D392),)</f>
        <v/>
      </c>
    </row>
    <row r="393">
      <c r="A393" s="35" t="str">
        <f>IF(AND($L393*1&gt;=$G$3,$L393*1&lt;=$G$4,$I393*$J393&gt;0,CONCATENATE($H393:$L393)&lt;&gt;CONCATENATE($H394:$L394),$I393/POW(10,$J393)*MAXIFS(Token!$B:$B,Token!$A:$A,$K393)&gt;0.01),$L393/86400+DATE(1970,1,1)+IF($L393*1&gt;=$G$5,$G$6,0),)</f>
        <v/>
      </c>
      <c r="B393" s="22" t="str">
        <f t="shared" si="1"/>
        <v/>
      </c>
      <c r="C393" s="14" t="str">
        <f>IF($A393&lt;&gt;"",MINIFS(Merchant!$A:$A,Merchant!$B:$B,$G$2),)</f>
        <v/>
      </c>
      <c r="D393" s="14" t="str">
        <f t="shared" si="2"/>
        <v/>
      </c>
      <c r="E393" s="14" t="str">
        <f t="shared" si="3"/>
        <v/>
      </c>
      <c r="F393" s="6" t="str">
        <f>IF($A393&lt;&gt;"",MAXIFS(Token!$B:$B,Token!$A:$A,$D393),)</f>
        <v/>
      </c>
    </row>
    <row r="394">
      <c r="A394" s="35" t="str">
        <f>IF(AND($L394*1&gt;=$G$3,$L394*1&lt;=$G$4,$I394*$J394&gt;0,CONCATENATE($H394:$L394)&lt;&gt;CONCATENATE($H395:$L395),$I394/POW(10,$J394)*MAXIFS(Token!$B:$B,Token!$A:$A,$K394)&gt;0.01),$L394/86400+DATE(1970,1,1)+IF($L394*1&gt;=$G$5,$G$6,0),)</f>
        <v/>
      </c>
      <c r="B394" s="22" t="str">
        <f t="shared" si="1"/>
        <v/>
      </c>
      <c r="C394" s="14" t="str">
        <f>IF($A394&lt;&gt;"",MINIFS(Merchant!$A:$A,Merchant!$B:$B,$G$2),)</f>
        <v/>
      </c>
      <c r="D394" s="14" t="str">
        <f t="shared" si="2"/>
        <v/>
      </c>
      <c r="E394" s="14" t="str">
        <f t="shared" si="3"/>
        <v/>
      </c>
      <c r="F394" s="6" t="str">
        <f>IF($A394&lt;&gt;"",MAXIFS(Token!$B:$B,Token!$A:$A,$D394),)</f>
        <v/>
      </c>
    </row>
    <row r="395">
      <c r="A395" s="35" t="str">
        <f>IF(AND($L395*1&gt;=$G$3,$L395*1&lt;=$G$4,$I395*$J395&gt;0,CONCATENATE($H395:$L395)&lt;&gt;CONCATENATE($H396:$L396),$I395/POW(10,$J395)*MAXIFS(Token!$B:$B,Token!$A:$A,$K395)&gt;0.01),$L395/86400+DATE(1970,1,1)+IF($L395*1&gt;=$G$5,$G$6,0),)</f>
        <v/>
      </c>
      <c r="B395" s="22" t="str">
        <f t="shared" si="1"/>
        <v/>
      </c>
      <c r="C395" s="14" t="str">
        <f>IF($A395&lt;&gt;"",MINIFS(Merchant!$A:$A,Merchant!$B:$B,$G$2),)</f>
        <v/>
      </c>
      <c r="D395" s="14" t="str">
        <f t="shared" si="2"/>
        <v/>
      </c>
      <c r="E395" s="14" t="str">
        <f t="shared" si="3"/>
        <v/>
      </c>
      <c r="F395" s="6" t="str">
        <f>IF($A395&lt;&gt;"",MAXIFS(Token!$B:$B,Token!$A:$A,$D395),)</f>
        <v/>
      </c>
    </row>
    <row r="396">
      <c r="A396" s="35" t="str">
        <f>IF(AND($L396*1&gt;=$G$3,$L396*1&lt;=$G$4,$I396*$J396&gt;0,CONCATENATE($H396:$L396)&lt;&gt;CONCATENATE($H397:$L397),$I396/POW(10,$J396)*MAXIFS(Token!$B:$B,Token!$A:$A,$K396)&gt;0.01),$L396/86400+DATE(1970,1,1)+IF($L396*1&gt;=$G$5,$G$6,0),)</f>
        <v/>
      </c>
      <c r="B396" s="22" t="str">
        <f t="shared" si="1"/>
        <v/>
      </c>
      <c r="C396" s="14" t="str">
        <f>IF($A396&lt;&gt;"",MINIFS(Merchant!$A:$A,Merchant!$B:$B,$G$2),)</f>
        <v/>
      </c>
      <c r="D396" s="14" t="str">
        <f t="shared" si="2"/>
        <v/>
      </c>
      <c r="E396" s="14" t="str">
        <f t="shared" si="3"/>
        <v/>
      </c>
      <c r="F396" s="6" t="str">
        <f>IF($A396&lt;&gt;"",MAXIFS(Token!$B:$B,Token!$A:$A,$D396),)</f>
        <v/>
      </c>
    </row>
    <row r="397">
      <c r="A397" s="35" t="str">
        <f>IF(AND($L397*1&gt;=$G$3,$L397*1&lt;=$G$4,$I397*$J397&gt;0,CONCATENATE($H397:$L397)&lt;&gt;CONCATENATE($H398:$L398),$I397/POW(10,$J397)*MAXIFS(Token!$B:$B,Token!$A:$A,$K397)&gt;0.01),$L397/86400+DATE(1970,1,1)+IF($L397*1&gt;=$G$5,$G$6,0),)</f>
        <v/>
      </c>
      <c r="B397" s="22" t="str">
        <f t="shared" si="1"/>
        <v/>
      </c>
      <c r="C397" s="14" t="str">
        <f>IF($A397&lt;&gt;"",MINIFS(Merchant!$A:$A,Merchant!$B:$B,$G$2),)</f>
        <v/>
      </c>
      <c r="D397" s="14" t="str">
        <f t="shared" si="2"/>
        <v/>
      </c>
      <c r="E397" s="14" t="str">
        <f t="shared" si="3"/>
        <v/>
      </c>
      <c r="F397" s="6" t="str">
        <f>IF($A397&lt;&gt;"",MAXIFS(Token!$B:$B,Token!$A:$A,$D397),)</f>
        <v/>
      </c>
    </row>
    <row r="398">
      <c r="A398" s="35" t="str">
        <f>IF(AND($L398*1&gt;=$G$3,$L398*1&lt;=$G$4,$I398*$J398&gt;0,CONCATENATE($H398:$L398)&lt;&gt;CONCATENATE($H399:$L399),$I398/POW(10,$J398)*MAXIFS(Token!$B:$B,Token!$A:$A,$K398)&gt;0.01),$L398/86400+DATE(1970,1,1)+IF($L398*1&gt;=$G$5,$G$6,0),)</f>
        <v/>
      </c>
      <c r="B398" s="22" t="str">
        <f t="shared" si="1"/>
        <v/>
      </c>
      <c r="C398" s="14" t="str">
        <f>IF($A398&lt;&gt;"",MINIFS(Merchant!$A:$A,Merchant!$B:$B,$G$2),)</f>
        <v/>
      </c>
      <c r="D398" s="14" t="str">
        <f t="shared" si="2"/>
        <v/>
      </c>
      <c r="E398" s="14" t="str">
        <f t="shared" si="3"/>
        <v/>
      </c>
      <c r="F398" s="6" t="str">
        <f>IF($A398&lt;&gt;"",MAXIFS(Token!$B:$B,Token!$A:$A,$D398),)</f>
        <v/>
      </c>
    </row>
    <row r="399">
      <c r="A399" s="35" t="str">
        <f>IF(AND($L399*1&gt;=$G$3,$L399*1&lt;=$G$4,$I399*$J399&gt;0,CONCATENATE($H399:$L399)&lt;&gt;CONCATENATE($H400:$L400),$I399/POW(10,$J399)*MAXIFS(Token!$B:$B,Token!$A:$A,$K399)&gt;0.01),$L399/86400+DATE(1970,1,1)+IF($L399*1&gt;=$G$5,$G$6,0),)</f>
        <v/>
      </c>
      <c r="B399" s="22" t="str">
        <f t="shared" si="1"/>
        <v/>
      </c>
      <c r="C399" s="14" t="str">
        <f>IF($A399&lt;&gt;"",MINIFS(Merchant!$A:$A,Merchant!$B:$B,$G$2),)</f>
        <v/>
      </c>
      <c r="D399" s="14" t="str">
        <f t="shared" si="2"/>
        <v/>
      </c>
      <c r="E399" s="14" t="str">
        <f t="shared" si="3"/>
        <v/>
      </c>
      <c r="F399" s="6" t="str">
        <f>IF($A399&lt;&gt;"",MAXIFS(Token!$B:$B,Token!$A:$A,$D399),)</f>
        <v/>
      </c>
    </row>
    <row r="400">
      <c r="A400" s="35" t="str">
        <f>IF(AND($L400*1&gt;=$G$3,$L400*1&lt;=$G$4,$I400*$J400&gt;0,CONCATENATE($H400:$L400)&lt;&gt;CONCATENATE($H401:$L401),$I400/POW(10,$J400)*MAXIFS(Token!$B:$B,Token!$A:$A,$K400)&gt;0.01),$L400/86400+DATE(1970,1,1)+IF($L400*1&gt;=$G$5,$G$6,0),)</f>
        <v/>
      </c>
      <c r="B400" s="22" t="str">
        <f t="shared" si="1"/>
        <v/>
      </c>
      <c r="C400" s="14" t="str">
        <f>IF($A400&lt;&gt;"",MINIFS(Merchant!$A:$A,Merchant!$B:$B,$G$2),)</f>
        <v/>
      </c>
      <c r="D400" s="14" t="str">
        <f t="shared" si="2"/>
        <v/>
      </c>
      <c r="E400" s="14" t="str">
        <f t="shared" si="3"/>
        <v/>
      </c>
      <c r="F400" s="6" t="str">
        <f>IF($A400&lt;&gt;"",MAXIFS(Token!$B:$B,Token!$A:$A,$D400),)</f>
        <v/>
      </c>
    </row>
    <row r="401">
      <c r="A401" s="35" t="str">
        <f>IF(AND($L401*1&gt;=$G$3,$L401*1&lt;=$G$4,$I401*$J401&gt;0,CONCATENATE($H401:$L401)&lt;&gt;CONCATENATE($H402:$L402),$I401/POW(10,$J401)*MAXIFS(Token!$B:$B,Token!$A:$A,$K401)&gt;0.01),$L401/86400+DATE(1970,1,1)+IF($L401*1&gt;=$G$5,$G$6,0),)</f>
        <v/>
      </c>
      <c r="B401" s="22" t="str">
        <f t="shared" si="1"/>
        <v/>
      </c>
      <c r="C401" s="14" t="str">
        <f>IF($A401&lt;&gt;"",MINIFS(Merchant!$A:$A,Merchant!$B:$B,$G$2),)</f>
        <v/>
      </c>
      <c r="D401" s="14" t="str">
        <f t="shared" si="2"/>
        <v/>
      </c>
      <c r="E401" s="14" t="str">
        <f t="shared" si="3"/>
        <v/>
      </c>
      <c r="F401" s="6" t="str">
        <f>IF($A401&lt;&gt;"",MAXIFS(Token!$B:$B,Token!$A:$A,$D401),)</f>
        <v/>
      </c>
    </row>
    <row r="402">
      <c r="A402" s="35" t="str">
        <f>IF(AND($L402*1&gt;=$G$3,$L402*1&lt;=$G$4,$I402*$J402&gt;0,CONCATENATE($H402:$L402)&lt;&gt;CONCATENATE($H403:$L403),$I402/POW(10,$J402)*MAXIFS(Token!$B:$B,Token!$A:$A,$K402)&gt;0.01),$L402/86400+DATE(1970,1,1)+IF($L402*1&gt;=$G$5,$G$6,0),)</f>
        <v/>
      </c>
      <c r="B402" s="22" t="str">
        <f t="shared" si="1"/>
        <v/>
      </c>
      <c r="C402" s="14" t="str">
        <f>IF($A402&lt;&gt;"",MINIFS(Merchant!$A:$A,Merchant!$B:$B,$G$2),)</f>
        <v/>
      </c>
      <c r="D402" s="14" t="str">
        <f t="shared" si="2"/>
        <v/>
      </c>
      <c r="E402" s="14" t="str">
        <f t="shared" si="3"/>
        <v/>
      </c>
      <c r="F402" s="6" t="str">
        <f>IF($A402&lt;&gt;"",MAXIFS(Token!$B:$B,Token!$A:$A,$D402),)</f>
        <v/>
      </c>
    </row>
    <row r="403">
      <c r="A403" s="35" t="str">
        <f>IF(AND($L403*1&gt;=$G$3,$L403*1&lt;=$G$4,$I403*$J403&gt;0,CONCATENATE($H403:$L403)&lt;&gt;CONCATENATE($H404:$L404),$I403/POW(10,$J403)*MAXIFS(Token!$B:$B,Token!$A:$A,$K403)&gt;0.01),$L403/86400+DATE(1970,1,1)+IF($L403*1&gt;=$G$5,$G$6,0),)</f>
        <v/>
      </c>
      <c r="B403" s="22" t="str">
        <f t="shared" si="1"/>
        <v/>
      </c>
      <c r="C403" s="14" t="str">
        <f>IF($A403&lt;&gt;"",MINIFS(Merchant!$A:$A,Merchant!$B:$B,$G$2),)</f>
        <v/>
      </c>
      <c r="D403" s="14" t="str">
        <f t="shared" si="2"/>
        <v/>
      </c>
      <c r="E403" s="14" t="str">
        <f t="shared" si="3"/>
        <v/>
      </c>
      <c r="F403" s="6" t="str">
        <f>IF($A403&lt;&gt;"",MAXIFS(Token!$B:$B,Token!$A:$A,$D403),)</f>
        <v/>
      </c>
    </row>
    <row r="404">
      <c r="A404" s="35" t="str">
        <f>IF(AND($L404*1&gt;=$G$3,$L404*1&lt;=$G$4,$I404*$J404&gt;0,CONCATENATE($H404:$L404)&lt;&gt;CONCATENATE($H405:$L405),$I404/POW(10,$J404)*MAXIFS(Token!$B:$B,Token!$A:$A,$K404)&gt;0.01),$L404/86400+DATE(1970,1,1)+IF($L404*1&gt;=$G$5,$G$6,0),)</f>
        <v/>
      </c>
      <c r="B404" s="22" t="str">
        <f t="shared" si="1"/>
        <v/>
      </c>
      <c r="C404" s="14" t="str">
        <f>IF($A404&lt;&gt;"",MINIFS(Merchant!$A:$A,Merchant!$B:$B,$G$2),)</f>
        <v/>
      </c>
      <c r="D404" s="14" t="str">
        <f t="shared" si="2"/>
        <v/>
      </c>
      <c r="E404" s="14" t="str">
        <f t="shared" si="3"/>
        <v/>
      </c>
      <c r="F404" s="6" t="str">
        <f>IF($A404&lt;&gt;"",MAXIFS(Token!$B:$B,Token!$A:$A,$D404),)</f>
        <v/>
      </c>
    </row>
    <row r="405">
      <c r="A405" s="35" t="str">
        <f>IF(AND($L405*1&gt;=$G$3,$L405*1&lt;=$G$4,$I405*$J405&gt;0,CONCATENATE($H405:$L405)&lt;&gt;CONCATENATE($H406:$L406),$I405/POW(10,$J405)*MAXIFS(Token!$B:$B,Token!$A:$A,$K405)&gt;0.01),$L405/86400+DATE(1970,1,1)+IF($L405*1&gt;=$G$5,$G$6,0),)</f>
        <v/>
      </c>
      <c r="B405" s="22" t="str">
        <f t="shared" si="1"/>
        <v/>
      </c>
      <c r="C405" s="14" t="str">
        <f>IF($A405&lt;&gt;"",MINIFS(Merchant!$A:$A,Merchant!$B:$B,$G$2),)</f>
        <v/>
      </c>
      <c r="D405" s="14" t="str">
        <f t="shared" si="2"/>
        <v/>
      </c>
      <c r="E405" s="14" t="str">
        <f t="shared" si="3"/>
        <v/>
      </c>
      <c r="F405" s="6" t="str">
        <f>IF($A405&lt;&gt;"",MAXIFS(Token!$B:$B,Token!$A:$A,$D405),)</f>
        <v/>
      </c>
    </row>
    <row r="406">
      <c r="A406" s="35" t="str">
        <f>IF(AND($L406*1&gt;=$G$3,$L406*1&lt;=$G$4,$I406*$J406&gt;0,CONCATENATE($H406:$L406)&lt;&gt;CONCATENATE($H407:$L407),$I406/POW(10,$J406)*MAXIFS(Token!$B:$B,Token!$A:$A,$K406)&gt;0.01),$L406/86400+DATE(1970,1,1)+IF($L406*1&gt;=$G$5,$G$6,0),)</f>
        <v/>
      </c>
      <c r="B406" s="22" t="str">
        <f t="shared" si="1"/>
        <v/>
      </c>
      <c r="C406" s="14" t="str">
        <f>IF($A406&lt;&gt;"",MINIFS(Merchant!$A:$A,Merchant!$B:$B,$G$2),)</f>
        <v/>
      </c>
      <c r="D406" s="14" t="str">
        <f t="shared" si="2"/>
        <v/>
      </c>
      <c r="E406" s="14" t="str">
        <f t="shared" si="3"/>
        <v/>
      </c>
      <c r="F406" s="6" t="str">
        <f>IF($A406&lt;&gt;"",MAXIFS(Token!$B:$B,Token!$A:$A,$D406),)</f>
        <v/>
      </c>
    </row>
    <row r="407">
      <c r="A407" s="35" t="str">
        <f>IF(AND($L407*1&gt;=$G$3,$L407*1&lt;=$G$4,$I407*$J407&gt;0,CONCATENATE($H407:$L407)&lt;&gt;CONCATENATE($H408:$L408),$I407/POW(10,$J407)*MAXIFS(Token!$B:$B,Token!$A:$A,$K407)&gt;0.01),$L407/86400+DATE(1970,1,1)+IF($L407*1&gt;=$G$5,$G$6,0),)</f>
        <v/>
      </c>
      <c r="B407" s="22" t="str">
        <f t="shared" si="1"/>
        <v/>
      </c>
      <c r="C407" s="14" t="str">
        <f>IF($A407&lt;&gt;"",MINIFS(Merchant!$A:$A,Merchant!$B:$B,$G$2),)</f>
        <v/>
      </c>
      <c r="D407" s="14" t="str">
        <f t="shared" si="2"/>
        <v/>
      </c>
      <c r="E407" s="14" t="str">
        <f t="shared" si="3"/>
        <v/>
      </c>
      <c r="F407" s="6" t="str">
        <f>IF($A407&lt;&gt;"",MAXIFS(Token!$B:$B,Token!$A:$A,$D407),)</f>
        <v/>
      </c>
    </row>
    <row r="408">
      <c r="A408" s="35" t="str">
        <f>IF(AND($L408*1&gt;=$G$3,$L408*1&lt;=$G$4,$I408*$J408&gt;0,CONCATENATE($H408:$L408)&lt;&gt;CONCATENATE($H409:$L409),$I408/POW(10,$J408)*MAXIFS(Token!$B:$B,Token!$A:$A,$K408)&gt;0.01),$L408/86400+DATE(1970,1,1)+IF($L408*1&gt;=$G$5,$G$6,0),)</f>
        <v/>
      </c>
      <c r="B408" s="22" t="str">
        <f t="shared" si="1"/>
        <v/>
      </c>
      <c r="C408" s="14" t="str">
        <f>IF($A408&lt;&gt;"",MINIFS(Merchant!$A:$A,Merchant!$B:$B,$G$2),)</f>
        <v/>
      </c>
      <c r="D408" s="14" t="str">
        <f t="shared" si="2"/>
        <v/>
      </c>
      <c r="E408" s="14" t="str">
        <f t="shared" si="3"/>
        <v/>
      </c>
      <c r="F408" s="6" t="str">
        <f>IF($A408&lt;&gt;"",MAXIFS(Token!$B:$B,Token!$A:$A,$D408),)</f>
        <v/>
      </c>
    </row>
    <row r="409">
      <c r="A409" s="35" t="str">
        <f>IF(AND($L409*1&gt;=$G$3,$L409*1&lt;=$G$4,$I409*$J409&gt;0,CONCATENATE($H409:$L409)&lt;&gt;CONCATENATE($H410:$L410),$I409/POW(10,$J409)*MAXIFS(Token!$B:$B,Token!$A:$A,$K409)&gt;0.01),$L409/86400+DATE(1970,1,1)+IF($L409*1&gt;=$G$5,$G$6,0),)</f>
        <v/>
      </c>
      <c r="B409" s="22" t="str">
        <f t="shared" si="1"/>
        <v/>
      </c>
      <c r="C409" s="14" t="str">
        <f>IF($A409&lt;&gt;"",MINIFS(Merchant!$A:$A,Merchant!$B:$B,$G$2),)</f>
        <v/>
      </c>
      <c r="D409" s="14" t="str">
        <f t="shared" si="2"/>
        <v/>
      </c>
      <c r="E409" s="14" t="str">
        <f t="shared" si="3"/>
        <v/>
      </c>
      <c r="F409" s="6" t="str">
        <f>IF($A409&lt;&gt;"",MAXIFS(Token!$B:$B,Token!$A:$A,$D409),)</f>
        <v/>
      </c>
    </row>
    <row r="410">
      <c r="A410" s="35" t="str">
        <f>IF(AND($L410*1&gt;=$G$3,$L410*1&lt;=$G$4,$I410*$J410&gt;0,CONCATENATE($H410:$L410)&lt;&gt;CONCATENATE($H411:$L411),$I410/POW(10,$J410)*MAXIFS(Token!$B:$B,Token!$A:$A,$K410)&gt;0.01),$L410/86400+DATE(1970,1,1)+IF($L410*1&gt;=$G$5,$G$6,0),)</f>
        <v/>
      </c>
      <c r="B410" s="22" t="str">
        <f t="shared" si="1"/>
        <v/>
      </c>
      <c r="C410" s="14" t="str">
        <f>IF($A410&lt;&gt;"",MINIFS(Merchant!$A:$A,Merchant!$B:$B,$G$2),)</f>
        <v/>
      </c>
      <c r="D410" s="14" t="str">
        <f t="shared" si="2"/>
        <v/>
      </c>
      <c r="E410" s="14" t="str">
        <f t="shared" si="3"/>
        <v/>
      </c>
      <c r="F410" s="6" t="str">
        <f>IF($A410&lt;&gt;"",MAXIFS(Token!$B:$B,Token!$A:$A,$D410),)</f>
        <v/>
      </c>
    </row>
    <row r="411">
      <c r="A411" s="35" t="str">
        <f>IF(AND($L411*1&gt;=$G$3,$L411*1&lt;=$G$4,$I411*$J411&gt;0,CONCATENATE($H411:$L411)&lt;&gt;CONCATENATE($H412:$L412),$I411/POW(10,$J411)*MAXIFS(Token!$B:$B,Token!$A:$A,$K411)&gt;0.01),$L411/86400+DATE(1970,1,1)+IF($L411*1&gt;=$G$5,$G$6,0),)</f>
        <v/>
      </c>
      <c r="B411" s="22" t="str">
        <f t="shared" si="1"/>
        <v/>
      </c>
      <c r="C411" s="14" t="str">
        <f>IF($A411&lt;&gt;"",MINIFS(Merchant!$A:$A,Merchant!$B:$B,$G$2),)</f>
        <v/>
      </c>
      <c r="D411" s="14" t="str">
        <f t="shared" si="2"/>
        <v/>
      </c>
      <c r="E411" s="14" t="str">
        <f t="shared" si="3"/>
        <v/>
      </c>
      <c r="F411" s="6" t="str">
        <f>IF($A411&lt;&gt;"",MAXIFS(Token!$B:$B,Token!$A:$A,$D411),)</f>
        <v/>
      </c>
    </row>
    <row r="412">
      <c r="A412" s="35" t="str">
        <f>IF(AND($L412*1&gt;=$G$3,$L412*1&lt;=$G$4,$I412*$J412&gt;0,CONCATENATE($H412:$L412)&lt;&gt;CONCATENATE($H413:$L413),$I412/POW(10,$J412)*MAXIFS(Token!$B:$B,Token!$A:$A,$K412)&gt;0.01),$L412/86400+DATE(1970,1,1)+IF($L412*1&gt;=$G$5,$G$6,0),)</f>
        <v/>
      </c>
      <c r="B412" s="22" t="str">
        <f t="shared" si="1"/>
        <v/>
      </c>
      <c r="C412" s="14" t="str">
        <f>IF($A412&lt;&gt;"",MINIFS(Merchant!$A:$A,Merchant!$B:$B,$G$2),)</f>
        <v/>
      </c>
      <c r="D412" s="14" t="str">
        <f t="shared" si="2"/>
        <v/>
      </c>
      <c r="E412" s="14" t="str">
        <f t="shared" si="3"/>
        <v/>
      </c>
      <c r="F412" s="6" t="str">
        <f>IF($A412&lt;&gt;"",MAXIFS(Token!$B:$B,Token!$A:$A,$D412),)</f>
        <v/>
      </c>
    </row>
    <row r="413">
      <c r="A413" s="35" t="str">
        <f>IF(AND($L413*1&gt;=$G$3,$L413*1&lt;=$G$4,$I413*$J413&gt;0,CONCATENATE($H413:$L413)&lt;&gt;CONCATENATE($H414:$L414),$I413/POW(10,$J413)*MAXIFS(Token!$B:$B,Token!$A:$A,$K413)&gt;0.01),$L413/86400+DATE(1970,1,1)+IF($L413*1&gt;=$G$5,$G$6,0),)</f>
        <v/>
      </c>
      <c r="B413" s="22" t="str">
        <f t="shared" si="1"/>
        <v/>
      </c>
      <c r="C413" s="14" t="str">
        <f>IF($A413&lt;&gt;"",MINIFS(Merchant!$A:$A,Merchant!$B:$B,$G$2),)</f>
        <v/>
      </c>
      <c r="D413" s="14" t="str">
        <f t="shared" si="2"/>
        <v/>
      </c>
      <c r="E413" s="14" t="str">
        <f t="shared" si="3"/>
        <v/>
      </c>
      <c r="F413" s="6" t="str">
        <f>IF($A413&lt;&gt;"",MAXIFS(Token!$B:$B,Token!$A:$A,$D413),)</f>
        <v/>
      </c>
    </row>
    <row r="414">
      <c r="A414" s="35" t="str">
        <f>IF(AND($L414*1&gt;=$G$3,$L414*1&lt;=$G$4,$I414*$J414&gt;0,CONCATENATE($H414:$L414)&lt;&gt;CONCATENATE($H415:$L415),$I414/POW(10,$J414)*MAXIFS(Token!$B:$B,Token!$A:$A,$K414)&gt;0.01),$L414/86400+DATE(1970,1,1)+IF($L414*1&gt;=$G$5,$G$6,0),)</f>
        <v/>
      </c>
      <c r="B414" s="22" t="str">
        <f t="shared" si="1"/>
        <v/>
      </c>
      <c r="C414" s="14" t="str">
        <f>IF($A414&lt;&gt;"",MINIFS(Merchant!$A:$A,Merchant!$B:$B,$G$2),)</f>
        <v/>
      </c>
      <c r="D414" s="14" t="str">
        <f t="shared" si="2"/>
        <v/>
      </c>
      <c r="E414" s="14" t="str">
        <f t="shared" si="3"/>
        <v/>
      </c>
      <c r="F414" s="6" t="str">
        <f>IF($A414&lt;&gt;"",MAXIFS(Token!$B:$B,Token!$A:$A,$D414),)</f>
        <v/>
      </c>
    </row>
    <row r="415">
      <c r="A415" s="35" t="str">
        <f>IF(AND($L415*1&gt;=$G$3,$L415*1&lt;=$G$4,$I415*$J415&gt;0,CONCATENATE($H415:$L415)&lt;&gt;CONCATENATE($H416:$L416),$I415/POW(10,$J415)*MAXIFS(Token!$B:$B,Token!$A:$A,$K415)&gt;0.01),$L415/86400+DATE(1970,1,1)+IF($L415*1&gt;=$G$5,$G$6,0),)</f>
        <v/>
      </c>
      <c r="B415" s="22" t="str">
        <f t="shared" si="1"/>
        <v/>
      </c>
      <c r="C415" s="14" t="str">
        <f>IF($A415&lt;&gt;"",MINIFS(Merchant!$A:$A,Merchant!$B:$B,$G$2),)</f>
        <v/>
      </c>
      <c r="D415" s="14" t="str">
        <f t="shared" si="2"/>
        <v/>
      </c>
      <c r="E415" s="14" t="str">
        <f t="shared" si="3"/>
        <v/>
      </c>
      <c r="F415" s="6" t="str">
        <f>IF($A415&lt;&gt;"",MAXIFS(Token!$B:$B,Token!$A:$A,$D415),)</f>
        <v/>
      </c>
    </row>
    <row r="416">
      <c r="A416" s="35" t="str">
        <f>IF(AND($L416*1&gt;=$G$3,$L416*1&lt;=$G$4,$I416*$J416&gt;0,CONCATENATE($H416:$L416)&lt;&gt;CONCATENATE($H417:$L417),$I416/POW(10,$J416)*MAXIFS(Token!$B:$B,Token!$A:$A,$K416)&gt;0.01),$L416/86400+DATE(1970,1,1)+IF($L416*1&gt;=$G$5,$G$6,0),)</f>
        <v/>
      </c>
      <c r="B416" s="22" t="str">
        <f t="shared" si="1"/>
        <v/>
      </c>
      <c r="C416" s="14" t="str">
        <f>IF($A416&lt;&gt;"",MINIFS(Merchant!$A:$A,Merchant!$B:$B,$G$2),)</f>
        <v/>
      </c>
      <c r="D416" s="14" t="str">
        <f t="shared" si="2"/>
        <v/>
      </c>
      <c r="E416" s="14" t="str">
        <f t="shared" si="3"/>
        <v/>
      </c>
      <c r="F416" s="6" t="str">
        <f>IF($A416&lt;&gt;"",MAXIFS(Token!$B:$B,Token!$A:$A,$D416),)</f>
        <v/>
      </c>
    </row>
    <row r="417">
      <c r="A417" s="35" t="str">
        <f>IF(AND($L417*1&gt;=$G$3,$L417*1&lt;=$G$4,$I417*$J417&gt;0,CONCATENATE($H417:$L417)&lt;&gt;CONCATENATE($H418:$L418),$I417/POW(10,$J417)*MAXIFS(Token!$B:$B,Token!$A:$A,$K417)&gt;0.01),$L417/86400+DATE(1970,1,1)+IF($L417*1&gt;=$G$5,$G$6,0),)</f>
        <v/>
      </c>
      <c r="B417" s="22" t="str">
        <f t="shared" si="1"/>
        <v/>
      </c>
      <c r="C417" s="14" t="str">
        <f>IF($A417&lt;&gt;"",MINIFS(Merchant!$A:$A,Merchant!$B:$B,$G$2),)</f>
        <v/>
      </c>
      <c r="D417" s="14" t="str">
        <f t="shared" si="2"/>
        <v/>
      </c>
      <c r="E417" s="14" t="str">
        <f t="shared" si="3"/>
        <v/>
      </c>
      <c r="F417" s="6" t="str">
        <f>IF($A417&lt;&gt;"",MAXIFS(Token!$B:$B,Token!$A:$A,$D417),)</f>
        <v/>
      </c>
    </row>
    <row r="418">
      <c r="A418" s="35" t="str">
        <f>IF(AND($L418*1&gt;=$G$3,$L418*1&lt;=$G$4,$I418*$J418&gt;0,CONCATENATE($H418:$L418)&lt;&gt;CONCATENATE($H419:$L419),$I418/POW(10,$J418)*MAXIFS(Token!$B:$B,Token!$A:$A,$K418)&gt;0.01),$L418/86400+DATE(1970,1,1)+IF($L418*1&gt;=$G$5,$G$6,0),)</f>
        <v/>
      </c>
      <c r="B418" s="22" t="str">
        <f t="shared" si="1"/>
        <v/>
      </c>
      <c r="C418" s="14" t="str">
        <f>IF($A418&lt;&gt;"",MINIFS(Merchant!$A:$A,Merchant!$B:$B,$G$2),)</f>
        <v/>
      </c>
      <c r="D418" s="14" t="str">
        <f t="shared" si="2"/>
        <v/>
      </c>
      <c r="E418" s="14" t="str">
        <f t="shared" si="3"/>
        <v/>
      </c>
      <c r="F418" s="6" t="str">
        <f>IF($A418&lt;&gt;"",MAXIFS(Token!$B:$B,Token!$A:$A,$D418),)</f>
        <v/>
      </c>
    </row>
    <row r="419">
      <c r="A419" s="35" t="str">
        <f>IF(AND($L419*1&gt;=$G$3,$L419*1&lt;=$G$4,$I419*$J419&gt;0,CONCATENATE($H419:$L419)&lt;&gt;CONCATENATE($H420:$L420),$I419/POW(10,$J419)*MAXIFS(Token!$B:$B,Token!$A:$A,$K419)&gt;0.01),$L419/86400+DATE(1970,1,1)+IF($L419*1&gt;=$G$5,$G$6,0),)</f>
        <v/>
      </c>
      <c r="B419" s="22" t="str">
        <f t="shared" si="1"/>
        <v/>
      </c>
      <c r="C419" s="14" t="str">
        <f>IF($A419&lt;&gt;"",MINIFS(Merchant!$A:$A,Merchant!$B:$B,$G$2),)</f>
        <v/>
      </c>
      <c r="D419" s="14" t="str">
        <f t="shared" si="2"/>
        <v/>
      </c>
      <c r="E419" s="14" t="str">
        <f t="shared" si="3"/>
        <v/>
      </c>
      <c r="F419" s="6" t="str">
        <f>IF($A419&lt;&gt;"",MAXIFS(Token!$B:$B,Token!$A:$A,$D419),)</f>
        <v/>
      </c>
    </row>
    <row r="420">
      <c r="A420" s="35" t="str">
        <f>IF(AND($L420*1&gt;=$G$3,$L420*1&lt;=$G$4,$I420*$J420&gt;0,CONCATENATE($H420:$L420)&lt;&gt;CONCATENATE($H421:$L421),$I420/POW(10,$J420)*MAXIFS(Token!$B:$B,Token!$A:$A,$K420)&gt;0.01),$L420/86400+DATE(1970,1,1)+IF($L420*1&gt;=$G$5,$G$6,0),)</f>
        <v/>
      </c>
      <c r="B420" s="22" t="str">
        <f t="shared" si="1"/>
        <v/>
      </c>
      <c r="C420" s="14" t="str">
        <f>IF($A420&lt;&gt;"",MINIFS(Merchant!$A:$A,Merchant!$B:$B,$G$2),)</f>
        <v/>
      </c>
      <c r="D420" s="14" t="str">
        <f t="shared" si="2"/>
        <v/>
      </c>
      <c r="E420" s="14" t="str">
        <f t="shared" si="3"/>
        <v/>
      </c>
      <c r="F420" s="6" t="str">
        <f>IF($A420&lt;&gt;"",MAXIFS(Token!$B:$B,Token!$A:$A,$D420),)</f>
        <v/>
      </c>
    </row>
    <row r="421">
      <c r="A421" s="35" t="str">
        <f>IF(AND($L421*1&gt;=$G$3,$L421*1&lt;=$G$4,$I421*$J421&gt;0,CONCATENATE($H421:$L421)&lt;&gt;CONCATENATE($H422:$L422),$I421/POW(10,$J421)*MAXIFS(Token!$B:$B,Token!$A:$A,$K421)&gt;0.01),$L421/86400+DATE(1970,1,1)+IF($L421*1&gt;=$G$5,$G$6,0),)</f>
        <v/>
      </c>
      <c r="B421" s="22" t="str">
        <f t="shared" si="1"/>
        <v/>
      </c>
      <c r="C421" s="14" t="str">
        <f>IF($A421&lt;&gt;"",MINIFS(Merchant!$A:$A,Merchant!$B:$B,$G$2),)</f>
        <v/>
      </c>
      <c r="D421" s="14" t="str">
        <f t="shared" si="2"/>
        <v/>
      </c>
      <c r="E421" s="14" t="str">
        <f t="shared" si="3"/>
        <v/>
      </c>
      <c r="F421" s="6" t="str">
        <f>IF($A421&lt;&gt;"",MAXIFS(Token!$B:$B,Token!$A:$A,$D421),)</f>
        <v/>
      </c>
    </row>
    <row r="422">
      <c r="A422" s="35" t="str">
        <f>IF(AND($L422*1&gt;=$G$3,$L422*1&lt;=$G$4,$I422*$J422&gt;0,CONCATENATE($H422:$L422)&lt;&gt;CONCATENATE($H423:$L423),$I422/POW(10,$J422)*MAXIFS(Token!$B:$B,Token!$A:$A,$K422)&gt;0.01),$L422/86400+DATE(1970,1,1)+IF($L422*1&gt;=$G$5,$G$6,0),)</f>
        <v/>
      </c>
      <c r="B422" s="22" t="str">
        <f t="shared" si="1"/>
        <v/>
      </c>
      <c r="C422" s="14" t="str">
        <f>IF($A422&lt;&gt;"",MINIFS(Merchant!$A:$A,Merchant!$B:$B,$G$2),)</f>
        <v/>
      </c>
      <c r="D422" s="14" t="str">
        <f t="shared" si="2"/>
        <v/>
      </c>
      <c r="E422" s="14" t="str">
        <f t="shared" si="3"/>
        <v/>
      </c>
      <c r="F422" s="6" t="str">
        <f>IF($A422&lt;&gt;"",MAXIFS(Token!$B:$B,Token!$A:$A,$D422),)</f>
        <v/>
      </c>
    </row>
    <row r="423">
      <c r="A423" s="35" t="str">
        <f>IF(AND($L423*1&gt;=$G$3,$L423*1&lt;=$G$4,$I423*$J423&gt;0,CONCATENATE($H423:$L423)&lt;&gt;CONCATENATE($H424:$L424),$I423/POW(10,$J423)*MAXIFS(Token!$B:$B,Token!$A:$A,$K423)&gt;0.01),$L423/86400+DATE(1970,1,1)+IF($L423*1&gt;=$G$5,$G$6,0),)</f>
        <v/>
      </c>
      <c r="B423" s="22" t="str">
        <f t="shared" si="1"/>
        <v/>
      </c>
      <c r="C423" s="14" t="str">
        <f>IF($A423&lt;&gt;"",MINIFS(Merchant!$A:$A,Merchant!$B:$B,$G$2),)</f>
        <v/>
      </c>
      <c r="D423" s="14" t="str">
        <f t="shared" si="2"/>
        <v/>
      </c>
      <c r="E423" s="14" t="str">
        <f t="shared" si="3"/>
        <v/>
      </c>
      <c r="F423" s="6" t="str">
        <f>IF($A423&lt;&gt;"",MAXIFS(Token!$B:$B,Token!$A:$A,$D423),)</f>
        <v/>
      </c>
    </row>
    <row r="424">
      <c r="A424" s="35" t="str">
        <f>IF(AND($L424*1&gt;=$G$3,$L424*1&lt;=$G$4,$I424*$J424&gt;0,CONCATENATE($H424:$L424)&lt;&gt;CONCATENATE($H425:$L425),$I424/POW(10,$J424)*MAXIFS(Token!$B:$B,Token!$A:$A,$K424)&gt;0.01),$L424/86400+DATE(1970,1,1)+IF($L424*1&gt;=$G$5,$G$6,0),)</f>
        <v/>
      </c>
      <c r="B424" s="22" t="str">
        <f t="shared" si="1"/>
        <v/>
      </c>
      <c r="C424" s="14" t="str">
        <f>IF($A424&lt;&gt;"",MINIFS(Merchant!$A:$A,Merchant!$B:$B,$G$2),)</f>
        <v/>
      </c>
      <c r="D424" s="14" t="str">
        <f t="shared" si="2"/>
        <v/>
      </c>
      <c r="E424" s="14" t="str">
        <f t="shared" si="3"/>
        <v/>
      </c>
      <c r="F424" s="6" t="str">
        <f>IF($A424&lt;&gt;"",MAXIFS(Token!$B:$B,Token!$A:$A,$D424),)</f>
        <v/>
      </c>
    </row>
    <row r="425">
      <c r="A425" s="35" t="str">
        <f>IF(AND($L425*1&gt;=$G$3,$L425*1&lt;=$G$4,$I425*$J425&gt;0,CONCATENATE($H425:$L425)&lt;&gt;CONCATENATE($H426:$L426),$I425/POW(10,$J425)*MAXIFS(Token!$B:$B,Token!$A:$A,$K425)&gt;0.01),$L425/86400+DATE(1970,1,1)+IF($L425*1&gt;=$G$5,$G$6,0),)</f>
        <v/>
      </c>
      <c r="B425" s="22" t="str">
        <f t="shared" si="1"/>
        <v/>
      </c>
      <c r="C425" s="14" t="str">
        <f>IF($A425&lt;&gt;"",MINIFS(Merchant!$A:$A,Merchant!$B:$B,$G$2),)</f>
        <v/>
      </c>
      <c r="D425" s="14" t="str">
        <f t="shared" si="2"/>
        <v/>
      </c>
      <c r="E425" s="14" t="str">
        <f t="shared" si="3"/>
        <v/>
      </c>
      <c r="F425" s="6" t="str">
        <f>IF($A425&lt;&gt;"",MAXIFS(Token!$B:$B,Token!$A:$A,$D425),)</f>
        <v/>
      </c>
    </row>
    <row r="426">
      <c r="A426" s="35" t="str">
        <f>IF(AND($L426*1&gt;=$G$3,$L426*1&lt;=$G$4,$I426*$J426&gt;0,CONCATENATE($H426:$L426)&lt;&gt;CONCATENATE($H427:$L427),$I426/POW(10,$J426)*MAXIFS(Token!$B:$B,Token!$A:$A,$K426)&gt;0.01),$L426/86400+DATE(1970,1,1)+IF($L426*1&gt;=$G$5,$G$6,0),)</f>
        <v/>
      </c>
      <c r="B426" s="22" t="str">
        <f t="shared" si="1"/>
        <v/>
      </c>
      <c r="C426" s="14" t="str">
        <f>IF($A426&lt;&gt;"",MINIFS(Merchant!$A:$A,Merchant!$B:$B,$G$2),)</f>
        <v/>
      </c>
      <c r="D426" s="14" t="str">
        <f t="shared" si="2"/>
        <v/>
      </c>
      <c r="E426" s="14" t="str">
        <f t="shared" si="3"/>
        <v/>
      </c>
      <c r="F426" s="6" t="str">
        <f>IF($A426&lt;&gt;"",MAXIFS(Token!$B:$B,Token!$A:$A,$D426),)</f>
        <v/>
      </c>
    </row>
    <row r="427">
      <c r="A427" s="35" t="str">
        <f>IF(AND($L427*1&gt;=$G$3,$L427*1&lt;=$G$4,$I427*$J427&gt;0,CONCATENATE($H427:$L427)&lt;&gt;CONCATENATE($H428:$L428),$I427/POW(10,$J427)*MAXIFS(Token!$B:$B,Token!$A:$A,$K427)&gt;0.01),$L427/86400+DATE(1970,1,1)+IF($L427*1&gt;=$G$5,$G$6,0),)</f>
        <v/>
      </c>
      <c r="B427" s="22" t="str">
        <f t="shared" si="1"/>
        <v/>
      </c>
      <c r="C427" s="14" t="str">
        <f>IF($A427&lt;&gt;"",MINIFS(Merchant!$A:$A,Merchant!$B:$B,$G$2),)</f>
        <v/>
      </c>
      <c r="D427" s="14" t="str">
        <f t="shared" si="2"/>
        <v/>
      </c>
      <c r="E427" s="14" t="str">
        <f t="shared" si="3"/>
        <v/>
      </c>
      <c r="F427" s="6" t="str">
        <f>IF($A427&lt;&gt;"",MAXIFS(Token!$B:$B,Token!$A:$A,$D427),)</f>
        <v/>
      </c>
    </row>
    <row r="428">
      <c r="A428" s="35" t="str">
        <f>IF(AND($L428*1&gt;=$G$3,$L428*1&lt;=$G$4,$I428*$J428&gt;0,CONCATENATE($H428:$L428)&lt;&gt;CONCATENATE($H429:$L429),$I428/POW(10,$J428)*MAXIFS(Token!$B:$B,Token!$A:$A,$K428)&gt;0.01),$L428/86400+DATE(1970,1,1)+IF($L428*1&gt;=$G$5,$G$6,0),)</f>
        <v/>
      </c>
      <c r="B428" s="22" t="str">
        <f t="shared" si="1"/>
        <v/>
      </c>
      <c r="C428" s="14" t="str">
        <f>IF($A428&lt;&gt;"",MINIFS(Merchant!$A:$A,Merchant!$B:$B,$G$2),)</f>
        <v/>
      </c>
      <c r="D428" s="14" t="str">
        <f t="shared" si="2"/>
        <v/>
      </c>
      <c r="E428" s="14" t="str">
        <f t="shared" si="3"/>
        <v/>
      </c>
      <c r="F428" s="6" t="str">
        <f>IF($A428&lt;&gt;"",MAXIFS(Token!$B:$B,Token!$A:$A,$D428),)</f>
        <v/>
      </c>
    </row>
    <row r="429">
      <c r="A429" s="35" t="str">
        <f>IF(AND($L429*1&gt;=$G$3,$L429*1&lt;=$G$4,$I429*$J429&gt;0,CONCATENATE($H429:$L429)&lt;&gt;CONCATENATE($H430:$L430),$I429/POW(10,$J429)*MAXIFS(Token!$B:$B,Token!$A:$A,$K429)&gt;0.01),$L429/86400+DATE(1970,1,1)+IF($L429*1&gt;=$G$5,$G$6,0),)</f>
        <v/>
      </c>
      <c r="B429" s="22" t="str">
        <f t="shared" si="1"/>
        <v/>
      </c>
      <c r="C429" s="14" t="str">
        <f>IF($A429&lt;&gt;"",MINIFS(Merchant!$A:$A,Merchant!$B:$B,$G$2),)</f>
        <v/>
      </c>
      <c r="D429" s="14" t="str">
        <f t="shared" si="2"/>
        <v/>
      </c>
      <c r="E429" s="14" t="str">
        <f t="shared" si="3"/>
        <v/>
      </c>
      <c r="F429" s="6" t="str">
        <f>IF($A429&lt;&gt;"",MAXIFS(Token!$B:$B,Token!$A:$A,$D429),)</f>
        <v/>
      </c>
    </row>
    <row r="430">
      <c r="A430" s="35" t="str">
        <f>IF(AND($L430*1&gt;=$G$3,$L430*1&lt;=$G$4,$I430*$J430&gt;0,CONCATENATE($H430:$L430)&lt;&gt;CONCATENATE($H431:$L431),$I430/POW(10,$J430)*MAXIFS(Token!$B:$B,Token!$A:$A,$K430)&gt;0.01),$L430/86400+DATE(1970,1,1)+IF($L430*1&gt;=$G$5,$G$6,0),)</f>
        <v/>
      </c>
      <c r="B430" s="22" t="str">
        <f t="shared" si="1"/>
        <v/>
      </c>
      <c r="C430" s="14" t="str">
        <f>IF($A430&lt;&gt;"",MINIFS(Merchant!$A:$A,Merchant!$B:$B,$G$2),)</f>
        <v/>
      </c>
      <c r="D430" s="14" t="str">
        <f t="shared" si="2"/>
        <v/>
      </c>
      <c r="E430" s="14" t="str">
        <f t="shared" si="3"/>
        <v/>
      </c>
      <c r="F430" s="6" t="str">
        <f>IF($A430&lt;&gt;"",MAXIFS(Token!$B:$B,Token!$A:$A,$D430),)</f>
        <v/>
      </c>
    </row>
    <row r="431">
      <c r="A431" s="35" t="str">
        <f>IF(AND($L431*1&gt;=$G$3,$L431*1&lt;=$G$4,$I431*$J431&gt;0,CONCATENATE($H431:$L431)&lt;&gt;CONCATENATE($H432:$L432),$I431/POW(10,$J431)*MAXIFS(Token!$B:$B,Token!$A:$A,$K431)&gt;0.01),$L431/86400+DATE(1970,1,1)+IF($L431*1&gt;=$G$5,$G$6,0),)</f>
        <v/>
      </c>
      <c r="B431" s="22" t="str">
        <f t="shared" si="1"/>
        <v/>
      </c>
      <c r="C431" s="14" t="str">
        <f>IF($A431&lt;&gt;"",MINIFS(Merchant!$A:$A,Merchant!$B:$B,$G$2),)</f>
        <v/>
      </c>
      <c r="D431" s="14" t="str">
        <f t="shared" si="2"/>
        <v/>
      </c>
      <c r="E431" s="14" t="str">
        <f t="shared" si="3"/>
        <v/>
      </c>
      <c r="F431" s="6" t="str">
        <f>IF($A431&lt;&gt;"",MAXIFS(Token!$B:$B,Token!$A:$A,$D431),)</f>
        <v/>
      </c>
    </row>
    <row r="432">
      <c r="A432" s="35" t="str">
        <f>IF(AND($L432*1&gt;=$G$3,$L432*1&lt;=$G$4,$I432*$J432&gt;0,CONCATENATE($H432:$L432)&lt;&gt;CONCATENATE($H433:$L433),$I432/POW(10,$J432)*MAXIFS(Token!$B:$B,Token!$A:$A,$K432)&gt;0.01),$L432/86400+DATE(1970,1,1)+IF($L432*1&gt;=$G$5,$G$6,0),)</f>
        <v/>
      </c>
      <c r="B432" s="22" t="str">
        <f t="shared" si="1"/>
        <v/>
      </c>
      <c r="C432" s="14" t="str">
        <f>IF($A432&lt;&gt;"",MINIFS(Merchant!$A:$A,Merchant!$B:$B,$G$2),)</f>
        <v/>
      </c>
      <c r="D432" s="14" t="str">
        <f t="shared" si="2"/>
        <v/>
      </c>
      <c r="E432" s="14" t="str">
        <f t="shared" si="3"/>
        <v/>
      </c>
      <c r="F432" s="6" t="str">
        <f>IF($A432&lt;&gt;"",MAXIFS(Token!$B:$B,Token!$A:$A,$D432),)</f>
        <v/>
      </c>
    </row>
    <row r="433">
      <c r="A433" s="35" t="str">
        <f>IF(AND($L433*1&gt;=$G$3,$L433*1&lt;=$G$4,$I433*$J433&gt;0,CONCATENATE($H433:$L433)&lt;&gt;CONCATENATE($H434:$L434),$I433/POW(10,$J433)*MAXIFS(Token!$B:$B,Token!$A:$A,$K433)&gt;0.01),$L433/86400+DATE(1970,1,1)+IF($L433*1&gt;=$G$5,$G$6,0),)</f>
        <v/>
      </c>
      <c r="B433" s="22" t="str">
        <f t="shared" si="1"/>
        <v/>
      </c>
      <c r="C433" s="14" t="str">
        <f>IF($A433&lt;&gt;"",MINIFS(Merchant!$A:$A,Merchant!$B:$B,$G$2),)</f>
        <v/>
      </c>
      <c r="D433" s="14" t="str">
        <f t="shared" si="2"/>
        <v/>
      </c>
      <c r="E433" s="14" t="str">
        <f t="shared" si="3"/>
        <v/>
      </c>
      <c r="F433" s="6" t="str">
        <f>IF($A433&lt;&gt;"",MAXIFS(Token!$B:$B,Token!$A:$A,$D433),)</f>
        <v/>
      </c>
    </row>
    <row r="434">
      <c r="A434" s="35" t="str">
        <f>IF(AND($L434*1&gt;=$G$3,$L434*1&lt;=$G$4,$I434*$J434&gt;0,CONCATENATE($H434:$L434)&lt;&gt;CONCATENATE($H435:$L435),$I434/POW(10,$J434)*MAXIFS(Token!$B:$B,Token!$A:$A,$K434)&gt;0.01),$L434/86400+DATE(1970,1,1)+IF($L434*1&gt;=$G$5,$G$6,0),)</f>
        <v/>
      </c>
      <c r="B434" s="22" t="str">
        <f t="shared" si="1"/>
        <v/>
      </c>
      <c r="C434" s="14" t="str">
        <f>IF($A434&lt;&gt;"",MINIFS(Merchant!$A:$A,Merchant!$B:$B,$G$2),)</f>
        <v/>
      </c>
      <c r="D434" s="14" t="str">
        <f t="shared" si="2"/>
        <v/>
      </c>
      <c r="E434" s="14" t="str">
        <f t="shared" si="3"/>
        <v/>
      </c>
      <c r="F434" s="6" t="str">
        <f>IF($A434&lt;&gt;"",MAXIFS(Token!$B:$B,Token!$A:$A,$D434),)</f>
        <v/>
      </c>
    </row>
    <row r="435">
      <c r="A435" s="35" t="str">
        <f>IF(AND($L435*1&gt;=$G$3,$L435*1&lt;=$G$4,$I435*$J435&gt;0,CONCATENATE($H435:$L435)&lt;&gt;CONCATENATE($H436:$L436),$I435/POW(10,$J435)*MAXIFS(Token!$B:$B,Token!$A:$A,$K435)&gt;0.01),$L435/86400+DATE(1970,1,1)+IF($L435*1&gt;=$G$5,$G$6,0),)</f>
        <v/>
      </c>
      <c r="B435" s="22" t="str">
        <f t="shared" si="1"/>
        <v/>
      </c>
      <c r="C435" s="14" t="str">
        <f>IF($A435&lt;&gt;"",MINIFS(Merchant!$A:$A,Merchant!$B:$B,$G$2),)</f>
        <v/>
      </c>
      <c r="D435" s="14" t="str">
        <f t="shared" si="2"/>
        <v/>
      </c>
      <c r="E435" s="14" t="str">
        <f t="shared" si="3"/>
        <v/>
      </c>
      <c r="F435" s="6" t="str">
        <f>IF($A435&lt;&gt;"",MAXIFS(Token!$B:$B,Token!$A:$A,$D435),)</f>
        <v/>
      </c>
    </row>
    <row r="436">
      <c r="A436" s="35" t="str">
        <f>IF(AND($L436*1&gt;=$G$3,$L436*1&lt;=$G$4,$I436*$J436&gt;0,CONCATENATE($H436:$L436)&lt;&gt;CONCATENATE($H437:$L437),$I436/POW(10,$J436)*MAXIFS(Token!$B:$B,Token!$A:$A,$K436)&gt;0.01),$L436/86400+DATE(1970,1,1)+IF($L436*1&gt;=$G$5,$G$6,0),)</f>
        <v/>
      </c>
      <c r="B436" s="22" t="str">
        <f t="shared" si="1"/>
        <v/>
      </c>
      <c r="C436" s="14" t="str">
        <f>IF($A436&lt;&gt;"",MINIFS(Merchant!$A:$A,Merchant!$B:$B,$G$2),)</f>
        <v/>
      </c>
      <c r="D436" s="14" t="str">
        <f t="shared" si="2"/>
        <v/>
      </c>
      <c r="E436" s="14" t="str">
        <f t="shared" si="3"/>
        <v/>
      </c>
      <c r="F436" s="6" t="str">
        <f>IF($A436&lt;&gt;"",MAXIFS(Token!$B:$B,Token!$A:$A,$D436),)</f>
        <v/>
      </c>
    </row>
    <row r="437">
      <c r="A437" s="35" t="str">
        <f>IF(AND($L437*1&gt;=$G$3,$L437*1&lt;=$G$4,$I437*$J437&gt;0,CONCATENATE($H437:$L437)&lt;&gt;CONCATENATE($H438:$L438),$I437/POW(10,$J437)*MAXIFS(Token!$B:$B,Token!$A:$A,$K437)&gt;0.01),$L437/86400+DATE(1970,1,1)+IF($L437*1&gt;=$G$5,$G$6,0),)</f>
        <v/>
      </c>
      <c r="B437" s="22" t="str">
        <f t="shared" si="1"/>
        <v/>
      </c>
      <c r="C437" s="14" t="str">
        <f>IF($A437&lt;&gt;"",MINIFS(Merchant!$A:$A,Merchant!$B:$B,$G$2),)</f>
        <v/>
      </c>
      <c r="D437" s="14" t="str">
        <f t="shared" si="2"/>
        <v/>
      </c>
      <c r="E437" s="14" t="str">
        <f t="shared" si="3"/>
        <v/>
      </c>
      <c r="F437" s="6" t="str">
        <f>IF($A437&lt;&gt;"",MAXIFS(Token!$B:$B,Token!$A:$A,$D437),)</f>
        <v/>
      </c>
    </row>
    <row r="438">
      <c r="A438" s="35" t="str">
        <f>IF(AND($L438*1&gt;=$G$3,$L438*1&lt;=$G$4,$I438*$J438&gt;0,CONCATENATE($H438:$L438)&lt;&gt;CONCATENATE($H439:$L439),$I438/POW(10,$J438)*MAXIFS(Token!$B:$B,Token!$A:$A,$K438)&gt;0.01),$L438/86400+DATE(1970,1,1)+IF($L438*1&gt;=$G$5,$G$6,0),)</f>
        <v/>
      </c>
      <c r="B438" s="22" t="str">
        <f t="shared" si="1"/>
        <v/>
      </c>
      <c r="C438" s="14" t="str">
        <f>IF($A438&lt;&gt;"",MINIFS(Merchant!$A:$A,Merchant!$B:$B,$G$2),)</f>
        <v/>
      </c>
      <c r="D438" s="14" t="str">
        <f t="shared" si="2"/>
        <v/>
      </c>
      <c r="E438" s="14" t="str">
        <f t="shared" si="3"/>
        <v/>
      </c>
      <c r="F438" s="6" t="str">
        <f>IF($A438&lt;&gt;"",MAXIFS(Token!$B:$B,Token!$A:$A,$D438),)</f>
        <v/>
      </c>
    </row>
    <row r="439">
      <c r="A439" s="35" t="str">
        <f>IF(AND($L439*1&gt;=$G$3,$L439*1&lt;=$G$4,$I439*$J439&gt;0,CONCATENATE($H439:$L439)&lt;&gt;CONCATENATE($H440:$L440),$I439/POW(10,$J439)*MAXIFS(Token!$B:$B,Token!$A:$A,$K439)&gt;0.01),$L439/86400+DATE(1970,1,1)+IF($L439*1&gt;=$G$5,$G$6,0),)</f>
        <v/>
      </c>
      <c r="B439" s="22" t="str">
        <f t="shared" si="1"/>
        <v/>
      </c>
      <c r="C439" s="14" t="str">
        <f>IF($A439&lt;&gt;"",MINIFS(Merchant!$A:$A,Merchant!$B:$B,$G$2),)</f>
        <v/>
      </c>
      <c r="D439" s="14" t="str">
        <f t="shared" si="2"/>
        <v/>
      </c>
      <c r="E439" s="14" t="str">
        <f t="shared" si="3"/>
        <v/>
      </c>
      <c r="F439" s="6" t="str">
        <f>IF($A439&lt;&gt;"",MAXIFS(Token!$B:$B,Token!$A:$A,$D439),)</f>
        <v/>
      </c>
    </row>
    <row r="440">
      <c r="A440" s="35" t="str">
        <f>IF(AND($L440*1&gt;=$G$3,$L440*1&lt;=$G$4,$I440*$J440&gt;0,CONCATENATE($H440:$L440)&lt;&gt;CONCATENATE($H441:$L441),$I440/POW(10,$J440)*MAXIFS(Token!$B:$B,Token!$A:$A,$K440)&gt;0.01),$L440/86400+DATE(1970,1,1)+IF($L440*1&gt;=$G$5,$G$6,0),)</f>
        <v/>
      </c>
      <c r="B440" s="22" t="str">
        <f t="shared" si="1"/>
        <v/>
      </c>
      <c r="C440" s="14" t="str">
        <f>IF($A440&lt;&gt;"",MINIFS(Merchant!$A:$A,Merchant!$B:$B,$G$2),)</f>
        <v/>
      </c>
      <c r="D440" s="14" t="str">
        <f t="shared" si="2"/>
        <v/>
      </c>
      <c r="E440" s="14" t="str">
        <f t="shared" si="3"/>
        <v/>
      </c>
      <c r="F440" s="6" t="str">
        <f>IF($A440&lt;&gt;"",MAXIFS(Token!$B:$B,Token!$A:$A,$D440),)</f>
        <v/>
      </c>
    </row>
    <row r="441">
      <c r="A441" s="35" t="str">
        <f>IF(AND($L441*1&gt;=$G$3,$L441*1&lt;=$G$4,$I441*$J441&gt;0,CONCATENATE($H441:$L441)&lt;&gt;CONCATENATE($H442:$L442),$I441/POW(10,$J441)*MAXIFS(Token!$B:$B,Token!$A:$A,$K441)&gt;0.01),$L441/86400+DATE(1970,1,1)+IF($L441*1&gt;=$G$5,$G$6,0),)</f>
        <v/>
      </c>
      <c r="B441" s="22" t="str">
        <f t="shared" si="1"/>
        <v/>
      </c>
      <c r="C441" s="14" t="str">
        <f>IF($A441&lt;&gt;"",MINIFS(Merchant!$A:$A,Merchant!$B:$B,$G$2),)</f>
        <v/>
      </c>
      <c r="D441" s="14" t="str">
        <f t="shared" si="2"/>
        <v/>
      </c>
      <c r="E441" s="14" t="str">
        <f t="shared" si="3"/>
        <v/>
      </c>
      <c r="F441" s="6" t="str">
        <f>IF($A441&lt;&gt;"",MAXIFS(Token!$B:$B,Token!$A:$A,$D441),)</f>
        <v/>
      </c>
    </row>
    <row r="442">
      <c r="A442" s="35" t="str">
        <f>IF(AND($L442*1&gt;=$G$3,$L442*1&lt;=$G$4,$I442*$J442&gt;0,CONCATENATE($H442:$L442)&lt;&gt;CONCATENATE($H443:$L443),$I442/POW(10,$J442)*MAXIFS(Token!$B:$B,Token!$A:$A,$K442)&gt;0.01),$L442/86400+DATE(1970,1,1)+IF($L442*1&gt;=$G$5,$G$6,0),)</f>
        <v/>
      </c>
      <c r="B442" s="22" t="str">
        <f t="shared" si="1"/>
        <v/>
      </c>
      <c r="C442" s="14" t="str">
        <f>IF($A442&lt;&gt;"",MINIFS(Merchant!$A:$A,Merchant!$B:$B,$G$2),)</f>
        <v/>
      </c>
      <c r="D442" s="14" t="str">
        <f t="shared" si="2"/>
        <v/>
      </c>
      <c r="E442" s="14" t="str">
        <f t="shared" si="3"/>
        <v/>
      </c>
      <c r="F442" s="6" t="str">
        <f>IF($A442&lt;&gt;"",MAXIFS(Token!$B:$B,Token!$A:$A,$D442),)</f>
        <v/>
      </c>
    </row>
    <row r="443">
      <c r="A443" s="35" t="str">
        <f>IF(AND($L443*1&gt;=$G$3,$L443*1&lt;=$G$4,$I443*$J443&gt;0,CONCATENATE($H443:$L443)&lt;&gt;CONCATENATE($H444:$L444),$I443/POW(10,$J443)*MAXIFS(Token!$B:$B,Token!$A:$A,$K443)&gt;0.01),$L443/86400+DATE(1970,1,1)+IF($L443*1&gt;=$G$5,$G$6,0),)</f>
        <v/>
      </c>
      <c r="B443" s="22" t="str">
        <f t="shared" si="1"/>
        <v/>
      </c>
      <c r="C443" s="14" t="str">
        <f>IF($A443&lt;&gt;"",MINIFS(Merchant!$A:$A,Merchant!$B:$B,$G$2),)</f>
        <v/>
      </c>
      <c r="D443" s="14" t="str">
        <f t="shared" si="2"/>
        <v/>
      </c>
      <c r="E443" s="14" t="str">
        <f t="shared" si="3"/>
        <v/>
      </c>
      <c r="F443" s="6" t="str">
        <f>IF($A443&lt;&gt;"",MAXIFS(Token!$B:$B,Token!$A:$A,$D443),)</f>
        <v/>
      </c>
    </row>
    <row r="444">
      <c r="A444" s="35" t="str">
        <f>IF(AND($L444*1&gt;=$G$3,$L444*1&lt;=$G$4,$I444*$J444&gt;0,CONCATENATE($H444:$L444)&lt;&gt;CONCATENATE($H445:$L445),$I444/POW(10,$J444)*MAXIFS(Token!$B:$B,Token!$A:$A,$K444)&gt;0.01),$L444/86400+DATE(1970,1,1)+IF($L444*1&gt;=$G$5,$G$6,0),)</f>
        <v/>
      </c>
      <c r="B444" s="22" t="str">
        <f t="shared" si="1"/>
        <v/>
      </c>
      <c r="C444" s="14" t="str">
        <f>IF($A444&lt;&gt;"",MINIFS(Merchant!$A:$A,Merchant!$B:$B,$G$2),)</f>
        <v/>
      </c>
      <c r="D444" s="14" t="str">
        <f t="shared" si="2"/>
        <v/>
      </c>
      <c r="E444" s="14" t="str">
        <f t="shared" si="3"/>
        <v/>
      </c>
      <c r="F444" s="6" t="str">
        <f>IF($A444&lt;&gt;"",MAXIFS(Token!$B:$B,Token!$A:$A,$D444),)</f>
        <v/>
      </c>
    </row>
    <row r="445">
      <c r="A445" s="35" t="str">
        <f>IF(AND($L445*1&gt;=$G$3,$L445*1&lt;=$G$4,$I445*$J445&gt;0,CONCATENATE($H445:$L445)&lt;&gt;CONCATENATE($H446:$L446),$I445/POW(10,$J445)*MAXIFS(Token!$B:$B,Token!$A:$A,$K445)&gt;0.01),$L445/86400+DATE(1970,1,1)+IF($L445*1&gt;=$G$5,$G$6,0),)</f>
        <v/>
      </c>
      <c r="B445" s="22" t="str">
        <f t="shared" si="1"/>
        <v/>
      </c>
      <c r="C445" s="14" t="str">
        <f>IF($A445&lt;&gt;"",MINIFS(Merchant!$A:$A,Merchant!$B:$B,$G$2),)</f>
        <v/>
      </c>
      <c r="D445" s="14" t="str">
        <f t="shared" si="2"/>
        <v/>
      </c>
      <c r="E445" s="14" t="str">
        <f t="shared" si="3"/>
        <v/>
      </c>
      <c r="F445" s="6" t="str">
        <f>IF($A445&lt;&gt;"",MAXIFS(Token!$B:$B,Token!$A:$A,$D445),)</f>
        <v/>
      </c>
    </row>
    <row r="446">
      <c r="A446" s="35" t="str">
        <f>IF(AND($L446*1&gt;=$G$3,$L446*1&lt;=$G$4,$I446*$J446&gt;0,CONCATENATE($H446:$L446)&lt;&gt;CONCATENATE($H447:$L447),$I446/POW(10,$J446)*MAXIFS(Token!$B:$B,Token!$A:$A,$K446)&gt;0.01),$L446/86400+DATE(1970,1,1)+IF($L446*1&gt;=$G$5,$G$6,0),)</f>
        <v/>
      </c>
      <c r="B446" s="22" t="str">
        <f t="shared" si="1"/>
        <v/>
      </c>
      <c r="C446" s="14" t="str">
        <f>IF($A446&lt;&gt;"",MINIFS(Merchant!$A:$A,Merchant!$B:$B,$G$2),)</f>
        <v/>
      </c>
      <c r="D446" s="14" t="str">
        <f t="shared" si="2"/>
        <v/>
      </c>
      <c r="E446" s="14" t="str">
        <f t="shared" si="3"/>
        <v/>
      </c>
      <c r="F446" s="6" t="str">
        <f>IF($A446&lt;&gt;"",MAXIFS(Token!$B:$B,Token!$A:$A,$D446),)</f>
        <v/>
      </c>
    </row>
    <row r="447">
      <c r="A447" s="35" t="str">
        <f>IF(AND($L447*1&gt;=$G$3,$L447*1&lt;=$G$4,$I447*$J447&gt;0,CONCATENATE($H447:$L447)&lt;&gt;CONCATENATE($H448:$L448),$I447/POW(10,$J447)*MAXIFS(Token!$B:$B,Token!$A:$A,$K447)&gt;0.01),$L447/86400+DATE(1970,1,1)+IF($L447*1&gt;=$G$5,$G$6,0),)</f>
        <v/>
      </c>
      <c r="B447" s="22" t="str">
        <f t="shared" si="1"/>
        <v/>
      </c>
      <c r="C447" s="14" t="str">
        <f>IF($A447&lt;&gt;"",MINIFS(Merchant!$A:$A,Merchant!$B:$B,$G$2),)</f>
        <v/>
      </c>
      <c r="D447" s="14" t="str">
        <f t="shared" si="2"/>
        <v/>
      </c>
      <c r="E447" s="14" t="str">
        <f t="shared" si="3"/>
        <v/>
      </c>
      <c r="F447" s="6" t="str">
        <f>IF($A447&lt;&gt;"",MAXIFS(Token!$B:$B,Token!$A:$A,$D447),)</f>
        <v/>
      </c>
    </row>
    <row r="448">
      <c r="A448" s="35" t="str">
        <f>IF(AND($L448*1&gt;=$G$3,$L448*1&lt;=$G$4,$I448*$J448&gt;0,CONCATENATE($H448:$L448)&lt;&gt;CONCATENATE($H449:$L449),$I448/POW(10,$J448)*MAXIFS(Token!$B:$B,Token!$A:$A,$K448)&gt;0.01),$L448/86400+DATE(1970,1,1)+IF($L448*1&gt;=$G$5,$G$6,0),)</f>
        <v/>
      </c>
      <c r="B448" s="22" t="str">
        <f t="shared" si="1"/>
        <v/>
      </c>
      <c r="C448" s="14" t="str">
        <f>IF($A448&lt;&gt;"",MINIFS(Merchant!$A:$A,Merchant!$B:$B,$G$2),)</f>
        <v/>
      </c>
      <c r="D448" s="14" t="str">
        <f t="shared" si="2"/>
        <v/>
      </c>
      <c r="E448" s="14" t="str">
        <f t="shared" si="3"/>
        <v/>
      </c>
      <c r="F448" s="6" t="str">
        <f>IF($A448&lt;&gt;"",MAXIFS(Token!$B:$B,Token!$A:$A,$D448),)</f>
        <v/>
      </c>
    </row>
    <row r="449">
      <c r="A449" s="35" t="str">
        <f>IF(AND($L449*1&gt;=$G$3,$L449*1&lt;=$G$4,$I449*$J449&gt;0,CONCATENATE($H449:$L449)&lt;&gt;CONCATENATE($H450:$L450),$I449/POW(10,$J449)*MAXIFS(Token!$B:$B,Token!$A:$A,$K449)&gt;0.01),$L449/86400+DATE(1970,1,1)+IF($L449*1&gt;=$G$5,$G$6,0),)</f>
        <v/>
      </c>
      <c r="B449" s="22" t="str">
        <f t="shared" si="1"/>
        <v/>
      </c>
      <c r="C449" s="14" t="str">
        <f>IF($A449&lt;&gt;"",MINIFS(Merchant!$A:$A,Merchant!$B:$B,$G$2),)</f>
        <v/>
      </c>
      <c r="D449" s="14" t="str">
        <f t="shared" si="2"/>
        <v/>
      </c>
      <c r="E449" s="14" t="str">
        <f t="shared" si="3"/>
        <v/>
      </c>
      <c r="F449" s="6" t="str">
        <f>IF($A449&lt;&gt;"",MAXIFS(Token!$B:$B,Token!$A:$A,$D449),)</f>
        <v/>
      </c>
    </row>
    <row r="450">
      <c r="A450" s="35" t="str">
        <f>IF(AND($L450*1&gt;=$G$3,$L450*1&lt;=$G$4,$I450*$J450&gt;0,CONCATENATE($H450:$L450)&lt;&gt;CONCATENATE($H451:$L451),$I450/POW(10,$J450)*MAXIFS(Token!$B:$B,Token!$A:$A,$K450)&gt;0.01),$L450/86400+DATE(1970,1,1)+IF($L450*1&gt;=$G$5,$G$6,0),)</f>
        <v/>
      </c>
      <c r="B450" s="22" t="str">
        <f t="shared" si="1"/>
        <v/>
      </c>
      <c r="C450" s="14" t="str">
        <f>IF($A450&lt;&gt;"",MINIFS(Merchant!$A:$A,Merchant!$B:$B,$G$2),)</f>
        <v/>
      </c>
      <c r="D450" s="14" t="str">
        <f t="shared" si="2"/>
        <v/>
      </c>
      <c r="E450" s="14" t="str">
        <f t="shared" si="3"/>
        <v/>
      </c>
      <c r="F450" s="6" t="str">
        <f>IF($A450&lt;&gt;"",MAXIFS(Token!$B:$B,Token!$A:$A,$D450),)</f>
        <v/>
      </c>
    </row>
    <row r="451">
      <c r="A451" s="35" t="str">
        <f>IF(AND($L451*1&gt;=$G$3,$L451*1&lt;=$G$4,$I451*$J451&gt;0,CONCATENATE($H451:$L451)&lt;&gt;CONCATENATE($H452:$L452),$I451/POW(10,$J451)*MAXIFS(Token!$B:$B,Token!$A:$A,$K451)&gt;0.01),$L451/86400+DATE(1970,1,1)+IF($L451*1&gt;=$G$5,$G$6,0),)</f>
        <v/>
      </c>
      <c r="B451" s="22" t="str">
        <f t="shared" si="1"/>
        <v/>
      </c>
      <c r="C451" s="14" t="str">
        <f>IF($A451&lt;&gt;"",MINIFS(Merchant!$A:$A,Merchant!$B:$B,$G$2),)</f>
        <v/>
      </c>
      <c r="D451" s="14" t="str">
        <f t="shared" si="2"/>
        <v/>
      </c>
      <c r="E451" s="14" t="str">
        <f t="shared" si="3"/>
        <v/>
      </c>
      <c r="F451" s="6" t="str">
        <f>IF($A451&lt;&gt;"",MAXIFS(Token!$B:$B,Token!$A:$A,$D451),)</f>
        <v/>
      </c>
    </row>
    <row r="452">
      <c r="A452" s="35" t="str">
        <f>IF(AND($L452*1&gt;=$G$3,$L452*1&lt;=$G$4,$I452*$J452&gt;0,CONCATENATE($H452:$L452)&lt;&gt;CONCATENATE($H453:$L453),$I452/POW(10,$J452)*MAXIFS(Token!$B:$B,Token!$A:$A,$K452)&gt;0.01),$L452/86400+DATE(1970,1,1)+IF($L452*1&gt;=$G$5,$G$6,0),)</f>
        <v/>
      </c>
      <c r="B452" s="22" t="str">
        <f t="shared" si="1"/>
        <v/>
      </c>
      <c r="C452" s="14" t="str">
        <f>IF($A452&lt;&gt;"",MINIFS(Merchant!$A:$A,Merchant!$B:$B,$G$2),)</f>
        <v/>
      </c>
      <c r="D452" s="14" t="str">
        <f t="shared" si="2"/>
        <v/>
      </c>
      <c r="E452" s="14" t="str">
        <f t="shared" si="3"/>
        <v/>
      </c>
      <c r="F452" s="6" t="str">
        <f>IF($A452&lt;&gt;"",MAXIFS(Token!$B:$B,Token!$A:$A,$D452),)</f>
        <v/>
      </c>
    </row>
    <row r="453">
      <c r="A453" s="35" t="str">
        <f>IF(AND($L453*1&gt;=$G$3,$L453*1&lt;=$G$4,$I453*$J453&gt;0,CONCATENATE($H453:$L453)&lt;&gt;CONCATENATE($H454:$L454),$I453/POW(10,$J453)*MAXIFS(Token!$B:$B,Token!$A:$A,$K453)&gt;0.01),$L453/86400+DATE(1970,1,1)+IF($L453*1&gt;=$G$5,$G$6,0),)</f>
        <v/>
      </c>
      <c r="B453" s="22" t="str">
        <f t="shared" si="1"/>
        <v/>
      </c>
      <c r="C453" s="14" t="str">
        <f>IF($A453&lt;&gt;"",MINIFS(Merchant!$A:$A,Merchant!$B:$B,$G$2),)</f>
        <v/>
      </c>
      <c r="D453" s="14" t="str">
        <f t="shared" si="2"/>
        <v/>
      </c>
      <c r="E453" s="14" t="str">
        <f t="shared" si="3"/>
        <v/>
      </c>
      <c r="F453" s="6" t="str">
        <f>IF($A453&lt;&gt;"",MAXIFS(Token!$B:$B,Token!$A:$A,$D453),)</f>
        <v/>
      </c>
    </row>
    <row r="454">
      <c r="A454" s="35" t="str">
        <f>IF(AND($L454*1&gt;=$G$3,$L454*1&lt;=$G$4,$I454*$J454&gt;0,CONCATENATE($H454:$L454)&lt;&gt;CONCATENATE($H455:$L455),$I454/POW(10,$J454)*MAXIFS(Token!$B:$B,Token!$A:$A,$K454)&gt;0.01),$L454/86400+DATE(1970,1,1)+IF($L454*1&gt;=$G$5,$G$6,0),)</f>
        <v/>
      </c>
      <c r="B454" s="22" t="str">
        <f t="shared" si="1"/>
        <v/>
      </c>
      <c r="C454" s="14" t="str">
        <f>IF($A454&lt;&gt;"",MINIFS(Merchant!$A:$A,Merchant!$B:$B,$G$2),)</f>
        <v/>
      </c>
      <c r="D454" s="14" t="str">
        <f t="shared" si="2"/>
        <v/>
      </c>
      <c r="E454" s="14" t="str">
        <f t="shared" si="3"/>
        <v/>
      </c>
      <c r="F454" s="6" t="str">
        <f>IF($A454&lt;&gt;"",MAXIFS(Token!$B:$B,Token!$A:$A,$D454),)</f>
        <v/>
      </c>
    </row>
    <row r="455">
      <c r="A455" s="35" t="str">
        <f>IF(AND($L455*1&gt;=$G$3,$L455*1&lt;=$G$4,$I455*$J455&gt;0,CONCATENATE($H455:$L455)&lt;&gt;CONCATENATE($H456:$L456),$I455/POW(10,$J455)*MAXIFS(Token!$B:$B,Token!$A:$A,$K455)&gt;0.01),$L455/86400+DATE(1970,1,1)+IF($L455*1&gt;=$G$5,$G$6,0),)</f>
        <v/>
      </c>
      <c r="B455" s="22" t="str">
        <f t="shared" si="1"/>
        <v/>
      </c>
      <c r="C455" s="14" t="str">
        <f>IF($A455&lt;&gt;"",MINIFS(Merchant!$A:$A,Merchant!$B:$B,$G$2),)</f>
        <v/>
      </c>
      <c r="D455" s="14" t="str">
        <f t="shared" si="2"/>
        <v/>
      </c>
      <c r="E455" s="14" t="str">
        <f t="shared" si="3"/>
        <v/>
      </c>
      <c r="F455" s="6" t="str">
        <f>IF($A455&lt;&gt;"",MAXIFS(Token!$B:$B,Token!$A:$A,$D455),)</f>
        <v/>
      </c>
    </row>
    <row r="456">
      <c r="A456" s="35" t="str">
        <f>IF(AND($L456*1&gt;=$G$3,$L456*1&lt;=$G$4,$I456*$J456&gt;0,CONCATENATE($H456:$L456)&lt;&gt;CONCATENATE($H457:$L457),$I456/POW(10,$J456)*MAXIFS(Token!$B:$B,Token!$A:$A,$K456)&gt;0.01),$L456/86400+DATE(1970,1,1)+IF($L456*1&gt;=$G$5,$G$6,0),)</f>
        <v/>
      </c>
      <c r="B456" s="22" t="str">
        <f t="shared" si="1"/>
        <v/>
      </c>
      <c r="C456" s="14" t="str">
        <f>IF($A456&lt;&gt;"",MINIFS(Merchant!$A:$A,Merchant!$B:$B,$G$2),)</f>
        <v/>
      </c>
      <c r="D456" s="14" t="str">
        <f t="shared" si="2"/>
        <v/>
      </c>
      <c r="E456" s="14" t="str">
        <f t="shared" si="3"/>
        <v/>
      </c>
      <c r="F456" s="6" t="str">
        <f>IF($A456&lt;&gt;"",MAXIFS(Token!$B:$B,Token!$A:$A,$D456),)</f>
        <v/>
      </c>
    </row>
    <row r="457">
      <c r="A457" s="35" t="str">
        <f>IF(AND($L457*1&gt;=$G$3,$L457*1&lt;=$G$4,$I457*$J457&gt;0,CONCATENATE($H457:$L457)&lt;&gt;CONCATENATE($H458:$L458),$I457/POW(10,$J457)*MAXIFS(Token!$B:$B,Token!$A:$A,$K457)&gt;0.01),$L457/86400+DATE(1970,1,1)+IF($L457*1&gt;=$G$5,$G$6,0),)</f>
        <v/>
      </c>
      <c r="B457" s="22" t="str">
        <f t="shared" si="1"/>
        <v/>
      </c>
      <c r="C457" s="14" t="str">
        <f>IF($A457&lt;&gt;"",MINIFS(Merchant!$A:$A,Merchant!$B:$B,$G$2),)</f>
        <v/>
      </c>
      <c r="D457" s="14" t="str">
        <f t="shared" si="2"/>
        <v/>
      </c>
      <c r="E457" s="14" t="str">
        <f t="shared" si="3"/>
        <v/>
      </c>
      <c r="F457" s="6" t="str">
        <f>IF($A457&lt;&gt;"",MAXIFS(Token!$B:$B,Token!$A:$A,$D457),)</f>
        <v/>
      </c>
    </row>
    <row r="458">
      <c r="A458" s="35" t="str">
        <f>IF(AND($L458*1&gt;=$G$3,$L458*1&lt;=$G$4,$I458*$J458&gt;0,CONCATENATE($H458:$L458)&lt;&gt;CONCATENATE($H459:$L459),$I458/POW(10,$J458)*MAXIFS(Token!$B:$B,Token!$A:$A,$K458)&gt;0.01),$L458/86400+DATE(1970,1,1)+IF($L458*1&gt;=$G$5,$G$6,0),)</f>
        <v/>
      </c>
      <c r="B458" s="22" t="str">
        <f t="shared" si="1"/>
        <v/>
      </c>
      <c r="C458" s="14" t="str">
        <f>IF($A458&lt;&gt;"",MINIFS(Merchant!$A:$A,Merchant!$B:$B,$G$2),)</f>
        <v/>
      </c>
      <c r="D458" s="14" t="str">
        <f t="shared" si="2"/>
        <v/>
      </c>
      <c r="E458" s="14" t="str">
        <f t="shared" si="3"/>
        <v/>
      </c>
      <c r="F458" s="6" t="str">
        <f>IF($A458&lt;&gt;"",MAXIFS(Token!$B:$B,Token!$A:$A,$D458),)</f>
        <v/>
      </c>
    </row>
    <row r="459">
      <c r="A459" s="35" t="str">
        <f>IF(AND($L459*1&gt;=$G$3,$L459*1&lt;=$G$4,$I459*$J459&gt;0,CONCATENATE($H459:$L459)&lt;&gt;CONCATENATE($H460:$L460),$I459/POW(10,$J459)*MAXIFS(Token!$B:$B,Token!$A:$A,$K459)&gt;0.01),$L459/86400+DATE(1970,1,1)+IF($L459*1&gt;=$G$5,$G$6,0),)</f>
        <v/>
      </c>
      <c r="B459" s="22" t="str">
        <f t="shared" si="1"/>
        <v/>
      </c>
      <c r="C459" s="14" t="str">
        <f>IF($A459&lt;&gt;"",MINIFS(Merchant!$A:$A,Merchant!$B:$B,$G$2),)</f>
        <v/>
      </c>
      <c r="D459" s="14" t="str">
        <f t="shared" si="2"/>
        <v/>
      </c>
      <c r="E459" s="14" t="str">
        <f t="shared" si="3"/>
        <v/>
      </c>
      <c r="F459" s="6" t="str">
        <f>IF($A459&lt;&gt;"",MAXIFS(Token!$B:$B,Token!$A:$A,$D459),)</f>
        <v/>
      </c>
    </row>
    <row r="460">
      <c r="A460" s="35" t="str">
        <f>IF(AND($L460*1&gt;=$G$3,$L460*1&lt;=$G$4,$I460*$J460&gt;0,CONCATENATE($H460:$L460)&lt;&gt;CONCATENATE($H461:$L461),$I460/POW(10,$J460)*MAXIFS(Token!$B:$B,Token!$A:$A,$K460)&gt;0.01),$L460/86400+DATE(1970,1,1)+IF($L460*1&gt;=$G$5,$G$6,0),)</f>
        <v/>
      </c>
      <c r="B460" s="22" t="str">
        <f t="shared" si="1"/>
        <v/>
      </c>
      <c r="C460" s="14" t="str">
        <f>IF($A460&lt;&gt;"",MINIFS(Merchant!$A:$A,Merchant!$B:$B,$G$2),)</f>
        <v/>
      </c>
      <c r="D460" s="14" t="str">
        <f t="shared" si="2"/>
        <v/>
      </c>
      <c r="E460" s="14" t="str">
        <f t="shared" si="3"/>
        <v/>
      </c>
      <c r="F460" s="6" t="str">
        <f>IF($A460&lt;&gt;"",MAXIFS(Token!$B:$B,Token!$A:$A,$D460),)</f>
        <v/>
      </c>
    </row>
    <row r="461">
      <c r="A461" s="35" t="str">
        <f>IF(AND($L461*1&gt;=$G$3,$L461*1&lt;=$G$4,$I461*$J461&gt;0,CONCATENATE($H461:$L461)&lt;&gt;CONCATENATE($H462:$L462),$I461/POW(10,$J461)*MAXIFS(Token!$B:$B,Token!$A:$A,$K461)&gt;0.01),$L461/86400+DATE(1970,1,1)+IF($L461*1&gt;=$G$5,$G$6,0),)</f>
        <v/>
      </c>
      <c r="B461" s="22" t="str">
        <f t="shared" si="1"/>
        <v/>
      </c>
      <c r="C461" s="14" t="str">
        <f>IF($A461&lt;&gt;"",MINIFS(Merchant!$A:$A,Merchant!$B:$B,$G$2),)</f>
        <v/>
      </c>
      <c r="D461" s="14" t="str">
        <f t="shared" si="2"/>
        <v/>
      </c>
      <c r="E461" s="14" t="str">
        <f t="shared" si="3"/>
        <v/>
      </c>
      <c r="F461" s="6" t="str">
        <f>IF($A461&lt;&gt;"",MAXIFS(Token!$B:$B,Token!$A:$A,$D461),)</f>
        <v/>
      </c>
    </row>
    <row r="462">
      <c r="A462" s="35" t="str">
        <f>IF(AND($L462*1&gt;=$G$3,$L462*1&lt;=$G$4,$I462*$J462&gt;0,CONCATENATE($H462:$L462)&lt;&gt;CONCATENATE($H463:$L463),$I462/POW(10,$J462)*MAXIFS(Token!$B:$B,Token!$A:$A,$K462)&gt;0.01),$L462/86400+DATE(1970,1,1)+IF($L462*1&gt;=$G$5,$G$6,0),)</f>
        <v/>
      </c>
      <c r="B462" s="22" t="str">
        <f t="shared" si="1"/>
        <v/>
      </c>
      <c r="C462" s="14" t="str">
        <f>IF($A462&lt;&gt;"",MINIFS(Merchant!$A:$A,Merchant!$B:$B,$G$2),)</f>
        <v/>
      </c>
      <c r="D462" s="14" t="str">
        <f t="shared" si="2"/>
        <v/>
      </c>
      <c r="E462" s="14" t="str">
        <f t="shared" si="3"/>
        <v/>
      </c>
      <c r="F462" s="6" t="str">
        <f>IF($A462&lt;&gt;"",MAXIFS(Token!$B:$B,Token!$A:$A,$D462),)</f>
        <v/>
      </c>
    </row>
    <row r="463">
      <c r="A463" s="35" t="str">
        <f>IF(AND($L463*1&gt;=$G$3,$L463*1&lt;=$G$4,$I463*$J463&gt;0,CONCATENATE($H463:$L463)&lt;&gt;CONCATENATE($H464:$L464),$I463/POW(10,$J463)*MAXIFS(Token!$B:$B,Token!$A:$A,$K463)&gt;0.01),$L463/86400+DATE(1970,1,1)+IF($L463*1&gt;=$G$5,$G$6,0),)</f>
        <v/>
      </c>
      <c r="B463" s="22" t="str">
        <f t="shared" si="1"/>
        <v/>
      </c>
      <c r="C463" s="14" t="str">
        <f>IF($A463&lt;&gt;"",MINIFS(Merchant!$A:$A,Merchant!$B:$B,$G$2),)</f>
        <v/>
      </c>
      <c r="D463" s="14" t="str">
        <f t="shared" si="2"/>
        <v/>
      </c>
      <c r="E463" s="14" t="str">
        <f t="shared" si="3"/>
        <v/>
      </c>
      <c r="F463" s="6" t="str">
        <f>IF($A463&lt;&gt;"",MAXIFS(Token!$B:$B,Token!$A:$A,$D463),)</f>
        <v/>
      </c>
    </row>
    <row r="464">
      <c r="A464" s="35" t="str">
        <f>IF(AND($L464*1&gt;=$G$3,$L464*1&lt;=$G$4,$I464*$J464&gt;0,CONCATENATE($H464:$L464)&lt;&gt;CONCATENATE($H465:$L465),$I464/POW(10,$J464)*MAXIFS(Token!$B:$B,Token!$A:$A,$K464)&gt;0.01),$L464/86400+DATE(1970,1,1)+IF($L464*1&gt;=$G$5,$G$6,0),)</f>
        <v/>
      </c>
      <c r="B464" s="22" t="str">
        <f t="shared" si="1"/>
        <v/>
      </c>
      <c r="C464" s="14" t="str">
        <f>IF($A464&lt;&gt;"",MINIFS(Merchant!$A:$A,Merchant!$B:$B,$G$2),)</f>
        <v/>
      </c>
      <c r="D464" s="14" t="str">
        <f t="shared" si="2"/>
        <v/>
      </c>
      <c r="E464" s="14" t="str">
        <f t="shared" si="3"/>
        <v/>
      </c>
      <c r="F464" s="6" t="str">
        <f>IF($A464&lt;&gt;"",MAXIFS(Token!$B:$B,Token!$A:$A,$D464),)</f>
        <v/>
      </c>
    </row>
    <row r="465">
      <c r="A465" s="35" t="str">
        <f>IF(AND($L465*1&gt;=$G$3,$L465*1&lt;=$G$4,$I465*$J465&gt;0,CONCATENATE($H465:$L465)&lt;&gt;CONCATENATE($H466:$L466),$I465/POW(10,$J465)*MAXIFS(Token!$B:$B,Token!$A:$A,$K465)&gt;0.01),$L465/86400+DATE(1970,1,1)+IF($L465*1&gt;=$G$5,$G$6,0),)</f>
        <v/>
      </c>
      <c r="B465" s="22" t="str">
        <f t="shared" si="1"/>
        <v/>
      </c>
      <c r="C465" s="14" t="str">
        <f>IF($A465&lt;&gt;"",MINIFS(Merchant!$A:$A,Merchant!$B:$B,$G$2),)</f>
        <v/>
      </c>
      <c r="D465" s="14" t="str">
        <f t="shared" si="2"/>
        <v/>
      </c>
      <c r="E465" s="14" t="str">
        <f t="shared" si="3"/>
        <v/>
      </c>
      <c r="F465" s="6" t="str">
        <f>IF($A465&lt;&gt;"",MAXIFS(Token!$B:$B,Token!$A:$A,$D465),)</f>
        <v/>
      </c>
    </row>
    <row r="466">
      <c r="A466" s="35" t="str">
        <f>IF(AND($L466*1&gt;=$G$3,$L466*1&lt;=$G$4,$I466*$J466&gt;0,CONCATENATE($H466:$L466)&lt;&gt;CONCATENATE($H467:$L467),$I466/POW(10,$J466)*MAXIFS(Token!$B:$B,Token!$A:$A,$K466)&gt;0.01),$L466/86400+DATE(1970,1,1)+IF($L466*1&gt;=$G$5,$G$6,0),)</f>
        <v/>
      </c>
      <c r="B466" s="22" t="str">
        <f t="shared" si="1"/>
        <v/>
      </c>
      <c r="C466" s="14" t="str">
        <f>IF($A466&lt;&gt;"",MINIFS(Merchant!$A:$A,Merchant!$B:$B,$G$2),)</f>
        <v/>
      </c>
      <c r="D466" s="14" t="str">
        <f t="shared" si="2"/>
        <v/>
      </c>
      <c r="E466" s="14" t="str">
        <f t="shared" si="3"/>
        <v/>
      </c>
      <c r="F466" s="6" t="str">
        <f>IF($A466&lt;&gt;"",MAXIFS(Token!$B:$B,Token!$A:$A,$D466),)</f>
        <v/>
      </c>
    </row>
    <row r="467">
      <c r="A467" s="35" t="str">
        <f>IF(AND($L467*1&gt;=$G$3,$L467*1&lt;=$G$4,$I467*$J467&gt;0,CONCATENATE($H467:$L467)&lt;&gt;CONCATENATE($H468:$L468),$I467/POW(10,$J467)*MAXIFS(Token!$B:$B,Token!$A:$A,$K467)&gt;0.01),$L467/86400+DATE(1970,1,1)+IF($L467*1&gt;=$G$5,$G$6,0),)</f>
        <v/>
      </c>
      <c r="B467" s="22" t="str">
        <f t="shared" si="1"/>
        <v/>
      </c>
      <c r="C467" s="14" t="str">
        <f>IF($A467&lt;&gt;"",MINIFS(Merchant!$A:$A,Merchant!$B:$B,$G$2),)</f>
        <v/>
      </c>
      <c r="D467" s="14" t="str">
        <f t="shared" si="2"/>
        <v/>
      </c>
      <c r="E467" s="14" t="str">
        <f t="shared" si="3"/>
        <v/>
      </c>
      <c r="F467" s="6" t="str">
        <f>IF($A467&lt;&gt;"",MAXIFS(Token!$B:$B,Token!$A:$A,$D467),)</f>
        <v/>
      </c>
    </row>
    <row r="468">
      <c r="A468" s="35" t="str">
        <f>IF(AND($L468*1&gt;=$G$3,$L468*1&lt;=$G$4,$I468*$J468&gt;0,CONCATENATE($H468:$L468)&lt;&gt;CONCATENATE($H469:$L469),$I468/POW(10,$J468)*MAXIFS(Token!$B:$B,Token!$A:$A,$K468)&gt;0.01),$L468/86400+DATE(1970,1,1)+IF($L468*1&gt;=$G$5,$G$6,0),)</f>
        <v/>
      </c>
      <c r="B468" s="22" t="str">
        <f t="shared" si="1"/>
        <v/>
      </c>
      <c r="C468" s="14" t="str">
        <f>IF($A468&lt;&gt;"",MINIFS(Merchant!$A:$A,Merchant!$B:$B,$G$2),)</f>
        <v/>
      </c>
      <c r="D468" s="14" t="str">
        <f t="shared" si="2"/>
        <v/>
      </c>
      <c r="E468" s="14" t="str">
        <f t="shared" si="3"/>
        <v/>
      </c>
      <c r="F468" s="6" t="str">
        <f>IF($A468&lt;&gt;"",MAXIFS(Token!$B:$B,Token!$A:$A,$D468),)</f>
        <v/>
      </c>
    </row>
    <row r="469">
      <c r="A469" s="35" t="str">
        <f>IF(AND($L469*1&gt;=$G$3,$L469*1&lt;=$G$4,$I469*$J469&gt;0,CONCATENATE($H469:$L469)&lt;&gt;CONCATENATE($H470:$L470),$I469/POW(10,$J469)*MAXIFS(Token!$B:$B,Token!$A:$A,$K469)&gt;0.01),$L469/86400+DATE(1970,1,1)+IF($L469*1&gt;=$G$5,$G$6,0),)</f>
        <v/>
      </c>
      <c r="B469" s="22" t="str">
        <f t="shared" si="1"/>
        <v/>
      </c>
      <c r="C469" s="14" t="str">
        <f>IF($A469&lt;&gt;"",MINIFS(Merchant!$A:$A,Merchant!$B:$B,$G$2),)</f>
        <v/>
      </c>
      <c r="D469" s="14" t="str">
        <f t="shared" si="2"/>
        <v/>
      </c>
      <c r="E469" s="14" t="str">
        <f t="shared" si="3"/>
        <v/>
      </c>
      <c r="F469" s="6" t="str">
        <f>IF($A469&lt;&gt;"",MAXIFS(Token!$B:$B,Token!$A:$A,$D469),)</f>
        <v/>
      </c>
    </row>
    <row r="470">
      <c r="A470" s="35" t="str">
        <f>IF(AND($L470*1&gt;=$G$3,$L470*1&lt;=$G$4,$I470*$J470&gt;0,CONCATENATE($H470:$L470)&lt;&gt;CONCATENATE($H471:$L471),$I470/POW(10,$J470)*MAXIFS(Token!$B:$B,Token!$A:$A,$K470)&gt;0.01),$L470/86400+DATE(1970,1,1)+IF($L470*1&gt;=$G$5,$G$6,0),)</f>
        <v/>
      </c>
      <c r="B470" s="22" t="str">
        <f t="shared" si="1"/>
        <v/>
      </c>
      <c r="C470" s="14" t="str">
        <f>IF($A470&lt;&gt;"",MINIFS(Merchant!$A:$A,Merchant!$B:$B,$G$2),)</f>
        <v/>
      </c>
      <c r="D470" s="14" t="str">
        <f t="shared" si="2"/>
        <v/>
      </c>
      <c r="E470" s="14" t="str">
        <f t="shared" si="3"/>
        <v/>
      </c>
      <c r="F470" s="6" t="str">
        <f>IF($A470&lt;&gt;"",MAXIFS(Token!$B:$B,Token!$A:$A,$D470),)</f>
        <v/>
      </c>
    </row>
    <row r="471">
      <c r="A471" s="35" t="str">
        <f>IF(AND($L471*1&gt;=$G$3,$L471*1&lt;=$G$4,$I471*$J471&gt;0,CONCATENATE($H471:$L471)&lt;&gt;CONCATENATE($H472:$L472),$I471/POW(10,$J471)*MAXIFS(Token!$B:$B,Token!$A:$A,$K471)&gt;0.01),$L471/86400+DATE(1970,1,1)+IF($L471*1&gt;=$G$5,$G$6,0),)</f>
        <v/>
      </c>
      <c r="B471" s="22" t="str">
        <f t="shared" si="1"/>
        <v/>
      </c>
      <c r="C471" s="14" t="str">
        <f>IF($A471&lt;&gt;"",MINIFS(Merchant!$A:$A,Merchant!$B:$B,$G$2),)</f>
        <v/>
      </c>
      <c r="D471" s="14" t="str">
        <f t="shared" si="2"/>
        <v/>
      </c>
      <c r="E471" s="14" t="str">
        <f t="shared" si="3"/>
        <v/>
      </c>
      <c r="F471" s="6" t="str">
        <f>IF($A471&lt;&gt;"",MAXIFS(Token!$B:$B,Token!$A:$A,$D471),)</f>
        <v/>
      </c>
    </row>
    <row r="472">
      <c r="A472" s="35" t="str">
        <f>IF(AND($L472*1&gt;=$G$3,$L472*1&lt;=$G$4,$I472*$J472&gt;0,CONCATENATE($H472:$L472)&lt;&gt;CONCATENATE($H473:$L473),$I472/POW(10,$J472)*MAXIFS(Token!$B:$B,Token!$A:$A,$K472)&gt;0.01),$L472/86400+DATE(1970,1,1)+IF($L472*1&gt;=$G$5,$G$6,0),)</f>
        <v/>
      </c>
      <c r="B472" s="22" t="str">
        <f t="shared" si="1"/>
        <v/>
      </c>
      <c r="C472" s="14" t="str">
        <f>IF($A472&lt;&gt;"",MINIFS(Merchant!$A:$A,Merchant!$B:$B,$G$2),)</f>
        <v/>
      </c>
      <c r="D472" s="14" t="str">
        <f t="shared" si="2"/>
        <v/>
      </c>
      <c r="E472" s="14" t="str">
        <f t="shared" si="3"/>
        <v/>
      </c>
      <c r="F472" s="6" t="str">
        <f>IF($A472&lt;&gt;"",MAXIFS(Token!$B:$B,Token!$A:$A,$D472),)</f>
        <v/>
      </c>
    </row>
    <row r="473">
      <c r="A473" s="35" t="str">
        <f>IF(AND($L473*1&gt;=$G$3,$L473*1&lt;=$G$4,$I473*$J473&gt;0,CONCATENATE($H473:$L473)&lt;&gt;CONCATENATE($H474:$L474),$I473/POW(10,$J473)*MAXIFS(Token!$B:$B,Token!$A:$A,$K473)&gt;0.01),$L473/86400+DATE(1970,1,1)+IF($L473*1&gt;=$G$5,$G$6,0),)</f>
        <v/>
      </c>
      <c r="B473" s="22" t="str">
        <f t="shared" si="1"/>
        <v/>
      </c>
      <c r="C473" s="14" t="str">
        <f>IF($A473&lt;&gt;"",MINIFS(Merchant!$A:$A,Merchant!$B:$B,$G$2),)</f>
        <v/>
      </c>
      <c r="D473" s="14" t="str">
        <f t="shared" si="2"/>
        <v/>
      </c>
      <c r="E473" s="14" t="str">
        <f t="shared" si="3"/>
        <v/>
      </c>
      <c r="F473" s="6" t="str">
        <f>IF($A473&lt;&gt;"",MAXIFS(Token!$B:$B,Token!$A:$A,$D473),)</f>
        <v/>
      </c>
    </row>
    <row r="474">
      <c r="A474" s="35" t="str">
        <f>IF(AND($L474*1&gt;=$G$3,$L474*1&lt;=$G$4,$I474*$J474&gt;0,CONCATENATE($H474:$L474)&lt;&gt;CONCATENATE($H475:$L475),$I474/POW(10,$J474)*MAXIFS(Token!$B:$B,Token!$A:$A,$K474)&gt;0.01),$L474/86400+DATE(1970,1,1)+IF($L474*1&gt;=$G$5,$G$6,0),)</f>
        <v/>
      </c>
      <c r="B474" s="22" t="str">
        <f t="shared" si="1"/>
        <v/>
      </c>
      <c r="C474" s="14" t="str">
        <f>IF($A474&lt;&gt;"",MINIFS(Merchant!$A:$A,Merchant!$B:$B,$G$2),)</f>
        <v/>
      </c>
      <c r="D474" s="14" t="str">
        <f t="shared" si="2"/>
        <v/>
      </c>
      <c r="E474" s="14" t="str">
        <f t="shared" si="3"/>
        <v/>
      </c>
      <c r="F474" s="6" t="str">
        <f>IF($A474&lt;&gt;"",MAXIFS(Token!$B:$B,Token!$A:$A,$D474),)</f>
        <v/>
      </c>
    </row>
    <row r="475">
      <c r="A475" s="35" t="str">
        <f>IF(AND($L475*1&gt;=$G$3,$L475*1&lt;=$G$4,$I475*$J475&gt;0,CONCATENATE($H475:$L475)&lt;&gt;CONCATENATE($H476:$L476),$I475/POW(10,$J475)*MAXIFS(Token!$B:$B,Token!$A:$A,$K475)&gt;0.01),$L475/86400+DATE(1970,1,1)+IF($L475*1&gt;=$G$5,$G$6,0),)</f>
        <v/>
      </c>
      <c r="B475" s="22" t="str">
        <f t="shared" si="1"/>
        <v/>
      </c>
      <c r="C475" s="14" t="str">
        <f>IF($A475&lt;&gt;"",MINIFS(Merchant!$A:$A,Merchant!$B:$B,$G$2),)</f>
        <v/>
      </c>
      <c r="D475" s="14" t="str">
        <f t="shared" si="2"/>
        <v/>
      </c>
      <c r="E475" s="14" t="str">
        <f t="shared" si="3"/>
        <v/>
      </c>
      <c r="F475" s="6" t="str">
        <f>IF($A475&lt;&gt;"",MAXIFS(Token!$B:$B,Token!$A:$A,$D475),)</f>
        <v/>
      </c>
    </row>
    <row r="476">
      <c r="A476" s="35" t="str">
        <f>IF(AND($L476*1&gt;=$G$3,$L476*1&lt;=$G$4,$I476*$J476&gt;0,CONCATENATE($H476:$L476)&lt;&gt;CONCATENATE($H477:$L477),$I476/POW(10,$J476)*MAXIFS(Token!$B:$B,Token!$A:$A,$K476)&gt;0.01),$L476/86400+DATE(1970,1,1)+IF($L476*1&gt;=$G$5,$G$6,0),)</f>
        <v/>
      </c>
      <c r="B476" s="22" t="str">
        <f t="shared" si="1"/>
        <v/>
      </c>
      <c r="C476" s="14" t="str">
        <f>IF($A476&lt;&gt;"",MINIFS(Merchant!$A:$A,Merchant!$B:$B,$G$2),)</f>
        <v/>
      </c>
      <c r="D476" s="14" t="str">
        <f t="shared" si="2"/>
        <v/>
      </c>
      <c r="E476" s="14" t="str">
        <f t="shared" si="3"/>
        <v/>
      </c>
      <c r="F476" s="6" t="str">
        <f>IF($A476&lt;&gt;"",MAXIFS(Token!$B:$B,Token!$A:$A,$D476),)</f>
        <v/>
      </c>
    </row>
    <row r="477">
      <c r="A477" s="35" t="str">
        <f>IF(AND($L477*1&gt;=$G$3,$L477*1&lt;=$G$4,$I477*$J477&gt;0,CONCATENATE($H477:$L477)&lt;&gt;CONCATENATE($H478:$L478),$I477/POW(10,$J477)*MAXIFS(Token!$B:$B,Token!$A:$A,$K477)&gt;0.01),$L477/86400+DATE(1970,1,1)+IF($L477*1&gt;=$G$5,$G$6,0),)</f>
        <v/>
      </c>
      <c r="B477" s="22" t="str">
        <f t="shared" si="1"/>
        <v/>
      </c>
      <c r="C477" s="14" t="str">
        <f>IF($A477&lt;&gt;"",MINIFS(Merchant!$A:$A,Merchant!$B:$B,$G$2),)</f>
        <v/>
      </c>
      <c r="D477" s="14" t="str">
        <f t="shared" si="2"/>
        <v/>
      </c>
      <c r="E477" s="14" t="str">
        <f t="shared" si="3"/>
        <v/>
      </c>
      <c r="F477" s="6" t="str">
        <f>IF($A477&lt;&gt;"",MAXIFS(Token!$B:$B,Token!$A:$A,$D477),)</f>
        <v/>
      </c>
    </row>
    <row r="478">
      <c r="A478" s="35" t="str">
        <f>IF(AND($L478*1&gt;=$G$3,$L478*1&lt;=$G$4,$I478*$J478&gt;0,CONCATENATE($H478:$L478)&lt;&gt;CONCATENATE($H479:$L479),$I478/POW(10,$J478)*MAXIFS(Token!$B:$B,Token!$A:$A,$K478)&gt;0.01),$L478/86400+DATE(1970,1,1)+IF($L478*1&gt;=$G$5,$G$6,0),)</f>
        <v/>
      </c>
      <c r="B478" s="22" t="str">
        <f t="shared" si="1"/>
        <v/>
      </c>
      <c r="C478" s="14" t="str">
        <f>IF($A478&lt;&gt;"",MINIFS(Merchant!$A:$A,Merchant!$B:$B,$G$2),)</f>
        <v/>
      </c>
      <c r="D478" s="14" t="str">
        <f t="shared" si="2"/>
        <v/>
      </c>
      <c r="E478" s="14" t="str">
        <f t="shared" si="3"/>
        <v/>
      </c>
      <c r="F478" s="6" t="str">
        <f>IF($A478&lt;&gt;"",MAXIFS(Token!$B:$B,Token!$A:$A,$D478),)</f>
        <v/>
      </c>
    </row>
    <row r="479">
      <c r="A479" s="35" t="str">
        <f>IF(AND($L479*1&gt;=$G$3,$L479*1&lt;=$G$4,$I479*$J479&gt;0,CONCATENATE($H479:$L479)&lt;&gt;CONCATENATE($H480:$L480),$I479/POW(10,$J479)*MAXIFS(Token!$B:$B,Token!$A:$A,$K479)&gt;0.01),$L479/86400+DATE(1970,1,1)+IF($L479*1&gt;=$G$5,$G$6,0),)</f>
        <v/>
      </c>
      <c r="B479" s="22" t="str">
        <f t="shared" si="1"/>
        <v/>
      </c>
      <c r="C479" s="14" t="str">
        <f>IF($A479&lt;&gt;"",MINIFS(Merchant!$A:$A,Merchant!$B:$B,$G$2),)</f>
        <v/>
      </c>
      <c r="D479" s="14" t="str">
        <f t="shared" si="2"/>
        <v/>
      </c>
      <c r="E479" s="14" t="str">
        <f t="shared" si="3"/>
        <v/>
      </c>
      <c r="F479" s="6" t="str">
        <f>IF($A479&lt;&gt;"",MAXIFS(Token!$B:$B,Token!$A:$A,$D479),)</f>
        <v/>
      </c>
    </row>
    <row r="480">
      <c r="A480" s="35" t="str">
        <f>IF(AND($L480*1&gt;=$G$3,$L480*1&lt;=$G$4,$I480*$J480&gt;0,CONCATENATE($H480:$L480)&lt;&gt;CONCATENATE($H481:$L481),$I480/POW(10,$J480)*MAXIFS(Token!$B:$B,Token!$A:$A,$K480)&gt;0.01),$L480/86400+DATE(1970,1,1)+IF($L480*1&gt;=$G$5,$G$6,0),)</f>
        <v/>
      </c>
      <c r="B480" s="22" t="str">
        <f t="shared" si="1"/>
        <v/>
      </c>
      <c r="C480" s="14" t="str">
        <f>IF($A480&lt;&gt;"",MINIFS(Merchant!$A:$A,Merchant!$B:$B,$G$2),)</f>
        <v/>
      </c>
      <c r="D480" s="14" t="str">
        <f t="shared" si="2"/>
        <v/>
      </c>
      <c r="E480" s="14" t="str">
        <f t="shared" si="3"/>
        <v/>
      </c>
      <c r="F480" s="6" t="str">
        <f>IF($A480&lt;&gt;"",MAXIFS(Token!$B:$B,Token!$A:$A,$D480),)</f>
        <v/>
      </c>
    </row>
    <row r="481">
      <c r="A481" s="35" t="str">
        <f>IF(AND($L481*1&gt;=$G$3,$L481*1&lt;=$G$4,$I481*$J481&gt;0,CONCATENATE($H481:$L481)&lt;&gt;CONCATENATE($H482:$L482),$I481/POW(10,$J481)*MAXIFS(Token!$B:$B,Token!$A:$A,$K481)&gt;0.01),$L481/86400+DATE(1970,1,1)+IF($L481*1&gt;=$G$5,$G$6,0),)</f>
        <v/>
      </c>
      <c r="B481" s="22" t="str">
        <f t="shared" si="1"/>
        <v/>
      </c>
      <c r="C481" s="14" t="str">
        <f>IF($A481&lt;&gt;"",MINIFS(Merchant!$A:$A,Merchant!$B:$B,$G$2),)</f>
        <v/>
      </c>
      <c r="D481" s="14" t="str">
        <f t="shared" si="2"/>
        <v/>
      </c>
      <c r="E481" s="14" t="str">
        <f t="shared" si="3"/>
        <v/>
      </c>
      <c r="F481" s="6" t="str">
        <f>IF($A481&lt;&gt;"",MAXIFS(Token!$B:$B,Token!$A:$A,$D481),)</f>
        <v/>
      </c>
    </row>
    <row r="482">
      <c r="A482" s="35" t="str">
        <f>IF(AND($L482*1&gt;=$G$3,$L482*1&lt;=$G$4,$I482*$J482&gt;0,CONCATENATE($H482:$L482)&lt;&gt;CONCATENATE($H483:$L483),$I482/POW(10,$J482)*MAXIFS(Token!$B:$B,Token!$A:$A,$K482)&gt;0.01),$L482/86400+DATE(1970,1,1)+IF($L482*1&gt;=$G$5,$G$6,0),)</f>
        <v/>
      </c>
      <c r="B482" s="22" t="str">
        <f t="shared" si="1"/>
        <v/>
      </c>
      <c r="C482" s="14" t="str">
        <f>IF($A482&lt;&gt;"",MINIFS(Merchant!$A:$A,Merchant!$B:$B,$G$2),)</f>
        <v/>
      </c>
      <c r="D482" s="14" t="str">
        <f t="shared" si="2"/>
        <v/>
      </c>
      <c r="E482" s="14" t="str">
        <f t="shared" si="3"/>
        <v/>
      </c>
      <c r="F482" s="6" t="str">
        <f>IF($A482&lt;&gt;"",MAXIFS(Token!$B:$B,Token!$A:$A,$D482),)</f>
        <v/>
      </c>
    </row>
    <row r="483">
      <c r="A483" s="35" t="str">
        <f>IF(AND($L483*1&gt;=$G$3,$L483*1&lt;=$G$4,$I483*$J483&gt;0,CONCATENATE($H483:$L483)&lt;&gt;CONCATENATE($H484:$L484),$I483/POW(10,$J483)*MAXIFS(Token!$B:$B,Token!$A:$A,$K483)&gt;0.01),$L483/86400+DATE(1970,1,1)+IF($L483*1&gt;=$G$5,$G$6,0),)</f>
        <v/>
      </c>
      <c r="B483" s="22" t="str">
        <f t="shared" si="1"/>
        <v/>
      </c>
      <c r="C483" s="14" t="str">
        <f>IF($A483&lt;&gt;"",MINIFS(Merchant!$A:$A,Merchant!$B:$B,$G$2),)</f>
        <v/>
      </c>
      <c r="D483" s="14" t="str">
        <f t="shared" si="2"/>
        <v/>
      </c>
      <c r="E483" s="14" t="str">
        <f t="shared" si="3"/>
        <v/>
      </c>
      <c r="F483" s="6" t="str">
        <f>IF($A483&lt;&gt;"",MAXIFS(Token!$B:$B,Token!$A:$A,$D483),)</f>
        <v/>
      </c>
    </row>
    <row r="484">
      <c r="A484" s="35" t="str">
        <f>IF(AND($L484*1&gt;=$G$3,$L484*1&lt;=$G$4,$I484*$J484&gt;0,CONCATENATE($H484:$L484)&lt;&gt;CONCATENATE($H485:$L485),$I484/POW(10,$J484)*MAXIFS(Token!$B:$B,Token!$A:$A,$K484)&gt;0.01),$L484/86400+DATE(1970,1,1)+IF($L484*1&gt;=$G$5,$G$6,0),)</f>
        <v/>
      </c>
      <c r="B484" s="22" t="str">
        <f t="shared" si="1"/>
        <v/>
      </c>
      <c r="C484" s="14" t="str">
        <f>IF($A484&lt;&gt;"",MINIFS(Merchant!$A:$A,Merchant!$B:$B,$G$2),)</f>
        <v/>
      </c>
      <c r="D484" s="14" t="str">
        <f t="shared" si="2"/>
        <v/>
      </c>
      <c r="E484" s="14" t="str">
        <f t="shared" si="3"/>
        <v/>
      </c>
      <c r="F484" s="6" t="str">
        <f>IF($A484&lt;&gt;"",MAXIFS(Token!$B:$B,Token!$A:$A,$D484),)</f>
        <v/>
      </c>
    </row>
    <row r="485">
      <c r="A485" s="35" t="str">
        <f>IF(AND($L485*1&gt;=$G$3,$L485*1&lt;=$G$4,$I485*$J485&gt;0,CONCATENATE($H485:$L485)&lt;&gt;CONCATENATE($H486:$L486),$I485/POW(10,$J485)*MAXIFS(Token!$B:$B,Token!$A:$A,$K485)&gt;0.01),$L485/86400+DATE(1970,1,1)+IF($L485*1&gt;=$G$5,$G$6,0),)</f>
        <v/>
      </c>
      <c r="B485" s="22" t="str">
        <f t="shared" si="1"/>
        <v/>
      </c>
      <c r="C485" s="14" t="str">
        <f>IF($A485&lt;&gt;"",MINIFS(Merchant!$A:$A,Merchant!$B:$B,$G$2),)</f>
        <v/>
      </c>
      <c r="D485" s="14" t="str">
        <f t="shared" si="2"/>
        <v/>
      </c>
      <c r="E485" s="14" t="str">
        <f t="shared" si="3"/>
        <v/>
      </c>
      <c r="F485" s="6" t="str">
        <f>IF($A485&lt;&gt;"",MAXIFS(Token!$B:$B,Token!$A:$A,$D485),)</f>
        <v/>
      </c>
    </row>
    <row r="486">
      <c r="A486" s="35" t="str">
        <f>IF(AND($L486*1&gt;=$G$3,$L486*1&lt;=$G$4,$I486*$J486&gt;0,CONCATENATE($H486:$L486)&lt;&gt;CONCATENATE($H487:$L487),$I486/POW(10,$J486)*MAXIFS(Token!$B:$B,Token!$A:$A,$K486)&gt;0.01),$L486/86400+DATE(1970,1,1)+IF($L486*1&gt;=$G$5,$G$6,0),)</f>
        <v/>
      </c>
      <c r="B486" s="22" t="str">
        <f t="shared" si="1"/>
        <v/>
      </c>
      <c r="C486" s="14" t="str">
        <f>IF($A486&lt;&gt;"",MINIFS(Merchant!$A:$A,Merchant!$B:$B,$G$2),)</f>
        <v/>
      </c>
      <c r="D486" s="14" t="str">
        <f t="shared" si="2"/>
        <v/>
      </c>
      <c r="E486" s="14" t="str">
        <f t="shared" si="3"/>
        <v/>
      </c>
      <c r="F486" s="6" t="str">
        <f>IF($A486&lt;&gt;"",MAXIFS(Token!$B:$B,Token!$A:$A,$D486),)</f>
        <v/>
      </c>
    </row>
    <row r="487">
      <c r="A487" s="35" t="str">
        <f>IF(AND($L487*1&gt;=$G$3,$L487*1&lt;=$G$4,$I487*$J487&gt;0,CONCATENATE($H487:$L487)&lt;&gt;CONCATENATE($H488:$L488),$I487/POW(10,$J487)*MAXIFS(Token!$B:$B,Token!$A:$A,$K487)&gt;0.01),$L487/86400+DATE(1970,1,1)+IF($L487*1&gt;=$G$5,$G$6,0),)</f>
        <v/>
      </c>
      <c r="B487" s="22" t="str">
        <f t="shared" si="1"/>
        <v/>
      </c>
      <c r="C487" s="14" t="str">
        <f>IF($A487&lt;&gt;"",MINIFS(Merchant!$A:$A,Merchant!$B:$B,$G$2),)</f>
        <v/>
      </c>
      <c r="D487" s="14" t="str">
        <f t="shared" si="2"/>
        <v/>
      </c>
      <c r="E487" s="14" t="str">
        <f t="shared" si="3"/>
        <v/>
      </c>
      <c r="F487" s="6" t="str">
        <f>IF($A487&lt;&gt;"",MAXIFS(Token!$B:$B,Token!$A:$A,$D487),)</f>
        <v/>
      </c>
    </row>
    <row r="488">
      <c r="A488" s="35" t="str">
        <f>IF(AND($L488*1&gt;=$G$3,$L488*1&lt;=$G$4,$I488*$J488&gt;0,CONCATENATE($H488:$L488)&lt;&gt;CONCATENATE($H489:$L489),$I488/POW(10,$J488)*MAXIFS(Token!$B:$B,Token!$A:$A,$K488)&gt;0.01),$L488/86400+DATE(1970,1,1)+IF($L488*1&gt;=$G$5,$G$6,0),)</f>
        <v/>
      </c>
      <c r="B488" s="22" t="str">
        <f t="shared" si="1"/>
        <v/>
      </c>
      <c r="C488" s="14" t="str">
        <f>IF($A488&lt;&gt;"",MINIFS(Merchant!$A:$A,Merchant!$B:$B,$G$2),)</f>
        <v/>
      </c>
      <c r="D488" s="14" t="str">
        <f t="shared" si="2"/>
        <v/>
      </c>
      <c r="E488" s="14" t="str">
        <f t="shared" si="3"/>
        <v/>
      </c>
      <c r="F488" s="6" t="str">
        <f>IF($A488&lt;&gt;"",MAXIFS(Token!$B:$B,Token!$A:$A,$D488),)</f>
        <v/>
      </c>
    </row>
    <row r="489">
      <c r="A489" s="35" t="str">
        <f>IF(AND($L489*1&gt;=$G$3,$L489*1&lt;=$G$4,$I489*$J489&gt;0,CONCATENATE($H489:$L489)&lt;&gt;CONCATENATE($H490:$L490),$I489/POW(10,$J489)*MAXIFS(Token!$B:$B,Token!$A:$A,$K489)&gt;0.01),$L489/86400+DATE(1970,1,1)+IF($L489*1&gt;=$G$5,$G$6,0),)</f>
        <v/>
      </c>
      <c r="B489" s="22" t="str">
        <f t="shared" si="1"/>
        <v/>
      </c>
      <c r="C489" s="14" t="str">
        <f>IF($A489&lt;&gt;"",MINIFS(Merchant!$A:$A,Merchant!$B:$B,$G$2),)</f>
        <v/>
      </c>
      <c r="D489" s="14" t="str">
        <f t="shared" si="2"/>
        <v/>
      </c>
      <c r="E489" s="14" t="str">
        <f t="shared" si="3"/>
        <v/>
      </c>
      <c r="F489" s="6" t="str">
        <f>IF($A489&lt;&gt;"",MAXIFS(Token!$B:$B,Token!$A:$A,$D489),)</f>
        <v/>
      </c>
    </row>
    <row r="490">
      <c r="A490" s="35" t="str">
        <f>IF(AND($L490*1&gt;=$G$3,$L490*1&lt;=$G$4,$I490*$J490&gt;0,CONCATENATE($H490:$L490)&lt;&gt;CONCATENATE($H491:$L491),$I490/POW(10,$J490)*MAXIFS(Token!$B:$B,Token!$A:$A,$K490)&gt;0.01),$L490/86400+DATE(1970,1,1)+IF($L490*1&gt;=$G$5,$G$6,0),)</f>
        <v/>
      </c>
      <c r="B490" s="22" t="str">
        <f t="shared" si="1"/>
        <v/>
      </c>
      <c r="C490" s="14" t="str">
        <f>IF($A490&lt;&gt;"",MINIFS(Merchant!$A:$A,Merchant!$B:$B,$G$2),)</f>
        <v/>
      </c>
      <c r="D490" s="14" t="str">
        <f t="shared" si="2"/>
        <v/>
      </c>
      <c r="E490" s="14" t="str">
        <f t="shared" si="3"/>
        <v/>
      </c>
      <c r="F490" s="6" t="str">
        <f>IF($A490&lt;&gt;"",MAXIFS(Token!$B:$B,Token!$A:$A,$D490),)</f>
        <v/>
      </c>
    </row>
    <row r="491">
      <c r="A491" s="35" t="str">
        <f>IF(AND($L491*1&gt;=$G$3,$L491*1&lt;=$G$4,$I491*$J491&gt;0,CONCATENATE($H491:$L491)&lt;&gt;CONCATENATE($H492:$L492),$I491/POW(10,$J491)*MAXIFS(Token!$B:$B,Token!$A:$A,$K491)&gt;0.01),$L491/86400+DATE(1970,1,1)+IF($L491*1&gt;=$G$5,$G$6,0),)</f>
        <v/>
      </c>
      <c r="B491" s="22" t="str">
        <f t="shared" si="1"/>
        <v/>
      </c>
      <c r="C491" s="14" t="str">
        <f>IF($A491&lt;&gt;"",MINIFS(Merchant!$A:$A,Merchant!$B:$B,$G$2),)</f>
        <v/>
      </c>
      <c r="D491" s="14" t="str">
        <f t="shared" si="2"/>
        <v/>
      </c>
      <c r="E491" s="14" t="str">
        <f t="shared" si="3"/>
        <v/>
      </c>
      <c r="F491" s="6" t="str">
        <f>IF($A491&lt;&gt;"",MAXIFS(Token!$B:$B,Token!$A:$A,$D491),)</f>
        <v/>
      </c>
    </row>
    <row r="492">
      <c r="A492" s="35" t="str">
        <f>IF(AND($L492*1&gt;=$G$3,$L492*1&lt;=$G$4,$I492*$J492&gt;0,CONCATENATE($H492:$L492)&lt;&gt;CONCATENATE($H493:$L493),$I492/POW(10,$J492)*MAXIFS(Token!$B:$B,Token!$A:$A,$K492)&gt;0.01),$L492/86400+DATE(1970,1,1)+IF($L492*1&gt;=$G$5,$G$6,0),)</f>
        <v/>
      </c>
      <c r="B492" s="22" t="str">
        <f t="shared" si="1"/>
        <v/>
      </c>
      <c r="C492" s="14" t="str">
        <f>IF($A492&lt;&gt;"",MINIFS(Merchant!$A:$A,Merchant!$B:$B,$G$2),)</f>
        <v/>
      </c>
      <c r="D492" s="14" t="str">
        <f t="shared" si="2"/>
        <v/>
      </c>
      <c r="E492" s="14" t="str">
        <f t="shared" si="3"/>
        <v/>
      </c>
      <c r="F492" s="6" t="str">
        <f>IF($A492&lt;&gt;"",MAXIFS(Token!$B:$B,Token!$A:$A,$D492),)</f>
        <v/>
      </c>
    </row>
    <row r="493">
      <c r="A493" s="35" t="str">
        <f>IF(AND($L493*1&gt;=$G$3,$L493*1&lt;=$G$4,$I493*$J493&gt;0,CONCATENATE($H493:$L493)&lt;&gt;CONCATENATE($H494:$L494),$I493/POW(10,$J493)*MAXIFS(Token!$B:$B,Token!$A:$A,$K493)&gt;0.01),$L493/86400+DATE(1970,1,1)+IF($L493*1&gt;=$G$5,$G$6,0),)</f>
        <v/>
      </c>
      <c r="B493" s="22" t="str">
        <f t="shared" si="1"/>
        <v/>
      </c>
      <c r="C493" s="14" t="str">
        <f>IF($A493&lt;&gt;"",MINIFS(Merchant!$A:$A,Merchant!$B:$B,$G$2),)</f>
        <v/>
      </c>
      <c r="D493" s="14" t="str">
        <f t="shared" si="2"/>
        <v/>
      </c>
      <c r="E493" s="14" t="str">
        <f t="shared" si="3"/>
        <v/>
      </c>
      <c r="F493" s="6" t="str">
        <f>IF($A493&lt;&gt;"",MAXIFS(Token!$B:$B,Token!$A:$A,$D493),)</f>
        <v/>
      </c>
    </row>
    <row r="494">
      <c r="A494" s="35" t="str">
        <f>IF(AND($L494*1&gt;=$G$3,$L494*1&lt;=$G$4,$I494*$J494&gt;0,CONCATENATE($H494:$L494)&lt;&gt;CONCATENATE($H495:$L495),$I494/POW(10,$J494)*MAXIFS(Token!$B:$B,Token!$A:$A,$K494)&gt;0.01),$L494/86400+DATE(1970,1,1)+IF($L494*1&gt;=$G$5,$G$6,0),)</f>
        <v/>
      </c>
      <c r="B494" s="22" t="str">
        <f t="shared" si="1"/>
        <v/>
      </c>
      <c r="C494" s="14" t="str">
        <f>IF($A494&lt;&gt;"",MINIFS(Merchant!$A:$A,Merchant!$B:$B,$G$2),)</f>
        <v/>
      </c>
      <c r="D494" s="14" t="str">
        <f t="shared" si="2"/>
        <v/>
      </c>
      <c r="E494" s="14" t="str">
        <f t="shared" si="3"/>
        <v/>
      </c>
      <c r="F494" s="6" t="str">
        <f>IF($A494&lt;&gt;"",MAXIFS(Token!$B:$B,Token!$A:$A,$D494),)</f>
        <v/>
      </c>
    </row>
    <row r="495">
      <c r="A495" s="35" t="str">
        <f>IF(AND($L495*1&gt;=$G$3,$L495*1&lt;=$G$4,$I495*$J495&gt;0,CONCATENATE($H495:$L495)&lt;&gt;CONCATENATE($H496:$L496),$I495/POW(10,$J495)*MAXIFS(Token!$B:$B,Token!$A:$A,$K495)&gt;0.01),$L495/86400+DATE(1970,1,1)+IF($L495*1&gt;=$G$5,$G$6,0),)</f>
        <v/>
      </c>
      <c r="B495" s="22" t="str">
        <f t="shared" si="1"/>
        <v/>
      </c>
      <c r="C495" s="14" t="str">
        <f>IF($A495&lt;&gt;"",MINIFS(Merchant!$A:$A,Merchant!$B:$B,$G$2),)</f>
        <v/>
      </c>
      <c r="D495" s="14" t="str">
        <f t="shared" si="2"/>
        <v/>
      </c>
      <c r="E495" s="14" t="str">
        <f t="shared" si="3"/>
        <v/>
      </c>
      <c r="F495" s="6" t="str">
        <f>IF($A495&lt;&gt;"",MAXIFS(Token!$B:$B,Token!$A:$A,$D495),)</f>
        <v/>
      </c>
    </row>
    <row r="496">
      <c r="A496" s="35" t="str">
        <f>IF(AND($L496*1&gt;=$G$3,$L496*1&lt;=$G$4,$I496*$J496&gt;0,CONCATENATE($H496:$L496)&lt;&gt;CONCATENATE($H497:$L497),$I496/POW(10,$J496)*MAXIFS(Token!$B:$B,Token!$A:$A,$K496)&gt;0.01),$L496/86400+DATE(1970,1,1)+IF($L496*1&gt;=$G$5,$G$6,0),)</f>
        <v/>
      </c>
      <c r="B496" s="22" t="str">
        <f t="shared" si="1"/>
        <v/>
      </c>
      <c r="C496" s="14" t="str">
        <f>IF($A496&lt;&gt;"",MINIFS(Merchant!$A:$A,Merchant!$B:$B,$G$2),)</f>
        <v/>
      </c>
      <c r="D496" s="14" t="str">
        <f t="shared" si="2"/>
        <v/>
      </c>
      <c r="E496" s="14" t="str">
        <f t="shared" si="3"/>
        <v/>
      </c>
      <c r="F496" s="6" t="str">
        <f>IF($A496&lt;&gt;"",MAXIFS(Token!$B:$B,Token!$A:$A,$D496),)</f>
        <v/>
      </c>
    </row>
    <row r="497">
      <c r="A497" s="35" t="str">
        <f>IF(AND($L497*1&gt;=$G$3,$L497*1&lt;=$G$4,$I497*$J497&gt;0,CONCATENATE($H497:$L497)&lt;&gt;CONCATENATE($H498:$L498),$I497/POW(10,$J497)*MAXIFS(Token!$B:$B,Token!$A:$A,$K497)&gt;0.01),$L497/86400+DATE(1970,1,1)+IF($L497*1&gt;=$G$5,$G$6,0),)</f>
        <v/>
      </c>
      <c r="B497" s="22" t="str">
        <f t="shared" si="1"/>
        <v/>
      </c>
      <c r="C497" s="14" t="str">
        <f>IF($A497&lt;&gt;"",MINIFS(Merchant!$A:$A,Merchant!$B:$B,$G$2),)</f>
        <v/>
      </c>
      <c r="D497" s="14" t="str">
        <f t="shared" si="2"/>
        <v/>
      </c>
      <c r="E497" s="14" t="str">
        <f t="shared" si="3"/>
        <v/>
      </c>
      <c r="F497" s="6" t="str">
        <f>IF($A497&lt;&gt;"",MAXIFS(Token!$B:$B,Token!$A:$A,$D497),)</f>
        <v/>
      </c>
    </row>
    <row r="498">
      <c r="A498" s="35" t="str">
        <f>IF(AND($L498*1&gt;=$G$3,$L498*1&lt;=$G$4,$I498*$J498&gt;0,CONCATENATE($H498:$L498)&lt;&gt;CONCATENATE($H499:$L499),$I498/POW(10,$J498)*MAXIFS(Token!$B:$B,Token!$A:$A,$K498)&gt;0.01),$L498/86400+DATE(1970,1,1)+IF($L498*1&gt;=$G$5,$G$6,0),)</f>
        <v/>
      </c>
      <c r="B498" s="22" t="str">
        <f t="shared" si="1"/>
        <v/>
      </c>
      <c r="C498" s="14" t="str">
        <f>IF($A498&lt;&gt;"",MINIFS(Merchant!$A:$A,Merchant!$B:$B,$G$2),)</f>
        <v/>
      </c>
      <c r="D498" s="14" t="str">
        <f t="shared" si="2"/>
        <v/>
      </c>
      <c r="E498" s="14" t="str">
        <f t="shared" si="3"/>
        <v/>
      </c>
      <c r="F498" s="6" t="str">
        <f>IF($A498&lt;&gt;"",MAXIFS(Token!$B:$B,Token!$A:$A,$D498),)</f>
        <v/>
      </c>
    </row>
    <row r="499">
      <c r="A499" s="35" t="str">
        <f>IF(AND($L499*1&gt;=$G$3,$L499*1&lt;=$G$4,$I499*$J499&gt;0,CONCATENATE($H499:$L499)&lt;&gt;CONCATENATE($H500:$L500),$I499/POW(10,$J499)*MAXIFS(Token!$B:$B,Token!$A:$A,$K499)&gt;0.01),$L499/86400+DATE(1970,1,1)+IF($L499*1&gt;=$G$5,$G$6,0),)</f>
        <v/>
      </c>
      <c r="B499" s="22" t="str">
        <f t="shared" si="1"/>
        <v/>
      </c>
      <c r="C499" s="14" t="str">
        <f>IF($A499&lt;&gt;"",MINIFS(Merchant!$A:$A,Merchant!$B:$B,$G$2),)</f>
        <v/>
      </c>
      <c r="D499" s="14" t="str">
        <f t="shared" si="2"/>
        <v/>
      </c>
      <c r="E499" s="14" t="str">
        <f t="shared" si="3"/>
        <v/>
      </c>
      <c r="F499" s="6" t="str">
        <f>IF($A499&lt;&gt;"",MAXIFS(Token!$B:$B,Token!$A:$A,$D499),)</f>
        <v/>
      </c>
    </row>
    <row r="500">
      <c r="A500" s="35" t="str">
        <f>IF(AND($L500*1&gt;=$G$3,$L500*1&lt;=$G$4,$I500*$J500&gt;0,CONCATENATE($H500:$L500)&lt;&gt;CONCATENATE($H501:$L501),$I500/POW(10,$J500)*MAXIFS(Token!$B:$B,Token!$A:$A,$K500)&gt;0.01),$L500/86400+DATE(1970,1,1)+IF($L500*1&gt;=$G$5,$G$6,0),)</f>
        <v/>
      </c>
      <c r="B500" s="22" t="str">
        <f t="shared" si="1"/>
        <v/>
      </c>
      <c r="C500" s="14" t="str">
        <f>IF($A500&lt;&gt;"",MINIFS(Merchant!$A:$A,Merchant!$B:$B,$G$2),)</f>
        <v/>
      </c>
      <c r="D500" s="14" t="str">
        <f t="shared" si="2"/>
        <v/>
      </c>
      <c r="E500" s="14" t="str">
        <f t="shared" si="3"/>
        <v/>
      </c>
      <c r="F500" s="6" t="str">
        <f>IF($A500&lt;&gt;"",MAXIFS(Token!$B:$B,Token!$A:$A,$D500),)</f>
        <v/>
      </c>
    </row>
    <row r="501">
      <c r="A501" s="35" t="str">
        <f>IF(AND($L501*1&gt;=$G$3,$L501*1&lt;=$G$4,$I501*$J501&gt;0,CONCATENATE($H501:$L501)&lt;&gt;CONCATENATE($H502:$L502),$I501/POW(10,$J501)*MAXIFS(Token!$B:$B,Token!$A:$A,$K501)&gt;0.01),$L501/86400+DATE(1970,1,1)+IF($L501*1&gt;=$G$5,$G$6,0),)</f>
        <v/>
      </c>
      <c r="B501" s="22" t="str">
        <f t="shared" si="1"/>
        <v/>
      </c>
      <c r="C501" s="14" t="str">
        <f>IF($A501&lt;&gt;"",MINIFS(Merchant!$A:$A,Merchant!$B:$B,$G$2),)</f>
        <v/>
      </c>
      <c r="D501" s="14" t="str">
        <f t="shared" si="2"/>
        <v/>
      </c>
      <c r="E501" s="14" t="str">
        <f t="shared" si="3"/>
        <v/>
      </c>
      <c r="F501" s="6" t="str">
        <f>IF($A501&lt;&gt;"",MAXIFS(Token!$B:$B,Token!$A:$A,$D501),)</f>
        <v/>
      </c>
    </row>
    <row r="502">
      <c r="A502" s="35" t="str">
        <f>IF(AND($L502*1&gt;=$G$3,$L502*1&lt;=$G$4,$I502*$J502&gt;0,CONCATENATE($H502:$L502)&lt;&gt;CONCATENATE($H503:$L503),$I502/POW(10,$J502)*MAXIFS(Token!$B:$B,Token!$A:$A,$K502)&gt;0.01),$L502/86400+DATE(1970,1,1)+IF($L502*1&gt;=$G$5,$G$6,0),)</f>
        <v/>
      </c>
      <c r="B502" s="22" t="str">
        <f t="shared" si="1"/>
        <v/>
      </c>
      <c r="C502" s="14" t="str">
        <f>IF($A502&lt;&gt;"",MINIFS(Merchant!$A:$A,Merchant!$B:$B,$G$2),)</f>
        <v/>
      </c>
      <c r="D502" s="14" t="str">
        <f t="shared" si="2"/>
        <v/>
      </c>
      <c r="E502" s="14" t="str">
        <f t="shared" si="3"/>
        <v/>
      </c>
      <c r="F502" s="6" t="str">
        <f>IF($A502&lt;&gt;"",MAXIFS(Token!$B:$B,Token!$A:$A,$D502),)</f>
        <v/>
      </c>
    </row>
    <row r="503">
      <c r="A503" s="35" t="str">
        <f>IF(AND($L503*1&gt;=$G$3,$L503*1&lt;=$G$4,$I503*$J503&gt;0,CONCATENATE($H503:$L503)&lt;&gt;CONCATENATE($H504:$L504),$I503/POW(10,$J503)*MAXIFS(Token!$B:$B,Token!$A:$A,$K503)&gt;0.01),$L503/86400+DATE(1970,1,1)+IF($L503*1&gt;=$G$5,$G$6,0),)</f>
        <v/>
      </c>
      <c r="B503" s="22" t="str">
        <f t="shared" si="1"/>
        <v/>
      </c>
      <c r="C503" s="14" t="str">
        <f>IF($A503&lt;&gt;"",MINIFS(Merchant!$A:$A,Merchant!$B:$B,$G$2),)</f>
        <v/>
      </c>
      <c r="D503" s="14" t="str">
        <f t="shared" si="2"/>
        <v/>
      </c>
      <c r="E503" s="14" t="str">
        <f t="shared" si="3"/>
        <v/>
      </c>
      <c r="F503" s="6" t="str">
        <f>IF($A503&lt;&gt;"",MAXIFS(Token!$B:$B,Token!$A:$A,$D503),)</f>
        <v/>
      </c>
    </row>
    <row r="504">
      <c r="A504" s="35" t="str">
        <f>IF(AND($L504*1&gt;=$G$3,$L504*1&lt;=$G$4,$I504*$J504&gt;0,CONCATENATE($H504:$L504)&lt;&gt;CONCATENATE($H505:$L505),$I504/POW(10,$J504)*MAXIFS(Token!$B:$B,Token!$A:$A,$K504)&gt;0.01),$L504/86400+DATE(1970,1,1)+IF($L504*1&gt;=$G$5,$G$6,0),)</f>
        <v/>
      </c>
      <c r="B504" s="22" t="str">
        <f t="shared" si="1"/>
        <v/>
      </c>
      <c r="C504" s="14" t="str">
        <f>IF($A504&lt;&gt;"",MINIFS(Merchant!$A:$A,Merchant!$B:$B,$G$2),)</f>
        <v/>
      </c>
      <c r="D504" s="14" t="str">
        <f t="shared" si="2"/>
        <v/>
      </c>
      <c r="E504" s="14" t="str">
        <f t="shared" si="3"/>
        <v/>
      </c>
      <c r="F504" s="6" t="str">
        <f>IF($A504&lt;&gt;"",MAXIFS(Token!$B:$B,Token!$A:$A,$D504),)</f>
        <v/>
      </c>
    </row>
    <row r="505">
      <c r="A505" s="35" t="str">
        <f>IF(AND($L505*1&gt;=$G$3,$L505*1&lt;=$G$4,$I505*$J505&gt;0,CONCATENATE($H505:$L505)&lt;&gt;CONCATENATE($H506:$L506),$I505/POW(10,$J505)*MAXIFS(Token!$B:$B,Token!$A:$A,$K505)&gt;0.01),$L505/86400+DATE(1970,1,1)+IF($L505*1&gt;=$G$5,$G$6,0),)</f>
        <v/>
      </c>
      <c r="B505" s="22" t="str">
        <f t="shared" si="1"/>
        <v/>
      </c>
      <c r="C505" s="14" t="str">
        <f>IF($A505&lt;&gt;"",MINIFS(Merchant!$A:$A,Merchant!$B:$B,$G$2),)</f>
        <v/>
      </c>
      <c r="D505" s="14" t="str">
        <f t="shared" si="2"/>
        <v/>
      </c>
      <c r="E505" s="14" t="str">
        <f t="shared" si="3"/>
        <v/>
      </c>
      <c r="F505" s="6" t="str">
        <f>IF($A505&lt;&gt;"",MAXIFS(Token!$B:$B,Token!$A:$A,$D505),)</f>
        <v/>
      </c>
    </row>
    <row r="506">
      <c r="A506" s="35" t="str">
        <f>IF(AND($L506*1&gt;=$G$3,$L506*1&lt;=$G$4,$I506*$J506&gt;0,CONCATENATE($H506:$L506)&lt;&gt;CONCATENATE($H507:$L507),$I506/POW(10,$J506)*MAXIFS(Token!$B:$B,Token!$A:$A,$K506)&gt;0.01),$L506/86400+DATE(1970,1,1)+IF($L506*1&gt;=$G$5,$G$6,0),)</f>
        <v/>
      </c>
      <c r="B506" s="22" t="str">
        <f t="shared" si="1"/>
        <v/>
      </c>
      <c r="C506" s="14" t="str">
        <f>IF($A506&lt;&gt;"",MINIFS(Merchant!$A:$A,Merchant!$B:$B,$G$2),)</f>
        <v/>
      </c>
      <c r="D506" s="14" t="str">
        <f t="shared" si="2"/>
        <v/>
      </c>
      <c r="E506" s="14" t="str">
        <f t="shared" si="3"/>
        <v/>
      </c>
      <c r="F506" s="6" t="str">
        <f>IF($A506&lt;&gt;"",MAXIFS(Token!$B:$B,Token!$A:$A,$D506),)</f>
        <v/>
      </c>
    </row>
    <row r="507">
      <c r="A507" s="35" t="str">
        <f>IF(AND($L507*1&gt;=$G$3,$L507*1&lt;=$G$4,$I507*$J507&gt;0,CONCATENATE($H507:$L507)&lt;&gt;CONCATENATE($H508:$L508),$I507/POW(10,$J507)*MAXIFS(Token!$B:$B,Token!$A:$A,$K507)&gt;0.01),$L507/86400+DATE(1970,1,1)+IF($L507*1&gt;=$G$5,$G$6,0),)</f>
        <v/>
      </c>
      <c r="B507" s="22" t="str">
        <f t="shared" si="1"/>
        <v/>
      </c>
      <c r="C507" s="14" t="str">
        <f>IF($A507&lt;&gt;"",MINIFS(Merchant!$A:$A,Merchant!$B:$B,$G$2),)</f>
        <v/>
      </c>
      <c r="D507" s="14" t="str">
        <f t="shared" si="2"/>
        <v/>
      </c>
      <c r="E507" s="14" t="str">
        <f t="shared" si="3"/>
        <v/>
      </c>
      <c r="F507" s="6" t="str">
        <f>IF($A507&lt;&gt;"",MAXIFS(Token!$B:$B,Token!$A:$A,$D507),)</f>
        <v/>
      </c>
    </row>
    <row r="508">
      <c r="A508" s="35" t="str">
        <f>IF(AND($L508*1&gt;=$G$3,$L508*1&lt;=$G$4,$I508*$J508&gt;0,CONCATENATE($H508:$L508)&lt;&gt;CONCATENATE($H509:$L509),$I508/POW(10,$J508)*MAXIFS(Token!$B:$B,Token!$A:$A,$K508)&gt;0.01),$L508/86400+DATE(1970,1,1)+IF($L508*1&gt;=$G$5,$G$6,0),)</f>
        <v/>
      </c>
      <c r="B508" s="22" t="str">
        <f t="shared" si="1"/>
        <v/>
      </c>
      <c r="C508" s="14" t="str">
        <f>IF($A508&lt;&gt;"",MINIFS(Merchant!$A:$A,Merchant!$B:$B,$G$2),)</f>
        <v/>
      </c>
      <c r="D508" s="14" t="str">
        <f t="shared" si="2"/>
        <v/>
      </c>
      <c r="E508" s="14" t="str">
        <f t="shared" si="3"/>
        <v/>
      </c>
      <c r="F508" s="6" t="str">
        <f>IF($A508&lt;&gt;"",MAXIFS(Token!$B:$B,Token!$A:$A,$D508),)</f>
        <v/>
      </c>
    </row>
    <row r="509">
      <c r="A509" s="35" t="str">
        <f>IF(AND($L509*1&gt;=$G$3,$L509*1&lt;=$G$4,$I509*$J509&gt;0,CONCATENATE($H509:$L509)&lt;&gt;CONCATENATE($H510:$L510),$I509/POW(10,$J509)*MAXIFS(Token!$B:$B,Token!$A:$A,$K509)&gt;0.01),$L509/86400+DATE(1970,1,1)+IF($L509*1&gt;=$G$5,$G$6,0),)</f>
        <v/>
      </c>
      <c r="B509" s="22" t="str">
        <f t="shared" si="1"/>
        <v/>
      </c>
      <c r="C509" s="14" t="str">
        <f>IF($A509&lt;&gt;"",MINIFS(Merchant!$A:$A,Merchant!$B:$B,$G$2),)</f>
        <v/>
      </c>
      <c r="D509" s="14" t="str">
        <f t="shared" si="2"/>
        <v/>
      </c>
      <c r="E509" s="14" t="str">
        <f t="shared" si="3"/>
        <v/>
      </c>
      <c r="F509" s="6" t="str">
        <f>IF($A509&lt;&gt;"",MAXIFS(Token!$B:$B,Token!$A:$A,$D509),)</f>
        <v/>
      </c>
    </row>
    <row r="510">
      <c r="A510" s="35" t="str">
        <f>IF(AND($L510*1&gt;=$G$3,$L510*1&lt;=$G$4,$I510*$J510&gt;0,CONCATENATE($H510:$L510)&lt;&gt;CONCATENATE($H511:$L511),$I510/POW(10,$J510)*MAXIFS(Token!$B:$B,Token!$A:$A,$K510)&gt;0.01),$L510/86400+DATE(1970,1,1)+IF($L510*1&gt;=$G$5,$G$6,0),)</f>
        <v/>
      </c>
      <c r="B510" s="22" t="str">
        <f t="shared" si="1"/>
        <v/>
      </c>
      <c r="C510" s="14" t="str">
        <f>IF($A510&lt;&gt;"",MINIFS(Merchant!$A:$A,Merchant!$B:$B,$G$2),)</f>
        <v/>
      </c>
      <c r="D510" s="14" t="str">
        <f t="shared" si="2"/>
        <v/>
      </c>
      <c r="E510" s="14" t="str">
        <f t="shared" si="3"/>
        <v/>
      </c>
      <c r="F510" s="6" t="str">
        <f>IF($A510&lt;&gt;"",MAXIFS(Token!$B:$B,Token!$A:$A,$D510),)</f>
        <v/>
      </c>
    </row>
    <row r="511">
      <c r="A511" s="35" t="str">
        <f>IF(AND($L511*1&gt;=$G$3,$L511*1&lt;=$G$4,$I511*$J511&gt;0,CONCATENATE($H511:$L511)&lt;&gt;CONCATENATE($H512:$L512),$I511/POW(10,$J511)*MAXIFS(Token!$B:$B,Token!$A:$A,$K511)&gt;0.01),$L511/86400+DATE(1970,1,1)+IF($L511*1&gt;=$G$5,$G$6,0),)</f>
        <v/>
      </c>
      <c r="B511" s="22" t="str">
        <f t="shared" si="1"/>
        <v/>
      </c>
      <c r="C511" s="14" t="str">
        <f>IF($A511&lt;&gt;"",MINIFS(Merchant!$A:$A,Merchant!$B:$B,$G$2),)</f>
        <v/>
      </c>
      <c r="D511" s="14" t="str">
        <f t="shared" si="2"/>
        <v/>
      </c>
      <c r="E511" s="14" t="str">
        <f t="shared" si="3"/>
        <v/>
      </c>
      <c r="F511" s="6" t="str">
        <f>IF($A511&lt;&gt;"",MAXIFS(Token!$B:$B,Token!$A:$A,$D511),)</f>
        <v/>
      </c>
    </row>
    <row r="512">
      <c r="A512" s="35" t="str">
        <f>IF(AND($L512*1&gt;=$G$3,$L512*1&lt;=$G$4,$I512*$J512&gt;0,CONCATENATE($H512:$L512)&lt;&gt;CONCATENATE($H513:$L513),$I512/POW(10,$J512)*MAXIFS(Token!$B:$B,Token!$A:$A,$K512)&gt;0.01),$L512/86400+DATE(1970,1,1)+IF($L512*1&gt;=$G$5,$G$6,0),)</f>
        <v/>
      </c>
      <c r="B512" s="22" t="str">
        <f t="shared" si="1"/>
        <v/>
      </c>
      <c r="C512" s="14" t="str">
        <f>IF($A512&lt;&gt;"",MINIFS(Merchant!$A:$A,Merchant!$B:$B,$G$2),)</f>
        <v/>
      </c>
      <c r="D512" s="14" t="str">
        <f t="shared" si="2"/>
        <v/>
      </c>
      <c r="E512" s="14" t="str">
        <f t="shared" si="3"/>
        <v/>
      </c>
      <c r="F512" s="6" t="str">
        <f>IF($A512&lt;&gt;"",MAXIFS(Token!$B:$B,Token!$A:$A,$D512),)</f>
        <v/>
      </c>
    </row>
    <row r="513">
      <c r="A513" s="35" t="str">
        <f>IF(AND($L513*1&gt;=$G$3,$L513*1&lt;=$G$4,$I513*$J513&gt;0,CONCATENATE($H513:$L513)&lt;&gt;CONCATENATE($H514:$L514),$I513/POW(10,$J513)*MAXIFS(Token!$B:$B,Token!$A:$A,$K513)&gt;0.01),$L513/86400+DATE(1970,1,1)+IF($L513*1&gt;=$G$5,$G$6,0),)</f>
        <v/>
      </c>
      <c r="B513" s="22" t="str">
        <f t="shared" si="1"/>
        <v/>
      </c>
      <c r="C513" s="14" t="str">
        <f>IF($A513&lt;&gt;"",MINIFS(Merchant!$A:$A,Merchant!$B:$B,$G$2),)</f>
        <v/>
      </c>
      <c r="D513" s="14" t="str">
        <f t="shared" si="2"/>
        <v/>
      </c>
      <c r="E513" s="14" t="str">
        <f t="shared" si="3"/>
        <v/>
      </c>
      <c r="F513" s="6" t="str">
        <f>IF($A513&lt;&gt;"",MAXIFS(Token!$B:$B,Token!$A:$A,$D513),)</f>
        <v/>
      </c>
    </row>
    <row r="514">
      <c r="A514" s="35" t="str">
        <f>IF(AND($L514*1&gt;=$G$3,$L514*1&lt;=$G$4,$I514*$J514&gt;0,CONCATENATE($H514:$L514)&lt;&gt;CONCATENATE($H515:$L515),$I514/POW(10,$J514)*MAXIFS(Token!$B:$B,Token!$A:$A,$K514)&gt;0.01),$L514/86400+DATE(1970,1,1)+IF($L514*1&gt;=$G$5,$G$6,0),)</f>
        <v/>
      </c>
      <c r="B514" s="22" t="str">
        <f t="shared" si="1"/>
        <v/>
      </c>
      <c r="C514" s="14" t="str">
        <f>IF($A514&lt;&gt;"",MINIFS(Merchant!$A:$A,Merchant!$B:$B,$G$2),)</f>
        <v/>
      </c>
      <c r="D514" s="14" t="str">
        <f t="shared" si="2"/>
        <v/>
      </c>
      <c r="E514" s="14" t="str">
        <f t="shared" si="3"/>
        <v/>
      </c>
      <c r="F514" s="6" t="str">
        <f>IF($A514&lt;&gt;"",MAXIFS(Token!$B:$B,Token!$A:$A,$D514),)</f>
        <v/>
      </c>
    </row>
    <row r="515">
      <c r="A515" s="35" t="str">
        <f>IF(AND($L515*1&gt;=$G$3,$L515*1&lt;=$G$4,$I515*$J515&gt;0,CONCATENATE($H515:$L515)&lt;&gt;CONCATENATE($H516:$L516),$I515/POW(10,$J515)*MAXIFS(Token!$B:$B,Token!$A:$A,$K515)&gt;0.01),$L515/86400+DATE(1970,1,1)+IF($L515*1&gt;=$G$5,$G$6,0),)</f>
        <v/>
      </c>
      <c r="B515" s="22" t="str">
        <f t="shared" si="1"/>
        <v/>
      </c>
      <c r="C515" s="14" t="str">
        <f>IF($A515&lt;&gt;"",MINIFS(Merchant!$A:$A,Merchant!$B:$B,$G$2),)</f>
        <v/>
      </c>
      <c r="D515" s="14" t="str">
        <f t="shared" si="2"/>
        <v/>
      </c>
      <c r="E515" s="14" t="str">
        <f t="shared" si="3"/>
        <v/>
      </c>
      <c r="F515" s="6" t="str">
        <f>IF($A515&lt;&gt;"",MAXIFS(Token!$B:$B,Token!$A:$A,$D515),)</f>
        <v/>
      </c>
    </row>
    <row r="516">
      <c r="A516" s="35" t="str">
        <f>IF(AND($L516*1&gt;=$G$3,$L516*1&lt;=$G$4,$I516*$J516&gt;0,CONCATENATE($H516:$L516)&lt;&gt;CONCATENATE($H517:$L517),$I516/POW(10,$J516)*MAXIFS(Token!$B:$B,Token!$A:$A,$K516)&gt;0.01),$L516/86400+DATE(1970,1,1)+IF($L516*1&gt;=$G$5,$G$6,0),)</f>
        <v/>
      </c>
      <c r="B516" s="22" t="str">
        <f t="shared" si="1"/>
        <v/>
      </c>
      <c r="C516" s="14" t="str">
        <f>IF($A516&lt;&gt;"",MINIFS(Merchant!$A:$A,Merchant!$B:$B,$G$2),)</f>
        <v/>
      </c>
      <c r="D516" s="14" t="str">
        <f t="shared" si="2"/>
        <v/>
      </c>
      <c r="E516" s="14" t="str">
        <f t="shared" si="3"/>
        <v/>
      </c>
      <c r="F516" s="6" t="str">
        <f>IF($A516&lt;&gt;"",MAXIFS(Token!$B:$B,Token!$A:$A,$D516),)</f>
        <v/>
      </c>
    </row>
    <row r="517">
      <c r="A517" s="35" t="str">
        <f>IF(AND($L517*1&gt;=$G$3,$L517*1&lt;=$G$4,$I517*$J517&gt;0,CONCATENATE($H517:$L517)&lt;&gt;CONCATENATE($H518:$L518),$I517/POW(10,$J517)*MAXIFS(Token!$B:$B,Token!$A:$A,$K517)&gt;0.01),$L517/86400+DATE(1970,1,1)+IF($L517*1&gt;=$G$5,$G$6,0),)</f>
        <v/>
      </c>
      <c r="B517" s="22" t="str">
        <f t="shared" si="1"/>
        <v/>
      </c>
      <c r="C517" s="14" t="str">
        <f>IF($A517&lt;&gt;"",MINIFS(Merchant!$A:$A,Merchant!$B:$B,$G$2),)</f>
        <v/>
      </c>
      <c r="D517" s="14" t="str">
        <f t="shared" si="2"/>
        <v/>
      </c>
      <c r="E517" s="14" t="str">
        <f t="shared" si="3"/>
        <v/>
      </c>
      <c r="F517" s="6" t="str">
        <f>IF($A517&lt;&gt;"",MAXIFS(Token!$B:$B,Token!$A:$A,$D517),)</f>
        <v/>
      </c>
    </row>
    <row r="518">
      <c r="A518" s="35" t="str">
        <f>IF(AND($L518*1&gt;=$G$3,$L518*1&lt;=$G$4,$I518*$J518&gt;0,CONCATENATE($H518:$L518)&lt;&gt;CONCATENATE($H519:$L519),$I518/POW(10,$J518)*MAXIFS(Token!$B:$B,Token!$A:$A,$K518)&gt;0.01),$L518/86400+DATE(1970,1,1)+IF($L518*1&gt;=$G$5,$G$6,0),)</f>
        <v/>
      </c>
      <c r="B518" s="22" t="str">
        <f t="shared" si="1"/>
        <v/>
      </c>
      <c r="C518" s="14" t="str">
        <f>IF($A518&lt;&gt;"",MINIFS(Merchant!$A:$A,Merchant!$B:$B,$G$2),)</f>
        <v/>
      </c>
      <c r="D518" s="14" t="str">
        <f t="shared" si="2"/>
        <v/>
      </c>
      <c r="E518" s="14" t="str">
        <f t="shared" si="3"/>
        <v/>
      </c>
      <c r="F518" s="6" t="str">
        <f>IF($A518&lt;&gt;"",MAXIFS(Token!$B:$B,Token!$A:$A,$D518),)</f>
        <v/>
      </c>
    </row>
    <row r="519">
      <c r="A519" s="35" t="str">
        <f>IF(AND($L519*1&gt;=$G$3,$L519*1&lt;=$G$4,$I519*$J519&gt;0,CONCATENATE($H519:$L519)&lt;&gt;CONCATENATE($H520:$L520),$I519/POW(10,$J519)*MAXIFS(Token!$B:$B,Token!$A:$A,$K519)&gt;0.01),$L519/86400+DATE(1970,1,1)+IF($L519*1&gt;=$G$5,$G$6,0),)</f>
        <v/>
      </c>
      <c r="B519" s="22" t="str">
        <f t="shared" si="1"/>
        <v/>
      </c>
      <c r="C519" s="14" t="str">
        <f>IF($A519&lt;&gt;"",MINIFS(Merchant!$A:$A,Merchant!$B:$B,$G$2),)</f>
        <v/>
      </c>
      <c r="D519" s="14" t="str">
        <f t="shared" si="2"/>
        <v/>
      </c>
      <c r="E519" s="14" t="str">
        <f t="shared" si="3"/>
        <v/>
      </c>
      <c r="F519" s="6" t="str">
        <f>IF($A519&lt;&gt;"",MAXIFS(Token!$B:$B,Token!$A:$A,$D519),)</f>
        <v/>
      </c>
    </row>
    <row r="520">
      <c r="A520" s="35" t="str">
        <f>IF(AND($L520*1&gt;=$G$3,$L520*1&lt;=$G$4,$I520*$J520&gt;0,CONCATENATE($H520:$L520)&lt;&gt;CONCATENATE($H521:$L521),$I520/POW(10,$J520)*MAXIFS(Token!$B:$B,Token!$A:$A,$K520)&gt;0.01),$L520/86400+DATE(1970,1,1)+IF($L520*1&gt;=$G$5,$G$6,0),)</f>
        <v/>
      </c>
      <c r="B520" s="22" t="str">
        <f t="shared" si="1"/>
        <v/>
      </c>
      <c r="C520" s="14" t="str">
        <f>IF($A520&lt;&gt;"",MINIFS(Merchant!$A:$A,Merchant!$B:$B,$G$2),)</f>
        <v/>
      </c>
      <c r="D520" s="14" t="str">
        <f t="shared" si="2"/>
        <v/>
      </c>
      <c r="E520" s="14" t="str">
        <f t="shared" si="3"/>
        <v/>
      </c>
      <c r="F520" s="6" t="str">
        <f>IF($A520&lt;&gt;"",MAXIFS(Token!$B:$B,Token!$A:$A,$D520),)</f>
        <v/>
      </c>
    </row>
    <row r="521">
      <c r="A521" s="35" t="str">
        <f>IF(AND($L521*1&gt;=$G$3,$L521*1&lt;=$G$4,$I521*$J521&gt;0,CONCATENATE($H521:$L521)&lt;&gt;CONCATENATE($H522:$L522),$I521/POW(10,$J521)*MAXIFS(Token!$B:$B,Token!$A:$A,$K521)&gt;0.01),$L521/86400+DATE(1970,1,1)+IF($L521*1&gt;=$G$5,$G$6,0),)</f>
        <v/>
      </c>
      <c r="B521" s="22" t="str">
        <f t="shared" si="1"/>
        <v/>
      </c>
      <c r="C521" s="14" t="str">
        <f>IF($A521&lt;&gt;"",MINIFS(Merchant!$A:$A,Merchant!$B:$B,$G$2),)</f>
        <v/>
      </c>
      <c r="D521" s="14" t="str">
        <f t="shared" si="2"/>
        <v/>
      </c>
      <c r="E521" s="14" t="str">
        <f t="shared" si="3"/>
        <v/>
      </c>
      <c r="F521" s="6" t="str">
        <f>IF($A521&lt;&gt;"",MAXIFS(Token!$B:$B,Token!$A:$A,$D521),)</f>
        <v/>
      </c>
    </row>
    <row r="522">
      <c r="A522" s="35" t="str">
        <f>IF(AND($L522*1&gt;=$G$3,$L522*1&lt;=$G$4,$I522*$J522&gt;0,CONCATENATE($H522:$L522)&lt;&gt;CONCATENATE($H523:$L523),$I522/POW(10,$J522)*MAXIFS(Token!$B:$B,Token!$A:$A,$K522)&gt;0.01),$L522/86400+DATE(1970,1,1)+IF($L522*1&gt;=$G$5,$G$6,0),)</f>
        <v/>
      </c>
      <c r="B522" s="22" t="str">
        <f t="shared" si="1"/>
        <v/>
      </c>
      <c r="C522" s="14" t="str">
        <f>IF($A522&lt;&gt;"",MINIFS(Merchant!$A:$A,Merchant!$B:$B,$G$2),)</f>
        <v/>
      </c>
      <c r="D522" s="14" t="str">
        <f t="shared" si="2"/>
        <v/>
      </c>
      <c r="E522" s="14" t="str">
        <f t="shared" si="3"/>
        <v/>
      </c>
      <c r="F522" s="6" t="str">
        <f>IF($A522&lt;&gt;"",MAXIFS(Token!$B:$B,Token!$A:$A,$D522),)</f>
        <v/>
      </c>
    </row>
    <row r="523">
      <c r="A523" s="35" t="str">
        <f>IF(AND($L523*1&gt;=$G$3,$L523*1&lt;=$G$4,$I523*$J523&gt;0,CONCATENATE($H523:$L523)&lt;&gt;CONCATENATE($H524:$L524),$I523/POW(10,$J523)*MAXIFS(Token!$B:$B,Token!$A:$A,$K523)&gt;0.01),$L523/86400+DATE(1970,1,1)+IF($L523*1&gt;=$G$5,$G$6,0),)</f>
        <v/>
      </c>
      <c r="B523" s="22" t="str">
        <f t="shared" si="1"/>
        <v/>
      </c>
      <c r="C523" s="14" t="str">
        <f>IF($A523&lt;&gt;"",MINIFS(Merchant!$A:$A,Merchant!$B:$B,$G$2),)</f>
        <v/>
      </c>
      <c r="D523" s="14" t="str">
        <f t="shared" si="2"/>
        <v/>
      </c>
      <c r="E523" s="14" t="str">
        <f t="shared" si="3"/>
        <v/>
      </c>
      <c r="F523" s="6" t="str">
        <f>IF($A523&lt;&gt;"",MAXIFS(Token!$B:$B,Token!$A:$A,$D523),)</f>
        <v/>
      </c>
    </row>
    <row r="524">
      <c r="A524" s="35" t="str">
        <f>IF(AND($L524*1&gt;=$G$3,$L524*1&lt;=$G$4,$I524*$J524&gt;0,CONCATENATE($H524:$L524)&lt;&gt;CONCATENATE($H525:$L525),$I524/POW(10,$J524)*MAXIFS(Token!$B:$B,Token!$A:$A,$K524)&gt;0.01),$L524/86400+DATE(1970,1,1)+IF($L524*1&gt;=$G$5,$G$6,0),)</f>
        <v/>
      </c>
      <c r="B524" s="22" t="str">
        <f t="shared" si="1"/>
        <v/>
      </c>
      <c r="C524" s="14" t="str">
        <f>IF($A524&lt;&gt;"",MINIFS(Merchant!$A:$A,Merchant!$B:$B,$G$2),)</f>
        <v/>
      </c>
      <c r="D524" s="14" t="str">
        <f t="shared" si="2"/>
        <v/>
      </c>
      <c r="E524" s="14" t="str">
        <f t="shared" si="3"/>
        <v/>
      </c>
      <c r="F524" s="6" t="str">
        <f>IF($A524&lt;&gt;"",MAXIFS(Token!$B:$B,Token!$A:$A,$D524),)</f>
        <v/>
      </c>
    </row>
    <row r="525">
      <c r="A525" s="35" t="str">
        <f>IF(AND($L525*1&gt;=$G$3,$L525*1&lt;=$G$4,$I525*$J525&gt;0,CONCATENATE($H525:$L525)&lt;&gt;CONCATENATE($H526:$L526),$I525/POW(10,$J525)*MAXIFS(Token!$B:$B,Token!$A:$A,$K525)&gt;0.01),$L525/86400+DATE(1970,1,1)+IF($L525*1&gt;=$G$5,$G$6,0),)</f>
        <v/>
      </c>
      <c r="B525" s="22" t="str">
        <f t="shared" si="1"/>
        <v/>
      </c>
      <c r="C525" s="14" t="str">
        <f>IF($A525&lt;&gt;"",MINIFS(Merchant!$A:$A,Merchant!$B:$B,$G$2),)</f>
        <v/>
      </c>
      <c r="D525" s="14" t="str">
        <f t="shared" si="2"/>
        <v/>
      </c>
      <c r="E525" s="14" t="str">
        <f t="shared" si="3"/>
        <v/>
      </c>
      <c r="F525" s="6" t="str">
        <f>IF($A525&lt;&gt;"",MAXIFS(Token!$B:$B,Token!$A:$A,$D525),)</f>
        <v/>
      </c>
    </row>
    <row r="526">
      <c r="A526" s="35" t="str">
        <f>IF(AND($L526*1&gt;=$G$3,$L526*1&lt;=$G$4,$I526*$J526&gt;0,CONCATENATE($H526:$L526)&lt;&gt;CONCATENATE($H527:$L527),$I526/POW(10,$J526)*MAXIFS(Token!$B:$B,Token!$A:$A,$K526)&gt;0.01),$L526/86400+DATE(1970,1,1)+IF($L526*1&gt;=$G$5,$G$6,0),)</f>
        <v/>
      </c>
      <c r="B526" s="22" t="str">
        <f t="shared" si="1"/>
        <v/>
      </c>
      <c r="C526" s="14" t="str">
        <f>IF($A526&lt;&gt;"",MINIFS(Merchant!$A:$A,Merchant!$B:$B,$G$2),)</f>
        <v/>
      </c>
      <c r="D526" s="14" t="str">
        <f t="shared" si="2"/>
        <v/>
      </c>
      <c r="E526" s="14" t="str">
        <f t="shared" si="3"/>
        <v/>
      </c>
      <c r="F526" s="6" t="str">
        <f>IF($A526&lt;&gt;"",MAXIFS(Token!$B:$B,Token!$A:$A,$D526),)</f>
        <v/>
      </c>
    </row>
    <row r="527">
      <c r="A527" s="35" t="str">
        <f>IF(AND($L527*1&gt;=$G$3,$L527*1&lt;=$G$4,$I527*$J527&gt;0,CONCATENATE($H527:$L527)&lt;&gt;CONCATENATE($H528:$L528),$I527/POW(10,$J527)*MAXIFS(Token!$B:$B,Token!$A:$A,$K527)&gt;0.01),$L527/86400+DATE(1970,1,1)+IF($L527*1&gt;=$G$5,$G$6,0),)</f>
        <v/>
      </c>
      <c r="B527" s="22" t="str">
        <f t="shared" si="1"/>
        <v/>
      </c>
      <c r="C527" s="14" t="str">
        <f>IF($A527&lt;&gt;"",MINIFS(Merchant!$A:$A,Merchant!$B:$B,$G$2),)</f>
        <v/>
      </c>
      <c r="D527" s="14" t="str">
        <f t="shared" si="2"/>
        <v/>
      </c>
      <c r="E527" s="14" t="str">
        <f t="shared" si="3"/>
        <v/>
      </c>
      <c r="F527" s="6" t="str">
        <f>IF($A527&lt;&gt;"",MAXIFS(Token!$B:$B,Token!$A:$A,$D527),)</f>
        <v/>
      </c>
    </row>
    <row r="528">
      <c r="A528" s="35" t="str">
        <f>IF(AND($L528*1&gt;=$G$3,$L528*1&lt;=$G$4,$I528*$J528&gt;0,CONCATENATE($H528:$L528)&lt;&gt;CONCATENATE($H529:$L529),$I528/POW(10,$J528)*MAXIFS(Token!$B:$B,Token!$A:$A,$K528)&gt;0.01),$L528/86400+DATE(1970,1,1)+IF($L528*1&gt;=$G$5,$G$6,0),)</f>
        <v/>
      </c>
      <c r="B528" s="22" t="str">
        <f t="shared" si="1"/>
        <v/>
      </c>
      <c r="C528" s="14" t="str">
        <f>IF($A528&lt;&gt;"",MINIFS(Merchant!$A:$A,Merchant!$B:$B,$G$2),)</f>
        <v/>
      </c>
      <c r="D528" s="14" t="str">
        <f t="shared" si="2"/>
        <v/>
      </c>
      <c r="E528" s="14" t="str">
        <f t="shared" si="3"/>
        <v/>
      </c>
      <c r="F528" s="6" t="str">
        <f>IF($A528&lt;&gt;"",MAXIFS(Token!$B:$B,Token!$A:$A,$D528),)</f>
        <v/>
      </c>
    </row>
    <row r="529">
      <c r="A529" s="35" t="str">
        <f>IF(AND($L529*1&gt;=$G$3,$L529*1&lt;=$G$4,$I529*$J529&gt;0,CONCATENATE($H529:$L529)&lt;&gt;CONCATENATE($H530:$L530),$I529/POW(10,$J529)*MAXIFS(Token!$B:$B,Token!$A:$A,$K529)&gt;0.01),$L529/86400+DATE(1970,1,1)+IF($L529*1&gt;=$G$5,$G$6,0),)</f>
        <v/>
      </c>
      <c r="B529" s="22" t="str">
        <f t="shared" si="1"/>
        <v/>
      </c>
      <c r="C529" s="14" t="str">
        <f>IF($A529&lt;&gt;"",MINIFS(Merchant!$A:$A,Merchant!$B:$B,$G$2),)</f>
        <v/>
      </c>
      <c r="D529" s="14" t="str">
        <f t="shared" si="2"/>
        <v/>
      </c>
      <c r="E529" s="14" t="str">
        <f t="shared" si="3"/>
        <v/>
      </c>
      <c r="F529" s="6" t="str">
        <f>IF($A529&lt;&gt;"",MAXIFS(Token!$B:$B,Token!$A:$A,$D529),)</f>
        <v/>
      </c>
    </row>
    <row r="530">
      <c r="A530" s="35" t="str">
        <f>IF(AND($L530*1&gt;=$G$3,$L530*1&lt;=$G$4,$I530*$J530&gt;0,CONCATENATE($H530:$L530)&lt;&gt;CONCATENATE($H531:$L531),$I530/POW(10,$J530)*MAXIFS(Token!$B:$B,Token!$A:$A,$K530)&gt;0.01),$L530/86400+DATE(1970,1,1)+IF($L530*1&gt;=$G$5,$G$6,0),)</f>
        <v/>
      </c>
      <c r="B530" s="22" t="str">
        <f t="shared" si="1"/>
        <v/>
      </c>
      <c r="C530" s="14" t="str">
        <f>IF($A530&lt;&gt;"",MINIFS(Merchant!$A:$A,Merchant!$B:$B,$G$2),)</f>
        <v/>
      </c>
      <c r="D530" s="14" t="str">
        <f t="shared" si="2"/>
        <v/>
      </c>
      <c r="E530" s="14" t="str">
        <f t="shared" si="3"/>
        <v/>
      </c>
      <c r="F530" s="6" t="str">
        <f>IF($A530&lt;&gt;"",MAXIFS(Token!$B:$B,Token!$A:$A,$D530),)</f>
        <v/>
      </c>
    </row>
    <row r="531">
      <c r="A531" s="35" t="str">
        <f>IF(AND($L531*1&gt;=$G$3,$L531*1&lt;=$G$4,$I531*$J531&gt;0,CONCATENATE($H531:$L531)&lt;&gt;CONCATENATE($H532:$L532),$I531/POW(10,$J531)*MAXIFS(Token!$B:$B,Token!$A:$A,$K531)&gt;0.01),$L531/86400+DATE(1970,1,1)+IF($L531*1&gt;=$G$5,$G$6,0),)</f>
        <v/>
      </c>
      <c r="B531" s="22" t="str">
        <f t="shared" si="1"/>
        <v/>
      </c>
      <c r="C531" s="14" t="str">
        <f>IF($A531&lt;&gt;"",MINIFS(Merchant!$A:$A,Merchant!$B:$B,$G$2),)</f>
        <v/>
      </c>
      <c r="D531" s="14" t="str">
        <f t="shared" si="2"/>
        <v/>
      </c>
      <c r="E531" s="14" t="str">
        <f t="shared" si="3"/>
        <v/>
      </c>
      <c r="F531" s="6" t="str">
        <f>IF($A531&lt;&gt;"",MAXIFS(Token!$B:$B,Token!$A:$A,$D531),)</f>
        <v/>
      </c>
    </row>
    <row r="532">
      <c r="A532" s="35" t="str">
        <f>IF(AND($L532*1&gt;=$G$3,$L532*1&lt;=$G$4,$I532*$J532&gt;0,CONCATENATE($H532:$L532)&lt;&gt;CONCATENATE($H533:$L533),$I532/POW(10,$J532)*MAXIFS(Token!$B:$B,Token!$A:$A,$K532)&gt;0.01),$L532/86400+DATE(1970,1,1)+IF($L532*1&gt;=$G$5,$G$6,0),)</f>
        <v/>
      </c>
      <c r="B532" s="22" t="str">
        <f t="shared" si="1"/>
        <v/>
      </c>
      <c r="C532" s="14" t="str">
        <f>IF($A532&lt;&gt;"",MINIFS(Merchant!$A:$A,Merchant!$B:$B,$G$2),)</f>
        <v/>
      </c>
      <c r="D532" s="14" t="str">
        <f t="shared" si="2"/>
        <v/>
      </c>
      <c r="E532" s="14" t="str">
        <f t="shared" si="3"/>
        <v/>
      </c>
      <c r="F532" s="6" t="str">
        <f>IF($A532&lt;&gt;"",MAXIFS(Token!$B:$B,Token!$A:$A,$D532),)</f>
        <v/>
      </c>
    </row>
    <row r="533">
      <c r="A533" s="35" t="str">
        <f>IF(AND($L533*1&gt;=$G$3,$L533*1&lt;=$G$4,$I533*$J533&gt;0,CONCATENATE($H533:$L533)&lt;&gt;CONCATENATE($H534:$L534),$I533/POW(10,$J533)*MAXIFS(Token!$B:$B,Token!$A:$A,$K533)&gt;0.01),$L533/86400+DATE(1970,1,1)+IF($L533*1&gt;=$G$5,$G$6,0),)</f>
        <v/>
      </c>
      <c r="B533" s="22" t="str">
        <f t="shared" si="1"/>
        <v/>
      </c>
      <c r="C533" s="14" t="str">
        <f>IF($A533&lt;&gt;"",MINIFS(Merchant!$A:$A,Merchant!$B:$B,$G$2),)</f>
        <v/>
      </c>
      <c r="D533" s="14" t="str">
        <f t="shared" si="2"/>
        <v/>
      </c>
      <c r="E533" s="14" t="str">
        <f t="shared" si="3"/>
        <v/>
      </c>
      <c r="F533" s="6" t="str">
        <f>IF($A533&lt;&gt;"",MAXIFS(Token!$B:$B,Token!$A:$A,$D533),)</f>
        <v/>
      </c>
    </row>
    <row r="534">
      <c r="A534" s="35" t="str">
        <f>IF(AND($L534*1&gt;=$G$3,$L534*1&lt;=$G$4,$I534*$J534&gt;0,CONCATENATE($H534:$L534)&lt;&gt;CONCATENATE($H535:$L535),$I534/POW(10,$J534)*MAXIFS(Token!$B:$B,Token!$A:$A,$K534)&gt;0.01),$L534/86400+DATE(1970,1,1)+IF($L534*1&gt;=$G$5,$G$6,0),)</f>
        <v/>
      </c>
      <c r="B534" s="22" t="str">
        <f t="shared" si="1"/>
        <v/>
      </c>
      <c r="C534" s="14" t="str">
        <f>IF($A534&lt;&gt;"",MINIFS(Merchant!$A:$A,Merchant!$B:$B,$G$2),)</f>
        <v/>
      </c>
      <c r="D534" s="14" t="str">
        <f t="shared" si="2"/>
        <v/>
      </c>
      <c r="E534" s="14" t="str">
        <f t="shared" si="3"/>
        <v/>
      </c>
      <c r="F534" s="6" t="str">
        <f>IF($A534&lt;&gt;"",MAXIFS(Token!$B:$B,Token!$A:$A,$D534),)</f>
        <v/>
      </c>
    </row>
    <row r="535">
      <c r="A535" s="35" t="str">
        <f>IF(AND($L535*1&gt;=$G$3,$L535*1&lt;=$G$4,$I535*$J535&gt;0,CONCATENATE($H535:$L535)&lt;&gt;CONCATENATE($H536:$L536),$I535/POW(10,$J535)*MAXIFS(Token!$B:$B,Token!$A:$A,$K535)&gt;0.01),$L535/86400+DATE(1970,1,1)+IF($L535*1&gt;=$G$5,$G$6,0),)</f>
        <v/>
      </c>
      <c r="B535" s="22" t="str">
        <f t="shared" si="1"/>
        <v/>
      </c>
      <c r="C535" s="14" t="str">
        <f>IF($A535&lt;&gt;"",MINIFS(Merchant!$A:$A,Merchant!$B:$B,$G$2),)</f>
        <v/>
      </c>
      <c r="D535" s="14" t="str">
        <f t="shared" si="2"/>
        <v/>
      </c>
      <c r="E535" s="14" t="str">
        <f t="shared" si="3"/>
        <v/>
      </c>
      <c r="F535" s="6" t="str">
        <f>IF($A535&lt;&gt;"",MAXIFS(Token!$B:$B,Token!$A:$A,$D535),)</f>
        <v/>
      </c>
    </row>
    <row r="536">
      <c r="A536" s="35" t="str">
        <f>IF(AND($L536*1&gt;=$G$3,$L536*1&lt;=$G$4,$I536*$J536&gt;0,CONCATENATE($H536:$L536)&lt;&gt;CONCATENATE($H537:$L537),$I536/POW(10,$J536)*MAXIFS(Token!$B:$B,Token!$A:$A,$K536)&gt;0.01),$L536/86400+DATE(1970,1,1)+IF($L536*1&gt;=$G$5,$G$6,0),)</f>
        <v/>
      </c>
      <c r="B536" s="22" t="str">
        <f t="shared" si="1"/>
        <v/>
      </c>
      <c r="C536" s="14" t="str">
        <f>IF($A536&lt;&gt;"",MINIFS(Merchant!$A:$A,Merchant!$B:$B,$G$2),)</f>
        <v/>
      </c>
      <c r="D536" s="14" t="str">
        <f t="shared" si="2"/>
        <v/>
      </c>
      <c r="E536" s="14" t="str">
        <f t="shared" si="3"/>
        <v/>
      </c>
      <c r="F536" s="6" t="str">
        <f>IF($A536&lt;&gt;"",MAXIFS(Token!$B:$B,Token!$A:$A,$D536),)</f>
        <v/>
      </c>
    </row>
    <row r="537">
      <c r="A537" s="35" t="str">
        <f>IF(AND($L537*1&gt;=$G$3,$L537*1&lt;=$G$4,$I537*$J537&gt;0,CONCATENATE($H537:$L537)&lt;&gt;CONCATENATE($H538:$L538),$I537/POW(10,$J537)*MAXIFS(Token!$B:$B,Token!$A:$A,$K537)&gt;0.01),$L537/86400+DATE(1970,1,1)+IF($L537*1&gt;=$G$5,$G$6,0),)</f>
        <v/>
      </c>
      <c r="B537" s="22" t="str">
        <f t="shared" si="1"/>
        <v/>
      </c>
      <c r="C537" s="14" t="str">
        <f>IF($A537&lt;&gt;"",MINIFS(Merchant!$A:$A,Merchant!$B:$B,$G$2),)</f>
        <v/>
      </c>
      <c r="D537" s="14" t="str">
        <f t="shared" si="2"/>
        <v/>
      </c>
      <c r="E537" s="14" t="str">
        <f t="shared" si="3"/>
        <v/>
      </c>
      <c r="F537" s="6" t="str">
        <f>IF($A537&lt;&gt;"",MAXIFS(Token!$B:$B,Token!$A:$A,$D537),)</f>
        <v/>
      </c>
    </row>
    <row r="538">
      <c r="A538" s="35" t="str">
        <f>IF(AND($L538*1&gt;=$G$3,$L538*1&lt;=$G$4,$I538*$J538&gt;0,CONCATENATE($H538:$L538)&lt;&gt;CONCATENATE($H539:$L539),$I538/POW(10,$J538)*MAXIFS(Token!$B:$B,Token!$A:$A,$K538)&gt;0.01),$L538/86400+DATE(1970,1,1)+IF($L538*1&gt;=$G$5,$G$6,0),)</f>
        <v/>
      </c>
      <c r="B538" s="22" t="str">
        <f t="shared" si="1"/>
        <v/>
      </c>
      <c r="C538" s="14" t="str">
        <f>IF($A538&lt;&gt;"",MINIFS(Merchant!$A:$A,Merchant!$B:$B,$G$2),)</f>
        <v/>
      </c>
      <c r="D538" s="14" t="str">
        <f t="shared" si="2"/>
        <v/>
      </c>
      <c r="E538" s="14" t="str">
        <f t="shared" si="3"/>
        <v/>
      </c>
      <c r="F538" s="6" t="str">
        <f>IF($A538&lt;&gt;"",MAXIFS(Token!$B:$B,Token!$A:$A,$D538),)</f>
        <v/>
      </c>
    </row>
    <row r="539">
      <c r="A539" s="35" t="str">
        <f>IF(AND($L539*1&gt;=$G$3,$L539*1&lt;=$G$4,$I539*$J539&gt;0,CONCATENATE($H539:$L539)&lt;&gt;CONCATENATE($H540:$L540),$I539/POW(10,$J539)*MAXIFS(Token!$B:$B,Token!$A:$A,$K539)&gt;0.01),$L539/86400+DATE(1970,1,1)+IF($L539*1&gt;=$G$5,$G$6,0),)</f>
        <v/>
      </c>
      <c r="B539" s="22" t="str">
        <f t="shared" si="1"/>
        <v/>
      </c>
      <c r="C539" s="14" t="str">
        <f>IF($A539&lt;&gt;"",MINIFS(Merchant!$A:$A,Merchant!$B:$B,$G$2),)</f>
        <v/>
      </c>
      <c r="D539" s="14" t="str">
        <f t="shared" si="2"/>
        <v/>
      </c>
      <c r="E539" s="14" t="str">
        <f t="shared" si="3"/>
        <v/>
      </c>
      <c r="F539" s="6" t="str">
        <f>IF($A539&lt;&gt;"",MAXIFS(Token!$B:$B,Token!$A:$A,$D539),)</f>
        <v/>
      </c>
    </row>
    <row r="540">
      <c r="A540" s="35" t="str">
        <f>IF(AND($L540*1&gt;=$G$3,$L540*1&lt;=$G$4,$I540*$J540&gt;0,CONCATENATE($H540:$L540)&lt;&gt;CONCATENATE($H541:$L541),$I540/POW(10,$J540)*MAXIFS(Token!$B:$B,Token!$A:$A,$K540)&gt;0.01),$L540/86400+DATE(1970,1,1)+IF($L540*1&gt;=$G$5,$G$6,0),)</f>
        <v/>
      </c>
      <c r="B540" s="22" t="str">
        <f t="shared" si="1"/>
        <v/>
      </c>
      <c r="C540" s="14" t="str">
        <f>IF($A540&lt;&gt;"",MINIFS(Merchant!$A:$A,Merchant!$B:$B,$G$2),)</f>
        <v/>
      </c>
      <c r="D540" s="14" t="str">
        <f t="shared" si="2"/>
        <v/>
      </c>
      <c r="E540" s="14" t="str">
        <f t="shared" si="3"/>
        <v/>
      </c>
      <c r="F540" s="6" t="str">
        <f>IF($A540&lt;&gt;"",MAXIFS(Token!$B:$B,Token!$A:$A,$D540),)</f>
        <v/>
      </c>
    </row>
    <row r="541">
      <c r="A541" s="35" t="str">
        <f>IF(AND($L541*1&gt;=$G$3,$L541*1&lt;=$G$4,$I541*$J541&gt;0,CONCATENATE($H541:$L541)&lt;&gt;CONCATENATE($H542:$L542),$I541/POW(10,$J541)*MAXIFS(Token!$B:$B,Token!$A:$A,$K541)&gt;0.01),$L541/86400+DATE(1970,1,1)+IF($L541*1&gt;=$G$5,$G$6,0),)</f>
        <v/>
      </c>
      <c r="B541" s="22" t="str">
        <f t="shared" si="1"/>
        <v/>
      </c>
      <c r="C541" s="14" t="str">
        <f>IF($A541&lt;&gt;"",MINIFS(Merchant!$A:$A,Merchant!$B:$B,$G$2),)</f>
        <v/>
      </c>
      <c r="D541" s="14" t="str">
        <f t="shared" si="2"/>
        <v/>
      </c>
      <c r="E541" s="14" t="str">
        <f t="shared" si="3"/>
        <v/>
      </c>
      <c r="F541" s="6" t="str">
        <f>IF($A541&lt;&gt;"",MAXIFS(Token!$B:$B,Token!$A:$A,$D541),)</f>
        <v/>
      </c>
    </row>
    <row r="542">
      <c r="A542" s="35" t="str">
        <f>IF(AND($L542*1&gt;=$G$3,$L542*1&lt;=$G$4,$I542*$J542&gt;0,CONCATENATE($H542:$L542)&lt;&gt;CONCATENATE($H543:$L543),$I542/POW(10,$J542)*MAXIFS(Token!$B:$B,Token!$A:$A,$K542)&gt;0.01),$L542/86400+DATE(1970,1,1)+IF($L542*1&gt;=$G$5,$G$6,0),)</f>
        <v/>
      </c>
      <c r="B542" s="22" t="str">
        <f t="shared" si="1"/>
        <v/>
      </c>
      <c r="C542" s="14" t="str">
        <f>IF($A542&lt;&gt;"",MINIFS(Merchant!$A:$A,Merchant!$B:$B,$G$2),)</f>
        <v/>
      </c>
      <c r="D542" s="14" t="str">
        <f t="shared" si="2"/>
        <v/>
      </c>
      <c r="E542" s="14" t="str">
        <f t="shared" si="3"/>
        <v/>
      </c>
      <c r="F542" s="6" t="str">
        <f>IF($A542&lt;&gt;"",MAXIFS(Token!$B:$B,Token!$A:$A,$D542),)</f>
        <v/>
      </c>
    </row>
    <row r="543">
      <c r="A543" s="35" t="str">
        <f>IF(AND($L543*1&gt;=$G$3,$L543*1&lt;=$G$4,$I543*$J543&gt;0,CONCATENATE($H543:$L543)&lt;&gt;CONCATENATE($H544:$L544),$I543/POW(10,$J543)*MAXIFS(Token!$B:$B,Token!$A:$A,$K543)&gt;0.01),$L543/86400+DATE(1970,1,1)+IF($L543*1&gt;=$G$5,$G$6,0),)</f>
        <v/>
      </c>
      <c r="B543" s="22" t="str">
        <f t="shared" si="1"/>
        <v/>
      </c>
      <c r="C543" s="14" t="str">
        <f>IF($A543&lt;&gt;"",MINIFS(Merchant!$A:$A,Merchant!$B:$B,$G$2),)</f>
        <v/>
      </c>
      <c r="D543" s="14" t="str">
        <f t="shared" si="2"/>
        <v/>
      </c>
      <c r="E543" s="14" t="str">
        <f t="shared" si="3"/>
        <v/>
      </c>
      <c r="F543" s="6" t="str">
        <f>IF($A543&lt;&gt;"",MAXIFS(Token!$B:$B,Token!$A:$A,$D543),)</f>
        <v/>
      </c>
    </row>
    <row r="544">
      <c r="A544" s="35" t="str">
        <f>IF(AND($L544*1&gt;=$G$3,$L544*1&lt;=$G$4,$I544*$J544&gt;0,CONCATENATE($H544:$L544)&lt;&gt;CONCATENATE($H545:$L545),$I544/POW(10,$J544)*MAXIFS(Token!$B:$B,Token!$A:$A,$K544)&gt;0.01),$L544/86400+DATE(1970,1,1)+IF($L544*1&gt;=$G$5,$G$6,0),)</f>
        <v/>
      </c>
      <c r="B544" s="22" t="str">
        <f t="shared" si="1"/>
        <v/>
      </c>
      <c r="C544" s="14" t="str">
        <f>IF($A544&lt;&gt;"",MINIFS(Merchant!$A:$A,Merchant!$B:$B,$G$2),)</f>
        <v/>
      </c>
      <c r="D544" s="14" t="str">
        <f t="shared" si="2"/>
        <v/>
      </c>
      <c r="E544" s="14" t="str">
        <f t="shared" si="3"/>
        <v/>
      </c>
      <c r="F544" s="6" t="str">
        <f>IF($A544&lt;&gt;"",MAXIFS(Token!$B:$B,Token!$A:$A,$D544),)</f>
        <v/>
      </c>
    </row>
    <row r="545">
      <c r="A545" s="35" t="str">
        <f>IF(AND($L545*1&gt;=$G$3,$L545*1&lt;=$G$4,$I545*$J545&gt;0,CONCATENATE($H545:$L545)&lt;&gt;CONCATENATE($H546:$L546),$I545/POW(10,$J545)*MAXIFS(Token!$B:$B,Token!$A:$A,$K545)&gt;0.01),$L545/86400+DATE(1970,1,1)+IF($L545*1&gt;=$G$5,$G$6,0),)</f>
        <v/>
      </c>
      <c r="B545" s="22" t="str">
        <f t="shared" si="1"/>
        <v/>
      </c>
      <c r="C545" s="14" t="str">
        <f>IF($A545&lt;&gt;"",MINIFS(Merchant!$A:$A,Merchant!$B:$B,$G$2),)</f>
        <v/>
      </c>
      <c r="D545" s="14" t="str">
        <f t="shared" si="2"/>
        <v/>
      </c>
      <c r="E545" s="14" t="str">
        <f t="shared" si="3"/>
        <v/>
      </c>
      <c r="F545" s="6" t="str">
        <f>IF($A545&lt;&gt;"",MAXIFS(Token!$B:$B,Token!$A:$A,$D545),)</f>
        <v/>
      </c>
    </row>
    <row r="546">
      <c r="A546" s="35" t="str">
        <f>IF(AND($L546*1&gt;=$G$3,$L546*1&lt;=$G$4,$I546*$J546&gt;0,CONCATENATE($H546:$L546)&lt;&gt;CONCATENATE($H547:$L547),$I546/POW(10,$J546)*MAXIFS(Token!$B:$B,Token!$A:$A,$K546)&gt;0.01),$L546/86400+DATE(1970,1,1)+IF($L546*1&gt;=$G$5,$G$6,0),)</f>
        <v/>
      </c>
      <c r="B546" s="22" t="str">
        <f t="shared" si="1"/>
        <v/>
      </c>
      <c r="C546" s="14" t="str">
        <f>IF($A546&lt;&gt;"",MINIFS(Merchant!$A:$A,Merchant!$B:$B,$G$2),)</f>
        <v/>
      </c>
      <c r="D546" s="14" t="str">
        <f t="shared" si="2"/>
        <v/>
      </c>
      <c r="E546" s="14" t="str">
        <f t="shared" si="3"/>
        <v/>
      </c>
      <c r="F546" s="6" t="str">
        <f>IF($A546&lt;&gt;"",MAXIFS(Token!$B:$B,Token!$A:$A,$D546),)</f>
        <v/>
      </c>
    </row>
    <row r="547">
      <c r="A547" s="35" t="str">
        <f>IF(AND($L547*1&gt;=$G$3,$L547*1&lt;=$G$4,$I547*$J547&gt;0,CONCATENATE($H547:$L547)&lt;&gt;CONCATENATE($H548:$L548),$I547/POW(10,$J547)*MAXIFS(Token!$B:$B,Token!$A:$A,$K547)&gt;0.01),$L547/86400+DATE(1970,1,1)+IF($L547*1&gt;=$G$5,$G$6,0),)</f>
        <v/>
      </c>
      <c r="B547" s="22" t="str">
        <f t="shared" si="1"/>
        <v/>
      </c>
      <c r="C547" s="14" t="str">
        <f>IF($A547&lt;&gt;"",MINIFS(Merchant!$A:$A,Merchant!$B:$B,$G$2),)</f>
        <v/>
      </c>
      <c r="D547" s="14" t="str">
        <f t="shared" si="2"/>
        <v/>
      </c>
      <c r="E547" s="14" t="str">
        <f t="shared" si="3"/>
        <v/>
      </c>
      <c r="F547" s="6" t="str">
        <f>IF($A547&lt;&gt;"",MAXIFS(Token!$B:$B,Token!$A:$A,$D547),)</f>
        <v/>
      </c>
    </row>
    <row r="548">
      <c r="A548" s="35" t="str">
        <f>IF(AND($L548*1&gt;=$G$3,$L548*1&lt;=$G$4,$I548*$J548&gt;0,CONCATENATE($H548:$L548)&lt;&gt;CONCATENATE($H549:$L549),$I548/POW(10,$J548)*MAXIFS(Token!$B:$B,Token!$A:$A,$K548)&gt;0.01),$L548/86400+DATE(1970,1,1)+IF($L548*1&gt;=$G$5,$G$6,0),)</f>
        <v/>
      </c>
      <c r="B548" s="22" t="str">
        <f t="shared" si="1"/>
        <v/>
      </c>
      <c r="C548" s="14" t="str">
        <f>IF($A548&lt;&gt;"",MINIFS(Merchant!$A:$A,Merchant!$B:$B,$G$2),)</f>
        <v/>
      </c>
      <c r="D548" s="14" t="str">
        <f t="shared" si="2"/>
        <v/>
      </c>
      <c r="E548" s="14" t="str">
        <f t="shared" si="3"/>
        <v/>
      </c>
      <c r="F548" s="6" t="str">
        <f>IF($A548&lt;&gt;"",MAXIFS(Token!$B:$B,Token!$A:$A,$D548),)</f>
        <v/>
      </c>
    </row>
    <row r="549">
      <c r="A549" s="35" t="str">
        <f>IF(AND($L549*1&gt;=$G$3,$L549*1&lt;=$G$4,$I549*$J549&gt;0,CONCATENATE($H549:$L549)&lt;&gt;CONCATENATE($H550:$L550),$I549/POW(10,$J549)*MAXIFS(Token!$B:$B,Token!$A:$A,$K549)&gt;0.01),$L549/86400+DATE(1970,1,1)+IF($L549*1&gt;=$G$5,$G$6,0),)</f>
        <v/>
      </c>
      <c r="B549" s="22" t="str">
        <f t="shared" si="1"/>
        <v/>
      </c>
      <c r="C549" s="14" t="str">
        <f>IF($A549&lt;&gt;"",MINIFS(Merchant!$A:$A,Merchant!$B:$B,$G$2),)</f>
        <v/>
      </c>
      <c r="D549" s="14" t="str">
        <f t="shared" si="2"/>
        <v/>
      </c>
      <c r="E549" s="14" t="str">
        <f t="shared" si="3"/>
        <v/>
      </c>
      <c r="F549" s="6" t="str">
        <f>IF($A549&lt;&gt;"",MAXIFS(Token!$B:$B,Token!$A:$A,$D549),)</f>
        <v/>
      </c>
    </row>
    <row r="550">
      <c r="A550" s="35" t="str">
        <f>IF(AND($L550*1&gt;=$G$3,$L550*1&lt;=$G$4,$I550*$J550&gt;0,CONCATENATE($H550:$L550)&lt;&gt;CONCATENATE($H551:$L551),$I550/POW(10,$J550)*MAXIFS(Token!$B:$B,Token!$A:$A,$K550)&gt;0.01),$L550/86400+DATE(1970,1,1)+IF($L550*1&gt;=$G$5,$G$6,0),)</f>
        <v/>
      </c>
      <c r="B550" s="22" t="str">
        <f t="shared" si="1"/>
        <v/>
      </c>
      <c r="C550" s="14" t="str">
        <f>IF($A550&lt;&gt;"",MINIFS(Merchant!$A:$A,Merchant!$B:$B,$G$2),)</f>
        <v/>
      </c>
      <c r="D550" s="14" t="str">
        <f t="shared" si="2"/>
        <v/>
      </c>
      <c r="E550" s="14" t="str">
        <f t="shared" si="3"/>
        <v/>
      </c>
      <c r="F550" s="6" t="str">
        <f>IF($A550&lt;&gt;"",MAXIFS(Token!$B:$B,Token!$A:$A,$D550),)</f>
        <v/>
      </c>
    </row>
    <row r="551">
      <c r="A551" s="35" t="str">
        <f>IF(AND($L551*1&gt;=$G$3,$L551*1&lt;=$G$4,$I551*$J551&gt;0,CONCATENATE($H551:$L551)&lt;&gt;CONCATENATE($H552:$L552),$I551/POW(10,$J551)*MAXIFS(Token!$B:$B,Token!$A:$A,$K551)&gt;0.01),$L551/86400+DATE(1970,1,1)+IF($L551*1&gt;=$G$5,$G$6,0),)</f>
        <v/>
      </c>
      <c r="B551" s="22" t="str">
        <f t="shared" si="1"/>
        <v/>
      </c>
      <c r="C551" s="14" t="str">
        <f>IF($A551&lt;&gt;"",MINIFS(Merchant!$A:$A,Merchant!$B:$B,$G$2),)</f>
        <v/>
      </c>
      <c r="D551" s="14" t="str">
        <f t="shared" si="2"/>
        <v/>
      </c>
      <c r="E551" s="14" t="str">
        <f t="shared" si="3"/>
        <v/>
      </c>
      <c r="F551" s="6" t="str">
        <f>IF($A551&lt;&gt;"",MAXIFS(Token!$B:$B,Token!$A:$A,$D551),)</f>
        <v/>
      </c>
    </row>
    <row r="552">
      <c r="A552" s="35" t="str">
        <f>IF(AND($L552*1&gt;=$G$3,$L552*1&lt;=$G$4,$I552*$J552&gt;0,CONCATENATE($H552:$L552)&lt;&gt;CONCATENATE($H553:$L553),$I552/POW(10,$J552)*MAXIFS(Token!$B:$B,Token!$A:$A,$K552)&gt;0.01),$L552/86400+DATE(1970,1,1)+IF($L552*1&gt;=$G$5,$G$6,0),)</f>
        <v/>
      </c>
      <c r="B552" s="22" t="str">
        <f t="shared" si="1"/>
        <v/>
      </c>
      <c r="C552" s="14" t="str">
        <f>IF($A552&lt;&gt;"",MINIFS(Merchant!$A:$A,Merchant!$B:$B,$G$2),)</f>
        <v/>
      </c>
      <c r="D552" s="14" t="str">
        <f t="shared" si="2"/>
        <v/>
      </c>
      <c r="E552" s="14" t="str">
        <f t="shared" si="3"/>
        <v/>
      </c>
      <c r="F552" s="6" t="str">
        <f>IF($A552&lt;&gt;"",MAXIFS(Token!$B:$B,Token!$A:$A,$D552),)</f>
        <v/>
      </c>
    </row>
    <row r="553">
      <c r="A553" s="35" t="str">
        <f>IF(AND($L553*1&gt;=$G$3,$L553*1&lt;=$G$4,$I553*$J553&gt;0,CONCATENATE($H553:$L553)&lt;&gt;CONCATENATE($H554:$L554),$I553/POW(10,$J553)*MAXIFS(Token!$B:$B,Token!$A:$A,$K553)&gt;0.01),$L553/86400+DATE(1970,1,1)+IF($L553*1&gt;=$G$5,$G$6,0),)</f>
        <v/>
      </c>
      <c r="B553" s="22" t="str">
        <f t="shared" si="1"/>
        <v/>
      </c>
      <c r="C553" s="14" t="str">
        <f>IF($A553&lt;&gt;"",MINIFS(Merchant!$A:$A,Merchant!$B:$B,$G$2),)</f>
        <v/>
      </c>
      <c r="D553" s="14" t="str">
        <f t="shared" si="2"/>
        <v/>
      </c>
      <c r="E553" s="14" t="str">
        <f t="shared" si="3"/>
        <v/>
      </c>
      <c r="F553" s="6" t="str">
        <f>IF($A553&lt;&gt;"",MAXIFS(Token!$B:$B,Token!$A:$A,$D553),)</f>
        <v/>
      </c>
    </row>
    <row r="554">
      <c r="A554" s="35" t="str">
        <f>IF(AND($L554*1&gt;=$G$3,$L554*1&lt;=$G$4,$I554*$J554&gt;0,CONCATENATE($H554:$L554)&lt;&gt;CONCATENATE($H555:$L555),$I554/POW(10,$J554)*MAXIFS(Token!$B:$B,Token!$A:$A,$K554)&gt;0.01),$L554/86400+DATE(1970,1,1)+IF($L554*1&gt;=$G$5,$G$6,0),)</f>
        <v/>
      </c>
      <c r="B554" s="22" t="str">
        <f t="shared" si="1"/>
        <v/>
      </c>
      <c r="C554" s="14" t="str">
        <f>IF($A554&lt;&gt;"",MINIFS(Merchant!$A:$A,Merchant!$B:$B,$G$2),)</f>
        <v/>
      </c>
      <c r="D554" s="14" t="str">
        <f t="shared" si="2"/>
        <v/>
      </c>
      <c r="E554" s="14" t="str">
        <f t="shared" si="3"/>
        <v/>
      </c>
      <c r="F554" s="6" t="str">
        <f>IF($A554&lt;&gt;"",MAXIFS(Token!$B:$B,Token!$A:$A,$D554),)</f>
        <v/>
      </c>
    </row>
    <row r="555">
      <c r="A555" s="35" t="str">
        <f>IF(AND($L555*1&gt;=$G$3,$L555*1&lt;=$G$4,$I555*$J555&gt;0,CONCATENATE($H555:$L555)&lt;&gt;CONCATENATE($H556:$L556),$I555/POW(10,$J555)*MAXIFS(Token!$B:$B,Token!$A:$A,$K555)&gt;0.01),$L555/86400+DATE(1970,1,1)+IF($L555*1&gt;=$G$5,$G$6,0),)</f>
        <v/>
      </c>
      <c r="B555" s="22" t="str">
        <f t="shared" si="1"/>
        <v/>
      </c>
      <c r="C555" s="14" t="str">
        <f>IF($A555&lt;&gt;"",MINIFS(Merchant!$A:$A,Merchant!$B:$B,$G$2),)</f>
        <v/>
      </c>
      <c r="D555" s="14" t="str">
        <f t="shared" si="2"/>
        <v/>
      </c>
      <c r="E555" s="14" t="str">
        <f t="shared" si="3"/>
        <v/>
      </c>
      <c r="F555" s="6" t="str">
        <f>IF($A555&lt;&gt;"",MAXIFS(Token!$B:$B,Token!$A:$A,$D555),)</f>
        <v/>
      </c>
    </row>
    <row r="556">
      <c r="A556" s="35" t="str">
        <f>IF(AND($L556*1&gt;=$G$3,$L556*1&lt;=$G$4,$I556*$J556&gt;0,CONCATENATE($H556:$L556)&lt;&gt;CONCATENATE($H557:$L557),$I556/POW(10,$J556)*MAXIFS(Token!$B:$B,Token!$A:$A,$K556)&gt;0.01),$L556/86400+DATE(1970,1,1)+IF($L556*1&gt;=$G$5,$G$6,0),)</f>
        <v/>
      </c>
      <c r="B556" s="22" t="str">
        <f t="shared" si="1"/>
        <v/>
      </c>
      <c r="C556" s="14" t="str">
        <f>IF($A556&lt;&gt;"",MINIFS(Merchant!$A:$A,Merchant!$B:$B,$G$2),)</f>
        <v/>
      </c>
      <c r="D556" s="14" t="str">
        <f t="shared" si="2"/>
        <v/>
      </c>
      <c r="E556" s="14" t="str">
        <f t="shared" si="3"/>
        <v/>
      </c>
      <c r="F556" s="6" t="str">
        <f>IF($A556&lt;&gt;"",MAXIFS(Token!$B:$B,Token!$A:$A,$D556),)</f>
        <v/>
      </c>
    </row>
    <row r="557">
      <c r="A557" s="35" t="str">
        <f>IF(AND($L557*1&gt;=$G$3,$L557*1&lt;=$G$4,$I557*$J557&gt;0,CONCATENATE($H557:$L557)&lt;&gt;CONCATENATE($H558:$L558),$I557/POW(10,$J557)*MAXIFS(Token!$B:$B,Token!$A:$A,$K557)&gt;0.01),$L557/86400+DATE(1970,1,1)+IF($L557*1&gt;=$G$5,$G$6,0),)</f>
        <v/>
      </c>
      <c r="B557" s="22" t="str">
        <f t="shared" si="1"/>
        <v/>
      </c>
      <c r="C557" s="14" t="str">
        <f>IF($A557&lt;&gt;"",MINIFS(Merchant!$A:$A,Merchant!$B:$B,$G$2),)</f>
        <v/>
      </c>
      <c r="D557" s="14" t="str">
        <f t="shared" si="2"/>
        <v/>
      </c>
      <c r="E557" s="14" t="str">
        <f t="shared" si="3"/>
        <v/>
      </c>
      <c r="F557" s="6" t="str">
        <f>IF($A557&lt;&gt;"",MAXIFS(Token!$B:$B,Token!$A:$A,$D557),)</f>
        <v/>
      </c>
    </row>
    <row r="558">
      <c r="A558" s="35" t="str">
        <f>IF(AND($L558*1&gt;=$G$3,$L558*1&lt;=$G$4,$I558*$J558&gt;0,CONCATENATE($H558:$L558)&lt;&gt;CONCATENATE($H559:$L559),$I558/POW(10,$J558)*MAXIFS(Token!$B:$B,Token!$A:$A,$K558)&gt;0.01),$L558/86400+DATE(1970,1,1)+IF($L558*1&gt;=$G$5,$G$6,0),)</f>
        <v/>
      </c>
      <c r="B558" s="22" t="str">
        <f t="shared" si="1"/>
        <v/>
      </c>
      <c r="C558" s="14" t="str">
        <f>IF($A558&lt;&gt;"",MINIFS(Merchant!$A:$A,Merchant!$B:$B,$G$2),)</f>
        <v/>
      </c>
      <c r="D558" s="14" t="str">
        <f t="shared" si="2"/>
        <v/>
      </c>
      <c r="E558" s="14" t="str">
        <f t="shared" si="3"/>
        <v/>
      </c>
      <c r="F558" s="6" t="str">
        <f>IF($A558&lt;&gt;"",MAXIFS(Token!$B:$B,Token!$A:$A,$D558),)</f>
        <v/>
      </c>
    </row>
    <row r="559">
      <c r="A559" s="35" t="str">
        <f>IF(AND($L559*1&gt;=$G$3,$L559*1&lt;=$G$4,$I559*$J559&gt;0,CONCATENATE($H559:$L559)&lt;&gt;CONCATENATE($H560:$L560),$I559/POW(10,$J559)*MAXIFS(Token!$B:$B,Token!$A:$A,$K559)&gt;0.01),$L559/86400+DATE(1970,1,1)+IF($L559*1&gt;=$G$5,$G$6,0),)</f>
        <v/>
      </c>
      <c r="B559" s="22" t="str">
        <f t="shared" si="1"/>
        <v/>
      </c>
      <c r="C559" s="14" t="str">
        <f>IF($A559&lt;&gt;"",MINIFS(Merchant!$A:$A,Merchant!$B:$B,$G$2),)</f>
        <v/>
      </c>
      <c r="D559" s="14" t="str">
        <f t="shared" si="2"/>
        <v/>
      </c>
      <c r="E559" s="14" t="str">
        <f t="shared" si="3"/>
        <v/>
      </c>
      <c r="F559" s="6" t="str">
        <f>IF($A559&lt;&gt;"",MAXIFS(Token!$B:$B,Token!$A:$A,$D559),)</f>
        <v/>
      </c>
    </row>
    <row r="560">
      <c r="A560" s="35" t="str">
        <f>IF(AND($L560*1&gt;=$G$3,$L560*1&lt;=$G$4,$I560*$J560&gt;0,CONCATENATE($H560:$L560)&lt;&gt;CONCATENATE($H561:$L561),$I560/POW(10,$J560)*MAXIFS(Token!$B:$B,Token!$A:$A,$K560)&gt;0.01),$L560/86400+DATE(1970,1,1)+IF($L560*1&gt;=$G$5,$G$6,0),)</f>
        <v/>
      </c>
      <c r="B560" s="22" t="str">
        <f t="shared" si="1"/>
        <v/>
      </c>
      <c r="C560" s="14" t="str">
        <f>IF($A560&lt;&gt;"",MINIFS(Merchant!$A:$A,Merchant!$B:$B,$G$2),)</f>
        <v/>
      </c>
      <c r="D560" s="14" t="str">
        <f t="shared" si="2"/>
        <v/>
      </c>
      <c r="E560" s="14" t="str">
        <f t="shared" si="3"/>
        <v/>
      </c>
      <c r="F560" s="6" t="str">
        <f>IF($A560&lt;&gt;"",MAXIFS(Token!$B:$B,Token!$A:$A,$D560),)</f>
        <v/>
      </c>
    </row>
    <row r="561">
      <c r="A561" s="35" t="str">
        <f>IF(AND($L561*1&gt;=$G$3,$L561*1&lt;=$G$4,$I561*$J561&gt;0,CONCATENATE($H561:$L561)&lt;&gt;CONCATENATE($H562:$L562),$I561/POW(10,$J561)*MAXIFS(Token!$B:$B,Token!$A:$A,$K561)&gt;0.01),$L561/86400+DATE(1970,1,1)+IF($L561*1&gt;=$G$5,$G$6,0),)</f>
        <v/>
      </c>
      <c r="B561" s="22" t="str">
        <f t="shared" si="1"/>
        <v/>
      </c>
      <c r="C561" s="14" t="str">
        <f>IF($A561&lt;&gt;"",MINIFS(Merchant!$A:$A,Merchant!$B:$B,$G$2),)</f>
        <v/>
      </c>
      <c r="D561" s="14" t="str">
        <f t="shared" si="2"/>
        <v/>
      </c>
      <c r="E561" s="14" t="str">
        <f t="shared" si="3"/>
        <v/>
      </c>
      <c r="F561" s="6" t="str">
        <f>IF($A561&lt;&gt;"",MAXIFS(Token!$B:$B,Token!$A:$A,$D561),)</f>
        <v/>
      </c>
    </row>
    <row r="562">
      <c r="A562" s="35" t="str">
        <f>IF(AND($L562*1&gt;=$G$3,$L562*1&lt;=$G$4,$I562*$J562&gt;0,CONCATENATE($H562:$L562)&lt;&gt;CONCATENATE($H563:$L563),$I562/POW(10,$J562)*MAXIFS(Token!$B:$B,Token!$A:$A,$K562)&gt;0.01),$L562/86400+DATE(1970,1,1)+IF($L562*1&gt;=$G$5,$G$6,0),)</f>
        <v/>
      </c>
      <c r="B562" s="22" t="str">
        <f t="shared" si="1"/>
        <v/>
      </c>
      <c r="C562" s="14" t="str">
        <f>IF($A562&lt;&gt;"",MINIFS(Merchant!$A:$A,Merchant!$B:$B,$G$2),)</f>
        <v/>
      </c>
      <c r="D562" s="14" t="str">
        <f t="shared" si="2"/>
        <v/>
      </c>
      <c r="E562" s="14" t="str">
        <f t="shared" si="3"/>
        <v/>
      </c>
      <c r="F562" s="6" t="str">
        <f>IF($A562&lt;&gt;"",MAXIFS(Token!$B:$B,Token!$A:$A,$D562),)</f>
        <v/>
      </c>
    </row>
    <row r="563">
      <c r="A563" s="35" t="str">
        <f>IF(AND($L563*1&gt;=$G$3,$L563*1&lt;=$G$4,$I563*$J563&gt;0,CONCATENATE($H563:$L563)&lt;&gt;CONCATENATE($H564:$L564),$I563/POW(10,$J563)*MAXIFS(Token!$B:$B,Token!$A:$A,$K563)&gt;0.01),$L563/86400+DATE(1970,1,1)+IF($L563*1&gt;=$G$5,$G$6,0),)</f>
        <v/>
      </c>
      <c r="B563" s="22" t="str">
        <f t="shared" si="1"/>
        <v/>
      </c>
      <c r="C563" s="14" t="str">
        <f>IF($A563&lt;&gt;"",MINIFS(Merchant!$A:$A,Merchant!$B:$B,$G$2),)</f>
        <v/>
      </c>
      <c r="D563" s="14" t="str">
        <f t="shared" si="2"/>
        <v/>
      </c>
      <c r="E563" s="14" t="str">
        <f t="shared" si="3"/>
        <v/>
      </c>
      <c r="F563" s="6" t="str">
        <f>IF($A563&lt;&gt;"",MAXIFS(Token!$B:$B,Token!$A:$A,$D563),)</f>
        <v/>
      </c>
    </row>
    <row r="564">
      <c r="A564" s="35" t="str">
        <f>IF(AND($L564*1&gt;=$G$3,$L564*1&lt;=$G$4,$I564*$J564&gt;0,CONCATENATE($H564:$L564)&lt;&gt;CONCATENATE($H565:$L565),$I564/POW(10,$J564)*MAXIFS(Token!$B:$B,Token!$A:$A,$K564)&gt;0.01),$L564/86400+DATE(1970,1,1)+IF($L564*1&gt;=$G$5,$G$6,0),)</f>
        <v/>
      </c>
      <c r="B564" s="22" t="str">
        <f t="shared" si="1"/>
        <v/>
      </c>
      <c r="C564" s="14" t="str">
        <f>IF($A564&lt;&gt;"",MINIFS(Merchant!$A:$A,Merchant!$B:$B,$G$2),)</f>
        <v/>
      </c>
      <c r="D564" s="14" t="str">
        <f t="shared" si="2"/>
        <v/>
      </c>
      <c r="E564" s="14" t="str">
        <f t="shared" si="3"/>
        <v/>
      </c>
      <c r="F564" s="6" t="str">
        <f>IF($A564&lt;&gt;"",MAXIFS(Token!$B:$B,Token!$A:$A,$D564),)</f>
        <v/>
      </c>
    </row>
    <row r="565">
      <c r="A565" s="35" t="str">
        <f>IF(AND($L565*1&gt;=$G$3,$L565*1&lt;=$G$4,$I565*$J565&gt;0,CONCATENATE($H565:$L565)&lt;&gt;CONCATENATE($H566:$L566),$I565/POW(10,$J565)*MAXIFS(Token!$B:$B,Token!$A:$A,$K565)&gt;0.01),$L565/86400+DATE(1970,1,1)+IF($L565*1&gt;=$G$5,$G$6,0),)</f>
        <v/>
      </c>
      <c r="B565" s="22" t="str">
        <f t="shared" si="1"/>
        <v/>
      </c>
      <c r="C565" s="14" t="str">
        <f>IF($A565&lt;&gt;"",MINIFS(Merchant!$A:$A,Merchant!$B:$B,$G$2),)</f>
        <v/>
      </c>
      <c r="D565" s="14" t="str">
        <f t="shared" si="2"/>
        <v/>
      </c>
      <c r="E565" s="14" t="str">
        <f t="shared" si="3"/>
        <v/>
      </c>
      <c r="F565" s="6" t="str">
        <f>IF($A565&lt;&gt;"",MAXIFS(Token!$B:$B,Token!$A:$A,$D565),)</f>
        <v/>
      </c>
    </row>
    <row r="566">
      <c r="A566" s="35" t="str">
        <f>IF(AND($L566*1&gt;=$G$3,$L566*1&lt;=$G$4,$I566*$J566&gt;0,CONCATENATE($H566:$L566)&lt;&gt;CONCATENATE($H567:$L567),$I566/POW(10,$J566)*MAXIFS(Token!$B:$B,Token!$A:$A,$K566)&gt;0.01),$L566/86400+DATE(1970,1,1)+IF($L566*1&gt;=$G$5,$G$6,0),)</f>
        <v/>
      </c>
      <c r="B566" s="22" t="str">
        <f t="shared" si="1"/>
        <v/>
      </c>
      <c r="C566" s="14" t="str">
        <f>IF($A566&lt;&gt;"",MINIFS(Merchant!$A:$A,Merchant!$B:$B,$G$2),)</f>
        <v/>
      </c>
      <c r="D566" s="14" t="str">
        <f t="shared" si="2"/>
        <v/>
      </c>
      <c r="E566" s="14" t="str">
        <f t="shared" si="3"/>
        <v/>
      </c>
      <c r="F566" s="6" t="str">
        <f>IF($A566&lt;&gt;"",MAXIFS(Token!$B:$B,Token!$A:$A,$D566),)</f>
        <v/>
      </c>
    </row>
    <row r="567">
      <c r="A567" s="35" t="str">
        <f>IF(AND($L567*1&gt;=$G$3,$L567*1&lt;=$G$4,$I567*$J567&gt;0,CONCATENATE($H567:$L567)&lt;&gt;CONCATENATE($H568:$L568),$I567/POW(10,$J567)*MAXIFS(Token!$B:$B,Token!$A:$A,$K567)&gt;0.01),$L567/86400+DATE(1970,1,1)+IF($L567*1&gt;=$G$5,$G$6,0),)</f>
        <v/>
      </c>
      <c r="B567" s="22" t="str">
        <f t="shared" si="1"/>
        <v/>
      </c>
      <c r="C567" s="14" t="str">
        <f>IF($A567&lt;&gt;"",MINIFS(Merchant!$A:$A,Merchant!$B:$B,$G$2),)</f>
        <v/>
      </c>
      <c r="D567" s="14" t="str">
        <f t="shared" si="2"/>
        <v/>
      </c>
      <c r="E567" s="14" t="str">
        <f t="shared" si="3"/>
        <v/>
      </c>
      <c r="F567" s="6" t="str">
        <f>IF($A567&lt;&gt;"",MAXIFS(Token!$B:$B,Token!$A:$A,$D567),)</f>
        <v/>
      </c>
    </row>
    <row r="568">
      <c r="A568" s="35" t="str">
        <f>IF(AND($L568*1&gt;=$G$3,$L568*1&lt;=$G$4,$I568*$J568&gt;0,CONCATENATE($H568:$L568)&lt;&gt;CONCATENATE($H569:$L569),$I568/POW(10,$J568)*MAXIFS(Token!$B:$B,Token!$A:$A,$K568)&gt;0.01),$L568/86400+DATE(1970,1,1)+IF($L568*1&gt;=$G$5,$G$6,0),)</f>
        <v/>
      </c>
      <c r="B568" s="22" t="str">
        <f t="shared" si="1"/>
        <v/>
      </c>
      <c r="C568" s="14" t="str">
        <f>IF($A568&lt;&gt;"",MINIFS(Merchant!$A:$A,Merchant!$B:$B,$G$2),)</f>
        <v/>
      </c>
      <c r="D568" s="14" t="str">
        <f t="shared" si="2"/>
        <v/>
      </c>
      <c r="E568" s="14" t="str">
        <f t="shared" si="3"/>
        <v/>
      </c>
      <c r="F568" s="6" t="str">
        <f>IF($A568&lt;&gt;"",MAXIFS(Token!$B:$B,Token!$A:$A,$D568),)</f>
        <v/>
      </c>
    </row>
    <row r="569">
      <c r="A569" s="35" t="str">
        <f>IF(AND($L569*1&gt;=$G$3,$L569*1&lt;=$G$4,$I569*$J569&gt;0,CONCATENATE($H569:$L569)&lt;&gt;CONCATENATE($H570:$L570),$I569/POW(10,$J569)*MAXIFS(Token!$B:$B,Token!$A:$A,$K569)&gt;0.01),$L569/86400+DATE(1970,1,1)+IF($L569*1&gt;=$G$5,$G$6,0),)</f>
        <v/>
      </c>
      <c r="B569" s="22" t="str">
        <f t="shared" si="1"/>
        <v/>
      </c>
      <c r="C569" s="14" t="str">
        <f>IF($A569&lt;&gt;"",MINIFS(Merchant!$A:$A,Merchant!$B:$B,$G$2),)</f>
        <v/>
      </c>
      <c r="D569" s="14" t="str">
        <f t="shared" si="2"/>
        <v/>
      </c>
      <c r="E569" s="14" t="str">
        <f t="shared" si="3"/>
        <v/>
      </c>
      <c r="F569" s="6" t="str">
        <f>IF($A569&lt;&gt;"",MAXIFS(Token!$B:$B,Token!$A:$A,$D569),)</f>
        <v/>
      </c>
    </row>
    <row r="570">
      <c r="A570" s="35" t="str">
        <f>IF(AND($L570*1&gt;=$G$3,$L570*1&lt;=$G$4,$I570*$J570&gt;0,CONCATENATE($H570:$L570)&lt;&gt;CONCATENATE($H571:$L571),$I570/POW(10,$J570)*MAXIFS(Token!$B:$B,Token!$A:$A,$K570)&gt;0.01),$L570/86400+DATE(1970,1,1)+IF($L570*1&gt;=$G$5,$G$6,0),)</f>
        <v/>
      </c>
      <c r="B570" s="22" t="str">
        <f t="shared" si="1"/>
        <v/>
      </c>
      <c r="C570" s="14" t="str">
        <f>IF($A570&lt;&gt;"",MINIFS(Merchant!$A:$A,Merchant!$B:$B,$G$2),)</f>
        <v/>
      </c>
      <c r="D570" s="14" t="str">
        <f t="shared" si="2"/>
        <v/>
      </c>
      <c r="E570" s="14" t="str">
        <f t="shared" si="3"/>
        <v/>
      </c>
      <c r="F570" s="6" t="str">
        <f>IF($A570&lt;&gt;"",MAXIFS(Token!$B:$B,Token!$A:$A,$D570),)</f>
        <v/>
      </c>
    </row>
    <row r="571">
      <c r="A571" s="35" t="str">
        <f>IF(AND($L571*1&gt;=$G$3,$L571*1&lt;=$G$4,$I571*$J571&gt;0,CONCATENATE($H571:$L571)&lt;&gt;CONCATENATE($H572:$L572),$I571/POW(10,$J571)*MAXIFS(Token!$B:$B,Token!$A:$A,$K571)&gt;0.01),$L571/86400+DATE(1970,1,1)+IF($L571*1&gt;=$G$5,$G$6,0),)</f>
        <v/>
      </c>
      <c r="B571" s="22" t="str">
        <f t="shared" si="1"/>
        <v/>
      </c>
      <c r="C571" s="14" t="str">
        <f>IF($A571&lt;&gt;"",MINIFS(Merchant!$A:$A,Merchant!$B:$B,$G$2),)</f>
        <v/>
      </c>
      <c r="D571" s="14" t="str">
        <f t="shared" si="2"/>
        <v/>
      </c>
      <c r="E571" s="14" t="str">
        <f t="shared" si="3"/>
        <v/>
      </c>
      <c r="F571" s="6" t="str">
        <f>IF($A571&lt;&gt;"",MAXIFS(Token!$B:$B,Token!$A:$A,$D571),)</f>
        <v/>
      </c>
    </row>
    <row r="572">
      <c r="A572" s="35" t="str">
        <f>IF(AND($L572*1&gt;=$G$3,$L572*1&lt;=$G$4,$I572*$J572&gt;0,CONCATENATE($H572:$L572)&lt;&gt;CONCATENATE($H573:$L573),$I572/POW(10,$J572)*MAXIFS(Token!$B:$B,Token!$A:$A,$K572)&gt;0.01),$L572/86400+DATE(1970,1,1)+IF($L572*1&gt;=$G$5,$G$6,0),)</f>
        <v/>
      </c>
      <c r="B572" s="22" t="str">
        <f t="shared" si="1"/>
        <v/>
      </c>
      <c r="C572" s="14" t="str">
        <f>IF($A572&lt;&gt;"",MINIFS(Merchant!$A:$A,Merchant!$B:$B,$G$2),)</f>
        <v/>
      </c>
      <c r="D572" s="14" t="str">
        <f t="shared" si="2"/>
        <v/>
      </c>
      <c r="E572" s="14" t="str">
        <f t="shared" si="3"/>
        <v/>
      </c>
      <c r="F572" s="6" t="str">
        <f>IF($A572&lt;&gt;"",MAXIFS(Token!$B:$B,Token!$A:$A,$D572),)</f>
        <v/>
      </c>
    </row>
    <row r="573">
      <c r="A573" s="35" t="str">
        <f>IF(AND($L573*1&gt;=$G$3,$L573*1&lt;=$G$4,$I573*$J573&gt;0,CONCATENATE($H573:$L573)&lt;&gt;CONCATENATE($H574:$L574),$I573/POW(10,$J573)*MAXIFS(Token!$B:$B,Token!$A:$A,$K573)&gt;0.01),$L573/86400+DATE(1970,1,1)+IF($L573*1&gt;=$G$5,$G$6,0),)</f>
        <v/>
      </c>
      <c r="B573" s="22" t="str">
        <f t="shared" si="1"/>
        <v/>
      </c>
      <c r="C573" s="14" t="str">
        <f>IF($A573&lt;&gt;"",MINIFS(Merchant!$A:$A,Merchant!$B:$B,$G$2),)</f>
        <v/>
      </c>
      <c r="D573" s="14" t="str">
        <f t="shared" si="2"/>
        <v/>
      </c>
      <c r="E573" s="14" t="str">
        <f t="shared" si="3"/>
        <v/>
      </c>
      <c r="F573" s="6" t="str">
        <f>IF($A573&lt;&gt;"",MAXIFS(Token!$B:$B,Token!$A:$A,$D573),)</f>
        <v/>
      </c>
    </row>
    <row r="574">
      <c r="A574" s="35" t="str">
        <f>IF(AND($L574*1&gt;=$G$3,$L574*1&lt;=$G$4,$I574*$J574&gt;0,CONCATENATE($H574:$L574)&lt;&gt;CONCATENATE($H575:$L575),$I574/POW(10,$J574)*MAXIFS(Token!$B:$B,Token!$A:$A,$K574)&gt;0.01),$L574/86400+DATE(1970,1,1)+IF($L574*1&gt;=$G$5,$G$6,0),)</f>
        <v/>
      </c>
      <c r="B574" s="22" t="str">
        <f t="shared" si="1"/>
        <v/>
      </c>
      <c r="C574" s="14" t="str">
        <f>IF($A574&lt;&gt;"",MINIFS(Merchant!$A:$A,Merchant!$B:$B,$G$2),)</f>
        <v/>
      </c>
      <c r="D574" s="14" t="str">
        <f t="shared" si="2"/>
        <v/>
      </c>
      <c r="E574" s="14" t="str">
        <f t="shared" si="3"/>
        <v/>
      </c>
      <c r="F574" s="6" t="str">
        <f>IF($A574&lt;&gt;"",MAXIFS(Token!$B:$B,Token!$A:$A,$D574),)</f>
        <v/>
      </c>
    </row>
    <row r="575">
      <c r="A575" s="35" t="str">
        <f>IF(AND($L575*1&gt;=$G$3,$L575*1&lt;=$G$4,$I575*$J575&gt;0,CONCATENATE($H575:$L575)&lt;&gt;CONCATENATE($H576:$L576),$I575/POW(10,$J575)*MAXIFS(Token!$B:$B,Token!$A:$A,$K575)&gt;0.01),$L575/86400+DATE(1970,1,1)+IF($L575*1&gt;=$G$5,$G$6,0),)</f>
        <v/>
      </c>
      <c r="B575" s="22" t="str">
        <f t="shared" si="1"/>
        <v/>
      </c>
      <c r="C575" s="14" t="str">
        <f>IF($A575&lt;&gt;"",MINIFS(Merchant!$A:$A,Merchant!$B:$B,$G$2),)</f>
        <v/>
      </c>
      <c r="D575" s="14" t="str">
        <f t="shared" si="2"/>
        <v/>
      </c>
      <c r="E575" s="14" t="str">
        <f t="shared" si="3"/>
        <v/>
      </c>
      <c r="F575" s="6" t="str">
        <f>IF($A575&lt;&gt;"",MAXIFS(Token!$B:$B,Token!$A:$A,$D575),)</f>
        <v/>
      </c>
    </row>
    <row r="576">
      <c r="A576" s="35" t="str">
        <f>IF(AND($L576*1&gt;=$G$3,$L576*1&lt;=$G$4,$I576*$J576&gt;0,CONCATENATE($H576:$L576)&lt;&gt;CONCATENATE($H577:$L577),$I576/POW(10,$J576)*MAXIFS(Token!$B:$B,Token!$A:$A,$K576)&gt;0.01),$L576/86400+DATE(1970,1,1)+IF($L576*1&gt;=$G$5,$G$6,0),)</f>
        <v/>
      </c>
      <c r="B576" s="22" t="str">
        <f t="shared" si="1"/>
        <v/>
      </c>
      <c r="C576" s="14" t="str">
        <f>IF($A576&lt;&gt;"",MINIFS(Merchant!$A:$A,Merchant!$B:$B,$G$2),)</f>
        <v/>
      </c>
      <c r="D576" s="14" t="str">
        <f t="shared" si="2"/>
        <v/>
      </c>
      <c r="E576" s="14" t="str">
        <f t="shared" si="3"/>
        <v/>
      </c>
      <c r="F576" s="6" t="str">
        <f>IF($A576&lt;&gt;"",MAXIFS(Token!$B:$B,Token!$A:$A,$D576),)</f>
        <v/>
      </c>
    </row>
    <row r="577">
      <c r="A577" s="35" t="str">
        <f>IF(AND($L577*1&gt;=$G$3,$L577*1&lt;=$G$4,$I577*$J577&gt;0,CONCATENATE($H577:$L577)&lt;&gt;CONCATENATE($H578:$L578),$I577/POW(10,$J577)*MAXIFS(Token!$B:$B,Token!$A:$A,$K577)&gt;0.01),$L577/86400+DATE(1970,1,1)+IF($L577*1&gt;=$G$5,$G$6,0),)</f>
        <v/>
      </c>
      <c r="B577" s="22" t="str">
        <f t="shared" si="1"/>
        <v/>
      </c>
      <c r="C577" s="14" t="str">
        <f>IF($A577&lt;&gt;"",MINIFS(Merchant!$A:$A,Merchant!$B:$B,$G$2),)</f>
        <v/>
      </c>
      <c r="D577" s="14" t="str">
        <f t="shared" si="2"/>
        <v/>
      </c>
      <c r="E577" s="14" t="str">
        <f t="shared" si="3"/>
        <v/>
      </c>
      <c r="F577" s="6" t="str">
        <f>IF($A577&lt;&gt;"",MAXIFS(Token!$B:$B,Token!$A:$A,$D577),)</f>
        <v/>
      </c>
    </row>
    <row r="578">
      <c r="A578" s="35" t="str">
        <f>IF(AND($L578*1&gt;=$G$3,$L578*1&lt;=$G$4,$I578*$J578&gt;0,CONCATENATE($H578:$L578)&lt;&gt;CONCATENATE($H579:$L579),$I578/POW(10,$J578)*MAXIFS(Token!$B:$B,Token!$A:$A,$K578)&gt;0.01),$L578/86400+DATE(1970,1,1)+IF($L578*1&gt;=$G$5,$G$6,0),)</f>
        <v/>
      </c>
      <c r="B578" s="22" t="str">
        <f t="shared" si="1"/>
        <v/>
      </c>
      <c r="C578" s="14" t="str">
        <f>IF($A578&lt;&gt;"",MINIFS(Merchant!$A:$A,Merchant!$B:$B,$G$2),)</f>
        <v/>
      </c>
      <c r="D578" s="14" t="str">
        <f t="shared" si="2"/>
        <v/>
      </c>
      <c r="E578" s="14" t="str">
        <f t="shared" si="3"/>
        <v/>
      </c>
      <c r="F578" s="6" t="str">
        <f>IF($A578&lt;&gt;"",MAXIFS(Token!$B:$B,Token!$A:$A,$D578),)</f>
        <v/>
      </c>
    </row>
    <row r="579">
      <c r="A579" s="35" t="str">
        <f>IF(AND($L579*1&gt;=$G$3,$L579*1&lt;=$G$4,$I579*$J579&gt;0,CONCATENATE($H579:$L579)&lt;&gt;CONCATENATE($H580:$L580),$I579/POW(10,$J579)*MAXIFS(Token!$B:$B,Token!$A:$A,$K579)&gt;0.01),$L579/86400+DATE(1970,1,1)+IF($L579*1&gt;=$G$5,$G$6,0),)</f>
        <v/>
      </c>
      <c r="B579" s="22" t="str">
        <f t="shared" si="1"/>
        <v/>
      </c>
      <c r="C579" s="14" t="str">
        <f>IF($A579&lt;&gt;"",MINIFS(Merchant!$A:$A,Merchant!$B:$B,$G$2),)</f>
        <v/>
      </c>
      <c r="D579" s="14" t="str">
        <f t="shared" si="2"/>
        <v/>
      </c>
      <c r="E579" s="14" t="str">
        <f t="shared" si="3"/>
        <v/>
      </c>
      <c r="F579" s="6" t="str">
        <f>IF($A579&lt;&gt;"",MAXIFS(Token!$B:$B,Token!$A:$A,$D579),)</f>
        <v/>
      </c>
    </row>
    <row r="580">
      <c r="A580" s="35" t="str">
        <f>IF(AND($L580*1&gt;=$G$3,$L580*1&lt;=$G$4,$I580*$J580&gt;0,CONCATENATE($H580:$L580)&lt;&gt;CONCATENATE($H581:$L581),$I580/POW(10,$J580)*MAXIFS(Token!$B:$B,Token!$A:$A,$K580)&gt;0.01),$L580/86400+DATE(1970,1,1)+IF($L580*1&gt;=$G$5,$G$6,0),)</f>
        <v/>
      </c>
      <c r="B580" s="22" t="str">
        <f t="shared" si="1"/>
        <v/>
      </c>
      <c r="C580" s="14" t="str">
        <f>IF($A580&lt;&gt;"",MINIFS(Merchant!$A:$A,Merchant!$B:$B,$G$2),)</f>
        <v/>
      </c>
      <c r="D580" s="14" t="str">
        <f t="shared" si="2"/>
        <v/>
      </c>
      <c r="E580" s="14" t="str">
        <f t="shared" si="3"/>
        <v/>
      </c>
      <c r="F580" s="6" t="str">
        <f>IF($A580&lt;&gt;"",MAXIFS(Token!$B:$B,Token!$A:$A,$D580),)</f>
        <v/>
      </c>
    </row>
    <row r="581">
      <c r="A581" s="35" t="str">
        <f>IF(AND($L581*1&gt;=$G$3,$L581*1&lt;=$G$4,$I581*$J581&gt;0,CONCATENATE($H581:$L581)&lt;&gt;CONCATENATE($H582:$L582),$I581/POW(10,$J581)*MAXIFS(Token!$B:$B,Token!$A:$A,$K581)&gt;0.01),$L581/86400+DATE(1970,1,1)+IF($L581*1&gt;=$G$5,$G$6,0),)</f>
        <v/>
      </c>
      <c r="B581" s="22" t="str">
        <f t="shared" si="1"/>
        <v/>
      </c>
      <c r="C581" s="14" t="str">
        <f>IF($A581&lt;&gt;"",MINIFS(Merchant!$A:$A,Merchant!$B:$B,$G$2),)</f>
        <v/>
      </c>
      <c r="D581" s="14" t="str">
        <f t="shared" si="2"/>
        <v/>
      </c>
      <c r="E581" s="14" t="str">
        <f t="shared" si="3"/>
        <v/>
      </c>
      <c r="F581" s="6" t="str">
        <f>IF($A581&lt;&gt;"",MAXIFS(Token!$B:$B,Token!$A:$A,$D581),)</f>
        <v/>
      </c>
    </row>
    <row r="582">
      <c r="A582" s="35" t="str">
        <f>IF(AND($L582*1&gt;=$G$3,$L582*1&lt;=$G$4,$I582*$J582&gt;0,CONCATENATE($H582:$L582)&lt;&gt;CONCATENATE($H583:$L583),$I582/POW(10,$J582)*MAXIFS(Token!$B:$B,Token!$A:$A,$K582)&gt;0.01),$L582/86400+DATE(1970,1,1)+IF($L582*1&gt;=$G$5,$G$6,0),)</f>
        <v/>
      </c>
      <c r="B582" s="22" t="str">
        <f t="shared" si="1"/>
        <v/>
      </c>
      <c r="C582" s="14" t="str">
        <f>IF($A582&lt;&gt;"",MINIFS(Merchant!$A:$A,Merchant!$B:$B,$G$2),)</f>
        <v/>
      </c>
      <c r="D582" s="14" t="str">
        <f t="shared" si="2"/>
        <v/>
      </c>
      <c r="E582" s="14" t="str">
        <f t="shared" si="3"/>
        <v/>
      </c>
      <c r="F582" s="6" t="str">
        <f>IF($A582&lt;&gt;"",MAXIFS(Token!$B:$B,Token!$A:$A,$D582),)</f>
        <v/>
      </c>
    </row>
    <row r="583">
      <c r="A583" s="35" t="str">
        <f>IF(AND($L583*1&gt;=$G$3,$L583*1&lt;=$G$4,$I583*$J583&gt;0,CONCATENATE($H583:$L583)&lt;&gt;CONCATENATE($H584:$L584),$I583/POW(10,$J583)*MAXIFS(Token!$B:$B,Token!$A:$A,$K583)&gt;0.01),$L583/86400+DATE(1970,1,1)+IF($L583*1&gt;=$G$5,$G$6,0),)</f>
        <v/>
      </c>
      <c r="B583" s="22" t="str">
        <f t="shared" si="1"/>
        <v/>
      </c>
      <c r="C583" s="14" t="str">
        <f>IF($A583&lt;&gt;"",MINIFS(Merchant!$A:$A,Merchant!$B:$B,$G$2),)</f>
        <v/>
      </c>
      <c r="D583" s="14" t="str">
        <f t="shared" si="2"/>
        <v/>
      </c>
      <c r="E583" s="14" t="str">
        <f t="shared" si="3"/>
        <v/>
      </c>
      <c r="F583" s="6" t="str">
        <f>IF($A583&lt;&gt;"",MAXIFS(Token!$B:$B,Token!$A:$A,$D583),)</f>
        <v/>
      </c>
    </row>
    <row r="584">
      <c r="A584" s="35" t="str">
        <f>IF(AND($L584*1&gt;=$G$3,$L584*1&lt;=$G$4,$I584*$J584&gt;0,CONCATENATE($H584:$L584)&lt;&gt;CONCATENATE($H585:$L585),$I584/POW(10,$J584)*MAXIFS(Token!$B:$B,Token!$A:$A,$K584)&gt;0.01),$L584/86400+DATE(1970,1,1)+IF($L584*1&gt;=$G$5,$G$6,0),)</f>
        <v/>
      </c>
      <c r="B584" s="22" t="str">
        <f t="shared" si="1"/>
        <v/>
      </c>
      <c r="C584" s="14" t="str">
        <f>IF($A584&lt;&gt;"",MINIFS(Merchant!$A:$A,Merchant!$B:$B,$G$2),)</f>
        <v/>
      </c>
      <c r="D584" s="14" t="str">
        <f t="shared" si="2"/>
        <v/>
      </c>
      <c r="E584" s="14" t="str">
        <f t="shared" si="3"/>
        <v/>
      </c>
      <c r="F584" s="6" t="str">
        <f>IF($A584&lt;&gt;"",MAXIFS(Token!$B:$B,Token!$A:$A,$D584),)</f>
        <v/>
      </c>
    </row>
    <row r="585">
      <c r="A585" s="35" t="str">
        <f>IF(AND($L585*1&gt;=$G$3,$L585*1&lt;=$G$4,$I585*$J585&gt;0,CONCATENATE($H585:$L585)&lt;&gt;CONCATENATE($H586:$L586),$I585/POW(10,$J585)*MAXIFS(Token!$B:$B,Token!$A:$A,$K585)&gt;0.01),$L585/86400+DATE(1970,1,1)+IF($L585*1&gt;=$G$5,$G$6,0),)</f>
        <v/>
      </c>
      <c r="B585" s="22" t="str">
        <f t="shared" si="1"/>
        <v/>
      </c>
      <c r="C585" s="14" t="str">
        <f>IF($A585&lt;&gt;"",MINIFS(Merchant!$A:$A,Merchant!$B:$B,$G$2),)</f>
        <v/>
      </c>
      <c r="D585" s="14" t="str">
        <f t="shared" si="2"/>
        <v/>
      </c>
      <c r="E585" s="14" t="str">
        <f t="shared" si="3"/>
        <v/>
      </c>
      <c r="F585" s="6" t="str">
        <f>IF($A585&lt;&gt;"",MAXIFS(Token!$B:$B,Token!$A:$A,$D585),)</f>
        <v/>
      </c>
    </row>
    <row r="586">
      <c r="A586" s="35" t="str">
        <f>IF(AND($L586*1&gt;=$G$3,$L586*1&lt;=$G$4,$I586*$J586&gt;0,CONCATENATE($H586:$L586)&lt;&gt;CONCATENATE($H587:$L587),$I586/POW(10,$J586)*MAXIFS(Token!$B:$B,Token!$A:$A,$K586)&gt;0.01),$L586/86400+DATE(1970,1,1)+IF($L586*1&gt;=$G$5,$G$6,0),)</f>
        <v/>
      </c>
      <c r="B586" s="22" t="str">
        <f t="shared" si="1"/>
        <v/>
      </c>
      <c r="C586" s="14" t="str">
        <f>IF($A586&lt;&gt;"",MINIFS(Merchant!$A:$A,Merchant!$B:$B,$G$2),)</f>
        <v/>
      </c>
      <c r="D586" s="14" t="str">
        <f t="shared" si="2"/>
        <v/>
      </c>
      <c r="E586" s="14" t="str">
        <f t="shared" si="3"/>
        <v/>
      </c>
      <c r="F586" s="6" t="str">
        <f>IF($A586&lt;&gt;"",MAXIFS(Token!$B:$B,Token!$A:$A,$D586),)</f>
        <v/>
      </c>
    </row>
    <row r="587">
      <c r="A587" s="35" t="str">
        <f>IF(AND($L587*1&gt;=$G$3,$L587*1&lt;=$G$4,$I587*$J587&gt;0,CONCATENATE($H587:$L587)&lt;&gt;CONCATENATE($H588:$L588),$I587/POW(10,$J587)*MAXIFS(Token!$B:$B,Token!$A:$A,$K587)&gt;0.01),$L587/86400+DATE(1970,1,1)+IF($L587*1&gt;=$G$5,$G$6,0),)</f>
        <v/>
      </c>
      <c r="B587" s="22" t="str">
        <f t="shared" si="1"/>
        <v/>
      </c>
      <c r="C587" s="14" t="str">
        <f>IF($A587&lt;&gt;"",MINIFS(Merchant!$A:$A,Merchant!$B:$B,$G$2),)</f>
        <v/>
      </c>
      <c r="D587" s="14" t="str">
        <f t="shared" si="2"/>
        <v/>
      </c>
      <c r="E587" s="14" t="str">
        <f t="shared" si="3"/>
        <v/>
      </c>
      <c r="F587" s="6" t="str">
        <f>IF($A587&lt;&gt;"",MAXIFS(Token!$B:$B,Token!$A:$A,$D587),)</f>
        <v/>
      </c>
    </row>
    <row r="588">
      <c r="A588" s="35" t="str">
        <f>IF(AND($L588*1&gt;=$G$3,$L588*1&lt;=$G$4,$I588*$J588&gt;0,CONCATENATE($H588:$L588)&lt;&gt;CONCATENATE($H589:$L589),$I588/POW(10,$J588)*MAXIFS(Token!$B:$B,Token!$A:$A,$K588)&gt;0.01),$L588/86400+DATE(1970,1,1)+IF($L588*1&gt;=$G$5,$G$6,0),)</f>
        <v/>
      </c>
      <c r="B588" s="22" t="str">
        <f t="shared" si="1"/>
        <v/>
      </c>
      <c r="C588" s="14" t="str">
        <f>IF($A588&lt;&gt;"",MINIFS(Merchant!$A:$A,Merchant!$B:$B,$G$2),)</f>
        <v/>
      </c>
      <c r="D588" s="14" t="str">
        <f t="shared" si="2"/>
        <v/>
      </c>
      <c r="E588" s="14" t="str">
        <f t="shared" si="3"/>
        <v/>
      </c>
      <c r="F588" s="6" t="str">
        <f>IF($A588&lt;&gt;"",MAXIFS(Token!$B:$B,Token!$A:$A,$D588),)</f>
        <v/>
      </c>
    </row>
    <row r="589">
      <c r="A589" s="35" t="str">
        <f>IF(AND($L589*1&gt;=$G$3,$L589*1&lt;=$G$4,$I589*$J589&gt;0,CONCATENATE($H589:$L589)&lt;&gt;CONCATENATE($H590:$L590),$I589/POW(10,$J589)*MAXIFS(Token!$B:$B,Token!$A:$A,$K589)&gt;0.01),$L589/86400+DATE(1970,1,1)+IF($L589*1&gt;=$G$5,$G$6,0),)</f>
        <v/>
      </c>
      <c r="B589" s="22" t="str">
        <f t="shared" si="1"/>
        <v/>
      </c>
      <c r="C589" s="14" t="str">
        <f>IF($A589&lt;&gt;"",MINIFS(Merchant!$A:$A,Merchant!$B:$B,$G$2),)</f>
        <v/>
      </c>
      <c r="D589" s="14" t="str">
        <f t="shared" si="2"/>
        <v/>
      </c>
      <c r="E589" s="14" t="str">
        <f t="shared" si="3"/>
        <v/>
      </c>
      <c r="F589" s="6" t="str">
        <f>IF($A589&lt;&gt;"",MAXIFS(Token!$B:$B,Token!$A:$A,$D589),)</f>
        <v/>
      </c>
    </row>
    <row r="590">
      <c r="A590" s="35" t="str">
        <f>IF(AND($L590*1&gt;=$G$3,$L590*1&lt;=$G$4,$I590*$J590&gt;0,CONCATENATE($H590:$L590)&lt;&gt;CONCATENATE($H591:$L591),$I590/POW(10,$J590)*MAXIFS(Token!$B:$B,Token!$A:$A,$K590)&gt;0.01),$L590/86400+DATE(1970,1,1)+IF($L590*1&gt;=$G$5,$G$6,0),)</f>
        <v/>
      </c>
      <c r="B590" s="22" t="str">
        <f t="shared" si="1"/>
        <v/>
      </c>
      <c r="C590" s="14" t="str">
        <f>IF($A590&lt;&gt;"",MINIFS(Merchant!$A:$A,Merchant!$B:$B,$G$2),)</f>
        <v/>
      </c>
      <c r="D590" s="14" t="str">
        <f t="shared" si="2"/>
        <v/>
      </c>
      <c r="E590" s="14" t="str">
        <f t="shared" si="3"/>
        <v/>
      </c>
      <c r="F590" s="6" t="str">
        <f>IF($A590&lt;&gt;"",MAXIFS(Token!$B:$B,Token!$A:$A,$D590),)</f>
        <v/>
      </c>
    </row>
    <row r="591">
      <c r="A591" s="35" t="str">
        <f>IF(AND($L591*1&gt;=$G$3,$L591*1&lt;=$G$4,$I591*$J591&gt;0,CONCATENATE($H591:$L591)&lt;&gt;CONCATENATE($H592:$L592),$I591/POW(10,$J591)*MAXIFS(Token!$B:$B,Token!$A:$A,$K591)&gt;0.01),$L591/86400+DATE(1970,1,1)+IF($L591*1&gt;=$G$5,$G$6,0),)</f>
        <v/>
      </c>
      <c r="B591" s="22" t="str">
        <f t="shared" si="1"/>
        <v/>
      </c>
      <c r="C591" s="14" t="str">
        <f>IF($A591&lt;&gt;"",MINIFS(Merchant!$A:$A,Merchant!$B:$B,$G$2),)</f>
        <v/>
      </c>
      <c r="D591" s="14" t="str">
        <f t="shared" si="2"/>
        <v/>
      </c>
      <c r="E591" s="14" t="str">
        <f t="shared" si="3"/>
        <v/>
      </c>
      <c r="F591" s="6" t="str">
        <f>IF($A591&lt;&gt;"",MAXIFS(Token!$B:$B,Token!$A:$A,$D591),)</f>
        <v/>
      </c>
    </row>
    <row r="592">
      <c r="A592" s="35" t="str">
        <f>IF(AND($L592*1&gt;=$G$3,$L592*1&lt;=$G$4,$I592*$J592&gt;0,CONCATENATE($H592:$L592)&lt;&gt;CONCATENATE($H593:$L593),$I592/POW(10,$J592)*MAXIFS(Token!$B:$B,Token!$A:$A,$K592)&gt;0.01),$L592/86400+DATE(1970,1,1)+IF($L592*1&gt;=$G$5,$G$6,0),)</f>
        <v/>
      </c>
      <c r="B592" s="22" t="str">
        <f t="shared" si="1"/>
        <v/>
      </c>
      <c r="C592" s="14" t="str">
        <f>IF($A592&lt;&gt;"",MINIFS(Merchant!$A:$A,Merchant!$B:$B,$G$2),)</f>
        <v/>
      </c>
      <c r="D592" s="14" t="str">
        <f t="shared" si="2"/>
        <v/>
      </c>
      <c r="E592" s="14" t="str">
        <f t="shared" si="3"/>
        <v/>
      </c>
      <c r="F592" s="6" t="str">
        <f>IF($A592&lt;&gt;"",MAXIFS(Token!$B:$B,Token!$A:$A,$D592),)</f>
        <v/>
      </c>
    </row>
    <row r="593">
      <c r="A593" s="35" t="str">
        <f>IF(AND($L593*1&gt;=$G$3,$L593*1&lt;=$G$4,$I593*$J593&gt;0,CONCATENATE($H593:$L593)&lt;&gt;CONCATENATE($H594:$L594),$I593/POW(10,$J593)*MAXIFS(Token!$B:$B,Token!$A:$A,$K593)&gt;0.01),$L593/86400+DATE(1970,1,1)+IF($L593*1&gt;=$G$5,$G$6,0),)</f>
        <v/>
      </c>
      <c r="B593" s="22" t="str">
        <f t="shared" si="1"/>
        <v/>
      </c>
      <c r="C593" s="14" t="str">
        <f>IF($A593&lt;&gt;"",MINIFS(Merchant!$A:$A,Merchant!$B:$B,$G$2),)</f>
        <v/>
      </c>
      <c r="D593" s="14" t="str">
        <f t="shared" si="2"/>
        <v/>
      </c>
      <c r="E593" s="14" t="str">
        <f t="shared" si="3"/>
        <v/>
      </c>
      <c r="F593" s="6" t="str">
        <f>IF($A593&lt;&gt;"",MAXIFS(Token!$B:$B,Token!$A:$A,$D593),)</f>
        <v/>
      </c>
    </row>
    <row r="594">
      <c r="A594" s="35" t="str">
        <f>IF(AND($L594*1&gt;=$G$3,$L594*1&lt;=$G$4,$I594*$J594&gt;0,CONCATENATE($H594:$L594)&lt;&gt;CONCATENATE($H595:$L595),$I594/POW(10,$J594)*MAXIFS(Token!$B:$B,Token!$A:$A,$K594)&gt;0.01),$L594/86400+DATE(1970,1,1)+IF($L594*1&gt;=$G$5,$G$6,0),)</f>
        <v/>
      </c>
      <c r="B594" s="22" t="str">
        <f t="shared" si="1"/>
        <v/>
      </c>
      <c r="C594" s="14" t="str">
        <f>IF($A594&lt;&gt;"",MINIFS(Merchant!$A:$A,Merchant!$B:$B,$G$2),)</f>
        <v/>
      </c>
      <c r="D594" s="14" t="str">
        <f t="shared" si="2"/>
        <v/>
      </c>
      <c r="E594" s="14" t="str">
        <f t="shared" si="3"/>
        <v/>
      </c>
      <c r="F594" s="6" t="str">
        <f>IF($A594&lt;&gt;"",MAXIFS(Token!$B:$B,Token!$A:$A,$D594),)</f>
        <v/>
      </c>
    </row>
    <row r="595">
      <c r="A595" s="35" t="str">
        <f>IF(AND($L595*1&gt;=$G$3,$L595*1&lt;=$G$4,$I595*$J595&gt;0,CONCATENATE($H595:$L595)&lt;&gt;CONCATENATE($H596:$L596),$I595/POW(10,$J595)*MAXIFS(Token!$B:$B,Token!$A:$A,$K595)&gt;0.01),$L595/86400+DATE(1970,1,1)+IF($L595*1&gt;=$G$5,$G$6,0),)</f>
        <v/>
      </c>
      <c r="B595" s="22" t="str">
        <f t="shared" si="1"/>
        <v/>
      </c>
      <c r="C595" s="14" t="str">
        <f>IF($A595&lt;&gt;"",MINIFS(Merchant!$A:$A,Merchant!$B:$B,$G$2),)</f>
        <v/>
      </c>
      <c r="D595" s="14" t="str">
        <f t="shared" si="2"/>
        <v/>
      </c>
      <c r="E595" s="14" t="str">
        <f t="shared" si="3"/>
        <v/>
      </c>
      <c r="F595" s="6" t="str">
        <f>IF($A595&lt;&gt;"",MAXIFS(Token!$B:$B,Token!$A:$A,$D595),)</f>
        <v/>
      </c>
    </row>
    <row r="596">
      <c r="A596" s="35" t="str">
        <f>IF(AND($L596*1&gt;=$G$3,$L596*1&lt;=$G$4,$I596*$J596&gt;0,CONCATENATE($H596:$L596)&lt;&gt;CONCATENATE($H597:$L597),$I596/POW(10,$J596)*MAXIFS(Token!$B:$B,Token!$A:$A,$K596)&gt;0.01),$L596/86400+DATE(1970,1,1)+IF($L596*1&gt;=$G$5,$G$6,0),)</f>
        <v/>
      </c>
      <c r="B596" s="22" t="str">
        <f t="shared" si="1"/>
        <v/>
      </c>
      <c r="C596" s="14" t="str">
        <f>IF($A596&lt;&gt;"",MINIFS(Merchant!$A:$A,Merchant!$B:$B,$G$2),)</f>
        <v/>
      </c>
      <c r="D596" s="14" t="str">
        <f t="shared" si="2"/>
        <v/>
      </c>
      <c r="E596" s="14" t="str">
        <f t="shared" si="3"/>
        <v/>
      </c>
      <c r="F596" s="6" t="str">
        <f>IF($A596&lt;&gt;"",MAXIFS(Token!$B:$B,Token!$A:$A,$D596),)</f>
        <v/>
      </c>
    </row>
    <row r="597">
      <c r="A597" s="35" t="str">
        <f>IF(AND($L597*1&gt;=$G$3,$L597*1&lt;=$G$4,$I597*$J597&gt;0,CONCATENATE($H597:$L597)&lt;&gt;CONCATENATE($H598:$L598),$I597/POW(10,$J597)*MAXIFS(Token!$B:$B,Token!$A:$A,$K597)&gt;0.01),$L597/86400+DATE(1970,1,1)+IF($L597*1&gt;=$G$5,$G$6,0),)</f>
        <v/>
      </c>
      <c r="B597" s="22" t="str">
        <f t="shared" si="1"/>
        <v/>
      </c>
      <c r="C597" s="14" t="str">
        <f>IF($A597&lt;&gt;"",MINIFS(Merchant!$A:$A,Merchant!$B:$B,$G$2),)</f>
        <v/>
      </c>
      <c r="D597" s="14" t="str">
        <f t="shared" si="2"/>
        <v/>
      </c>
      <c r="E597" s="14" t="str">
        <f t="shared" si="3"/>
        <v/>
      </c>
      <c r="F597" s="6" t="str">
        <f>IF($A597&lt;&gt;"",MAXIFS(Token!$B:$B,Token!$A:$A,$D597),)</f>
        <v/>
      </c>
    </row>
    <row r="598">
      <c r="A598" s="35" t="str">
        <f>IF(AND($L598*1&gt;=$G$3,$L598*1&lt;=$G$4,$I598*$J598&gt;0,CONCATENATE($H598:$L598)&lt;&gt;CONCATENATE($H599:$L599),$I598/POW(10,$J598)*MAXIFS(Token!$B:$B,Token!$A:$A,$K598)&gt;0.01),$L598/86400+DATE(1970,1,1)+IF($L598*1&gt;=$G$5,$G$6,0),)</f>
        <v/>
      </c>
      <c r="B598" s="22" t="str">
        <f t="shared" si="1"/>
        <v/>
      </c>
      <c r="C598" s="14" t="str">
        <f>IF($A598&lt;&gt;"",MINIFS(Merchant!$A:$A,Merchant!$B:$B,$G$2),)</f>
        <v/>
      </c>
      <c r="D598" s="14" t="str">
        <f t="shared" si="2"/>
        <v/>
      </c>
      <c r="E598" s="14" t="str">
        <f t="shared" si="3"/>
        <v/>
      </c>
      <c r="F598" s="6" t="str">
        <f>IF($A598&lt;&gt;"",MAXIFS(Token!$B:$B,Token!$A:$A,$D598),)</f>
        <v/>
      </c>
    </row>
    <row r="599">
      <c r="A599" s="35" t="str">
        <f>IF(AND($L599*1&gt;=$G$3,$L599*1&lt;=$G$4,$I599*$J599&gt;0,CONCATENATE($H599:$L599)&lt;&gt;CONCATENATE($H600:$L600),$I599/POW(10,$J599)*MAXIFS(Token!$B:$B,Token!$A:$A,$K599)&gt;0.01),$L599/86400+DATE(1970,1,1)+IF($L599*1&gt;=$G$5,$G$6,0),)</f>
        <v/>
      </c>
      <c r="B599" s="22" t="str">
        <f t="shared" si="1"/>
        <v/>
      </c>
      <c r="C599" s="14" t="str">
        <f>IF($A599&lt;&gt;"",MINIFS(Merchant!$A:$A,Merchant!$B:$B,$G$2),)</f>
        <v/>
      </c>
      <c r="D599" s="14" t="str">
        <f t="shared" si="2"/>
        <v/>
      </c>
      <c r="E599" s="14" t="str">
        <f t="shared" si="3"/>
        <v/>
      </c>
      <c r="F599" s="6" t="str">
        <f>IF($A599&lt;&gt;"",MAXIFS(Token!$B:$B,Token!$A:$A,$D599),)</f>
        <v/>
      </c>
    </row>
    <row r="600">
      <c r="A600" s="35" t="str">
        <f>IF(AND($L600*1&gt;=$G$3,$L600*1&lt;=$G$4,$I600*$J600&gt;0,CONCATENATE($H600:$L600)&lt;&gt;CONCATENATE($H601:$L601),$I600/POW(10,$J600)*MAXIFS(Token!$B:$B,Token!$A:$A,$K600)&gt;0.01),$L600/86400+DATE(1970,1,1)+IF($L600*1&gt;=$G$5,$G$6,0),)</f>
        <v/>
      </c>
      <c r="B600" s="22" t="str">
        <f t="shared" si="1"/>
        <v/>
      </c>
      <c r="C600" s="14" t="str">
        <f>IF($A600&lt;&gt;"",MINIFS(Merchant!$A:$A,Merchant!$B:$B,$G$2),)</f>
        <v/>
      </c>
      <c r="D600" s="14" t="str">
        <f t="shared" si="2"/>
        <v/>
      </c>
      <c r="E600" s="14" t="str">
        <f t="shared" si="3"/>
        <v/>
      </c>
      <c r="F600" s="6" t="str">
        <f>IF($A600&lt;&gt;"",MAXIFS(Token!$B:$B,Token!$A:$A,$D600),)</f>
        <v/>
      </c>
    </row>
    <row r="601">
      <c r="A601" s="35" t="str">
        <f>IF(AND($L601*1&gt;=$G$3,$L601*1&lt;=$G$4,$I601*$J601&gt;0,CONCATENATE($H601:$L601)&lt;&gt;CONCATENATE($H602:$L602),$I601/POW(10,$J601)*MAXIFS(Token!$B:$B,Token!$A:$A,$K601)&gt;0.01),$L601/86400+DATE(1970,1,1)+IF($L601*1&gt;=$G$5,$G$6,0),)</f>
        <v/>
      </c>
      <c r="B601" s="22" t="str">
        <f t="shared" si="1"/>
        <v/>
      </c>
      <c r="C601" s="14" t="str">
        <f>IF($A601&lt;&gt;"",MINIFS(Merchant!$A:$A,Merchant!$B:$B,$G$2),)</f>
        <v/>
      </c>
      <c r="D601" s="14" t="str">
        <f t="shared" si="2"/>
        <v/>
      </c>
      <c r="E601" s="14" t="str">
        <f t="shared" si="3"/>
        <v/>
      </c>
      <c r="F601" s="6" t="str">
        <f>IF($A601&lt;&gt;"",MAXIFS(Token!$B:$B,Token!$A:$A,$D601),)</f>
        <v/>
      </c>
    </row>
    <row r="602">
      <c r="A602" s="35" t="str">
        <f>IF(AND($L602*1&gt;=$G$3,$L602*1&lt;=$G$4,$I602*$J602&gt;0,CONCATENATE($H602:$L602)&lt;&gt;CONCATENATE($H603:$L603),$I602/POW(10,$J602)*MAXIFS(Token!$B:$B,Token!$A:$A,$K602)&gt;0.01),$L602/86400+DATE(1970,1,1)+IF($L602*1&gt;=$G$5,$G$6,0),)</f>
        <v/>
      </c>
      <c r="B602" s="22" t="str">
        <f t="shared" si="1"/>
        <v/>
      </c>
      <c r="C602" s="14" t="str">
        <f>IF($A602&lt;&gt;"",MINIFS(Merchant!$A:$A,Merchant!$B:$B,$G$2),)</f>
        <v/>
      </c>
      <c r="D602" s="14" t="str">
        <f t="shared" si="2"/>
        <v/>
      </c>
      <c r="E602" s="14" t="str">
        <f t="shared" si="3"/>
        <v/>
      </c>
      <c r="F602" s="6" t="str">
        <f>IF($A602&lt;&gt;"",MAXIFS(Token!$B:$B,Token!$A:$A,$D602),)</f>
        <v/>
      </c>
    </row>
    <row r="603">
      <c r="A603" s="35" t="str">
        <f>IF(AND($L603*1&gt;=$G$3,$L603*1&lt;=$G$4,$I603*$J603&gt;0,CONCATENATE($H603:$L603)&lt;&gt;CONCATENATE($H604:$L604),$I603/POW(10,$J603)*MAXIFS(Token!$B:$B,Token!$A:$A,$K603)&gt;0.01),$L603/86400+DATE(1970,1,1)+IF($L603*1&gt;=$G$5,$G$6,0),)</f>
        <v/>
      </c>
      <c r="B603" s="22" t="str">
        <f t="shared" si="1"/>
        <v/>
      </c>
      <c r="C603" s="14" t="str">
        <f>IF($A603&lt;&gt;"",MINIFS(Merchant!$A:$A,Merchant!$B:$B,$G$2),)</f>
        <v/>
      </c>
      <c r="D603" s="14" t="str">
        <f t="shared" si="2"/>
        <v/>
      </c>
      <c r="E603" s="14" t="str">
        <f t="shared" si="3"/>
        <v/>
      </c>
      <c r="F603" s="6" t="str">
        <f>IF($A603&lt;&gt;"",MAXIFS(Token!$B:$B,Token!$A:$A,$D603),)</f>
        <v/>
      </c>
    </row>
    <row r="604">
      <c r="A604" s="35" t="str">
        <f>IF(AND($L604*1&gt;=$G$3,$L604*1&lt;=$G$4,$I604*$J604&gt;0,CONCATENATE($H604:$L604)&lt;&gt;CONCATENATE($H605:$L605),$I604/POW(10,$J604)*MAXIFS(Token!$B:$B,Token!$A:$A,$K604)&gt;0.01),$L604/86400+DATE(1970,1,1)+IF($L604*1&gt;=$G$5,$G$6,0),)</f>
        <v/>
      </c>
      <c r="B604" s="22" t="str">
        <f t="shared" si="1"/>
        <v/>
      </c>
      <c r="C604" s="14" t="str">
        <f>IF($A604&lt;&gt;"",MINIFS(Merchant!$A:$A,Merchant!$B:$B,$G$2),)</f>
        <v/>
      </c>
      <c r="D604" s="14" t="str">
        <f t="shared" si="2"/>
        <v/>
      </c>
      <c r="E604" s="14" t="str">
        <f t="shared" si="3"/>
        <v/>
      </c>
      <c r="F604" s="6" t="str">
        <f>IF($A604&lt;&gt;"",MAXIFS(Token!$B:$B,Token!$A:$A,$D604),)</f>
        <v/>
      </c>
    </row>
    <row r="605">
      <c r="A605" s="35" t="str">
        <f>IF(AND($L605*1&gt;=$G$3,$L605*1&lt;=$G$4,$I605*$J605&gt;0,CONCATENATE($H605:$L605)&lt;&gt;CONCATENATE($H606:$L606),$I605/POW(10,$J605)*MAXIFS(Token!$B:$B,Token!$A:$A,$K605)&gt;0.01),$L605/86400+DATE(1970,1,1)+IF($L605*1&gt;=$G$5,$G$6,0),)</f>
        <v/>
      </c>
      <c r="B605" s="22" t="str">
        <f t="shared" si="1"/>
        <v/>
      </c>
      <c r="C605" s="14" t="str">
        <f>IF($A605&lt;&gt;"",MINIFS(Merchant!$A:$A,Merchant!$B:$B,$G$2),)</f>
        <v/>
      </c>
      <c r="D605" s="14" t="str">
        <f t="shared" si="2"/>
        <v/>
      </c>
      <c r="E605" s="14" t="str">
        <f t="shared" si="3"/>
        <v/>
      </c>
      <c r="F605" s="6" t="str">
        <f>IF($A605&lt;&gt;"",MAXIFS(Token!$B:$B,Token!$A:$A,$D605),)</f>
        <v/>
      </c>
    </row>
    <row r="606">
      <c r="A606" s="35" t="str">
        <f>IF(AND($L606*1&gt;=$G$3,$L606*1&lt;=$G$4,$I606*$J606&gt;0,CONCATENATE($H606:$L606)&lt;&gt;CONCATENATE($H607:$L607),$I606/POW(10,$J606)*MAXIFS(Token!$B:$B,Token!$A:$A,$K606)&gt;0.01),$L606/86400+DATE(1970,1,1)+IF($L606*1&gt;=$G$5,$G$6,0),)</f>
        <v/>
      </c>
      <c r="B606" s="22" t="str">
        <f t="shared" si="1"/>
        <v/>
      </c>
      <c r="C606" s="14" t="str">
        <f>IF($A606&lt;&gt;"",MINIFS(Merchant!$A:$A,Merchant!$B:$B,$G$2),)</f>
        <v/>
      </c>
      <c r="D606" s="14" t="str">
        <f t="shared" si="2"/>
        <v/>
      </c>
      <c r="E606" s="14" t="str">
        <f t="shared" si="3"/>
        <v/>
      </c>
      <c r="F606" s="6" t="str">
        <f>IF($A606&lt;&gt;"",MAXIFS(Token!$B:$B,Token!$A:$A,$D606),)</f>
        <v/>
      </c>
    </row>
    <row r="607">
      <c r="A607" s="35" t="str">
        <f>IF(AND($L607*1&gt;=$G$3,$L607*1&lt;=$G$4,$I607*$J607&gt;0,CONCATENATE($H607:$L607)&lt;&gt;CONCATENATE($H608:$L608),$I607/POW(10,$J607)*MAXIFS(Token!$B:$B,Token!$A:$A,$K607)&gt;0.01),$L607/86400+DATE(1970,1,1)+IF($L607*1&gt;=$G$5,$G$6,0),)</f>
        <v/>
      </c>
      <c r="B607" s="22" t="str">
        <f t="shared" si="1"/>
        <v/>
      </c>
      <c r="C607" s="14" t="str">
        <f>IF($A607&lt;&gt;"",MINIFS(Merchant!$A:$A,Merchant!$B:$B,$G$2),)</f>
        <v/>
      </c>
      <c r="D607" s="14" t="str">
        <f t="shared" si="2"/>
        <v/>
      </c>
      <c r="E607" s="14" t="str">
        <f t="shared" si="3"/>
        <v/>
      </c>
      <c r="F607" s="6" t="str">
        <f>IF($A607&lt;&gt;"",MAXIFS(Token!$B:$B,Token!$A:$A,$D607),)</f>
        <v/>
      </c>
    </row>
    <row r="608">
      <c r="A608" s="35" t="str">
        <f>IF(AND($L608*1&gt;=$G$3,$L608*1&lt;=$G$4,$I608*$J608&gt;0,CONCATENATE($H608:$L608)&lt;&gt;CONCATENATE($H609:$L609),$I608/POW(10,$J608)*MAXIFS(Token!$B:$B,Token!$A:$A,$K608)&gt;0.01),$L608/86400+DATE(1970,1,1)+IF($L608*1&gt;=$G$5,$G$6,0),)</f>
        <v/>
      </c>
      <c r="B608" s="22" t="str">
        <f t="shared" si="1"/>
        <v/>
      </c>
      <c r="C608" s="14" t="str">
        <f>IF($A608&lt;&gt;"",MINIFS(Merchant!$A:$A,Merchant!$B:$B,$G$2),)</f>
        <v/>
      </c>
      <c r="D608" s="14" t="str">
        <f t="shared" si="2"/>
        <v/>
      </c>
      <c r="E608" s="14" t="str">
        <f t="shared" si="3"/>
        <v/>
      </c>
      <c r="F608" s="6" t="str">
        <f>IF($A608&lt;&gt;"",MAXIFS(Token!$B:$B,Token!$A:$A,$D608),)</f>
        <v/>
      </c>
    </row>
    <row r="609">
      <c r="A609" s="35" t="str">
        <f>IF(AND($L609*1&gt;=$G$3,$L609*1&lt;=$G$4,$I609*$J609&gt;0,CONCATENATE($H609:$L609)&lt;&gt;CONCATENATE($H610:$L610),$I609/POW(10,$J609)*MAXIFS(Token!$B:$B,Token!$A:$A,$K609)&gt;0.01),$L609/86400+DATE(1970,1,1)+IF($L609*1&gt;=$G$5,$G$6,0),)</f>
        <v/>
      </c>
      <c r="B609" s="22" t="str">
        <f t="shared" si="1"/>
        <v/>
      </c>
      <c r="C609" s="14" t="str">
        <f>IF($A609&lt;&gt;"",MINIFS(Merchant!$A:$A,Merchant!$B:$B,$G$2),)</f>
        <v/>
      </c>
      <c r="D609" s="14" t="str">
        <f t="shared" si="2"/>
        <v/>
      </c>
      <c r="E609" s="14" t="str">
        <f t="shared" si="3"/>
        <v/>
      </c>
      <c r="F609" s="6" t="str">
        <f>IF($A609&lt;&gt;"",MAXIFS(Token!$B:$B,Token!$A:$A,$D609),)</f>
        <v/>
      </c>
    </row>
    <row r="610">
      <c r="A610" s="35" t="str">
        <f>IF(AND($L610*1&gt;=$G$3,$L610*1&lt;=$G$4,$I610*$J610&gt;0,CONCATENATE($H610:$L610)&lt;&gt;CONCATENATE($H611:$L611),$I610/POW(10,$J610)*MAXIFS(Token!$B:$B,Token!$A:$A,$K610)&gt;0.01),$L610/86400+DATE(1970,1,1)+IF($L610*1&gt;=$G$5,$G$6,0),)</f>
        <v/>
      </c>
      <c r="B610" s="22" t="str">
        <f t="shared" si="1"/>
        <v/>
      </c>
      <c r="C610" s="14" t="str">
        <f>IF($A610&lt;&gt;"",MINIFS(Merchant!$A:$A,Merchant!$B:$B,$G$2),)</f>
        <v/>
      </c>
      <c r="D610" s="14" t="str">
        <f t="shared" si="2"/>
        <v/>
      </c>
      <c r="E610" s="14" t="str">
        <f t="shared" si="3"/>
        <v/>
      </c>
      <c r="F610" s="6" t="str">
        <f>IF($A610&lt;&gt;"",MAXIFS(Token!$B:$B,Token!$A:$A,$D610),)</f>
        <v/>
      </c>
    </row>
    <row r="611">
      <c r="A611" s="35" t="str">
        <f>IF(AND($L611*1&gt;=$G$3,$L611*1&lt;=$G$4,$I611*$J611&gt;0,CONCATENATE($H611:$L611)&lt;&gt;CONCATENATE($H612:$L612),$I611/POW(10,$J611)*MAXIFS(Token!$B:$B,Token!$A:$A,$K611)&gt;0.01),$L611/86400+DATE(1970,1,1)+IF($L611*1&gt;=$G$5,$G$6,0),)</f>
        <v/>
      </c>
      <c r="B611" s="22" t="str">
        <f t="shared" si="1"/>
        <v/>
      </c>
      <c r="C611" s="14" t="str">
        <f>IF($A611&lt;&gt;"",MINIFS(Merchant!$A:$A,Merchant!$B:$B,$G$2),)</f>
        <v/>
      </c>
      <c r="D611" s="14" t="str">
        <f t="shared" si="2"/>
        <v/>
      </c>
      <c r="E611" s="14" t="str">
        <f t="shared" si="3"/>
        <v/>
      </c>
      <c r="F611" s="6" t="str">
        <f>IF($A611&lt;&gt;"",MAXIFS(Token!$B:$B,Token!$A:$A,$D611),)</f>
        <v/>
      </c>
    </row>
    <row r="612">
      <c r="A612" s="35" t="str">
        <f>IF(AND($L612*1&gt;=$G$3,$L612*1&lt;=$G$4,$I612*$J612&gt;0,CONCATENATE($H612:$L612)&lt;&gt;CONCATENATE($H613:$L613),$I612/POW(10,$J612)*MAXIFS(Token!$B:$B,Token!$A:$A,$K612)&gt;0.01),$L612/86400+DATE(1970,1,1)+IF($L612*1&gt;=$G$5,$G$6,0),)</f>
        <v/>
      </c>
      <c r="B612" s="22" t="str">
        <f t="shared" si="1"/>
        <v/>
      </c>
      <c r="C612" s="14" t="str">
        <f>IF($A612&lt;&gt;"",MINIFS(Merchant!$A:$A,Merchant!$B:$B,$G$2),)</f>
        <v/>
      </c>
      <c r="D612" s="14" t="str">
        <f t="shared" si="2"/>
        <v/>
      </c>
      <c r="E612" s="14" t="str">
        <f t="shared" si="3"/>
        <v/>
      </c>
      <c r="F612" s="6" t="str">
        <f>IF($A612&lt;&gt;"",MAXIFS(Token!$B:$B,Token!$A:$A,$D612),)</f>
        <v/>
      </c>
    </row>
    <row r="613">
      <c r="A613" s="35" t="str">
        <f>IF(AND($L613*1&gt;=$G$3,$L613*1&lt;=$G$4,$I613*$J613&gt;0,CONCATENATE($H613:$L613)&lt;&gt;CONCATENATE($H614:$L614),$I613/POW(10,$J613)*MAXIFS(Token!$B:$B,Token!$A:$A,$K613)&gt;0.01),$L613/86400+DATE(1970,1,1)+IF($L613*1&gt;=$G$5,$G$6,0),)</f>
        <v/>
      </c>
      <c r="B613" s="22" t="str">
        <f t="shared" si="1"/>
        <v/>
      </c>
      <c r="C613" s="14" t="str">
        <f>IF($A613&lt;&gt;"",MINIFS(Merchant!$A:$A,Merchant!$B:$B,$G$2),)</f>
        <v/>
      </c>
      <c r="D613" s="14" t="str">
        <f t="shared" si="2"/>
        <v/>
      </c>
      <c r="E613" s="14" t="str">
        <f t="shared" si="3"/>
        <v/>
      </c>
      <c r="F613" s="6" t="str">
        <f>IF($A613&lt;&gt;"",MAXIFS(Token!$B:$B,Token!$A:$A,$D613),)</f>
        <v/>
      </c>
    </row>
    <row r="614">
      <c r="A614" s="35" t="str">
        <f>IF(AND($L614*1&gt;=$G$3,$L614*1&lt;=$G$4,$I614*$J614&gt;0,CONCATENATE($H614:$L614)&lt;&gt;CONCATENATE($H615:$L615),$I614/POW(10,$J614)*MAXIFS(Token!$B:$B,Token!$A:$A,$K614)&gt;0.01),$L614/86400+DATE(1970,1,1)+IF($L614*1&gt;=$G$5,$G$6,0),)</f>
        <v/>
      </c>
      <c r="B614" s="22" t="str">
        <f t="shared" si="1"/>
        <v/>
      </c>
      <c r="C614" s="14" t="str">
        <f>IF($A614&lt;&gt;"",MINIFS(Merchant!$A:$A,Merchant!$B:$B,$G$2),)</f>
        <v/>
      </c>
      <c r="D614" s="14" t="str">
        <f t="shared" si="2"/>
        <v/>
      </c>
      <c r="E614" s="14" t="str">
        <f t="shared" si="3"/>
        <v/>
      </c>
      <c r="F614" s="6" t="str">
        <f>IF($A614&lt;&gt;"",MAXIFS(Token!$B:$B,Token!$A:$A,$D614),)</f>
        <v/>
      </c>
    </row>
    <row r="615">
      <c r="A615" s="35" t="str">
        <f>IF(AND($L615*1&gt;=$G$3,$L615*1&lt;=$G$4,$I615*$J615&gt;0,CONCATENATE($H615:$L615)&lt;&gt;CONCATENATE($H616:$L616),$I615/POW(10,$J615)*MAXIFS(Token!$B:$B,Token!$A:$A,$K615)&gt;0.01),$L615/86400+DATE(1970,1,1)+IF($L615*1&gt;=$G$5,$G$6,0),)</f>
        <v/>
      </c>
      <c r="B615" s="22" t="str">
        <f t="shared" si="1"/>
        <v/>
      </c>
      <c r="C615" s="14" t="str">
        <f>IF($A615&lt;&gt;"",MINIFS(Merchant!$A:$A,Merchant!$B:$B,$G$2),)</f>
        <v/>
      </c>
      <c r="D615" s="14" t="str">
        <f t="shared" si="2"/>
        <v/>
      </c>
      <c r="E615" s="14" t="str">
        <f t="shared" si="3"/>
        <v/>
      </c>
      <c r="F615" s="6" t="str">
        <f>IF($A615&lt;&gt;"",MAXIFS(Token!$B:$B,Token!$A:$A,$D615),)</f>
        <v/>
      </c>
    </row>
    <row r="616">
      <c r="A616" s="35" t="str">
        <f>IF(AND($L616*1&gt;=$G$3,$L616*1&lt;=$G$4,$I616*$J616&gt;0,CONCATENATE($H616:$L616)&lt;&gt;CONCATENATE($H617:$L617),$I616/POW(10,$J616)*MAXIFS(Token!$B:$B,Token!$A:$A,$K616)&gt;0.01),$L616/86400+DATE(1970,1,1)+IF($L616*1&gt;=$G$5,$G$6,0),)</f>
        <v/>
      </c>
      <c r="B616" s="22" t="str">
        <f t="shared" si="1"/>
        <v/>
      </c>
      <c r="C616" s="14" t="str">
        <f>IF($A616&lt;&gt;"",MINIFS(Merchant!$A:$A,Merchant!$B:$B,$G$2),)</f>
        <v/>
      </c>
      <c r="D616" s="14" t="str">
        <f t="shared" si="2"/>
        <v/>
      </c>
      <c r="E616" s="14" t="str">
        <f t="shared" si="3"/>
        <v/>
      </c>
      <c r="F616" s="6" t="str">
        <f>IF($A616&lt;&gt;"",MAXIFS(Token!$B:$B,Token!$A:$A,$D616),)</f>
        <v/>
      </c>
    </row>
    <row r="617">
      <c r="A617" s="35" t="str">
        <f>IF(AND($L617*1&gt;=$G$3,$L617*1&lt;=$G$4,$I617*$J617&gt;0,CONCATENATE($H617:$L617)&lt;&gt;CONCATENATE($H618:$L618),$I617/POW(10,$J617)*MAXIFS(Token!$B:$B,Token!$A:$A,$K617)&gt;0.01),$L617/86400+DATE(1970,1,1)+IF($L617*1&gt;=$G$5,$G$6,0),)</f>
        <v/>
      </c>
      <c r="B617" s="22" t="str">
        <f t="shared" si="1"/>
        <v/>
      </c>
      <c r="C617" s="14" t="str">
        <f>IF($A617&lt;&gt;"",MINIFS(Merchant!$A:$A,Merchant!$B:$B,$G$2),)</f>
        <v/>
      </c>
      <c r="D617" s="14" t="str">
        <f t="shared" si="2"/>
        <v/>
      </c>
      <c r="E617" s="14" t="str">
        <f t="shared" si="3"/>
        <v/>
      </c>
      <c r="F617" s="6" t="str">
        <f>IF($A617&lt;&gt;"",MAXIFS(Token!$B:$B,Token!$A:$A,$D617),)</f>
        <v/>
      </c>
    </row>
    <row r="618">
      <c r="A618" s="35" t="str">
        <f>IF(AND($L618*1&gt;=$G$3,$L618*1&lt;=$G$4,$I618*$J618&gt;0,CONCATENATE($H618:$L618)&lt;&gt;CONCATENATE($H619:$L619),$I618/POW(10,$J618)*MAXIFS(Token!$B:$B,Token!$A:$A,$K618)&gt;0.01),$L618/86400+DATE(1970,1,1)+IF($L618*1&gt;=$G$5,$G$6,0),)</f>
        <v/>
      </c>
      <c r="B618" s="22" t="str">
        <f t="shared" si="1"/>
        <v/>
      </c>
      <c r="C618" s="14" t="str">
        <f>IF($A618&lt;&gt;"",MINIFS(Merchant!$A:$A,Merchant!$B:$B,$G$2),)</f>
        <v/>
      </c>
      <c r="D618" s="14" t="str">
        <f t="shared" si="2"/>
        <v/>
      </c>
      <c r="E618" s="14" t="str">
        <f t="shared" si="3"/>
        <v/>
      </c>
      <c r="F618" s="6" t="str">
        <f>IF($A618&lt;&gt;"",MAXIFS(Token!$B:$B,Token!$A:$A,$D618),)</f>
        <v/>
      </c>
    </row>
    <row r="619">
      <c r="A619" s="35" t="str">
        <f>IF(AND($L619*1&gt;=$G$3,$L619*1&lt;=$G$4,$I619*$J619&gt;0,CONCATENATE($H619:$L619)&lt;&gt;CONCATENATE($H620:$L620),$I619/POW(10,$J619)*MAXIFS(Token!$B:$B,Token!$A:$A,$K619)&gt;0.01),$L619/86400+DATE(1970,1,1)+IF($L619*1&gt;=$G$5,$G$6,0),)</f>
        <v/>
      </c>
      <c r="B619" s="22" t="str">
        <f t="shared" si="1"/>
        <v/>
      </c>
      <c r="C619" s="14" t="str">
        <f>IF($A619&lt;&gt;"",MINIFS(Merchant!$A:$A,Merchant!$B:$B,$G$2),)</f>
        <v/>
      </c>
      <c r="D619" s="14" t="str">
        <f t="shared" si="2"/>
        <v/>
      </c>
      <c r="E619" s="14" t="str">
        <f t="shared" si="3"/>
        <v/>
      </c>
      <c r="F619" s="6" t="str">
        <f>IF($A619&lt;&gt;"",MAXIFS(Token!$B:$B,Token!$A:$A,$D619),)</f>
        <v/>
      </c>
    </row>
    <row r="620">
      <c r="A620" s="35" t="str">
        <f>IF(AND($L620*1&gt;=$G$3,$L620*1&lt;=$G$4,$I620*$J620&gt;0,CONCATENATE($H620:$L620)&lt;&gt;CONCATENATE($H621:$L621),$I620/POW(10,$J620)*MAXIFS(Token!$B:$B,Token!$A:$A,$K620)&gt;0.01),$L620/86400+DATE(1970,1,1)+IF($L620*1&gt;=$G$5,$G$6,0),)</f>
        <v/>
      </c>
      <c r="B620" s="22" t="str">
        <f t="shared" si="1"/>
        <v/>
      </c>
      <c r="C620" s="14" t="str">
        <f>IF($A620&lt;&gt;"",MINIFS(Merchant!$A:$A,Merchant!$B:$B,$G$2),)</f>
        <v/>
      </c>
      <c r="D620" s="14" t="str">
        <f t="shared" si="2"/>
        <v/>
      </c>
      <c r="E620" s="14" t="str">
        <f t="shared" si="3"/>
        <v/>
      </c>
      <c r="F620" s="6" t="str">
        <f>IF($A620&lt;&gt;"",MAXIFS(Token!$B:$B,Token!$A:$A,$D620),)</f>
        <v/>
      </c>
    </row>
    <row r="621">
      <c r="A621" s="35" t="str">
        <f>IF(AND($L621*1&gt;=$G$3,$L621*1&lt;=$G$4,$I621*$J621&gt;0,CONCATENATE($H621:$L621)&lt;&gt;CONCATENATE($H622:$L622),$I621/POW(10,$J621)*MAXIFS(Token!$B:$B,Token!$A:$A,$K621)&gt;0.01),$L621/86400+DATE(1970,1,1)+IF($L621*1&gt;=$G$5,$G$6,0),)</f>
        <v/>
      </c>
      <c r="B621" s="22" t="str">
        <f t="shared" si="1"/>
        <v/>
      </c>
      <c r="C621" s="14" t="str">
        <f>IF($A621&lt;&gt;"",MINIFS(Merchant!$A:$A,Merchant!$B:$B,$G$2),)</f>
        <v/>
      </c>
      <c r="D621" s="14" t="str">
        <f t="shared" si="2"/>
        <v/>
      </c>
      <c r="E621" s="14" t="str">
        <f t="shared" si="3"/>
        <v/>
      </c>
      <c r="F621" s="6" t="str">
        <f>IF($A621&lt;&gt;"",MAXIFS(Token!$B:$B,Token!$A:$A,$D621),)</f>
        <v/>
      </c>
    </row>
    <row r="622">
      <c r="A622" s="35" t="str">
        <f>IF(AND($L622*1&gt;=$G$3,$L622*1&lt;=$G$4,$I622*$J622&gt;0,CONCATENATE($H622:$L622)&lt;&gt;CONCATENATE($H623:$L623),$I622/POW(10,$J622)*MAXIFS(Token!$B:$B,Token!$A:$A,$K622)&gt;0.01),$L622/86400+DATE(1970,1,1)+IF($L622*1&gt;=$G$5,$G$6,0),)</f>
        <v/>
      </c>
      <c r="B622" s="22" t="str">
        <f t="shared" si="1"/>
        <v/>
      </c>
      <c r="C622" s="14" t="str">
        <f>IF($A622&lt;&gt;"",MINIFS(Merchant!$A:$A,Merchant!$B:$B,$G$2),)</f>
        <v/>
      </c>
      <c r="D622" s="14" t="str">
        <f t="shared" si="2"/>
        <v/>
      </c>
      <c r="E622" s="14" t="str">
        <f t="shared" si="3"/>
        <v/>
      </c>
      <c r="F622" s="6" t="str">
        <f>IF($A622&lt;&gt;"",MAXIFS(Token!$B:$B,Token!$A:$A,$D622),)</f>
        <v/>
      </c>
    </row>
    <row r="623">
      <c r="A623" s="35" t="str">
        <f>IF(AND($L623*1&gt;=$G$3,$L623*1&lt;=$G$4,$I623*$J623&gt;0,CONCATENATE($H623:$L623)&lt;&gt;CONCATENATE($H624:$L624),$I623/POW(10,$J623)*MAXIFS(Token!$B:$B,Token!$A:$A,$K623)&gt;0.01),$L623/86400+DATE(1970,1,1)+IF($L623*1&gt;=$G$5,$G$6,0),)</f>
        <v/>
      </c>
      <c r="B623" s="22" t="str">
        <f t="shared" si="1"/>
        <v/>
      </c>
      <c r="C623" s="14" t="str">
        <f>IF($A623&lt;&gt;"",MINIFS(Merchant!$A:$A,Merchant!$B:$B,$G$2),)</f>
        <v/>
      </c>
      <c r="D623" s="14" t="str">
        <f t="shared" si="2"/>
        <v/>
      </c>
      <c r="E623" s="14" t="str">
        <f t="shared" si="3"/>
        <v/>
      </c>
      <c r="F623" s="6" t="str">
        <f>IF($A623&lt;&gt;"",MAXIFS(Token!$B:$B,Token!$A:$A,$D623),)</f>
        <v/>
      </c>
    </row>
    <row r="624">
      <c r="A624" s="35" t="str">
        <f>IF(AND($L624*1&gt;=$G$3,$L624*1&lt;=$G$4,$I624*$J624&gt;0,CONCATENATE($H624:$L624)&lt;&gt;CONCATENATE($H625:$L625),$I624/POW(10,$J624)*MAXIFS(Token!$B:$B,Token!$A:$A,$K624)&gt;0.01),$L624/86400+DATE(1970,1,1)+IF($L624*1&gt;=$G$5,$G$6,0),)</f>
        <v/>
      </c>
      <c r="B624" s="22" t="str">
        <f t="shared" si="1"/>
        <v/>
      </c>
      <c r="C624" s="14" t="str">
        <f>IF($A624&lt;&gt;"",MINIFS(Merchant!$A:$A,Merchant!$B:$B,$G$2),)</f>
        <v/>
      </c>
      <c r="D624" s="14" t="str">
        <f t="shared" si="2"/>
        <v/>
      </c>
      <c r="E624" s="14" t="str">
        <f t="shared" si="3"/>
        <v/>
      </c>
      <c r="F624" s="6" t="str">
        <f>IF($A624&lt;&gt;"",MAXIFS(Token!$B:$B,Token!$A:$A,$D624),)</f>
        <v/>
      </c>
    </row>
    <row r="625">
      <c r="A625" s="35" t="str">
        <f>IF(AND($L625*1&gt;=$G$3,$L625*1&lt;=$G$4,$I625*$J625&gt;0,CONCATENATE($H625:$L625)&lt;&gt;CONCATENATE($H626:$L626),$I625/POW(10,$J625)*MAXIFS(Token!$B:$B,Token!$A:$A,$K625)&gt;0.01),$L625/86400+DATE(1970,1,1)+IF($L625*1&gt;=$G$5,$G$6,0),)</f>
        <v/>
      </c>
      <c r="B625" s="22" t="str">
        <f t="shared" si="1"/>
        <v/>
      </c>
      <c r="C625" s="14" t="str">
        <f>IF($A625&lt;&gt;"",MINIFS(Merchant!$A:$A,Merchant!$B:$B,$G$2),)</f>
        <v/>
      </c>
      <c r="D625" s="14" t="str">
        <f t="shared" si="2"/>
        <v/>
      </c>
      <c r="E625" s="14" t="str">
        <f t="shared" si="3"/>
        <v/>
      </c>
      <c r="F625" s="6" t="str">
        <f>IF($A625&lt;&gt;"",MAXIFS(Token!$B:$B,Token!$A:$A,$D625),)</f>
        <v/>
      </c>
    </row>
    <row r="626">
      <c r="A626" s="35" t="str">
        <f>IF(AND($L626*1&gt;=$G$3,$L626*1&lt;=$G$4,$I626*$J626&gt;0,CONCATENATE($H626:$L626)&lt;&gt;CONCATENATE($H627:$L627),$I626/POW(10,$J626)*MAXIFS(Token!$B:$B,Token!$A:$A,$K626)&gt;0.01),$L626/86400+DATE(1970,1,1)+IF($L626*1&gt;=$G$5,$G$6,0),)</f>
        <v/>
      </c>
      <c r="B626" s="22" t="str">
        <f t="shared" si="1"/>
        <v/>
      </c>
      <c r="C626" s="14" t="str">
        <f>IF($A626&lt;&gt;"",MINIFS(Merchant!$A:$A,Merchant!$B:$B,$G$2),)</f>
        <v/>
      </c>
      <c r="D626" s="14" t="str">
        <f t="shared" si="2"/>
        <v/>
      </c>
      <c r="E626" s="14" t="str">
        <f t="shared" si="3"/>
        <v/>
      </c>
      <c r="F626" s="6" t="str">
        <f>IF($A626&lt;&gt;"",MAXIFS(Token!$B:$B,Token!$A:$A,$D626),)</f>
        <v/>
      </c>
    </row>
    <row r="627">
      <c r="A627" s="35" t="str">
        <f>IF(AND($L627*1&gt;=$G$3,$L627*1&lt;=$G$4,$I627*$J627&gt;0,CONCATENATE($H627:$L627)&lt;&gt;CONCATENATE($H628:$L628),$I627/POW(10,$J627)*MAXIFS(Token!$B:$B,Token!$A:$A,$K627)&gt;0.01),$L627/86400+DATE(1970,1,1)+IF($L627*1&gt;=$G$5,$G$6,0),)</f>
        <v/>
      </c>
      <c r="B627" s="22" t="str">
        <f t="shared" si="1"/>
        <v/>
      </c>
      <c r="C627" s="14" t="str">
        <f>IF($A627&lt;&gt;"",MINIFS(Merchant!$A:$A,Merchant!$B:$B,$G$2),)</f>
        <v/>
      </c>
      <c r="D627" s="14" t="str">
        <f t="shared" si="2"/>
        <v/>
      </c>
      <c r="E627" s="14" t="str">
        <f t="shared" si="3"/>
        <v/>
      </c>
      <c r="F627" s="6" t="str">
        <f>IF($A627&lt;&gt;"",MAXIFS(Token!$B:$B,Token!$A:$A,$D627),)</f>
        <v/>
      </c>
    </row>
    <row r="628">
      <c r="A628" s="35" t="str">
        <f>IF(AND($L628*1&gt;=$G$3,$L628*1&lt;=$G$4,$I628*$J628&gt;0,CONCATENATE($H628:$L628)&lt;&gt;CONCATENATE($H629:$L629),$I628/POW(10,$J628)*MAXIFS(Token!$B:$B,Token!$A:$A,$K628)&gt;0.01),$L628/86400+DATE(1970,1,1)+IF($L628*1&gt;=$G$5,$G$6,0),)</f>
        <v/>
      </c>
      <c r="B628" s="22" t="str">
        <f t="shared" si="1"/>
        <v/>
      </c>
      <c r="C628" s="14" t="str">
        <f>IF($A628&lt;&gt;"",MINIFS(Merchant!$A:$A,Merchant!$B:$B,$G$2),)</f>
        <v/>
      </c>
      <c r="D628" s="14" t="str">
        <f t="shared" si="2"/>
        <v/>
      </c>
      <c r="E628" s="14" t="str">
        <f t="shared" si="3"/>
        <v/>
      </c>
      <c r="F628" s="6" t="str">
        <f>IF($A628&lt;&gt;"",MAXIFS(Token!$B:$B,Token!$A:$A,$D628),)</f>
        <v/>
      </c>
    </row>
    <row r="629">
      <c r="A629" s="35" t="str">
        <f>IF(AND($L629*1&gt;=$G$3,$L629*1&lt;=$G$4,$I629*$J629&gt;0,CONCATENATE($H629:$L629)&lt;&gt;CONCATENATE($H630:$L630),$I629/POW(10,$J629)*MAXIFS(Token!$B:$B,Token!$A:$A,$K629)&gt;0.01),$L629/86400+DATE(1970,1,1)+IF($L629*1&gt;=$G$5,$G$6,0),)</f>
        <v/>
      </c>
      <c r="B629" s="22" t="str">
        <f t="shared" si="1"/>
        <v/>
      </c>
      <c r="C629" s="14" t="str">
        <f>IF($A629&lt;&gt;"",MINIFS(Merchant!$A:$A,Merchant!$B:$B,$G$2),)</f>
        <v/>
      </c>
      <c r="D629" s="14" t="str">
        <f t="shared" si="2"/>
        <v/>
      </c>
      <c r="E629" s="14" t="str">
        <f t="shared" si="3"/>
        <v/>
      </c>
      <c r="F629" s="6" t="str">
        <f>IF($A629&lt;&gt;"",MAXIFS(Token!$B:$B,Token!$A:$A,$D629),)</f>
        <v/>
      </c>
    </row>
    <row r="630">
      <c r="A630" s="35" t="str">
        <f>IF(AND($L630*1&gt;=$G$3,$L630*1&lt;=$G$4,$I630*$J630&gt;0,CONCATENATE($H630:$L630)&lt;&gt;CONCATENATE($H631:$L631),$I630/POW(10,$J630)*MAXIFS(Token!$B:$B,Token!$A:$A,$K630)&gt;0.01),$L630/86400+DATE(1970,1,1)+IF($L630*1&gt;=$G$5,$G$6,0),)</f>
        <v/>
      </c>
      <c r="B630" s="22" t="str">
        <f t="shared" si="1"/>
        <v/>
      </c>
      <c r="C630" s="14" t="str">
        <f>IF($A630&lt;&gt;"",MINIFS(Merchant!$A:$A,Merchant!$B:$B,$G$2),)</f>
        <v/>
      </c>
      <c r="D630" s="14" t="str">
        <f t="shared" si="2"/>
        <v/>
      </c>
      <c r="E630" s="14" t="str">
        <f t="shared" si="3"/>
        <v/>
      </c>
      <c r="F630" s="6" t="str">
        <f>IF($A630&lt;&gt;"",MAXIFS(Token!$B:$B,Token!$A:$A,$D630),)</f>
        <v/>
      </c>
    </row>
    <row r="631">
      <c r="A631" s="35" t="str">
        <f>IF(AND($L631*1&gt;=$G$3,$L631*1&lt;=$G$4,$I631*$J631&gt;0,CONCATENATE($H631:$L631)&lt;&gt;CONCATENATE($H632:$L632),$I631/POW(10,$J631)*MAXIFS(Token!$B:$B,Token!$A:$A,$K631)&gt;0.01),$L631/86400+DATE(1970,1,1)+IF($L631*1&gt;=$G$5,$G$6,0),)</f>
        <v/>
      </c>
      <c r="B631" s="22" t="str">
        <f t="shared" si="1"/>
        <v/>
      </c>
      <c r="C631" s="14" t="str">
        <f>IF($A631&lt;&gt;"",MINIFS(Merchant!$A:$A,Merchant!$B:$B,$G$2),)</f>
        <v/>
      </c>
      <c r="D631" s="14" t="str">
        <f t="shared" si="2"/>
        <v/>
      </c>
      <c r="E631" s="14" t="str">
        <f t="shared" si="3"/>
        <v/>
      </c>
      <c r="F631" s="6" t="str">
        <f>IF($A631&lt;&gt;"",MAXIFS(Token!$B:$B,Token!$A:$A,$D631),)</f>
        <v/>
      </c>
    </row>
    <row r="632">
      <c r="A632" s="35" t="str">
        <f>IF(AND($L632*1&gt;=$G$3,$L632*1&lt;=$G$4,$I632*$J632&gt;0,CONCATENATE($H632:$L632)&lt;&gt;CONCATENATE($H633:$L633),$I632/POW(10,$J632)*MAXIFS(Token!$B:$B,Token!$A:$A,$K632)&gt;0.01),$L632/86400+DATE(1970,1,1)+IF($L632*1&gt;=$G$5,$G$6,0),)</f>
        <v/>
      </c>
      <c r="B632" s="22" t="str">
        <f t="shared" si="1"/>
        <v/>
      </c>
      <c r="C632" s="14" t="str">
        <f>IF($A632&lt;&gt;"",MINIFS(Merchant!$A:$A,Merchant!$B:$B,$G$2),)</f>
        <v/>
      </c>
      <c r="D632" s="14" t="str">
        <f t="shared" si="2"/>
        <v/>
      </c>
      <c r="E632" s="14" t="str">
        <f t="shared" si="3"/>
        <v/>
      </c>
      <c r="F632" s="6" t="str">
        <f>IF($A632&lt;&gt;"",MAXIFS(Token!$B:$B,Token!$A:$A,$D632),)</f>
        <v/>
      </c>
    </row>
    <row r="633">
      <c r="A633" s="35" t="str">
        <f>IF(AND($L633*1&gt;=$G$3,$L633*1&lt;=$G$4,$I633*$J633&gt;0,CONCATENATE($H633:$L633)&lt;&gt;CONCATENATE($H634:$L634),$I633/POW(10,$J633)*MAXIFS(Token!$B:$B,Token!$A:$A,$K633)&gt;0.01),$L633/86400+DATE(1970,1,1)+IF($L633*1&gt;=$G$5,$G$6,0),)</f>
        <v/>
      </c>
      <c r="B633" s="22" t="str">
        <f t="shared" si="1"/>
        <v/>
      </c>
      <c r="C633" s="14" t="str">
        <f>IF($A633&lt;&gt;"",MINIFS(Merchant!$A:$A,Merchant!$B:$B,$G$2),)</f>
        <v/>
      </c>
      <c r="D633" s="14" t="str">
        <f t="shared" si="2"/>
        <v/>
      </c>
      <c r="E633" s="14" t="str">
        <f t="shared" si="3"/>
        <v/>
      </c>
      <c r="F633" s="6" t="str">
        <f>IF($A633&lt;&gt;"",MAXIFS(Token!$B:$B,Token!$A:$A,$D633),)</f>
        <v/>
      </c>
    </row>
    <row r="634">
      <c r="A634" s="35" t="str">
        <f>IF(AND($L634*1&gt;=$G$3,$L634*1&lt;=$G$4,$I634*$J634&gt;0,CONCATENATE($H634:$L634)&lt;&gt;CONCATENATE($H635:$L635),$I634/POW(10,$J634)*MAXIFS(Token!$B:$B,Token!$A:$A,$K634)&gt;0.01),$L634/86400+DATE(1970,1,1)+IF($L634*1&gt;=$G$5,$G$6,0),)</f>
        <v/>
      </c>
      <c r="B634" s="22" t="str">
        <f t="shared" si="1"/>
        <v/>
      </c>
      <c r="C634" s="14" t="str">
        <f>IF($A634&lt;&gt;"",MINIFS(Merchant!$A:$A,Merchant!$B:$B,$G$2),)</f>
        <v/>
      </c>
      <c r="D634" s="14" t="str">
        <f t="shared" si="2"/>
        <v/>
      </c>
      <c r="E634" s="14" t="str">
        <f t="shared" si="3"/>
        <v/>
      </c>
      <c r="F634" s="6" t="str">
        <f>IF($A634&lt;&gt;"",MAXIFS(Token!$B:$B,Token!$A:$A,$D634),)</f>
        <v/>
      </c>
    </row>
    <row r="635">
      <c r="A635" s="35" t="str">
        <f>IF(AND($L635*1&gt;=$G$3,$L635*1&lt;=$G$4,$I635*$J635&gt;0,CONCATENATE($H635:$L635)&lt;&gt;CONCATENATE($H636:$L636),$I635/POW(10,$J635)*MAXIFS(Token!$B:$B,Token!$A:$A,$K635)&gt;0.01),$L635/86400+DATE(1970,1,1)+IF($L635*1&gt;=$G$5,$G$6,0),)</f>
        <v/>
      </c>
      <c r="B635" s="22" t="str">
        <f t="shared" si="1"/>
        <v/>
      </c>
      <c r="C635" s="14" t="str">
        <f>IF($A635&lt;&gt;"",MINIFS(Merchant!$A:$A,Merchant!$B:$B,$G$2),)</f>
        <v/>
      </c>
      <c r="D635" s="14" t="str">
        <f t="shared" si="2"/>
        <v/>
      </c>
      <c r="E635" s="14" t="str">
        <f t="shared" si="3"/>
        <v/>
      </c>
      <c r="F635" s="6" t="str">
        <f>IF($A635&lt;&gt;"",MAXIFS(Token!$B:$B,Token!$A:$A,$D635),)</f>
        <v/>
      </c>
    </row>
    <row r="636">
      <c r="A636" s="35" t="str">
        <f>IF(AND($L636*1&gt;=$G$3,$L636*1&lt;=$G$4,$I636*$J636&gt;0,CONCATENATE($H636:$L636)&lt;&gt;CONCATENATE($H637:$L637),$I636/POW(10,$J636)*MAXIFS(Token!$B:$B,Token!$A:$A,$K636)&gt;0.01),$L636/86400+DATE(1970,1,1)+IF($L636*1&gt;=$G$5,$G$6,0),)</f>
        <v/>
      </c>
      <c r="B636" s="22" t="str">
        <f t="shared" si="1"/>
        <v/>
      </c>
      <c r="C636" s="14" t="str">
        <f>IF($A636&lt;&gt;"",MINIFS(Merchant!$A:$A,Merchant!$B:$B,$G$2),)</f>
        <v/>
      </c>
      <c r="D636" s="14" t="str">
        <f t="shared" si="2"/>
        <v/>
      </c>
      <c r="E636" s="14" t="str">
        <f t="shared" si="3"/>
        <v/>
      </c>
      <c r="F636" s="6" t="str">
        <f>IF($A636&lt;&gt;"",MAXIFS(Token!$B:$B,Token!$A:$A,$D636),)</f>
        <v/>
      </c>
    </row>
    <row r="637">
      <c r="A637" s="35" t="str">
        <f>IF(AND($L637*1&gt;=$G$3,$L637*1&lt;=$G$4,$I637*$J637&gt;0,CONCATENATE($H637:$L637)&lt;&gt;CONCATENATE($H638:$L638),$I637/POW(10,$J637)*MAXIFS(Token!$B:$B,Token!$A:$A,$K637)&gt;0.01),$L637/86400+DATE(1970,1,1)+IF($L637*1&gt;=$G$5,$G$6,0),)</f>
        <v/>
      </c>
      <c r="B637" s="22" t="str">
        <f t="shared" si="1"/>
        <v/>
      </c>
      <c r="C637" s="14" t="str">
        <f>IF($A637&lt;&gt;"",MINIFS(Merchant!$A:$A,Merchant!$B:$B,$G$2),)</f>
        <v/>
      </c>
      <c r="D637" s="14" t="str">
        <f t="shared" si="2"/>
        <v/>
      </c>
      <c r="E637" s="14" t="str">
        <f t="shared" si="3"/>
        <v/>
      </c>
      <c r="F637" s="6" t="str">
        <f>IF($A637&lt;&gt;"",MAXIFS(Token!$B:$B,Token!$A:$A,$D637),)</f>
        <v/>
      </c>
    </row>
    <row r="638">
      <c r="A638" s="35" t="str">
        <f>IF(AND($L638*1&gt;=$G$3,$L638*1&lt;=$G$4,$I638*$J638&gt;0,CONCATENATE($H638:$L638)&lt;&gt;CONCATENATE($H639:$L639),$I638/POW(10,$J638)*MAXIFS(Token!$B:$B,Token!$A:$A,$K638)&gt;0.01),$L638/86400+DATE(1970,1,1)+IF($L638*1&gt;=$G$5,$G$6,0),)</f>
        <v/>
      </c>
      <c r="B638" s="22" t="str">
        <f t="shared" si="1"/>
        <v/>
      </c>
      <c r="C638" s="14" t="str">
        <f>IF($A638&lt;&gt;"",MINIFS(Merchant!$A:$A,Merchant!$B:$B,$G$2),)</f>
        <v/>
      </c>
      <c r="D638" s="14" t="str">
        <f t="shared" si="2"/>
        <v/>
      </c>
      <c r="E638" s="14" t="str">
        <f t="shared" si="3"/>
        <v/>
      </c>
      <c r="F638" s="6" t="str">
        <f>IF($A638&lt;&gt;"",MAXIFS(Token!$B:$B,Token!$A:$A,$D638),)</f>
        <v/>
      </c>
    </row>
    <row r="639">
      <c r="A639" s="35" t="str">
        <f>IF(AND($L639*1&gt;=$G$3,$L639*1&lt;=$G$4,$I639*$J639&gt;0,CONCATENATE($H639:$L639)&lt;&gt;CONCATENATE($H640:$L640),$I639/POW(10,$J639)*MAXIFS(Token!$B:$B,Token!$A:$A,$K639)&gt;0.01),$L639/86400+DATE(1970,1,1)+IF($L639*1&gt;=$G$5,$G$6,0),)</f>
        <v/>
      </c>
      <c r="B639" s="22" t="str">
        <f t="shared" si="1"/>
        <v/>
      </c>
      <c r="C639" s="14" t="str">
        <f>IF($A639&lt;&gt;"",MINIFS(Merchant!$A:$A,Merchant!$B:$B,$G$2),)</f>
        <v/>
      </c>
      <c r="D639" s="14" t="str">
        <f t="shared" si="2"/>
        <v/>
      </c>
      <c r="E639" s="14" t="str">
        <f t="shared" si="3"/>
        <v/>
      </c>
      <c r="F639" s="6" t="str">
        <f>IF($A639&lt;&gt;"",MAXIFS(Token!$B:$B,Token!$A:$A,$D639),)</f>
        <v/>
      </c>
    </row>
    <row r="640">
      <c r="A640" s="35" t="str">
        <f>IF(AND($L640*1&gt;=$G$3,$L640*1&lt;=$G$4,$I640*$J640&gt;0,CONCATENATE($H640:$L640)&lt;&gt;CONCATENATE($H641:$L641),$I640/POW(10,$J640)*MAXIFS(Token!$B:$B,Token!$A:$A,$K640)&gt;0.01),$L640/86400+DATE(1970,1,1)+IF($L640*1&gt;=$G$5,$G$6,0),)</f>
        <v/>
      </c>
      <c r="B640" s="22" t="str">
        <f t="shared" si="1"/>
        <v/>
      </c>
      <c r="C640" s="14" t="str">
        <f>IF($A640&lt;&gt;"",MINIFS(Merchant!$A:$A,Merchant!$B:$B,$G$2),)</f>
        <v/>
      </c>
      <c r="D640" s="14" t="str">
        <f t="shared" si="2"/>
        <v/>
      </c>
      <c r="E640" s="14" t="str">
        <f t="shared" si="3"/>
        <v/>
      </c>
      <c r="F640" s="6" t="str">
        <f>IF($A640&lt;&gt;"",MAXIFS(Token!$B:$B,Token!$A:$A,$D640),)</f>
        <v/>
      </c>
    </row>
    <row r="641">
      <c r="A641" s="35" t="str">
        <f>IF(AND($L641*1&gt;=$G$3,$L641*1&lt;=$G$4,$I641*$J641&gt;0,CONCATENATE($H641:$L641)&lt;&gt;CONCATENATE($H642:$L642),$I641/POW(10,$J641)*MAXIFS(Token!$B:$B,Token!$A:$A,$K641)&gt;0.01),$L641/86400+DATE(1970,1,1)+IF($L641*1&gt;=$G$5,$G$6,0),)</f>
        <v/>
      </c>
      <c r="B641" s="22" t="str">
        <f t="shared" si="1"/>
        <v/>
      </c>
      <c r="C641" s="14" t="str">
        <f>IF($A641&lt;&gt;"",MINIFS(Merchant!$A:$A,Merchant!$B:$B,$G$2),)</f>
        <v/>
      </c>
      <c r="D641" s="14" t="str">
        <f t="shared" si="2"/>
        <v/>
      </c>
      <c r="E641" s="14" t="str">
        <f t="shared" si="3"/>
        <v/>
      </c>
      <c r="F641" s="6" t="str">
        <f>IF($A641&lt;&gt;"",MAXIFS(Token!$B:$B,Token!$A:$A,$D641),)</f>
        <v/>
      </c>
    </row>
    <row r="642">
      <c r="A642" s="35" t="str">
        <f>IF(AND($L642*1&gt;=$G$3,$L642*1&lt;=$G$4,$I642*$J642&gt;0,CONCATENATE($H642:$L642)&lt;&gt;CONCATENATE($H643:$L643),$I642/POW(10,$J642)*MAXIFS(Token!$B:$B,Token!$A:$A,$K642)&gt;0.01),$L642/86400+DATE(1970,1,1)+IF($L642*1&gt;=$G$5,$G$6,0),)</f>
        <v/>
      </c>
      <c r="B642" s="22" t="str">
        <f t="shared" si="1"/>
        <v/>
      </c>
      <c r="C642" s="14" t="str">
        <f>IF($A642&lt;&gt;"",MINIFS(Merchant!$A:$A,Merchant!$B:$B,$G$2),)</f>
        <v/>
      </c>
      <c r="D642" s="14" t="str">
        <f t="shared" si="2"/>
        <v/>
      </c>
      <c r="E642" s="14" t="str">
        <f t="shared" si="3"/>
        <v/>
      </c>
      <c r="F642" s="6" t="str">
        <f>IF($A642&lt;&gt;"",MAXIFS(Token!$B:$B,Token!$A:$A,$D642),)</f>
        <v/>
      </c>
    </row>
    <row r="643">
      <c r="A643" s="35" t="str">
        <f>IF(AND($L643*1&gt;=$G$3,$L643*1&lt;=$G$4,$I643*$J643&gt;0,CONCATENATE($H643:$L643)&lt;&gt;CONCATENATE($H644:$L644),$I643/POW(10,$J643)*MAXIFS(Token!$B:$B,Token!$A:$A,$K643)&gt;0.01),$L643/86400+DATE(1970,1,1)+IF($L643*1&gt;=$G$5,$G$6,0),)</f>
        <v/>
      </c>
      <c r="B643" s="22" t="str">
        <f t="shared" si="1"/>
        <v/>
      </c>
      <c r="C643" s="14" t="str">
        <f>IF($A643&lt;&gt;"",MINIFS(Merchant!$A:$A,Merchant!$B:$B,$G$2),)</f>
        <v/>
      </c>
      <c r="D643" s="14" t="str">
        <f t="shared" si="2"/>
        <v/>
      </c>
      <c r="E643" s="14" t="str">
        <f t="shared" si="3"/>
        <v/>
      </c>
      <c r="F643" s="6" t="str">
        <f>IF($A643&lt;&gt;"",MAXIFS(Token!$B:$B,Token!$A:$A,$D643),)</f>
        <v/>
      </c>
    </row>
    <row r="644">
      <c r="A644" s="35" t="str">
        <f>IF(AND($L644*1&gt;=$G$3,$L644*1&lt;=$G$4,$I644*$J644&gt;0,CONCATENATE($H644:$L644)&lt;&gt;CONCATENATE($H645:$L645),$I644/POW(10,$J644)*MAXIFS(Token!$B:$B,Token!$A:$A,$K644)&gt;0.01),$L644/86400+DATE(1970,1,1)+IF($L644*1&gt;=$G$5,$G$6,0),)</f>
        <v/>
      </c>
      <c r="B644" s="22" t="str">
        <f t="shared" si="1"/>
        <v/>
      </c>
      <c r="C644" s="14" t="str">
        <f>IF($A644&lt;&gt;"",MINIFS(Merchant!$A:$A,Merchant!$B:$B,$G$2),)</f>
        <v/>
      </c>
      <c r="D644" s="14" t="str">
        <f t="shared" si="2"/>
        <v/>
      </c>
      <c r="E644" s="14" t="str">
        <f t="shared" si="3"/>
        <v/>
      </c>
      <c r="F644" s="6" t="str">
        <f>IF($A644&lt;&gt;"",MAXIFS(Token!$B:$B,Token!$A:$A,$D644),)</f>
        <v/>
      </c>
    </row>
    <row r="645">
      <c r="A645" s="35" t="str">
        <f>IF(AND($L645*1&gt;=$G$3,$L645*1&lt;=$G$4,$I645*$J645&gt;0,CONCATENATE($H645:$L645)&lt;&gt;CONCATENATE($H646:$L646),$I645/POW(10,$J645)*MAXIFS(Token!$B:$B,Token!$A:$A,$K645)&gt;0.01),$L645/86400+DATE(1970,1,1)+IF($L645*1&gt;=$G$5,$G$6,0),)</f>
        <v/>
      </c>
      <c r="B645" s="22" t="str">
        <f t="shared" si="1"/>
        <v/>
      </c>
      <c r="C645" s="14" t="str">
        <f>IF($A645&lt;&gt;"",MINIFS(Merchant!$A:$A,Merchant!$B:$B,$G$2),)</f>
        <v/>
      </c>
      <c r="D645" s="14" t="str">
        <f t="shared" si="2"/>
        <v/>
      </c>
      <c r="E645" s="14" t="str">
        <f t="shared" si="3"/>
        <v/>
      </c>
      <c r="F645" s="6" t="str">
        <f>IF($A645&lt;&gt;"",MAXIFS(Token!$B:$B,Token!$A:$A,$D645),)</f>
        <v/>
      </c>
    </row>
    <row r="646">
      <c r="A646" s="35" t="str">
        <f>IF(AND($L646*1&gt;=$G$3,$L646*1&lt;=$G$4,$I646*$J646&gt;0,CONCATENATE($H646:$L646)&lt;&gt;CONCATENATE($H647:$L647),$I646/POW(10,$J646)*MAXIFS(Token!$B:$B,Token!$A:$A,$K646)&gt;0.01),$L646/86400+DATE(1970,1,1)+IF($L646*1&gt;=$G$5,$G$6,0),)</f>
        <v/>
      </c>
      <c r="B646" s="22" t="str">
        <f t="shared" si="1"/>
        <v/>
      </c>
      <c r="C646" s="14" t="str">
        <f>IF($A646&lt;&gt;"",MINIFS(Merchant!$A:$A,Merchant!$B:$B,$G$2),)</f>
        <v/>
      </c>
      <c r="D646" s="14" t="str">
        <f t="shared" si="2"/>
        <v/>
      </c>
      <c r="E646" s="14" t="str">
        <f t="shared" si="3"/>
        <v/>
      </c>
      <c r="F646" s="6" t="str">
        <f>IF($A646&lt;&gt;"",MAXIFS(Token!$B:$B,Token!$A:$A,$D646),)</f>
        <v/>
      </c>
    </row>
    <row r="647">
      <c r="A647" s="35" t="str">
        <f>IF(AND($L647*1&gt;=$G$3,$L647*1&lt;=$G$4,$I647*$J647&gt;0,CONCATENATE($H647:$L647)&lt;&gt;CONCATENATE($H648:$L648),$I647/POW(10,$J647)*MAXIFS(Token!$B:$B,Token!$A:$A,$K647)&gt;0.01),$L647/86400+DATE(1970,1,1)+IF($L647*1&gt;=$G$5,$G$6,0),)</f>
        <v/>
      </c>
      <c r="B647" s="22" t="str">
        <f t="shared" si="1"/>
        <v/>
      </c>
      <c r="C647" s="14" t="str">
        <f>IF($A647&lt;&gt;"",MINIFS(Merchant!$A:$A,Merchant!$B:$B,$G$2),)</f>
        <v/>
      </c>
      <c r="D647" s="14" t="str">
        <f t="shared" si="2"/>
        <v/>
      </c>
      <c r="E647" s="14" t="str">
        <f t="shared" si="3"/>
        <v/>
      </c>
      <c r="F647" s="6" t="str">
        <f>IF($A647&lt;&gt;"",MAXIFS(Token!$B:$B,Token!$A:$A,$D647),)</f>
        <v/>
      </c>
    </row>
    <row r="648">
      <c r="A648" s="35" t="str">
        <f>IF(AND($L648*1&gt;=$G$3,$L648*1&lt;=$G$4,$I648*$J648&gt;0,CONCATENATE($H648:$L648)&lt;&gt;CONCATENATE($H649:$L649),$I648/POW(10,$J648)*MAXIFS(Token!$B:$B,Token!$A:$A,$K648)&gt;0.01),$L648/86400+DATE(1970,1,1)+IF($L648*1&gt;=$G$5,$G$6,0),)</f>
        <v/>
      </c>
      <c r="B648" s="22" t="str">
        <f t="shared" si="1"/>
        <v/>
      </c>
      <c r="C648" s="14" t="str">
        <f>IF($A648&lt;&gt;"",MINIFS(Merchant!$A:$A,Merchant!$B:$B,$G$2),)</f>
        <v/>
      </c>
      <c r="D648" s="14" t="str">
        <f t="shared" si="2"/>
        <v/>
      </c>
      <c r="E648" s="14" t="str">
        <f t="shared" si="3"/>
        <v/>
      </c>
      <c r="F648" s="6" t="str">
        <f>IF($A648&lt;&gt;"",MAXIFS(Token!$B:$B,Token!$A:$A,$D648),)</f>
        <v/>
      </c>
    </row>
    <row r="649">
      <c r="A649" s="35" t="str">
        <f>IF(AND($L649*1&gt;=$G$3,$L649*1&lt;=$G$4,$I649*$J649&gt;0,CONCATENATE($H649:$L649)&lt;&gt;CONCATENATE($H650:$L650),$I649/POW(10,$J649)*MAXIFS(Token!$B:$B,Token!$A:$A,$K649)&gt;0.01),$L649/86400+DATE(1970,1,1)+IF($L649*1&gt;=$G$5,$G$6,0),)</f>
        <v/>
      </c>
      <c r="B649" s="22" t="str">
        <f t="shared" si="1"/>
        <v/>
      </c>
      <c r="C649" s="14" t="str">
        <f>IF($A649&lt;&gt;"",MINIFS(Merchant!$A:$A,Merchant!$B:$B,$G$2),)</f>
        <v/>
      </c>
      <c r="D649" s="14" t="str">
        <f t="shared" si="2"/>
        <v/>
      </c>
      <c r="E649" s="14" t="str">
        <f t="shared" si="3"/>
        <v/>
      </c>
      <c r="F649" s="6" t="str">
        <f>IF($A649&lt;&gt;"",MAXIFS(Token!$B:$B,Token!$A:$A,$D649),)</f>
        <v/>
      </c>
    </row>
    <row r="650">
      <c r="A650" s="35" t="str">
        <f>IF(AND($L650*1&gt;=$G$3,$L650*1&lt;=$G$4,$I650*$J650&gt;0,CONCATENATE($H650:$L650)&lt;&gt;CONCATENATE($H651:$L651),$I650/POW(10,$J650)*MAXIFS(Token!$B:$B,Token!$A:$A,$K650)&gt;0.01),$L650/86400+DATE(1970,1,1)+IF($L650*1&gt;=$G$5,$G$6,0),)</f>
        <v/>
      </c>
      <c r="B650" s="22" t="str">
        <f t="shared" si="1"/>
        <v/>
      </c>
      <c r="C650" s="14" t="str">
        <f>IF($A650&lt;&gt;"",MINIFS(Merchant!$A:$A,Merchant!$B:$B,$G$2),)</f>
        <v/>
      </c>
      <c r="D650" s="14" t="str">
        <f t="shared" si="2"/>
        <v/>
      </c>
      <c r="E650" s="14" t="str">
        <f t="shared" si="3"/>
        <v/>
      </c>
      <c r="F650" s="6" t="str">
        <f>IF($A650&lt;&gt;"",MAXIFS(Token!$B:$B,Token!$A:$A,$D650),)</f>
        <v/>
      </c>
    </row>
    <row r="651">
      <c r="A651" s="35" t="str">
        <f>IF(AND($L651*1&gt;=$G$3,$L651*1&lt;=$G$4,$I651*$J651&gt;0,CONCATENATE($H651:$L651)&lt;&gt;CONCATENATE($H652:$L652),$I651/POW(10,$J651)*MAXIFS(Token!$B:$B,Token!$A:$A,$K651)&gt;0.01),$L651/86400+DATE(1970,1,1)+IF($L651*1&gt;=$G$5,$G$6,0),)</f>
        <v/>
      </c>
      <c r="B651" s="22" t="str">
        <f t="shared" si="1"/>
        <v/>
      </c>
      <c r="C651" s="14" t="str">
        <f>IF($A651&lt;&gt;"",MINIFS(Merchant!$A:$A,Merchant!$B:$B,$G$2),)</f>
        <v/>
      </c>
      <c r="D651" s="14" t="str">
        <f t="shared" si="2"/>
        <v/>
      </c>
      <c r="E651" s="14" t="str">
        <f t="shared" si="3"/>
        <v/>
      </c>
      <c r="F651" s="6" t="str">
        <f>IF($A651&lt;&gt;"",MAXIFS(Token!$B:$B,Token!$A:$A,$D651),)</f>
        <v/>
      </c>
    </row>
    <row r="652">
      <c r="A652" s="35" t="str">
        <f>IF(AND($L652*1&gt;=$G$3,$L652*1&lt;=$G$4,$I652*$J652&gt;0,CONCATENATE($H652:$L652)&lt;&gt;CONCATENATE($H653:$L653),$I652/POW(10,$J652)*MAXIFS(Token!$B:$B,Token!$A:$A,$K652)&gt;0.01),$L652/86400+DATE(1970,1,1)+IF($L652*1&gt;=$G$5,$G$6,0),)</f>
        <v/>
      </c>
      <c r="B652" s="22" t="str">
        <f t="shared" si="1"/>
        <v/>
      </c>
      <c r="C652" s="14" t="str">
        <f>IF($A652&lt;&gt;"",MINIFS(Merchant!$A:$A,Merchant!$B:$B,$G$2),)</f>
        <v/>
      </c>
      <c r="D652" s="14" t="str">
        <f t="shared" si="2"/>
        <v/>
      </c>
      <c r="E652" s="14" t="str">
        <f t="shared" si="3"/>
        <v/>
      </c>
      <c r="F652" s="6" t="str">
        <f>IF($A652&lt;&gt;"",MAXIFS(Token!$B:$B,Token!$A:$A,$D652),)</f>
        <v/>
      </c>
    </row>
    <row r="653">
      <c r="A653" s="35" t="str">
        <f>IF(AND($L653*1&gt;=$G$3,$L653*1&lt;=$G$4,$I653*$J653&gt;0,CONCATENATE($H653:$L653)&lt;&gt;CONCATENATE($H654:$L654),$I653/POW(10,$J653)*MAXIFS(Token!$B:$B,Token!$A:$A,$K653)&gt;0.01),$L653/86400+DATE(1970,1,1)+IF($L653*1&gt;=$G$5,$G$6,0),)</f>
        <v/>
      </c>
      <c r="B653" s="22" t="str">
        <f t="shared" si="1"/>
        <v/>
      </c>
      <c r="C653" s="14" t="str">
        <f>IF($A653&lt;&gt;"",MINIFS(Merchant!$A:$A,Merchant!$B:$B,$G$2),)</f>
        <v/>
      </c>
      <c r="D653" s="14" t="str">
        <f t="shared" si="2"/>
        <v/>
      </c>
      <c r="E653" s="14" t="str">
        <f t="shared" si="3"/>
        <v/>
      </c>
      <c r="F653" s="6" t="str">
        <f>IF($A653&lt;&gt;"",MAXIFS(Token!$B:$B,Token!$A:$A,$D653),)</f>
        <v/>
      </c>
    </row>
    <row r="654">
      <c r="A654" s="35" t="str">
        <f>IF(AND($L654*1&gt;=$G$3,$L654*1&lt;=$G$4,$I654*$J654&gt;0,CONCATENATE($H654:$L654)&lt;&gt;CONCATENATE($H655:$L655),$I654/POW(10,$J654)*MAXIFS(Token!$B:$B,Token!$A:$A,$K654)&gt;0.01),$L654/86400+DATE(1970,1,1)+IF($L654*1&gt;=$G$5,$G$6,0),)</f>
        <v/>
      </c>
      <c r="B654" s="22" t="str">
        <f t="shared" si="1"/>
        <v/>
      </c>
      <c r="C654" s="14" t="str">
        <f>IF($A654&lt;&gt;"",MINIFS(Merchant!$A:$A,Merchant!$B:$B,$G$2),)</f>
        <v/>
      </c>
      <c r="D654" s="14" t="str">
        <f t="shared" si="2"/>
        <v/>
      </c>
      <c r="E654" s="14" t="str">
        <f t="shared" si="3"/>
        <v/>
      </c>
      <c r="F654" s="6" t="str">
        <f>IF($A654&lt;&gt;"",MAXIFS(Token!$B:$B,Token!$A:$A,$D654),)</f>
        <v/>
      </c>
    </row>
    <row r="655">
      <c r="A655" s="35" t="str">
        <f>IF(AND($L655*1&gt;=$G$3,$L655*1&lt;=$G$4,$I655*$J655&gt;0,CONCATENATE($H655:$L655)&lt;&gt;CONCATENATE($H656:$L656),$I655/POW(10,$J655)*MAXIFS(Token!$B:$B,Token!$A:$A,$K655)&gt;0.01),$L655/86400+DATE(1970,1,1)+IF($L655*1&gt;=$G$5,$G$6,0),)</f>
        <v/>
      </c>
      <c r="B655" s="22" t="str">
        <f t="shared" si="1"/>
        <v/>
      </c>
      <c r="C655" s="14" t="str">
        <f>IF($A655&lt;&gt;"",MINIFS(Merchant!$A:$A,Merchant!$B:$B,$G$2),)</f>
        <v/>
      </c>
      <c r="D655" s="14" t="str">
        <f t="shared" si="2"/>
        <v/>
      </c>
      <c r="E655" s="14" t="str">
        <f t="shared" si="3"/>
        <v/>
      </c>
      <c r="F655" s="6" t="str">
        <f>IF($A655&lt;&gt;"",MAXIFS(Token!$B:$B,Token!$A:$A,$D655),)</f>
        <v/>
      </c>
    </row>
    <row r="656">
      <c r="A656" s="35" t="str">
        <f>IF(AND($L656*1&gt;=$G$3,$L656*1&lt;=$G$4,$I656*$J656&gt;0,CONCATENATE($H656:$L656)&lt;&gt;CONCATENATE($H657:$L657),$I656/POW(10,$J656)*MAXIFS(Token!$B:$B,Token!$A:$A,$K656)&gt;0.01),$L656/86400+DATE(1970,1,1)+IF($L656*1&gt;=$G$5,$G$6,0),)</f>
        <v/>
      </c>
      <c r="B656" s="22" t="str">
        <f t="shared" si="1"/>
        <v/>
      </c>
      <c r="C656" s="14" t="str">
        <f>IF($A656&lt;&gt;"",MINIFS(Merchant!$A:$A,Merchant!$B:$B,$G$2),)</f>
        <v/>
      </c>
      <c r="D656" s="14" t="str">
        <f t="shared" si="2"/>
        <v/>
      </c>
      <c r="E656" s="14" t="str">
        <f t="shared" si="3"/>
        <v/>
      </c>
      <c r="F656" s="6" t="str">
        <f>IF($A656&lt;&gt;"",MAXIFS(Token!$B:$B,Token!$A:$A,$D656),)</f>
        <v/>
      </c>
    </row>
    <row r="657">
      <c r="A657" s="35" t="str">
        <f>IF(AND($L657*1&gt;=$G$3,$L657*1&lt;=$G$4,$I657*$J657&gt;0,CONCATENATE($H657:$L657)&lt;&gt;CONCATENATE($H658:$L658),$I657/POW(10,$J657)*MAXIFS(Token!$B:$B,Token!$A:$A,$K657)&gt;0.01),$L657/86400+DATE(1970,1,1)+IF($L657*1&gt;=$G$5,$G$6,0),)</f>
        <v/>
      </c>
      <c r="B657" s="22" t="str">
        <f t="shared" si="1"/>
        <v/>
      </c>
      <c r="C657" s="14" t="str">
        <f>IF($A657&lt;&gt;"",MINIFS(Merchant!$A:$A,Merchant!$B:$B,$G$2),)</f>
        <v/>
      </c>
      <c r="D657" s="14" t="str">
        <f t="shared" si="2"/>
        <v/>
      </c>
      <c r="E657" s="14" t="str">
        <f t="shared" si="3"/>
        <v/>
      </c>
      <c r="F657" s="6" t="str">
        <f>IF($A657&lt;&gt;"",MAXIFS(Token!$B:$B,Token!$A:$A,$D657),)</f>
        <v/>
      </c>
    </row>
    <row r="658">
      <c r="A658" s="35" t="str">
        <f>IF(AND($L658*1&gt;=$G$3,$L658*1&lt;=$G$4,$I658*$J658&gt;0,CONCATENATE($H658:$L658)&lt;&gt;CONCATENATE($H659:$L659),$I658/POW(10,$J658)*MAXIFS(Token!$B:$B,Token!$A:$A,$K658)&gt;0.01),$L658/86400+DATE(1970,1,1)+IF($L658*1&gt;=$G$5,$G$6,0),)</f>
        <v/>
      </c>
      <c r="B658" s="22" t="str">
        <f t="shared" si="1"/>
        <v/>
      </c>
      <c r="C658" s="14" t="str">
        <f>IF($A658&lt;&gt;"",MINIFS(Merchant!$A:$A,Merchant!$B:$B,$G$2),)</f>
        <v/>
      </c>
      <c r="D658" s="14" t="str">
        <f t="shared" si="2"/>
        <v/>
      </c>
      <c r="E658" s="14" t="str">
        <f t="shared" si="3"/>
        <v/>
      </c>
      <c r="F658" s="6" t="str">
        <f>IF($A658&lt;&gt;"",MAXIFS(Token!$B:$B,Token!$A:$A,$D658),)</f>
        <v/>
      </c>
    </row>
    <row r="659">
      <c r="A659" s="35" t="str">
        <f>IF(AND($L659*1&gt;=$G$3,$L659*1&lt;=$G$4,$I659*$J659&gt;0,CONCATENATE($H659:$L659)&lt;&gt;CONCATENATE($H660:$L660),$I659/POW(10,$J659)*MAXIFS(Token!$B:$B,Token!$A:$A,$K659)&gt;0.01),$L659/86400+DATE(1970,1,1)+IF($L659*1&gt;=$G$5,$G$6,0),)</f>
        <v/>
      </c>
      <c r="B659" s="22" t="str">
        <f t="shared" si="1"/>
        <v/>
      </c>
      <c r="C659" s="14" t="str">
        <f>IF($A659&lt;&gt;"",MINIFS(Merchant!$A:$A,Merchant!$B:$B,$G$2),)</f>
        <v/>
      </c>
      <c r="D659" s="14" t="str">
        <f t="shared" si="2"/>
        <v/>
      </c>
      <c r="E659" s="14" t="str">
        <f t="shared" si="3"/>
        <v/>
      </c>
      <c r="F659" s="6" t="str">
        <f>IF($A659&lt;&gt;"",MAXIFS(Token!$B:$B,Token!$A:$A,$D659),)</f>
        <v/>
      </c>
    </row>
    <row r="660">
      <c r="A660" s="35" t="str">
        <f>IF(AND($L660*1&gt;=$G$3,$L660*1&lt;=$G$4,$I660*$J660&gt;0,CONCATENATE($H660:$L660)&lt;&gt;CONCATENATE($H661:$L661),$I660/POW(10,$J660)*MAXIFS(Token!$B:$B,Token!$A:$A,$K660)&gt;0.01),$L660/86400+DATE(1970,1,1)+IF($L660*1&gt;=$G$5,$G$6,0),)</f>
        <v/>
      </c>
      <c r="B660" s="22" t="str">
        <f t="shared" si="1"/>
        <v/>
      </c>
      <c r="C660" s="14" t="str">
        <f>IF($A660&lt;&gt;"",MINIFS(Merchant!$A:$A,Merchant!$B:$B,$G$2),)</f>
        <v/>
      </c>
      <c r="D660" s="14" t="str">
        <f t="shared" si="2"/>
        <v/>
      </c>
      <c r="E660" s="14" t="str">
        <f t="shared" si="3"/>
        <v/>
      </c>
      <c r="F660" s="6" t="str">
        <f>IF($A660&lt;&gt;"",MAXIFS(Token!$B:$B,Token!$A:$A,$D660),)</f>
        <v/>
      </c>
    </row>
    <row r="661">
      <c r="A661" s="35" t="str">
        <f>IF(AND($L661*1&gt;=$G$3,$L661*1&lt;=$G$4,$I661*$J661&gt;0,CONCATENATE($H661:$L661)&lt;&gt;CONCATENATE($H662:$L662),$I661/POW(10,$J661)*MAXIFS(Token!$B:$B,Token!$A:$A,$K661)&gt;0.01),$L661/86400+DATE(1970,1,1)+IF($L661*1&gt;=$G$5,$G$6,0),)</f>
        <v/>
      </c>
      <c r="B661" s="22" t="str">
        <f t="shared" si="1"/>
        <v/>
      </c>
      <c r="C661" s="14" t="str">
        <f>IF($A661&lt;&gt;"",MINIFS(Merchant!$A:$A,Merchant!$B:$B,$G$2),)</f>
        <v/>
      </c>
      <c r="D661" s="14" t="str">
        <f t="shared" si="2"/>
        <v/>
      </c>
      <c r="E661" s="14" t="str">
        <f t="shared" si="3"/>
        <v/>
      </c>
      <c r="F661" s="6" t="str">
        <f>IF($A661&lt;&gt;"",MAXIFS(Token!$B:$B,Token!$A:$A,$D661),)</f>
        <v/>
      </c>
    </row>
    <row r="662">
      <c r="A662" s="35" t="str">
        <f>IF(AND($L662*1&gt;=$G$3,$L662*1&lt;=$G$4,$I662*$J662&gt;0,CONCATENATE($H662:$L662)&lt;&gt;CONCATENATE($H663:$L663),$I662/POW(10,$J662)*MAXIFS(Token!$B:$B,Token!$A:$A,$K662)&gt;0.01),$L662/86400+DATE(1970,1,1)+IF($L662*1&gt;=$G$5,$G$6,0),)</f>
        <v/>
      </c>
      <c r="B662" s="22" t="str">
        <f t="shared" si="1"/>
        <v/>
      </c>
      <c r="C662" s="14" t="str">
        <f>IF($A662&lt;&gt;"",MINIFS(Merchant!$A:$A,Merchant!$B:$B,$G$2),)</f>
        <v/>
      </c>
      <c r="D662" s="14" t="str">
        <f t="shared" si="2"/>
        <v/>
      </c>
      <c r="E662" s="14" t="str">
        <f t="shared" si="3"/>
        <v/>
      </c>
      <c r="F662" s="6" t="str">
        <f>IF($A662&lt;&gt;"",MAXIFS(Token!$B:$B,Token!$A:$A,$D662),)</f>
        <v/>
      </c>
    </row>
    <row r="663">
      <c r="A663" s="35" t="str">
        <f>IF(AND($L663*1&gt;=$G$3,$L663*1&lt;=$G$4,$I663*$J663&gt;0,CONCATENATE($H663:$L663)&lt;&gt;CONCATENATE($H664:$L664),$I663/POW(10,$J663)*MAXIFS(Token!$B:$B,Token!$A:$A,$K663)&gt;0.01),$L663/86400+DATE(1970,1,1)+IF($L663*1&gt;=$G$5,$G$6,0),)</f>
        <v/>
      </c>
      <c r="B663" s="22" t="str">
        <f t="shared" si="1"/>
        <v/>
      </c>
      <c r="C663" s="14" t="str">
        <f>IF($A663&lt;&gt;"",MINIFS(Merchant!$A:$A,Merchant!$B:$B,$G$2),)</f>
        <v/>
      </c>
      <c r="D663" s="14" t="str">
        <f t="shared" si="2"/>
        <v/>
      </c>
      <c r="E663" s="14" t="str">
        <f t="shared" si="3"/>
        <v/>
      </c>
      <c r="F663" s="6" t="str">
        <f>IF($A663&lt;&gt;"",MAXIFS(Token!$B:$B,Token!$A:$A,$D663),)</f>
        <v/>
      </c>
    </row>
    <row r="664">
      <c r="A664" s="35" t="str">
        <f>IF(AND($L664*1&gt;=$G$3,$L664*1&lt;=$G$4,$I664*$J664&gt;0,CONCATENATE($H664:$L664)&lt;&gt;CONCATENATE($H665:$L665),$I664/POW(10,$J664)*MAXIFS(Token!$B:$B,Token!$A:$A,$K664)&gt;0.01),$L664/86400+DATE(1970,1,1)+IF($L664*1&gt;=$G$5,$G$6,0),)</f>
        <v/>
      </c>
      <c r="B664" s="22" t="str">
        <f t="shared" si="1"/>
        <v/>
      </c>
      <c r="C664" s="14" t="str">
        <f>IF($A664&lt;&gt;"",MINIFS(Merchant!$A:$A,Merchant!$B:$B,$G$2),)</f>
        <v/>
      </c>
      <c r="D664" s="14" t="str">
        <f t="shared" si="2"/>
        <v/>
      </c>
      <c r="E664" s="14" t="str">
        <f t="shared" si="3"/>
        <v/>
      </c>
      <c r="F664" s="6" t="str">
        <f>IF($A664&lt;&gt;"",MAXIFS(Token!$B:$B,Token!$A:$A,$D664),)</f>
        <v/>
      </c>
    </row>
    <row r="665">
      <c r="A665" s="35" t="str">
        <f>IF(AND($L665*1&gt;=$G$3,$L665*1&lt;=$G$4,$I665*$J665&gt;0,CONCATENATE($H665:$L665)&lt;&gt;CONCATENATE($H666:$L666),$I665/POW(10,$J665)*MAXIFS(Token!$B:$B,Token!$A:$A,$K665)&gt;0.01),$L665/86400+DATE(1970,1,1)+IF($L665*1&gt;=$G$5,$G$6,0),)</f>
        <v/>
      </c>
      <c r="B665" s="22" t="str">
        <f t="shared" si="1"/>
        <v/>
      </c>
      <c r="C665" s="14" t="str">
        <f>IF($A665&lt;&gt;"",MINIFS(Merchant!$A:$A,Merchant!$B:$B,$G$2),)</f>
        <v/>
      </c>
      <c r="D665" s="14" t="str">
        <f t="shared" si="2"/>
        <v/>
      </c>
      <c r="E665" s="14" t="str">
        <f t="shared" si="3"/>
        <v/>
      </c>
      <c r="F665" s="6" t="str">
        <f>IF($A665&lt;&gt;"",MAXIFS(Token!$B:$B,Token!$A:$A,$D665),)</f>
        <v/>
      </c>
    </row>
    <row r="666">
      <c r="A666" s="35" t="str">
        <f>IF(AND($L666*1&gt;=$G$3,$L666*1&lt;=$G$4,$I666*$J666&gt;0,CONCATENATE($H666:$L666)&lt;&gt;CONCATENATE($H667:$L667),$I666/POW(10,$J666)*MAXIFS(Token!$B:$B,Token!$A:$A,$K666)&gt;0.01),$L666/86400+DATE(1970,1,1)+IF($L666*1&gt;=$G$5,$G$6,0),)</f>
        <v/>
      </c>
      <c r="B666" s="22" t="str">
        <f t="shared" si="1"/>
        <v/>
      </c>
      <c r="C666" s="14" t="str">
        <f>IF($A666&lt;&gt;"",MINIFS(Merchant!$A:$A,Merchant!$B:$B,$G$2),)</f>
        <v/>
      </c>
      <c r="D666" s="14" t="str">
        <f t="shared" si="2"/>
        <v/>
      </c>
      <c r="E666" s="14" t="str">
        <f t="shared" si="3"/>
        <v/>
      </c>
      <c r="F666" s="6" t="str">
        <f>IF($A666&lt;&gt;"",MAXIFS(Token!$B:$B,Token!$A:$A,$D666),)</f>
        <v/>
      </c>
    </row>
    <row r="667">
      <c r="A667" s="35" t="str">
        <f>IF(AND($L667*1&gt;=$G$3,$L667*1&lt;=$G$4,$I667*$J667&gt;0,CONCATENATE($H667:$L667)&lt;&gt;CONCATENATE($H668:$L668),$I667/POW(10,$J667)*MAXIFS(Token!$B:$B,Token!$A:$A,$K667)&gt;0.01),$L667/86400+DATE(1970,1,1)+IF($L667*1&gt;=$G$5,$G$6,0),)</f>
        <v/>
      </c>
      <c r="B667" s="22" t="str">
        <f t="shared" si="1"/>
        <v/>
      </c>
      <c r="C667" s="14" t="str">
        <f>IF($A667&lt;&gt;"",MINIFS(Merchant!$A:$A,Merchant!$B:$B,$G$2),)</f>
        <v/>
      </c>
      <c r="D667" s="14" t="str">
        <f t="shared" si="2"/>
        <v/>
      </c>
      <c r="E667" s="14" t="str">
        <f t="shared" si="3"/>
        <v/>
      </c>
      <c r="F667" s="6" t="str">
        <f>IF($A667&lt;&gt;"",MAXIFS(Token!$B:$B,Token!$A:$A,$D667),)</f>
        <v/>
      </c>
    </row>
    <row r="668">
      <c r="A668" s="35" t="str">
        <f>IF(AND($L668*1&gt;=$G$3,$L668*1&lt;=$G$4,$I668*$J668&gt;0,CONCATENATE($H668:$L668)&lt;&gt;CONCATENATE($H669:$L669),$I668/POW(10,$J668)*MAXIFS(Token!$B:$B,Token!$A:$A,$K668)&gt;0.01),$L668/86400+DATE(1970,1,1)+IF($L668*1&gt;=$G$5,$G$6,0),)</f>
        <v/>
      </c>
      <c r="B668" s="22" t="str">
        <f t="shared" si="1"/>
        <v/>
      </c>
      <c r="C668" s="14" t="str">
        <f>IF($A668&lt;&gt;"",MINIFS(Merchant!$A:$A,Merchant!$B:$B,$G$2),)</f>
        <v/>
      </c>
      <c r="D668" s="14" t="str">
        <f t="shared" si="2"/>
        <v/>
      </c>
      <c r="E668" s="14" t="str">
        <f t="shared" si="3"/>
        <v/>
      </c>
      <c r="F668" s="6" t="str">
        <f>IF($A668&lt;&gt;"",MAXIFS(Token!$B:$B,Token!$A:$A,$D668),)</f>
        <v/>
      </c>
    </row>
    <row r="669">
      <c r="A669" s="35" t="str">
        <f>IF(AND($L669*1&gt;=$G$3,$L669*1&lt;=$G$4,$I669*$J669&gt;0,CONCATENATE($H669:$L669)&lt;&gt;CONCATENATE($H670:$L670),$I669/POW(10,$J669)*MAXIFS(Token!$B:$B,Token!$A:$A,$K669)&gt;0.01),$L669/86400+DATE(1970,1,1)+IF($L669*1&gt;=$G$5,$G$6,0),)</f>
        <v/>
      </c>
      <c r="B669" s="22" t="str">
        <f t="shared" si="1"/>
        <v/>
      </c>
      <c r="C669" s="14" t="str">
        <f>IF($A669&lt;&gt;"",MINIFS(Merchant!$A:$A,Merchant!$B:$B,$G$2),)</f>
        <v/>
      </c>
      <c r="D669" s="14" t="str">
        <f t="shared" si="2"/>
        <v/>
      </c>
      <c r="E669" s="14" t="str">
        <f t="shared" si="3"/>
        <v/>
      </c>
      <c r="F669" s="6" t="str">
        <f>IF($A669&lt;&gt;"",MAXIFS(Token!$B:$B,Token!$A:$A,$D669),)</f>
        <v/>
      </c>
    </row>
    <row r="670">
      <c r="A670" s="35" t="str">
        <f>IF(AND($L670*1&gt;=$G$3,$L670*1&lt;=$G$4,$I670*$J670&gt;0,CONCATENATE($H670:$L670)&lt;&gt;CONCATENATE($H671:$L671),$I670/POW(10,$J670)*MAXIFS(Token!$B:$B,Token!$A:$A,$K670)&gt;0.01),$L670/86400+DATE(1970,1,1)+IF($L670*1&gt;=$G$5,$G$6,0),)</f>
        <v/>
      </c>
      <c r="B670" s="22" t="str">
        <f t="shared" si="1"/>
        <v/>
      </c>
      <c r="C670" s="14" t="str">
        <f>IF($A670&lt;&gt;"",MINIFS(Merchant!$A:$A,Merchant!$B:$B,$G$2),)</f>
        <v/>
      </c>
      <c r="D670" s="14" t="str">
        <f t="shared" si="2"/>
        <v/>
      </c>
      <c r="E670" s="14" t="str">
        <f t="shared" si="3"/>
        <v/>
      </c>
      <c r="F670" s="6" t="str">
        <f>IF($A670&lt;&gt;"",MAXIFS(Token!$B:$B,Token!$A:$A,$D670),)</f>
        <v/>
      </c>
    </row>
    <row r="671">
      <c r="A671" s="35" t="str">
        <f>IF(AND($L671*1&gt;=$G$3,$L671*1&lt;=$G$4,$I671*$J671&gt;0,CONCATENATE($H671:$L671)&lt;&gt;CONCATENATE($H672:$L672),$I671/POW(10,$J671)*MAXIFS(Token!$B:$B,Token!$A:$A,$K671)&gt;0.01),$L671/86400+DATE(1970,1,1)+IF($L671*1&gt;=$G$5,$G$6,0),)</f>
        <v/>
      </c>
      <c r="B671" s="22" t="str">
        <f t="shared" si="1"/>
        <v/>
      </c>
      <c r="C671" s="14" t="str">
        <f>IF($A671&lt;&gt;"",MINIFS(Merchant!$A:$A,Merchant!$B:$B,$G$2),)</f>
        <v/>
      </c>
      <c r="D671" s="14" t="str">
        <f t="shared" si="2"/>
        <v/>
      </c>
      <c r="E671" s="14" t="str">
        <f t="shared" si="3"/>
        <v/>
      </c>
      <c r="F671" s="6" t="str">
        <f>IF($A671&lt;&gt;"",MAXIFS(Token!$B:$B,Token!$A:$A,$D671),)</f>
        <v/>
      </c>
    </row>
    <row r="672">
      <c r="A672" s="35" t="str">
        <f>IF(AND($L672*1&gt;=$G$3,$L672*1&lt;=$G$4,$I672*$J672&gt;0,CONCATENATE($H672:$L672)&lt;&gt;CONCATENATE($H673:$L673),$I672/POW(10,$J672)*MAXIFS(Token!$B:$B,Token!$A:$A,$K672)&gt;0.01),$L672/86400+DATE(1970,1,1)+IF($L672*1&gt;=$G$5,$G$6,0),)</f>
        <v/>
      </c>
      <c r="B672" s="22" t="str">
        <f t="shared" si="1"/>
        <v/>
      </c>
      <c r="C672" s="14" t="str">
        <f>IF($A672&lt;&gt;"",MINIFS(Merchant!$A:$A,Merchant!$B:$B,$G$2),)</f>
        <v/>
      </c>
      <c r="D672" s="14" t="str">
        <f t="shared" si="2"/>
        <v/>
      </c>
      <c r="E672" s="14" t="str">
        <f t="shared" si="3"/>
        <v/>
      </c>
      <c r="F672" s="6" t="str">
        <f>IF($A672&lt;&gt;"",MAXIFS(Token!$B:$B,Token!$A:$A,$D672),)</f>
        <v/>
      </c>
    </row>
    <row r="673">
      <c r="A673" s="35" t="str">
        <f>IF(AND($L673*1&gt;=$G$3,$L673*1&lt;=$G$4,$I673*$J673&gt;0,CONCATENATE($H673:$L673)&lt;&gt;CONCATENATE($H674:$L674),$I673/POW(10,$J673)*MAXIFS(Token!$B:$B,Token!$A:$A,$K673)&gt;0.01),$L673/86400+DATE(1970,1,1)+IF($L673*1&gt;=$G$5,$G$6,0),)</f>
        <v/>
      </c>
      <c r="B673" s="22" t="str">
        <f t="shared" si="1"/>
        <v/>
      </c>
      <c r="C673" s="14" t="str">
        <f>IF($A673&lt;&gt;"",MINIFS(Merchant!$A:$A,Merchant!$B:$B,$G$2),)</f>
        <v/>
      </c>
      <c r="D673" s="14" t="str">
        <f t="shared" si="2"/>
        <v/>
      </c>
      <c r="E673" s="14" t="str">
        <f t="shared" si="3"/>
        <v/>
      </c>
      <c r="F673" s="6" t="str">
        <f>IF($A673&lt;&gt;"",MAXIFS(Token!$B:$B,Token!$A:$A,$D673),)</f>
        <v/>
      </c>
    </row>
    <row r="674">
      <c r="A674" s="35" t="str">
        <f>IF(AND($L674*1&gt;=$G$3,$L674*1&lt;=$G$4,$I674*$J674&gt;0,CONCATENATE($H674:$L674)&lt;&gt;CONCATENATE($H675:$L675),$I674/POW(10,$J674)*MAXIFS(Token!$B:$B,Token!$A:$A,$K674)&gt;0.01),$L674/86400+DATE(1970,1,1)+IF($L674*1&gt;=$G$5,$G$6,0),)</f>
        <v/>
      </c>
      <c r="B674" s="22" t="str">
        <f t="shared" si="1"/>
        <v/>
      </c>
      <c r="C674" s="14" t="str">
        <f>IF($A674&lt;&gt;"",MINIFS(Merchant!$A:$A,Merchant!$B:$B,$G$2),)</f>
        <v/>
      </c>
      <c r="D674" s="14" t="str">
        <f t="shared" si="2"/>
        <v/>
      </c>
      <c r="E674" s="14" t="str">
        <f t="shared" si="3"/>
        <v/>
      </c>
      <c r="F674" s="6" t="str">
        <f>IF($A674&lt;&gt;"",MAXIFS(Token!$B:$B,Token!$A:$A,$D674),)</f>
        <v/>
      </c>
    </row>
    <row r="675">
      <c r="A675" s="35" t="str">
        <f>IF(AND($L675*1&gt;=$G$3,$L675*1&lt;=$G$4,$I675*$J675&gt;0,CONCATENATE($H675:$L675)&lt;&gt;CONCATENATE($H676:$L676),$I675/POW(10,$J675)*MAXIFS(Token!$B:$B,Token!$A:$A,$K675)&gt;0.01),$L675/86400+DATE(1970,1,1)+IF($L675*1&gt;=$G$5,$G$6,0),)</f>
        <v/>
      </c>
      <c r="B675" s="22" t="str">
        <f t="shared" si="1"/>
        <v/>
      </c>
      <c r="C675" s="14" t="str">
        <f>IF($A675&lt;&gt;"",MINIFS(Merchant!$A:$A,Merchant!$B:$B,$G$2),)</f>
        <v/>
      </c>
      <c r="D675" s="14" t="str">
        <f t="shared" si="2"/>
        <v/>
      </c>
      <c r="E675" s="14" t="str">
        <f t="shared" si="3"/>
        <v/>
      </c>
      <c r="F675" s="6" t="str">
        <f>IF($A675&lt;&gt;"",MAXIFS(Token!$B:$B,Token!$A:$A,$D675),)</f>
        <v/>
      </c>
    </row>
    <row r="676">
      <c r="A676" s="35" t="str">
        <f>IF(AND($L676*1&gt;=$G$3,$L676*1&lt;=$G$4,$I676*$J676&gt;0,CONCATENATE($H676:$L676)&lt;&gt;CONCATENATE($H677:$L677),$I676/POW(10,$J676)*MAXIFS(Token!$B:$B,Token!$A:$A,$K676)&gt;0.01),$L676/86400+DATE(1970,1,1)+IF($L676*1&gt;=$G$5,$G$6,0),)</f>
        <v/>
      </c>
      <c r="B676" s="22" t="str">
        <f t="shared" si="1"/>
        <v/>
      </c>
      <c r="C676" s="14" t="str">
        <f>IF($A676&lt;&gt;"",MINIFS(Merchant!$A:$A,Merchant!$B:$B,$G$2),)</f>
        <v/>
      </c>
      <c r="D676" s="14" t="str">
        <f t="shared" si="2"/>
        <v/>
      </c>
      <c r="E676" s="14" t="str">
        <f t="shared" si="3"/>
        <v/>
      </c>
      <c r="F676" s="6" t="str">
        <f>IF($A676&lt;&gt;"",MAXIFS(Token!$B:$B,Token!$A:$A,$D676),)</f>
        <v/>
      </c>
    </row>
    <row r="677">
      <c r="A677" s="35" t="str">
        <f>IF(AND($L677*1&gt;=$G$3,$L677*1&lt;=$G$4,$I677*$J677&gt;0,CONCATENATE($H677:$L677)&lt;&gt;CONCATENATE($H678:$L678),$I677/POW(10,$J677)*MAXIFS(Token!$B:$B,Token!$A:$A,$K677)&gt;0.01),$L677/86400+DATE(1970,1,1)+IF($L677*1&gt;=$G$5,$G$6,0),)</f>
        <v/>
      </c>
      <c r="B677" s="22" t="str">
        <f t="shared" si="1"/>
        <v/>
      </c>
      <c r="C677" s="14" t="str">
        <f>IF($A677&lt;&gt;"",MINIFS(Merchant!$A:$A,Merchant!$B:$B,$G$2),)</f>
        <v/>
      </c>
      <c r="D677" s="14" t="str">
        <f t="shared" si="2"/>
        <v/>
      </c>
      <c r="E677" s="14" t="str">
        <f t="shared" si="3"/>
        <v/>
      </c>
      <c r="F677" s="6" t="str">
        <f>IF($A677&lt;&gt;"",MAXIFS(Token!$B:$B,Token!$A:$A,$D677),)</f>
        <v/>
      </c>
    </row>
    <row r="678">
      <c r="A678" s="35" t="str">
        <f>IF(AND($L678*1&gt;=$G$3,$L678*1&lt;=$G$4,$I678*$J678&gt;0,CONCATENATE($H678:$L678)&lt;&gt;CONCATENATE($H679:$L679),$I678/POW(10,$J678)*MAXIFS(Token!$B:$B,Token!$A:$A,$K678)&gt;0.01),$L678/86400+DATE(1970,1,1)+IF($L678*1&gt;=$G$5,$G$6,0),)</f>
        <v/>
      </c>
      <c r="B678" s="22" t="str">
        <f t="shared" si="1"/>
        <v/>
      </c>
      <c r="C678" s="14" t="str">
        <f>IF($A678&lt;&gt;"",MINIFS(Merchant!$A:$A,Merchant!$B:$B,$G$2),)</f>
        <v/>
      </c>
      <c r="D678" s="14" t="str">
        <f t="shared" si="2"/>
        <v/>
      </c>
      <c r="E678" s="14" t="str">
        <f t="shared" si="3"/>
        <v/>
      </c>
      <c r="F678" s="6" t="str">
        <f>IF($A678&lt;&gt;"",MAXIFS(Token!$B:$B,Token!$A:$A,$D678),)</f>
        <v/>
      </c>
    </row>
    <row r="679">
      <c r="A679" s="35" t="str">
        <f>IF(AND($L679*1&gt;=$G$3,$L679*1&lt;=$G$4,$I679*$J679&gt;0,CONCATENATE($H679:$L679)&lt;&gt;CONCATENATE($H680:$L680),$I679/POW(10,$J679)*MAXIFS(Token!$B:$B,Token!$A:$A,$K679)&gt;0.01),$L679/86400+DATE(1970,1,1)+IF($L679*1&gt;=$G$5,$G$6,0),)</f>
        <v/>
      </c>
      <c r="B679" s="22" t="str">
        <f t="shared" si="1"/>
        <v/>
      </c>
      <c r="C679" s="14" t="str">
        <f>IF($A679&lt;&gt;"",MINIFS(Merchant!$A:$A,Merchant!$B:$B,$G$2),)</f>
        <v/>
      </c>
      <c r="D679" s="14" t="str">
        <f t="shared" si="2"/>
        <v/>
      </c>
      <c r="E679" s="14" t="str">
        <f t="shared" si="3"/>
        <v/>
      </c>
      <c r="F679" s="6" t="str">
        <f>IF($A679&lt;&gt;"",MAXIFS(Token!$B:$B,Token!$A:$A,$D679),)</f>
        <v/>
      </c>
    </row>
    <row r="680">
      <c r="A680" s="35" t="str">
        <f>IF(AND($L680*1&gt;=$G$3,$L680*1&lt;=$G$4,$I680*$J680&gt;0,CONCATENATE($H680:$L680)&lt;&gt;CONCATENATE($H681:$L681),$I680/POW(10,$J680)*MAXIFS(Token!$B:$B,Token!$A:$A,$K680)&gt;0.01),$L680/86400+DATE(1970,1,1)+IF($L680*1&gt;=$G$5,$G$6,0),)</f>
        <v/>
      </c>
      <c r="B680" s="22" t="str">
        <f t="shared" si="1"/>
        <v/>
      </c>
      <c r="C680" s="14" t="str">
        <f>IF($A680&lt;&gt;"",MINIFS(Merchant!$A:$A,Merchant!$B:$B,$G$2),)</f>
        <v/>
      </c>
      <c r="D680" s="14" t="str">
        <f t="shared" si="2"/>
        <v/>
      </c>
      <c r="E680" s="14" t="str">
        <f t="shared" si="3"/>
        <v/>
      </c>
      <c r="F680" s="6" t="str">
        <f>IF($A680&lt;&gt;"",MAXIFS(Token!$B:$B,Token!$A:$A,$D680),)</f>
        <v/>
      </c>
    </row>
    <row r="681">
      <c r="A681" s="35" t="str">
        <f>IF(AND($L681*1&gt;=$G$3,$L681*1&lt;=$G$4,$I681*$J681&gt;0,CONCATENATE($H681:$L681)&lt;&gt;CONCATENATE($H682:$L682),$I681/POW(10,$J681)*MAXIFS(Token!$B:$B,Token!$A:$A,$K681)&gt;0.01),$L681/86400+DATE(1970,1,1)+IF($L681*1&gt;=$G$5,$G$6,0),)</f>
        <v/>
      </c>
      <c r="B681" s="22" t="str">
        <f t="shared" si="1"/>
        <v/>
      </c>
      <c r="C681" s="14" t="str">
        <f>IF($A681&lt;&gt;"",MINIFS(Merchant!$A:$A,Merchant!$B:$B,$G$2),)</f>
        <v/>
      </c>
      <c r="D681" s="14" t="str">
        <f t="shared" si="2"/>
        <v/>
      </c>
      <c r="E681" s="14" t="str">
        <f t="shared" si="3"/>
        <v/>
      </c>
      <c r="F681" s="6" t="str">
        <f>IF($A681&lt;&gt;"",MAXIFS(Token!$B:$B,Token!$A:$A,$D681),)</f>
        <v/>
      </c>
    </row>
    <row r="682">
      <c r="A682" s="35" t="str">
        <f>IF(AND($L682*1&gt;=$G$3,$L682*1&lt;=$G$4,$I682*$J682&gt;0,CONCATENATE($H682:$L682)&lt;&gt;CONCATENATE($H683:$L683),$I682/POW(10,$J682)*MAXIFS(Token!$B:$B,Token!$A:$A,$K682)&gt;0.01),$L682/86400+DATE(1970,1,1)+IF($L682*1&gt;=$G$5,$G$6,0),)</f>
        <v/>
      </c>
      <c r="B682" s="22" t="str">
        <f t="shared" si="1"/>
        <v/>
      </c>
      <c r="C682" s="14" t="str">
        <f>IF($A682&lt;&gt;"",MINIFS(Merchant!$A:$A,Merchant!$B:$B,$G$2),)</f>
        <v/>
      </c>
      <c r="D682" s="14" t="str">
        <f t="shared" si="2"/>
        <v/>
      </c>
      <c r="E682" s="14" t="str">
        <f t="shared" si="3"/>
        <v/>
      </c>
      <c r="F682" s="6" t="str">
        <f>IF($A682&lt;&gt;"",MAXIFS(Token!$B:$B,Token!$A:$A,$D682),)</f>
        <v/>
      </c>
    </row>
    <row r="683">
      <c r="A683" s="35" t="str">
        <f>IF(AND($L683*1&gt;=$G$3,$L683*1&lt;=$G$4,$I683*$J683&gt;0,CONCATENATE($H683:$L683)&lt;&gt;CONCATENATE($H684:$L684),$I683/POW(10,$J683)*MAXIFS(Token!$B:$B,Token!$A:$A,$K683)&gt;0.01),$L683/86400+DATE(1970,1,1)+IF($L683*1&gt;=$G$5,$G$6,0),)</f>
        <v/>
      </c>
      <c r="B683" s="22" t="str">
        <f t="shared" si="1"/>
        <v/>
      </c>
      <c r="C683" s="14" t="str">
        <f>IF($A683&lt;&gt;"",MINIFS(Merchant!$A:$A,Merchant!$B:$B,$G$2),)</f>
        <v/>
      </c>
      <c r="D683" s="14" t="str">
        <f t="shared" si="2"/>
        <v/>
      </c>
      <c r="E683" s="14" t="str">
        <f t="shared" si="3"/>
        <v/>
      </c>
      <c r="F683" s="6" t="str">
        <f>IF($A683&lt;&gt;"",MAXIFS(Token!$B:$B,Token!$A:$A,$D683),)</f>
        <v/>
      </c>
    </row>
    <row r="684">
      <c r="A684" s="35" t="str">
        <f>IF(AND($L684*1&gt;=$G$3,$L684*1&lt;=$G$4,$I684*$J684&gt;0,CONCATENATE($H684:$L684)&lt;&gt;CONCATENATE($H685:$L685),$I684/POW(10,$J684)*MAXIFS(Token!$B:$B,Token!$A:$A,$K684)&gt;0.01),$L684/86400+DATE(1970,1,1)+IF($L684*1&gt;=$G$5,$G$6,0),)</f>
        <v/>
      </c>
      <c r="B684" s="22" t="str">
        <f t="shared" si="1"/>
        <v/>
      </c>
      <c r="C684" s="14" t="str">
        <f>IF($A684&lt;&gt;"",MINIFS(Merchant!$A:$A,Merchant!$B:$B,$G$2),)</f>
        <v/>
      </c>
      <c r="D684" s="14" t="str">
        <f t="shared" si="2"/>
        <v/>
      </c>
      <c r="E684" s="14" t="str">
        <f t="shared" si="3"/>
        <v/>
      </c>
      <c r="F684" s="6" t="str">
        <f>IF($A684&lt;&gt;"",MAXIFS(Token!$B:$B,Token!$A:$A,$D684),)</f>
        <v/>
      </c>
    </row>
    <row r="685">
      <c r="A685" s="35" t="str">
        <f>IF(AND($L685*1&gt;=$G$3,$L685*1&lt;=$G$4,$I685*$J685&gt;0,CONCATENATE($H685:$L685)&lt;&gt;CONCATENATE($H686:$L686),$I685/POW(10,$J685)*MAXIFS(Token!$B:$B,Token!$A:$A,$K685)&gt;0.01),$L685/86400+DATE(1970,1,1)+IF($L685*1&gt;=$G$5,$G$6,0),)</f>
        <v/>
      </c>
      <c r="B685" s="22" t="str">
        <f t="shared" si="1"/>
        <v/>
      </c>
      <c r="C685" s="14" t="str">
        <f>IF($A685&lt;&gt;"",MINIFS(Merchant!$A:$A,Merchant!$B:$B,$G$2),)</f>
        <v/>
      </c>
      <c r="D685" s="14" t="str">
        <f t="shared" si="2"/>
        <v/>
      </c>
      <c r="E685" s="14" t="str">
        <f t="shared" si="3"/>
        <v/>
      </c>
      <c r="F685" s="6" t="str">
        <f>IF($A685&lt;&gt;"",MAXIFS(Token!$B:$B,Token!$A:$A,$D685),)</f>
        <v/>
      </c>
    </row>
    <row r="686">
      <c r="A686" s="35" t="str">
        <f>IF(AND($L686*1&gt;=$G$3,$L686*1&lt;=$G$4,$I686*$J686&gt;0,CONCATENATE($H686:$L686)&lt;&gt;CONCATENATE($H687:$L687),$I686/POW(10,$J686)*MAXIFS(Token!$B:$B,Token!$A:$A,$K686)&gt;0.01),$L686/86400+DATE(1970,1,1)+IF($L686*1&gt;=$G$5,$G$6,0),)</f>
        <v/>
      </c>
      <c r="B686" s="22" t="str">
        <f t="shared" si="1"/>
        <v/>
      </c>
      <c r="C686" s="14" t="str">
        <f>IF($A686&lt;&gt;"",MINIFS(Merchant!$A:$A,Merchant!$B:$B,$G$2),)</f>
        <v/>
      </c>
      <c r="D686" s="14" t="str">
        <f t="shared" si="2"/>
        <v/>
      </c>
      <c r="E686" s="14" t="str">
        <f t="shared" si="3"/>
        <v/>
      </c>
      <c r="F686" s="6" t="str">
        <f>IF($A686&lt;&gt;"",MAXIFS(Token!$B:$B,Token!$A:$A,$D686),)</f>
        <v/>
      </c>
    </row>
    <row r="687">
      <c r="A687" s="35" t="str">
        <f>IF(AND($L687*1&gt;=$G$3,$L687*1&lt;=$G$4,$I687*$J687&gt;0,CONCATENATE($H687:$L687)&lt;&gt;CONCATENATE($H688:$L688),$I687/POW(10,$J687)*MAXIFS(Token!$B:$B,Token!$A:$A,$K687)&gt;0.01),$L687/86400+DATE(1970,1,1)+IF($L687*1&gt;=$G$5,$G$6,0),)</f>
        <v/>
      </c>
      <c r="B687" s="22" t="str">
        <f t="shared" si="1"/>
        <v/>
      </c>
      <c r="C687" s="14" t="str">
        <f>IF($A687&lt;&gt;"",MINIFS(Merchant!$A:$A,Merchant!$B:$B,$G$2),)</f>
        <v/>
      </c>
      <c r="D687" s="14" t="str">
        <f t="shared" si="2"/>
        <v/>
      </c>
      <c r="E687" s="14" t="str">
        <f t="shared" si="3"/>
        <v/>
      </c>
      <c r="F687" s="6" t="str">
        <f>IF($A687&lt;&gt;"",MAXIFS(Token!$B:$B,Token!$A:$A,$D687),)</f>
        <v/>
      </c>
    </row>
    <row r="688">
      <c r="A688" s="35" t="str">
        <f>IF(AND($L688*1&gt;=$G$3,$L688*1&lt;=$G$4,$I688*$J688&gt;0,CONCATENATE($H688:$L688)&lt;&gt;CONCATENATE($H689:$L689),$I688/POW(10,$J688)*MAXIFS(Token!$B:$B,Token!$A:$A,$K688)&gt;0.01),$L688/86400+DATE(1970,1,1)+IF($L688*1&gt;=$G$5,$G$6,0),)</f>
        <v/>
      </c>
      <c r="B688" s="22" t="str">
        <f t="shared" si="1"/>
        <v/>
      </c>
      <c r="C688" s="14" t="str">
        <f>IF($A688&lt;&gt;"",MINIFS(Merchant!$A:$A,Merchant!$B:$B,$G$2),)</f>
        <v/>
      </c>
      <c r="D688" s="14" t="str">
        <f t="shared" si="2"/>
        <v/>
      </c>
      <c r="E688" s="14" t="str">
        <f t="shared" si="3"/>
        <v/>
      </c>
      <c r="F688" s="6" t="str">
        <f>IF($A688&lt;&gt;"",MAXIFS(Token!$B:$B,Token!$A:$A,$D688),)</f>
        <v/>
      </c>
    </row>
    <row r="689">
      <c r="A689" s="35" t="str">
        <f>IF(AND($L689*1&gt;=$G$3,$L689*1&lt;=$G$4,$I689*$J689&gt;0,CONCATENATE($H689:$L689)&lt;&gt;CONCATENATE($H690:$L690),$I689/POW(10,$J689)*MAXIFS(Token!$B:$B,Token!$A:$A,$K689)&gt;0.01),$L689/86400+DATE(1970,1,1)+IF($L689*1&gt;=$G$5,$G$6,0),)</f>
        <v/>
      </c>
      <c r="B689" s="22" t="str">
        <f t="shared" si="1"/>
        <v/>
      </c>
      <c r="C689" s="14" t="str">
        <f>IF($A689&lt;&gt;"",MINIFS(Merchant!$A:$A,Merchant!$B:$B,$G$2),)</f>
        <v/>
      </c>
      <c r="D689" s="14" t="str">
        <f t="shared" si="2"/>
        <v/>
      </c>
      <c r="E689" s="14" t="str">
        <f t="shared" si="3"/>
        <v/>
      </c>
      <c r="F689" s="6" t="str">
        <f>IF($A689&lt;&gt;"",MAXIFS(Token!$B:$B,Token!$A:$A,$D689),)</f>
        <v/>
      </c>
    </row>
    <row r="690">
      <c r="A690" s="35" t="str">
        <f>IF(AND($L690*1&gt;=$G$3,$L690*1&lt;=$G$4,$I690*$J690&gt;0,CONCATENATE($H690:$L690)&lt;&gt;CONCATENATE($H691:$L691),$I690/POW(10,$J690)*MAXIFS(Token!$B:$B,Token!$A:$A,$K690)&gt;0.01),$L690/86400+DATE(1970,1,1)+IF($L690*1&gt;=$G$5,$G$6,0),)</f>
        <v/>
      </c>
      <c r="B690" s="22" t="str">
        <f t="shared" si="1"/>
        <v/>
      </c>
      <c r="C690" s="14" t="str">
        <f>IF($A690&lt;&gt;"",MINIFS(Merchant!$A:$A,Merchant!$B:$B,$G$2),)</f>
        <v/>
      </c>
      <c r="D690" s="14" t="str">
        <f t="shared" si="2"/>
        <v/>
      </c>
      <c r="E690" s="14" t="str">
        <f t="shared" si="3"/>
        <v/>
      </c>
      <c r="F690" s="6" t="str">
        <f>IF($A690&lt;&gt;"",MAXIFS(Token!$B:$B,Token!$A:$A,$D690),)</f>
        <v/>
      </c>
    </row>
    <row r="691">
      <c r="A691" s="35" t="str">
        <f>IF(AND($L691*1&gt;=$G$3,$L691*1&lt;=$G$4,$I691*$J691&gt;0,CONCATENATE($H691:$L691)&lt;&gt;CONCATENATE($H692:$L692),$I691/POW(10,$J691)*MAXIFS(Token!$B:$B,Token!$A:$A,$K691)&gt;0.01),$L691/86400+DATE(1970,1,1)+IF($L691*1&gt;=$G$5,$G$6,0),)</f>
        <v/>
      </c>
      <c r="B691" s="22" t="str">
        <f t="shared" si="1"/>
        <v/>
      </c>
      <c r="C691" s="14" t="str">
        <f>IF($A691&lt;&gt;"",MINIFS(Merchant!$A:$A,Merchant!$B:$B,$G$2),)</f>
        <v/>
      </c>
      <c r="D691" s="14" t="str">
        <f t="shared" si="2"/>
        <v/>
      </c>
      <c r="E691" s="14" t="str">
        <f t="shared" si="3"/>
        <v/>
      </c>
      <c r="F691" s="6" t="str">
        <f>IF($A691&lt;&gt;"",MAXIFS(Token!$B:$B,Token!$A:$A,$D691),)</f>
        <v/>
      </c>
    </row>
    <row r="692">
      <c r="A692" s="35" t="str">
        <f>IF(AND($L692*1&gt;=$G$3,$L692*1&lt;=$G$4,$I692*$J692&gt;0,CONCATENATE($H692:$L692)&lt;&gt;CONCATENATE($H693:$L693),$I692/POW(10,$J692)*MAXIFS(Token!$B:$B,Token!$A:$A,$K692)&gt;0.01),$L692/86400+DATE(1970,1,1)+IF($L692*1&gt;=$G$5,$G$6,0),)</f>
        <v/>
      </c>
      <c r="B692" s="22" t="str">
        <f t="shared" si="1"/>
        <v/>
      </c>
      <c r="C692" s="14" t="str">
        <f>IF($A692&lt;&gt;"",MINIFS(Merchant!$A:$A,Merchant!$B:$B,$G$2),)</f>
        <v/>
      </c>
      <c r="D692" s="14" t="str">
        <f t="shared" si="2"/>
        <v/>
      </c>
      <c r="E692" s="14" t="str">
        <f t="shared" si="3"/>
        <v/>
      </c>
      <c r="F692" s="6" t="str">
        <f>IF($A692&lt;&gt;"",MAXIFS(Token!$B:$B,Token!$A:$A,$D692),)</f>
        <v/>
      </c>
    </row>
    <row r="693">
      <c r="A693" s="35" t="str">
        <f>IF(AND($L693*1&gt;=$G$3,$L693*1&lt;=$G$4,$I693*$J693&gt;0,CONCATENATE($H693:$L693)&lt;&gt;CONCATENATE($H694:$L694),$I693/POW(10,$J693)*MAXIFS(Token!$B:$B,Token!$A:$A,$K693)&gt;0.01),$L693/86400+DATE(1970,1,1)+IF($L693*1&gt;=$G$5,$G$6,0),)</f>
        <v/>
      </c>
      <c r="B693" s="22" t="str">
        <f t="shared" si="1"/>
        <v/>
      </c>
      <c r="C693" s="14" t="str">
        <f>IF($A693&lt;&gt;"",MINIFS(Merchant!$A:$A,Merchant!$B:$B,$G$2),)</f>
        <v/>
      </c>
      <c r="D693" s="14" t="str">
        <f t="shared" si="2"/>
        <v/>
      </c>
      <c r="E693" s="14" t="str">
        <f t="shared" si="3"/>
        <v/>
      </c>
      <c r="F693" s="6" t="str">
        <f>IF($A693&lt;&gt;"",MAXIFS(Token!$B:$B,Token!$A:$A,$D693),)</f>
        <v/>
      </c>
    </row>
    <row r="694">
      <c r="A694" s="35" t="str">
        <f>IF(AND($L694*1&gt;=$G$3,$L694*1&lt;=$G$4,$I694*$J694&gt;0,CONCATENATE($H694:$L694)&lt;&gt;CONCATENATE($H695:$L695),$I694/POW(10,$J694)*MAXIFS(Token!$B:$B,Token!$A:$A,$K694)&gt;0.01),$L694/86400+DATE(1970,1,1)+IF($L694*1&gt;=$G$5,$G$6,0),)</f>
        <v/>
      </c>
      <c r="B694" s="22" t="str">
        <f t="shared" si="1"/>
        <v/>
      </c>
      <c r="C694" s="14" t="str">
        <f>IF($A694&lt;&gt;"",MINIFS(Merchant!$A:$A,Merchant!$B:$B,$G$2),)</f>
        <v/>
      </c>
      <c r="D694" s="14" t="str">
        <f t="shared" si="2"/>
        <v/>
      </c>
      <c r="E694" s="14" t="str">
        <f t="shared" si="3"/>
        <v/>
      </c>
      <c r="F694" s="6" t="str">
        <f>IF($A694&lt;&gt;"",MAXIFS(Token!$B:$B,Token!$A:$A,$D694),)</f>
        <v/>
      </c>
    </row>
    <row r="695">
      <c r="A695" s="35" t="str">
        <f>IF(AND($L695*1&gt;=$G$3,$L695*1&lt;=$G$4,$I695*$J695&gt;0,CONCATENATE($H695:$L695)&lt;&gt;CONCATENATE($H696:$L696),$I695/POW(10,$J695)*MAXIFS(Token!$B:$B,Token!$A:$A,$K695)&gt;0.01),$L695/86400+DATE(1970,1,1)+IF($L695*1&gt;=$G$5,$G$6,0),)</f>
        <v/>
      </c>
      <c r="B695" s="22" t="str">
        <f t="shared" si="1"/>
        <v/>
      </c>
      <c r="C695" s="14" t="str">
        <f>IF($A695&lt;&gt;"",MINIFS(Merchant!$A:$A,Merchant!$B:$B,$G$2),)</f>
        <v/>
      </c>
      <c r="D695" s="14" t="str">
        <f t="shared" si="2"/>
        <v/>
      </c>
      <c r="E695" s="14" t="str">
        <f t="shared" si="3"/>
        <v/>
      </c>
      <c r="F695" s="6" t="str">
        <f>IF($A695&lt;&gt;"",MAXIFS(Token!$B:$B,Token!$A:$A,$D695),)</f>
        <v/>
      </c>
    </row>
    <row r="696">
      <c r="A696" s="35" t="str">
        <f>IF(AND($L696*1&gt;=$G$3,$L696*1&lt;=$G$4,$I696*$J696&gt;0,CONCATENATE($H696:$L696)&lt;&gt;CONCATENATE($H697:$L697),$I696/POW(10,$J696)*MAXIFS(Token!$B:$B,Token!$A:$A,$K696)&gt;0.01),$L696/86400+DATE(1970,1,1)+IF($L696*1&gt;=$G$5,$G$6,0),)</f>
        <v/>
      </c>
      <c r="B696" s="22" t="str">
        <f t="shared" si="1"/>
        <v/>
      </c>
      <c r="C696" s="14" t="str">
        <f>IF($A696&lt;&gt;"",MINIFS(Merchant!$A:$A,Merchant!$B:$B,$G$2),)</f>
        <v/>
      </c>
      <c r="D696" s="14" t="str">
        <f t="shared" si="2"/>
        <v/>
      </c>
      <c r="E696" s="14" t="str">
        <f t="shared" si="3"/>
        <v/>
      </c>
      <c r="F696" s="6" t="str">
        <f>IF($A696&lt;&gt;"",MAXIFS(Token!$B:$B,Token!$A:$A,$D696),)</f>
        <v/>
      </c>
    </row>
    <row r="697">
      <c r="A697" s="35" t="str">
        <f>IF(AND($L697*1&gt;=$G$3,$L697*1&lt;=$G$4,$I697*$J697&gt;0,CONCATENATE($H697:$L697)&lt;&gt;CONCATENATE($H698:$L698),$I697/POW(10,$J697)*MAXIFS(Token!$B:$B,Token!$A:$A,$K697)&gt;0.01),$L697/86400+DATE(1970,1,1)+IF($L697*1&gt;=$G$5,$G$6,0),)</f>
        <v/>
      </c>
      <c r="B697" s="22" t="str">
        <f t="shared" si="1"/>
        <v/>
      </c>
      <c r="C697" s="14" t="str">
        <f>IF($A697&lt;&gt;"",MINIFS(Merchant!$A:$A,Merchant!$B:$B,$G$2),)</f>
        <v/>
      </c>
      <c r="D697" s="14" t="str">
        <f t="shared" si="2"/>
        <v/>
      </c>
      <c r="E697" s="14" t="str">
        <f t="shared" si="3"/>
        <v/>
      </c>
      <c r="F697" s="6" t="str">
        <f>IF($A697&lt;&gt;"",MAXIFS(Token!$B:$B,Token!$A:$A,$D697),)</f>
        <v/>
      </c>
    </row>
    <row r="698">
      <c r="A698" s="35" t="str">
        <f>IF(AND($L698*1&gt;=$G$3,$L698*1&lt;=$G$4,$I698*$J698&gt;0,CONCATENATE($H698:$L698)&lt;&gt;CONCATENATE($H699:$L699),$I698/POW(10,$J698)*MAXIFS(Token!$B:$B,Token!$A:$A,$K698)&gt;0.01),$L698/86400+DATE(1970,1,1)+IF($L698*1&gt;=$G$5,$G$6,0),)</f>
        <v/>
      </c>
      <c r="B698" s="22" t="str">
        <f t="shared" si="1"/>
        <v/>
      </c>
      <c r="C698" s="14" t="str">
        <f>IF($A698&lt;&gt;"",MINIFS(Merchant!$A:$A,Merchant!$B:$B,$G$2),)</f>
        <v/>
      </c>
      <c r="D698" s="14" t="str">
        <f t="shared" si="2"/>
        <v/>
      </c>
      <c r="E698" s="14" t="str">
        <f t="shared" si="3"/>
        <v/>
      </c>
      <c r="F698" s="6" t="str">
        <f>IF($A698&lt;&gt;"",MAXIFS(Token!$B:$B,Token!$A:$A,$D698),)</f>
        <v/>
      </c>
    </row>
    <row r="699">
      <c r="A699" s="35" t="str">
        <f>IF(AND($L699*1&gt;=$G$3,$L699*1&lt;=$G$4,$I699*$J699&gt;0,CONCATENATE($H699:$L699)&lt;&gt;CONCATENATE($H700:$L700),$I699/POW(10,$J699)*MAXIFS(Token!$B:$B,Token!$A:$A,$K699)&gt;0.01),$L699/86400+DATE(1970,1,1)+IF($L699*1&gt;=$G$5,$G$6,0),)</f>
        <v/>
      </c>
      <c r="B699" s="22" t="str">
        <f t="shared" si="1"/>
        <v/>
      </c>
      <c r="C699" s="14" t="str">
        <f>IF($A699&lt;&gt;"",MINIFS(Merchant!$A:$A,Merchant!$B:$B,$G$2),)</f>
        <v/>
      </c>
      <c r="D699" s="14" t="str">
        <f t="shared" si="2"/>
        <v/>
      </c>
      <c r="E699" s="14" t="str">
        <f t="shared" si="3"/>
        <v/>
      </c>
      <c r="F699" s="6" t="str">
        <f>IF($A699&lt;&gt;"",MAXIFS(Token!$B:$B,Token!$A:$A,$D699),)</f>
        <v/>
      </c>
    </row>
    <row r="700">
      <c r="A700" s="35" t="str">
        <f>IF(AND($L700*1&gt;=$G$3,$L700*1&lt;=$G$4,$I700*$J700&gt;0,CONCATENATE($H700:$L700)&lt;&gt;CONCATENATE($H701:$L701),$I700/POW(10,$J700)*MAXIFS(Token!$B:$B,Token!$A:$A,$K700)&gt;0.01),$L700/86400+DATE(1970,1,1)+IF($L700*1&gt;=$G$5,$G$6,0),)</f>
        <v/>
      </c>
      <c r="B700" s="22" t="str">
        <f t="shared" si="1"/>
        <v/>
      </c>
      <c r="C700" s="14" t="str">
        <f>IF($A700&lt;&gt;"",MINIFS(Merchant!$A:$A,Merchant!$B:$B,$G$2),)</f>
        <v/>
      </c>
      <c r="D700" s="14" t="str">
        <f t="shared" si="2"/>
        <v/>
      </c>
      <c r="E700" s="14" t="str">
        <f t="shared" si="3"/>
        <v/>
      </c>
      <c r="F700" s="6" t="str">
        <f>IF($A700&lt;&gt;"",MAXIFS(Token!$B:$B,Token!$A:$A,$D700),)</f>
        <v/>
      </c>
    </row>
    <row r="701">
      <c r="A701" s="35" t="str">
        <f>IF(AND($L701*1&gt;=$G$3,$L701*1&lt;=$G$4,$I701*$J701&gt;0,CONCATENATE($H701:$L701)&lt;&gt;CONCATENATE($H702:$L702),$I701/POW(10,$J701)*MAXIFS(Token!$B:$B,Token!$A:$A,$K701)&gt;0.01),$L701/86400+DATE(1970,1,1)+IF($L701*1&gt;=$G$5,$G$6,0),)</f>
        <v/>
      </c>
      <c r="B701" s="22" t="str">
        <f t="shared" si="1"/>
        <v/>
      </c>
      <c r="C701" s="14" t="str">
        <f>IF($A701&lt;&gt;"",MINIFS(Merchant!$A:$A,Merchant!$B:$B,$G$2),)</f>
        <v/>
      </c>
      <c r="D701" s="14" t="str">
        <f t="shared" si="2"/>
        <v/>
      </c>
      <c r="E701" s="14" t="str">
        <f t="shared" si="3"/>
        <v/>
      </c>
      <c r="F701" s="6" t="str">
        <f>IF($A701&lt;&gt;"",MAXIFS(Token!$B:$B,Token!$A:$A,$D701),)</f>
        <v/>
      </c>
    </row>
    <row r="702">
      <c r="A702" s="35" t="str">
        <f>IF(AND($L702*1&gt;=$G$3,$L702*1&lt;=$G$4,$I702*$J702&gt;0,CONCATENATE($H702:$L702)&lt;&gt;CONCATENATE($H703:$L703),$I702/POW(10,$J702)*MAXIFS(Token!$B:$B,Token!$A:$A,$K702)&gt;0.01),$L702/86400+DATE(1970,1,1)+IF($L702*1&gt;=$G$5,$G$6,0),)</f>
        <v/>
      </c>
      <c r="B702" s="22" t="str">
        <f t="shared" si="1"/>
        <v/>
      </c>
      <c r="C702" s="14" t="str">
        <f>IF($A702&lt;&gt;"",MINIFS(Merchant!$A:$A,Merchant!$B:$B,$G$2),)</f>
        <v/>
      </c>
      <c r="D702" s="14" t="str">
        <f t="shared" si="2"/>
        <v/>
      </c>
      <c r="E702" s="14" t="str">
        <f t="shared" si="3"/>
        <v/>
      </c>
      <c r="F702" s="6" t="str">
        <f>IF($A702&lt;&gt;"",MAXIFS(Token!$B:$B,Token!$A:$A,$D702),)</f>
        <v/>
      </c>
    </row>
    <row r="703">
      <c r="A703" s="35" t="str">
        <f>IF(AND($L703*1&gt;=$G$3,$L703*1&lt;=$G$4,$I703*$J703&gt;0,CONCATENATE($H703:$L703)&lt;&gt;CONCATENATE($H704:$L704),$I703/POW(10,$J703)*MAXIFS(Token!$B:$B,Token!$A:$A,$K703)&gt;0.01),$L703/86400+DATE(1970,1,1)+IF($L703*1&gt;=$G$5,$G$6,0),)</f>
        <v/>
      </c>
      <c r="B703" s="22" t="str">
        <f t="shared" si="1"/>
        <v/>
      </c>
      <c r="C703" s="14" t="str">
        <f>IF($A703&lt;&gt;"",MINIFS(Merchant!$A:$A,Merchant!$B:$B,$G$2),)</f>
        <v/>
      </c>
      <c r="D703" s="14" t="str">
        <f t="shared" si="2"/>
        <v/>
      </c>
      <c r="E703" s="14" t="str">
        <f t="shared" si="3"/>
        <v/>
      </c>
      <c r="F703" s="6" t="str">
        <f>IF($A703&lt;&gt;"",MAXIFS(Token!$B:$B,Token!$A:$A,$D703),)</f>
        <v/>
      </c>
    </row>
    <row r="704">
      <c r="A704" s="35" t="str">
        <f>IF(AND($L704*1&gt;=$G$3,$L704*1&lt;=$G$4,$I704*$J704&gt;0,CONCATENATE($H704:$L704)&lt;&gt;CONCATENATE($H705:$L705),$I704/POW(10,$J704)*MAXIFS(Token!$B:$B,Token!$A:$A,$K704)&gt;0.01),$L704/86400+DATE(1970,1,1)+IF($L704*1&gt;=$G$5,$G$6,0),)</f>
        <v/>
      </c>
      <c r="B704" s="22" t="str">
        <f t="shared" si="1"/>
        <v/>
      </c>
      <c r="C704" s="14" t="str">
        <f>IF($A704&lt;&gt;"",MINIFS(Merchant!$A:$A,Merchant!$B:$B,$G$2),)</f>
        <v/>
      </c>
      <c r="D704" s="14" t="str">
        <f t="shared" si="2"/>
        <v/>
      </c>
      <c r="E704" s="14" t="str">
        <f t="shared" si="3"/>
        <v/>
      </c>
      <c r="F704" s="6" t="str">
        <f>IF($A704&lt;&gt;"",MAXIFS(Token!$B:$B,Token!$A:$A,$D704),)</f>
        <v/>
      </c>
    </row>
    <row r="705">
      <c r="A705" s="35" t="str">
        <f>IF(AND($L705*1&gt;=$G$3,$L705*1&lt;=$G$4,$I705*$J705&gt;0,CONCATENATE($H705:$L705)&lt;&gt;CONCATENATE($H706:$L706),$I705/POW(10,$J705)*MAXIFS(Token!$B:$B,Token!$A:$A,$K705)&gt;0.01),$L705/86400+DATE(1970,1,1)+IF($L705*1&gt;=$G$5,$G$6,0),)</f>
        <v/>
      </c>
      <c r="B705" s="22" t="str">
        <f t="shared" si="1"/>
        <v/>
      </c>
      <c r="C705" s="14" t="str">
        <f>IF($A705&lt;&gt;"",MINIFS(Merchant!$A:$A,Merchant!$B:$B,$G$2),)</f>
        <v/>
      </c>
      <c r="D705" s="14" t="str">
        <f t="shared" si="2"/>
        <v/>
      </c>
      <c r="E705" s="14" t="str">
        <f t="shared" si="3"/>
        <v/>
      </c>
      <c r="F705" s="6" t="str">
        <f>IF($A705&lt;&gt;"",MAXIFS(Token!$B:$B,Token!$A:$A,$D705),)</f>
        <v/>
      </c>
    </row>
    <row r="706">
      <c r="A706" s="35" t="str">
        <f>IF(AND($L706*1&gt;=$G$3,$L706*1&lt;=$G$4,$I706*$J706&gt;0,CONCATENATE($H706:$L706)&lt;&gt;CONCATENATE($H707:$L707),$I706/POW(10,$J706)*MAXIFS(Token!$B:$B,Token!$A:$A,$K706)&gt;0.01),$L706/86400+DATE(1970,1,1)+IF($L706*1&gt;=$G$5,$G$6,0),)</f>
        <v/>
      </c>
      <c r="B706" s="22" t="str">
        <f t="shared" si="1"/>
        <v/>
      </c>
      <c r="C706" s="14" t="str">
        <f>IF($A706&lt;&gt;"",MINIFS(Merchant!$A:$A,Merchant!$B:$B,$G$2),)</f>
        <v/>
      </c>
      <c r="D706" s="14" t="str">
        <f t="shared" si="2"/>
        <v/>
      </c>
      <c r="E706" s="14" t="str">
        <f t="shared" si="3"/>
        <v/>
      </c>
      <c r="F706" s="6" t="str">
        <f>IF($A706&lt;&gt;"",MAXIFS(Token!$B:$B,Token!$A:$A,$D706),)</f>
        <v/>
      </c>
    </row>
    <row r="707">
      <c r="A707" s="35" t="str">
        <f>IF(AND($L707*1&gt;=$G$3,$L707*1&lt;=$G$4,$I707*$J707&gt;0,CONCATENATE($H707:$L707)&lt;&gt;CONCATENATE($H708:$L708),$I707/POW(10,$J707)*MAXIFS(Token!$B:$B,Token!$A:$A,$K707)&gt;0.01),$L707/86400+DATE(1970,1,1)+IF($L707*1&gt;=$G$5,$G$6,0),)</f>
        <v/>
      </c>
      <c r="B707" s="22" t="str">
        <f t="shared" si="1"/>
        <v/>
      </c>
      <c r="C707" s="14" t="str">
        <f>IF($A707&lt;&gt;"",MINIFS(Merchant!$A:$A,Merchant!$B:$B,$G$2),)</f>
        <v/>
      </c>
      <c r="D707" s="14" t="str">
        <f t="shared" si="2"/>
        <v/>
      </c>
      <c r="E707" s="14" t="str">
        <f t="shared" si="3"/>
        <v/>
      </c>
      <c r="F707" s="6" t="str">
        <f>IF($A707&lt;&gt;"",MAXIFS(Token!$B:$B,Token!$A:$A,$D707),)</f>
        <v/>
      </c>
    </row>
    <row r="708">
      <c r="A708" s="35" t="str">
        <f>IF(AND($L708*1&gt;=$G$3,$L708*1&lt;=$G$4,$I708*$J708&gt;0,CONCATENATE($H708:$L708)&lt;&gt;CONCATENATE($H709:$L709),$I708/POW(10,$J708)*MAXIFS(Token!$B:$B,Token!$A:$A,$K708)&gt;0.01),$L708/86400+DATE(1970,1,1)+IF($L708*1&gt;=$G$5,$G$6,0),)</f>
        <v/>
      </c>
      <c r="B708" s="22" t="str">
        <f t="shared" si="1"/>
        <v/>
      </c>
      <c r="C708" s="14" t="str">
        <f>IF($A708&lt;&gt;"",MINIFS(Merchant!$A:$A,Merchant!$B:$B,$G$2),)</f>
        <v/>
      </c>
      <c r="D708" s="14" t="str">
        <f t="shared" si="2"/>
        <v/>
      </c>
      <c r="E708" s="14" t="str">
        <f t="shared" si="3"/>
        <v/>
      </c>
      <c r="F708" s="6" t="str">
        <f>IF($A708&lt;&gt;"",MAXIFS(Token!$B:$B,Token!$A:$A,$D708),)</f>
        <v/>
      </c>
    </row>
    <row r="709">
      <c r="A709" s="35" t="str">
        <f>IF(AND($L709*1&gt;=$G$3,$L709*1&lt;=$G$4,$I709*$J709&gt;0,CONCATENATE($H709:$L709)&lt;&gt;CONCATENATE($H710:$L710),$I709/POW(10,$J709)*MAXIFS(Token!$B:$B,Token!$A:$A,$K709)&gt;0.01),$L709/86400+DATE(1970,1,1)+IF($L709*1&gt;=$G$5,$G$6,0),)</f>
        <v/>
      </c>
      <c r="B709" s="22" t="str">
        <f t="shared" si="1"/>
        <v/>
      </c>
      <c r="C709" s="14" t="str">
        <f>IF($A709&lt;&gt;"",MINIFS(Merchant!$A:$A,Merchant!$B:$B,$G$2),)</f>
        <v/>
      </c>
      <c r="D709" s="14" t="str">
        <f t="shared" si="2"/>
        <v/>
      </c>
      <c r="E709" s="14" t="str">
        <f t="shared" si="3"/>
        <v/>
      </c>
      <c r="F709" s="6" t="str">
        <f>IF($A709&lt;&gt;"",MAXIFS(Token!$B:$B,Token!$A:$A,$D709),)</f>
        <v/>
      </c>
    </row>
    <row r="710">
      <c r="A710" s="35" t="str">
        <f>IF(AND($L710*1&gt;=$G$3,$L710*1&lt;=$G$4,$I710*$J710&gt;0,CONCATENATE($H710:$L710)&lt;&gt;CONCATENATE($H711:$L711),$I710/POW(10,$J710)*MAXIFS(Token!$B:$B,Token!$A:$A,$K710)&gt;0.01),$L710/86400+DATE(1970,1,1)+IF($L710*1&gt;=$G$5,$G$6,0),)</f>
        <v/>
      </c>
      <c r="B710" s="22" t="str">
        <f t="shared" si="1"/>
        <v/>
      </c>
      <c r="C710" s="14" t="str">
        <f>IF($A710&lt;&gt;"",MINIFS(Merchant!$A:$A,Merchant!$B:$B,$G$2),)</f>
        <v/>
      </c>
      <c r="D710" s="14" t="str">
        <f t="shared" si="2"/>
        <v/>
      </c>
      <c r="E710" s="14" t="str">
        <f t="shared" si="3"/>
        <v/>
      </c>
      <c r="F710" s="6" t="str">
        <f>IF($A710&lt;&gt;"",MAXIFS(Token!$B:$B,Token!$A:$A,$D710),)</f>
        <v/>
      </c>
    </row>
    <row r="711">
      <c r="A711" s="35" t="str">
        <f>IF(AND($L711*1&gt;=$G$3,$L711*1&lt;=$G$4,$I711*$J711&gt;0,CONCATENATE($H711:$L711)&lt;&gt;CONCATENATE($H712:$L712),$I711/POW(10,$J711)*MAXIFS(Token!$B:$B,Token!$A:$A,$K711)&gt;0.01),$L711/86400+DATE(1970,1,1)+IF($L711*1&gt;=$G$5,$G$6,0),)</f>
        <v/>
      </c>
      <c r="B711" s="22" t="str">
        <f t="shared" si="1"/>
        <v/>
      </c>
      <c r="C711" s="14" t="str">
        <f>IF($A711&lt;&gt;"",MINIFS(Merchant!$A:$A,Merchant!$B:$B,$G$2),)</f>
        <v/>
      </c>
      <c r="D711" s="14" t="str">
        <f t="shared" si="2"/>
        <v/>
      </c>
      <c r="E711" s="14" t="str">
        <f t="shared" si="3"/>
        <v/>
      </c>
      <c r="F711" s="6" t="str">
        <f>IF($A711&lt;&gt;"",MAXIFS(Token!$B:$B,Token!$A:$A,$D711),)</f>
        <v/>
      </c>
    </row>
    <row r="712">
      <c r="A712" s="35" t="str">
        <f>IF(AND($L712*1&gt;=$G$3,$L712*1&lt;=$G$4,$I712*$J712&gt;0,CONCATENATE($H712:$L712)&lt;&gt;CONCATENATE($H713:$L713),$I712/POW(10,$J712)*MAXIFS(Token!$B:$B,Token!$A:$A,$K712)&gt;0.01),$L712/86400+DATE(1970,1,1)+IF($L712*1&gt;=$G$5,$G$6,0),)</f>
        <v/>
      </c>
      <c r="B712" s="22" t="str">
        <f t="shared" si="1"/>
        <v/>
      </c>
      <c r="C712" s="14" t="str">
        <f>IF($A712&lt;&gt;"",MINIFS(Merchant!$A:$A,Merchant!$B:$B,$G$2),)</f>
        <v/>
      </c>
      <c r="D712" s="14" t="str">
        <f t="shared" si="2"/>
        <v/>
      </c>
      <c r="E712" s="14" t="str">
        <f t="shared" si="3"/>
        <v/>
      </c>
      <c r="F712" s="6" t="str">
        <f>IF($A712&lt;&gt;"",MAXIFS(Token!$B:$B,Token!$A:$A,$D712),)</f>
        <v/>
      </c>
    </row>
    <row r="713">
      <c r="A713" s="35" t="str">
        <f>IF(AND($L713*1&gt;=$G$3,$L713*1&lt;=$G$4,$I713*$J713&gt;0,CONCATENATE($H713:$L713)&lt;&gt;CONCATENATE($H714:$L714),$I713/POW(10,$J713)*MAXIFS(Token!$B:$B,Token!$A:$A,$K713)&gt;0.01),$L713/86400+DATE(1970,1,1)+IF($L713*1&gt;=$G$5,$G$6,0),)</f>
        <v/>
      </c>
      <c r="B713" s="22" t="str">
        <f t="shared" si="1"/>
        <v/>
      </c>
      <c r="C713" s="14" t="str">
        <f>IF($A713&lt;&gt;"",MINIFS(Merchant!$A:$A,Merchant!$B:$B,$G$2),)</f>
        <v/>
      </c>
      <c r="D713" s="14" t="str">
        <f t="shared" si="2"/>
        <v/>
      </c>
      <c r="E713" s="14" t="str">
        <f t="shared" si="3"/>
        <v/>
      </c>
      <c r="F713" s="6" t="str">
        <f>IF($A713&lt;&gt;"",MAXIFS(Token!$B:$B,Token!$A:$A,$D713),)</f>
        <v/>
      </c>
    </row>
    <row r="714">
      <c r="A714" s="35" t="str">
        <f>IF(AND($L714*1&gt;=$G$3,$L714*1&lt;=$G$4,$I714*$J714&gt;0,CONCATENATE($H714:$L714)&lt;&gt;CONCATENATE($H715:$L715),$I714/POW(10,$J714)*MAXIFS(Token!$B:$B,Token!$A:$A,$K714)&gt;0.01),$L714/86400+DATE(1970,1,1)+IF($L714*1&gt;=$G$5,$G$6,0),)</f>
        <v/>
      </c>
      <c r="B714" s="22" t="str">
        <f t="shared" si="1"/>
        <v/>
      </c>
      <c r="C714" s="14" t="str">
        <f>IF($A714&lt;&gt;"",MINIFS(Merchant!$A:$A,Merchant!$B:$B,$G$2),)</f>
        <v/>
      </c>
      <c r="D714" s="14" t="str">
        <f t="shared" si="2"/>
        <v/>
      </c>
      <c r="E714" s="14" t="str">
        <f t="shared" si="3"/>
        <v/>
      </c>
      <c r="F714" s="6" t="str">
        <f>IF($A714&lt;&gt;"",MAXIFS(Token!$B:$B,Token!$A:$A,$D714),)</f>
        <v/>
      </c>
    </row>
    <row r="715">
      <c r="A715" s="35" t="str">
        <f>IF(AND($L715*1&gt;=$G$3,$L715*1&lt;=$G$4,$I715*$J715&gt;0,CONCATENATE($H715:$L715)&lt;&gt;CONCATENATE($H716:$L716),$I715/POW(10,$J715)*MAXIFS(Token!$B:$B,Token!$A:$A,$K715)&gt;0.01),$L715/86400+DATE(1970,1,1)+IF($L715*1&gt;=$G$5,$G$6,0),)</f>
        <v/>
      </c>
      <c r="B715" s="22" t="str">
        <f t="shared" si="1"/>
        <v/>
      </c>
      <c r="C715" s="14" t="str">
        <f>IF($A715&lt;&gt;"",MINIFS(Merchant!$A:$A,Merchant!$B:$B,$G$2),)</f>
        <v/>
      </c>
      <c r="D715" s="14" t="str">
        <f t="shared" si="2"/>
        <v/>
      </c>
      <c r="E715" s="14" t="str">
        <f t="shared" si="3"/>
        <v/>
      </c>
      <c r="F715" s="6" t="str">
        <f>IF($A715&lt;&gt;"",MAXIFS(Token!$B:$B,Token!$A:$A,$D715),)</f>
        <v/>
      </c>
    </row>
    <row r="716">
      <c r="A716" s="35" t="str">
        <f>IF(AND($L716*1&gt;=$G$3,$L716*1&lt;=$G$4,$I716*$J716&gt;0,CONCATENATE($H716:$L716)&lt;&gt;CONCATENATE($H717:$L717),$I716/POW(10,$J716)*MAXIFS(Token!$B:$B,Token!$A:$A,$K716)&gt;0.01),$L716/86400+DATE(1970,1,1)+IF($L716*1&gt;=$G$5,$G$6,0),)</f>
        <v/>
      </c>
      <c r="B716" s="22" t="str">
        <f t="shared" si="1"/>
        <v/>
      </c>
      <c r="C716" s="14" t="str">
        <f>IF($A716&lt;&gt;"",MINIFS(Merchant!$A:$A,Merchant!$B:$B,$G$2),)</f>
        <v/>
      </c>
      <c r="D716" s="14" t="str">
        <f t="shared" si="2"/>
        <v/>
      </c>
      <c r="E716" s="14" t="str">
        <f t="shared" si="3"/>
        <v/>
      </c>
      <c r="F716" s="6" t="str">
        <f>IF($A716&lt;&gt;"",MAXIFS(Token!$B:$B,Token!$A:$A,$D716),)</f>
        <v/>
      </c>
    </row>
    <row r="717">
      <c r="A717" s="35" t="str">
        <f>IF(AND($L717*1&gt;=$G$3,$L717*1&lt;=$G$4,$I717*$J717&gt;0,CONCATENATE($H717:$L717)&lt;&gt;CONCATENATE($H718:$L718),$I717/POW(10,$J717)*MAXIFS(Token!$B:$B,Token!$A:$A,$K717)&gt;0.01),$L717/86400+DATE(1970,1,1)+IF($L717*1&gt;=$G$5,$G$6,0),)</f>
        <v/>
      </c>
      <c r="B717" s="22" t="str">
        <f t="shared" si="1"/>
        <v/>
      </c>
      <c r="C717" s="14" t="str">
        <f>IF($A717&lt;&gt;"",MINIFS(Merchant!$A:$A,Merchant!$B:$B,$G$2),)</f>
        <v/>
      </c>
      <c r="D717" s="14" t="str">
        <f t="shared" si="2"/>
        <v/>
      </c>
      <c r="E717" s="14" t="str">
        <f t="shared" si="3"/>
        <v/>
      </c>
      <c r="F717" s="6" t="str">
        <f>IF($A717&lt;&gt;"",MAXIFS(Token!$B:$B,Token!$A:$A,$D717),)</f>
        <v/>
      </c>
    </row>
    <row r="718">
      <c r="A718" s="35" t="str">
        <f>IF(AND($L718*1&gt;=$G$3,$L718*1&lt;=$G$4,$I718*$J718&gt;0,CONCATENATE($H718:$L718)&lt;&gt;CONCATENATE($H719:$L719),$I718/POW(10,$J718)*MAXIFS(Token!$B:$B,Token!$A:$A,$K718)&gt;0.01),$L718/86400+DATE(1970,1,1)+IF($L718*1&gt;=$G$5,$G$6,0),)</f>
        <v/>
      </c>
      <c r="B718" s="22" t="str">
        <f t="shared" si="1"/>
        <v/>
      </c>
      <c r="C718" s="14" t="str">
        <f>IF($A718&lt;&gt;"",MINIFS(Merchant!$A:$A,Merchant!$B:$B,$G$2),)</f>
        <v/>
      </c>
      <c r="D718" s="14" t="str">
        <f t="shared" si="2"/>
        <v/>
      </c>
      <c r="E718" s="14" t="str">
        <f t="shared" si="3"/>
        <v/>
      </c>
      <c r="F718" s="6" t="str">
        <f>IF($A718&lt;&gt;"",MAXIFS(Token!$B:$B,Token!$A:$A,$D718),)</f>
        <v/>
      </c>
    </row>
    <row r="719">
      <c r="A719" s="35" t="str">
        <f>IF(AND($L719*1&gt;=$G$3,$L719*1&lt;=$G$4,$I719*$J719&gt;0,CONCATENATE($H719:$L719)&lt;&gt;CONCATENATE($H720:$L720),$I719/POW(10,$J719)*MAXIFS(Token!$B:$B,Token!$A:$A,$K719)&gt;0.01),$L719/86400+DATE(1970,1,1)+IF($L719*1&gt;=$G$5,$G$6,0),)</f>
        <v/>
      </c>
      <c r="B719" s="22" t="str">
        <f t="shared" si="1"/>
        <v/>
      </c>
      <c r="C719" s="14" t="str">
        <f>IF($A719&lt;&gt;"",MINIFS(Merchant!$A:$A,Merchant!$B:$B,$G$2),)</f>
        <v/>
      </c>
      <c r="D719" s="14" t="str">
        <f t="shared" si="2"/>
        <v/>
      </c>
      <c r="E719" s="14" t="str">
        <f t="shared" si="3"/>
        <v/>
      </c>
      <c r="F719" s="6" t="str">
        <f>IF($A719&lt;&gt;"",MAXIFS(Token!$B:$B,Token!$A:$A,$D719),)</f>
        <v/>
      </c>
    </row>
    <row r="720">
      <c r="A720" s="35" t="str">
        <f>IF(AND($L720*1&gt;=$G$3,$L720*1&lt;=$G$4,$I720*$J720&gt;0,CONCATENATE($H720:$L720)&lt;&gt;CONCATENATE($H721:$L721),$I720/POW(10,$J720)*MAXIFS(Token!$B:$B,Token!$A:$A,$K720)&gt;0.01),$L720/86400+DATE(1970,1,1)+IF($L720*1&gt;=$G$5,$G$6,0),)</f>
        <v/>
      </c>
      <c r="B720" s="22" t="str">
        <f t="shared" si="1"/>
        <v/>
      </c>
      <c r="C720" s="14" t="str">
        <f>IF($A720&lt;&gt;"",MINIFS(Merchant!$A:$A,Merchant!$B:$B,$G$2),)</f>
        <v/>
      </c>
      <c r="D720" s="14" t="str">
        <f t="shared" si="2"/>
        <v/>
      </c>
      <c r="E720" s="14" t="str">
        <f t="shared" si="3"/>
        <v/>
      </c>
      <c r="F720" s="6" t="str">
        <f>IF($A720&lt;&gt;"",MAXIFS(Token!$B:$B,Token!$A:$A,$D720),)</f>
        <v/>
      </c>
    </row>
    <row r="721">
      <c r="A721" s="35" t="str">
        <f>IF(AND($L721*1&gt;=$G$3,$L721*1&lt;=$G$4,$I721*$J721&gt;0,CONCATENATE($H721:$L721)&lt;&gt;CONCATENATE($H722:$L722),$I721/POW(10,$J721)*MAXIFS(Token!$B:$B,Token!$A:$A,$K721)&gt;0.01),$L721/86400+DATE(1970,1,1)+IF($L721*1&gt;=$G$5,$G$6,0),)</f>
        <v/>
      </c>
      <c r="B721" s="22" t="str">
        <f t="shared" si="1"/>
        <v/>
      </c>
      <c r="C721" s="14" t="str">
        <f>IF($A721&lt;&gt;"",MINIFS(Merchant!$A:$A,Merchant!$B:$B,$G$2),)</f>
        <v/>
      </c>
      <c r="D721" s="14" t="str">
        <f t="shared" si="2"/>
        <v/>
      </c>
      <c r="E721" s="14" t="str">
        <f t="shared" si="3"/>
        <v/>
      </c>
      <c r="F721" s="6" t="str">
        <f>IF($A721&lt;&gt;"",MAXIFS(Token!$B:$B,Token!$A:$A,$D721),)</f>
        <v/>
      </c>
    </row>
    <row r="722">
      <c r="A722" s="35" t="str">
        <f>IF(AND($L722*1&gt;=$G$3,$L722*1&lt;=$G$4,$I722*$J722&gt;0,CONCATENATE($H722:$L722)&lt;&gt;CONCATENATE($H723:$L723),$I722/POW(10,$J722)*MAXIFS(Token!$B:$B,Token!$A:$A,$K722)&gt;0.01),$L722/86400+DATE(1970,1,1)+IF($L722*1&gt;=$G$5,$G$6,0),)</f>
        <v/>
      </c>
      <c r="B722" s="22" t="str">
        <f t="shared" si="1"/>
        <v/>
      </c>
      <c r="C722" s="14" t="str">
        <f>IF($A722&lt;&gt;"",MINIFS(Merchant!$A:$A,Merchant!$B:$B,$G$2),)</f>
        <v/>
      </c>
      <c r="D722" s="14" t="str">
        <f t="shared" si="2"/>
        <v/>
      </c>
      <c r="E722" s="14" t="str">
        <f t="shared" si="3"/>
        <v/>
      </c>
      <c r="F722" s="6" t="str">
        <f>IF($A722&lt;&gt;"",MAXIFS(Token!$B:$B,Token!$A:$A,$D722),)</f>
        <v/>
      </c>
    </row>
    <row r="723">
      <c r="A723" s="35" t="str">
        <f>IF(AND($L723*1&gt;=$G$3,$L723*1&lt;=$G$4,$I723*$J723&gt;0,CONCATENATE($H723:$L723)&lt;&gt;CONCATENATE($H724:$L724),$I723/POW(10,$J723)*MAXIFS(Token!$B:$B,Token!$A:$A,$K723)&gt;0.01),$L723/86400+DATE(1970,1,1)+IF($L723*1&gt;=$G$5,$G$6,0),)</f>
        <v/>
      </c>
      <c r="B723" s="22" t="str">
        <f t="shared" si="1"/>
        <v/>
      </c>
      <c r="C723" s="14" t="str">
        <f>IF($A723&lt;&gt;"",MINIFS(Merchant!$A:$A,Merchant!$B:$B,$G$2),)</f>
        <v/>
      </c>
      <c r="D723" s="14" t="str">
        <f t="shared" si="2"/>
        <v/>
      </c>
      <c r="E723" s="14" t="str">
        <f t="shared" si="3"/>
        <v/>
      </c>
      <c r="F723" s="6" t="str">
        <f>IF($A723&lt;&gt;"",MAXIFS(Token!$B:$B,Token!$A:$A,$D723),)</f>
        <v/>
      </c>
    </row>
    <row r="724">
      <c r="A724" s="35" t="str">
        <f>IF(AND($L724*1&gt;=$G$3,$L724*1&lt;=$G$4,$I724*$J724&gt;0,CONCATENATE($H724:$L724)&lt;&gt;CONCATENATE($H725:$L725),$I724/POW(10,$J724)*MAXIFS(Token!$B:$B,Token!$A:$A,$K724)&gt;0.01),$L724/86400+DATE(1970,1,1)+IF($L724*1&gt;=$G$5,$G$6,0),)</f>
        <v/>
      </c>
      <c r="B724" s="22" t="str">
        <f t="shared" si="1"/>
        <v/>
      </c>
      <c r="C724" s="14" t="str">
        <f>IF($A724&lt;&gt;"",MINIFS(Merchant!$A:$A,Merchant!$B:$B,$G$2),)</f>
        <v/>
      </c>
      <c r="D724" s="14" t="str">
        <f t="shared" si="2"/>
        <v/>
      </c>
      <c r="E724" s="14" t="str">
        <f t="shared" si="3"/>
        <v/>
      </c>
      <c r="F724" s="6" t="str">
        <f>IF($A724&lt;&gt;"",MAXIFS(Token!$B:$B,Token!$A:$A,$D724),)</f>
        <v/>
      </c>
    </row>
    <row r="725">
      <c r="A725" s="35" t="str">
        <f>IF(AND($L725*1&gt;=$G$3,$L725*1&lt;=$G$4,$I725*$J725&gt;0,CONCATENATE($H725:$L725)&lt;&gt;CONCATENATE($H726:$L726),$I725/POW(10,$J725)*MAXIFS(Token!$B:$B,Token!$A:$A,$K725)&gt;0.01),$L725/86400+DATE(1970,1,1)+IF($L725*1&gt;=$G$5,$G$6,0),)</f>
        <v/>
      </c>
      <c r="B725" s="22" t="str">
        <f t="shared" si="1"/>
        <v/>
      </c>
      <c r="C725" s="14" t="str">
        <f>IF($A725&lt;&gt;"",MINIFS(Merchant!$A:$A,Merchant!$B:$B,$G$2),)</f>
        <v/>
      </c>
      <c r="D725" s="14" t="str">
        <f t="shared" si="2"/>
        <v/>
      </c>
      <c r="E725" s="14" t="str">
        <f t="shared" si="3"/>
        <v/>
      </c>
      <c r="F725" s="6" t="str">
        <f>IF($A725&lt;&gt;"",MAXIFS(Token!$B:$B,Token!$A:$A,$D725),)</f>
        <v/>
      </c>
    </row>
    <row r="726">
      <c r="A726" s="35" t="str">
        <f>IF(AND($L726*1&gt;=$G$3,$L726*1&lt;=$G$4,$I726*$J726&gt;0,CONCATENATE($H726:$L726)&lt;&gt;CONCATENATE($H727:$L727),$I726/POW(10,$J726)*MAXIFS(Token!$B:$B,Token!$A:$A,$K726)&gt;0.01),$L726/86400+DATE(1970,1,1)+IF($L726*1&gt;=$G$5,$G$6,0),)</f>
        <v/>
      </c>
      <c r="B726" s="22" t="str">
        <f t="shared" si="1"/>
        <v/>
      </c>
      <c r="C726" s="14" t="str">
        <f>IF($A726&lt;&gt;"",MINIFS(Merchant!$A:$A,Merchant!$B:$B,$G$2),)</f>
        <v/>
      </c>
      <c r="D726" s="14" t="str">
        <f t="shared" si="2"/>
        <v/>
      </c>
      <c r="E726" s="14" t="str">
        <f t="shared" si="3"/>
        <v/>
      </c>
      <c r="F726" s="6" t="str">
        <f>IF($A726&lt;&gt;"",MAXIFS(Token!$B:$B,Token!$A:$A,$D726),)</f>
        <v/>
      </c>
    </row>
    <row r="727">
      <c r="A727" s="35" t="str">
        <f>IF(AND($L727*1&gt;=$G$3,$L727*1&lt;=$G$4,$I727*$J727&gt;0,CONCATENATE($H727:$L727)&lt;&gt;CONCATENATE($H728:$L728),$I727/POW(10,$J727)*MAXIFS(Token!$B:$B,Token!$A:$A,$K727)&gt;0.01),$L727/86400+DATE(1970,1,1)+IF($L727*1&gt;=$G$5,$G$6,0),)</f>
        <v/>
      </c>
      <c r="B727" s="22" t="str">
        <f t="shared" si="1"/>
        <v/>
      </c>
      <c r="C727" s="14" t="str">
        <f>IF($A727&lt;&gt;"",MINIFS(Merchant!$A:$A,Merchant!$B:$B,$G$2),)</f>
        <v/>
      </c>
      <c r="D727" s="14" t="str">
        <f t="shared" si="2"/>
        <v/>
      </c>
      <c r="E727" s="14" t="str">
        <f t="shared" si="3"/>
        <v/>
      </c>
      <c r="F727" s="6" t="str">
        <f>IF($A727&lt;&gt;"",MAXIFS(Token!$B:$B,Token!$A:$A,$D727),)</f>
        <v/>
      </c>
    </row>
    <row r="728">
      <c r="A728" s="35" t="str">
        <f>IF(AND($L728*1&gt;=$G$3,$L728*1&lt;=$G$4,$I728*$J728&gt;0,CONCATENATE($H728:$L728)&lt;&gt;CONCATENATE($H729:$L729),$I728/POW(10,$J728)*MAXIFS(Token!$B:$B,Token!$A:$A,$K728)&gt;0.01),$L728/86400+DATE(1970,1,1)+IF($L728*1&gt;=$G$5,$G$6,0),)</f>
        <v/>
      </c>
      <c r="B728" s="22" t="str">
        <f t="shared" si="1"/>
        <v/>
      </c>
      <c r="C728" s="14" t="str">
        <f>IF($A728&lt;&gt;"",MINIFS(Merchant!$A:$A,Merchant!$B:$B,$G$2),)</f>
        <v/>
      </c>
      <c r="D728" s="14" t="str">
        <f t="shared" si="2"/>
        <v/>
      </c>
      <c r="E728" s="14" t="str">
        <f t="shared" si="3"/>
        <v/>
      </c>
      <c r="F728" s="6" t="str">
        <f>IF($A728&lt;&gt;"",MAXIFS(Token!$B:$B,Token!$A:$A,$D728),)</f>
        <v/>
      </c>
    </row>
    <row r="729">
      <c r="A729" s="35" t="str">
        <f>IF(AND($L729*1&gt;=$G$3,$L729*1&lt;=$G$4,$I729*$J729&gt;0,CONCATENATE($H729:$L729)&lt;&gt;CONCATENATE($H730:$L730),$I729/POW(10,$J729)*MAXIFS(Token!$B:$B,Token!$A:$A,$K729)&gt;0.01),$L729/86400+DATE(1970,1,1)+IF($L729*1&gt;=$G$5,$G$6,0),)</f>
        <v/>
      </c>
      <c r="B729" s="22" t="str">
        <f t="shared" si="1"/>
        <v/>
      </c>
      <c r="C729" s="14" t="str">
        <f>IF($A729&lt;&gt;"",MINIFS(Merchant!$A:$A,Merchant!$B:$B,$G$2),)</f>
        <v/>
      </c>
      <c r="D729" s="14" t="str">
        <f t="shared" si="2"/>
        <v/>
      </c>
      <c r="E729" s="14" t="str">
        <f t="shared" si="3"/>
        <v/>
      </c>
      <c r="F729" s="6" t="str">
        <f>IF($A729&lt;&gt;"",MAXIFS(Token!$B:$B,Token!$A:$A,$D729),)</f>
        <v/>
      </c>
    </row>
    <row r="730">
      <c r="A730" s="35" t="str">
        <f>IF(AND($L730*1&gt;=$G$3,$L730*1&lt;=$G$4,$I730*$J730&gt;0,CONCATENATE($H730:$L730)&lt;&gt;CONCATENATE($H731:$L731),$I730/POW(10,$J730)*MAXIFS(Token!$B:$B,Token!$A:$A,$K730)&gt;0.01),$L730/86400+DATE(1970,1,1)+IF($L730*1&gt;=$G$5,$G$6,0),)</f>
        <v/>
      </c>
      <c r="B730" s="22" t="str">
        <f t="shared" si="1"/>
        <v/>
      </c>
      <c r="C730" s="14" t="str">
        <f>IF($A730&lt;&gt;"",MINIFS(Merchant!$A:$A,Merchant!$B:$B,$G$2),)</f>
        <v/>
      </c>
      <c r="D730" s="14" t="str">
        <f t="shared" si="2"/>
        <v/>
      </c>
      <c r="E730" s="14" t="str">
        <f t="shared" si="3"/>
        <v/>
      </c>
      <c r="F730" s="6" t="str">
        <f>IF($A730&lt;&gt;"",MAXIFS(Token!$B:$B,Token!$A:$A,$D730),)</f>
        <v/>
      </c>
    </row>
    <row r="731">
      <c r="A731" s="35" t="str">
        <f>IF(AND($L731*1&gt;=$G$3,$L731*1&lt;=$G$4,$I731*$J731&gt;0,CONCATENATE($H731:$L731)&lt;&gt;CONCATENATE($H732:$L732),$I731/POW(10,$J731)*MAXIFS(Token!$B:$B,Token!$A:$A,$K731)&gt;0.01),$L731/86400+DATE(1970,1,1)+IF($L731*1&gt;=$G$5,$G$6,0),)</f>
        <v/>
      </c>
      <c r="B731" s="22" t="str">
        <f t="shared" si="1"/>
        <v/>
      </c>
      <c r="C731" s="14" t="str">
        <f>IF($A731&lt;&gt;"",MINIFS(Merchant!$A:$A,Merchant!$B:$B,$G$2),)</f>
        <v/>
      </c>
      <c r="D731" s="14" t="str">
        <f t="shared" si="2"/>
        <v/>
      </c>
      <c r="E731" s="14" t="str">
        <f t="shared" si="3"/>
        <v/>
      </c>
      <c r="F731" s="6" t="str">
        <f>IF($A731&lt;&gt;"",MAXIFS(Token!$B:$B,Token!$A:$A,$D731),)</f>
        <v/>
      </c>
    </row>
    <row r="732">
      <c r="A732" s="35" t="str">
        <f>IF(AND($L732*1&gt;=$G$3,$L732*1&lt;=$G$4,$I732*$J732&gt;0,CONCATENATE($H732:$L732)&lt;&gt;CONCATENATE($H733:$L733),$I732/POW(10,$J732)*MAXIFS(Token!$B:$B,Token!$A:$A,$K732)&gt;0.01),$L732/86400+DATE(1970,1,1)+IF($L732*1&gt;=$G$5,$G$6,0),)</f>
        <v/>
      </c>
      <c r="B732" s="22" t="str">
        <f t="shared" si="1"/>
        <v/>
      </c>
      <c r="C732" s="14" t="str">
        <f>IF($A732&lt;&gt;"",MINIFS(Merchant!$A:$A,Merchant!$B:$B,$G$2),)</f>
        <v/>
      </c>
      <c r="D732" s="14" t="str">
        <f t="shared" si="2"/>
        <v/>
      </c>
      <c r="E732" s="14" t="str">
        <f t="shared" si="3"/>
        <v/>
      </c>
      <c r="F732" s="6" t="str">
        <f>IF($A732&lt;&gt;"",MAXIFS(Token!$B:$B,Token!$A:$A,$D732),)</f>
        <v/>
      </c>
    </row>
    <row r="733">
      <c r="A733" s="35" t="str">
        <f>IF(AND($L733*1&gt;=$G$3,$L733*1&lt;=$G$4,$I733*$J733&gt;0,CONCATENATE($H733:$L733)&lt;&gt;CONCATENATE($H734:$L734),$I733/POW(10,$J733)*MAXIFS(Token!$B:$B,Token!$A:$A,$K733)&gt;0.01),$L733/86400+DATE(1970,1,1)+IF($L733*1&gt;=$G$5,$G$6,0),)</f>
        <v/>
      </c>
      <c r="B733" s="22" t="str">
        <f t="shared" si="1"/>
        <v/>
      </c>
      <c r="C733" s="14" t="str">
        <f>IF($A733&lt;&gt;"",MINIFS(Merchant!$A:$A,Merchant!$B:$B,$G$2),)</f>
        <v/>
      </c>
      <c r="D733" s="14" t="str">
        <f t="shared" si="2"/>
        <v/>
      </c>
      <c r="E733" s="14" t="str">
        <f t="shared" si="3"/>
        <v/>
      </c>
      <c r="F733" s="6" t="str">
        <f>IF($A733&lt;&gt;"",MAXIFS(Token!$B:$B,Token!$A:$A,$D733),)</f>
        <v/>
      </c>
    </row>
    <row r="734">
      <c r="A734" s="35" t="str">
        <f>IF(AND($L734*1&gt;=$G$3,$L734*1&lt;=$G$4,$I734*$J734&gt;0,CONCATENATE($H734:$L734)&lt;&gt;CONCATENATE($H735:$L735),$I734/POW(10,$J734)*MAXIFS(Token!$B:$B,Token!$A:$A,$K734)&gt;0.01),$L734/86400+DATE(1970,1,1)+IF($L734*1&gt;=$G$5,$G$6,0),)</f>
        <v/>
      </c>
      <c r="B734" s="22" t="str">
        <f t="shared" si="1"/>
        <v/>
      </c>
      <c r="C734" s="14" t="str">
        <f>IF($A734&lt;&gt;"",MINIFS(Merchant!$A:$A,Merchant!$B:$B,$G$2),)</f>
        <v/>
      </c>
      <c r="D734" s="14" t="str">
        <f t="shared" si="2"/>
        <v/>
      </c>
      <c r="E734" s="14" t="str">
        <f t="shared" si="3"/>
        <v/>
      </c>
      <c r="F734" s="6" t="str">
        <f>IF($A734&lt;&gt;"",MAXIFS(Token!$B:$B,Token!$A:$A,$D734),)</f>
        <v/>
      </c>
    </row>
    <row r="735">
      <c r="A735" s="35" t="str">
        <f>IF(AND($L735*1&gt;=$G$3,$L735*1&lt;=$G$4,$I735*$J735&gt;0,CONCATENATE($H735:$L735)&lt;&gt;CONCATENATE($H736:$L736),$I735/POW(10,$J735)*MAXIFS(Token!$B:$B,Token!$A:$A,$K735)&gt;0.01),$L735/86400+DATE(1970,1,1)+IF($L735*1&gt;=$G$5,$G$6,0),)</f>
        <v/>
      </c>
      <c r="B735" s="22" t="str">
        <f t="shared" si="1"/>
        <v/>
      </c>
      <c r="C735" s="14" t="str">
        <f>IF($A735&lt;&gt;"",MINIFS(Merchant!$A:$A,Merchant!$B:$B,$G$2),)</f>
        <v/>
      </c>
      <c r="D735" s="14" t="str">
        <f t="shared" si="2"/>
        <v/>
      </c>
      <c r="E735" s="14" t="str">
        <f t="shared" si="3"/>
        <v/>
      </c>
      <c r="F735" s="6" t="str">
        <f>IF($A735&lt;&gt;"",MAXIFS(Token!$B:$B,Token!$A:$A,$D735),)</f>
        <v/>
      </c>
    </row>
    <row r="736">
      <c r="A736" s="35" t="str">
        <f>IF(AND($L736*1&gt;=$G$3,$L736*1&lt;=$G$4,$I736*$J736&gt;0,CONCATENATE($H736:$L736)&lt;&gt;CONCATENATE($H737:$L737),$I736/POW(10,$J736)*MAXIFS(Token!$B:$B,Token!$A:$A,$K736)&gt;0.01),$L736/86400+DATE(1970,1,1)+IF($L736*1&gt;=$G$5,$G$6,0),)</f>
        <v/>
      </c>
      <c r="B736" s="22" t="str">
        <f t="shared" si="1"/>
        <v/>
      </c>
      <c r="C736" s="14" t="str">
        <f>IF($A736&lt;&gt;"",MINIFS(Merchant!$A:$A,Merchant!$B:$B,$G$2),)</f>
        <v/>
      </c>
      <c r="D736" s="14" t="str">
        <f t="shared" si="2"/>
        <v/>
      </c>
      <c r="E736" s="14" t="str">
        <f t="shared" si="3"/>
        <v/>
      </c>
      <c r="F736" s="6" t="str">
        <f>IF($A736&lt;&gt;"",MAXIFS(Token!$B:$B,Token!$A:$A,$D736),)</f>
        <v/>
      </c>
    </row>
    <row r="737">
      <c r="A737" s="35" t="str">
        <f>IF(AND($L737*1&gt;=$G$3,$L737*1&lt;=$G$4,$I737*$J737&gt;0,CONCATENATE($H737:$L737)&lt;&gt;CONCATENATE($H738:$L738),$I737/POW(10,$J737)*MAXIFS(Token!$B:$B,Token!$A:$A,$K737)&gt;0.01),$L737/86400+DATE(1970,1,1)+IF($L737*1&gt;=$G$5,$G$6,0),)</f>
        <v/>
      </c>
      <c r="B737" s="22" t="str">
        <f t="shared" si="1"/>
        <v/>
      </c>
      <c r="C737" s="14" t="str">
        <f>IF($A737&lt;&gt;"",MINIFS(Merchant!$A:$A,Merchant!$B:$B,$G$2),)</f>
        <v/>
      </c>
      <c r="D737" s="14" t="str">
        <f t="shared" si="2"/>
        <v/>
      </c>
      <c r="E737" s="14" t="str">
        <f t="shared" si="3"/>
        <v/>
      </c>
      <c r="F737" s="6" t="str">
        <f>IF($A737&lt;&gt;"",MAXIFS(Token!$B:$B,Token!$A:$A,$D737),)</f>
        <v/>
      </c>
    </row>
    <row r="738">
      <c r="A738" s="35" t="str">
        <f>IF(AND($L738*1&gt;=$G$3,$L738*1&lt;=$G$4,$I738*$J738&gt;0,CONCATENATE($H738:$L738)&lt;&gt;CONCATENATE($H739:$L739),$I738/POW(10,$J738)*MAXIFS(Token!$B:$B,Token!$A:$A,$K738)&gt;0.01),$L738/86400+DATE(1970,1,1)+IF($L738*1&gt;=$G$5,$G$6,0),)</f>
        <v/>
      </c>
      <c r="B738" s="22" t="str">
        <f t="shared" si="1"/>
        <v/>
      </c>
      <c r="C738" s="14" t="str">
        <f>IF($A738&lt;&gt;"",MINIFS(Merchant!$A:$A,Merchant!$B:$B,$G$2),)</f>
        <v/>
      </c>
      <c r="D738" s="14" t="str">
        <f t="shared" si="2"/>
        <v/>
      </c>
      <c r="E738" s="14" t="str">
        <f t="shared" si="3"/>
        <v/>
      </c>
      <c r="F738" s="6" t="str">
        <f>IF($A738&lt;&gt;"",MAXIFS(Token!$B:$B,Token!$A:$A,$D738),)</f>
        <v/>
      </c>
    </row>
    <row r="739">
      <c r="A739" s="35" t="str">
        <f>IF(AND($L739*1&gt;=$G$3,$L739*1&lt;=$G$4,$I739*$J739&gt;0,CONCATENATE($H739:$L739)&lt;&gt;CONCATENATE($H740:$L740),$I739/POW(10,$J739)*MAXIFS(Token!$B:$B,Token!$A:$A,$K739)&gt;0.01),$L739/86400+DATE(1970,1,1)+IF($L739*1&gt;=$G$5,$G$6,0),)</f>
        <v/>
      </c>
      <c r="B739" s="22" t="str">
        <f t="shared" si="1"/>
        <v/>
      </c>
      <c r="C739" s="14" t="str">
        <f>IF($A739&lt;&gt;"",MINIFS(Merchant!$A:$A,Merchant!$B:$B,$G$2),)</f>
        <v/>
      </c>
      <c r="D739" s="14" t="str">
        <f t="shared" si="2"/>
        <v/>
      </c>
      <c r="E739" s="14" t="str">
        <f t="shared" si="3"/>
        <v/>
      </c>
      <c r="F739" s="6" t="str">
        <f>IF($A739&lt;&gt;"",MAXIFS(Token!$B:$B,Token!$A:$A,$D739),)</f>
        <v/>
      </c>
    </row>
    <row r="740">
      <c r="A740" s="35" t="str">
        <f>IF(AND($L740*1&gt;=$G$3,$L740*1&lt;=$G$4,$I740*$J740&gt;0,CONCATENATE($H740:$L740)&lt;&gt;CONCATENATE($H741:$L741),$I740/POW(10,$J740)*MAXIFS(Token!$B:$B,Token!$A:$A,$K740)&gt;0.01),$L740/86400+DATE(1970,1,1)+IF($L740*1&gt;=$G$5,$G$6,0),)</f>
        <v/>
      </c>
      <c r="B740" s="22" t="str">
        <f t="shared" si="1"/>
        <v/>
      </c>
      <c r="C740" s="14" t="str">
        <f>IF($A740&lt;&gt;"",MINIFS(Merchant!$A:$A,Merchant!$B:$B,$G$2),)</f>
        <v/>
      </c>
      <c r="D740" s="14" t="str">
        <f t="shared" si="2"/>
        <v/>
      </c>
      <c r="E740" s="14" t="str">
        <f t="shared" si="3"/>
        <v/>
      </c>
      <c r="F740" s="6" t="str">
        <f>IF($A740&lt;&gt;"",MAXIFS(Token!$B:$B,Token!$A:$A,$D740),)</f>
        <v/>
      </c>
    </row>
    <row r="741">
      <c r="A741" s="35" t="str">
        <f>IF(AND($L741*1&gt;=$G$3,$L741*1&lt;=$G$4,$I741*$J741&gt;0,CONCATENATE($H741:$L741)&lt;&gt;CONCATENATE($H742:$L742),$I741/POW(10,$J741)*MAXIFS(Token!$B:$B,Token!$A:$A,$K741)&gt;0.01),$L741/86400+DATE(1970,1,1)+IF($L741*1&gt;=$G$5,$G$6,0),)</f>
        <v/>
      </c>
      <c r="B741" s="22" t="str">
        <f t="shared" si="1"/>
        <v/>
      </c>
      <c r="C741" s="14" t="str">
        <f>IF($A741&lt;&gt;"",MINIFS(Merchant!$A:$A,Merchant!$B:$B,$G$2),)</f>
        <v/>
      </c>
      <c r="D741" s="14" t="str">
        <f t="shared" si="2"/>
        <v/>
      </c>
      <c r="E741" s="14" t="str">
        <f t="shared" si="3"/>
        <v/>
      </c>
      <c r="F741" s="6" t="str">
        <f>IF($A741&lt;&gt;"",MAXIFS(Token!$B:$B,Token!$A:$A,$D741),)</f>
        <v/>
      </c>
    </row>
    <row r="742">
      <c r="A742" s="35" t="str">
        <f>IF(AND($L742*1&gt;=$G$3,$L742*1&lt;=$G$4,$I742*$J742&gt;0,CONCATENATE($H742:$L742)&lt;&gt;CONCATENATE($H743:$L743),$I742/POW(10,$J742)*MAXIFS(Token!$B:$B,Token!$A:$A,$K742)&gt;0.01),$L742/86400+DATE(1970,1,1)+IF($L742*1&gt;=$G$5,$G$6,0),)</f>
        <v/>
      </c>
      <c r="B742" s="22" t="str">
        <f t="shared" si="1"/>
        <v/>
      </c>
      <c r="C742" s="14" t="str">
        <f>IF($A742&lt;&gt;"",MINIFS(Merchant!$A:$A,Merchant!$B:$B,$G$2),)</f>
        <v/>
      </c>
      <c r="D742" s="14" t="str">
        <f t="shared" si="2"/>
        <v/>
      </c>
      <c r="E742" s="14" t="str">
        <f t="shared" si="3"/>
        <v/>
      </c>
      <c r="F742" s="6" t="str">
        <f>IF($A742&lt;&gt;"",MAXIFS(Token!$B:$B,Token!$A:$A,$D742),)</f>
        <v/>
      </c>
    </row>
    <row r="743">
      <c r="A743" s="35" t="str">
        <f>IF(AND($L743*1&gt;=$G$3,$L743*1&lt;=$G$4,$I743*$J743&gt;0,CONCATENATE($H743:$L743)&lt;&gt;CONCATENATE($H744:$L744),$I743/POW(10,$J743)*MAXIFS(Token!$B:$B,Token!$A:$A,$K743)&gt;0.01),$L743/86400+DATE(1970,1,1)+IF($L743*1&gt;=$G$5,$G$6,0),)</f>
        <v/>
      </c>
      <c r="B743" s="22" t="str">
        <f t="shared" si="1"/>
        <v/>
      </c>
      <c r="C743" s="14" t="str">
        <f>IF($A743&lt;&gt;"",MINIFS(Merchant!$A:$A,Merchant!$B:$B,$G$2),)</f>
        <v/>
      </c>
      <c r="D743" s="14" t="str">
        <f t="shared" si="2"/>
        <v/>
      </c>
      <c r="E743" s="14" t="str">
        <f t="shared" si="3"/>
        <v/>
      </c>
      <c r="F743" s="6" t="str">
        <f>IF($A743&lt;&gt;"",MAXIFS(Token!$B:$B,Token!$A:$A,$D743),)</f>
        <v/>
      </c>
    </row>
    <row r="744">
      <c r="A744" s="35" t="str">
        <f>IF(AND($L744*1&gt;=$G$3,$L744*1&lt;=$G$4,$I744*$J744&gt;0,CONCATENATE($H744:$L744)&lt;&gt;CONCATENATE($H745:$L745),$I744/POW(10,$J744)*MAXIFS(Token!$B:$B,Token!$A:$A,$K744)&gt;0.01),$L744/86400+DATE(1970,1,1)+IF($L744*1&gt;=$G$5,$G$6,0),)</f>
        <v/>
      </c>
      <c r="B744" s="22" t="str">
        <f t="shared" si="1"/>
        <v/>
      </c>
      <c r="C744" s="14" t="str">
        <f>IF($A744&lt;&gt;"",MINIFS(Merchant!$A:$A,Merchant!$B:$B,$G$2),)</f>
        <v/>
      </c>
      <c r="D744" s="14" t="str">
        <f t="shared" si="2"/>
        <v/>
      </c>
      <c r="E744" s="14" t="str">
        <f t="shared" si="3"/>
        <v/>
      </c>
      <c r="F744" s="6" t="str">
        <f>IF($A744&lt;&gt;"",MAXIFS(Token!$B:$B,Token!$A:$A,$D744),)</f>
        <v/>
      </c>
    </row>
    <row r="745">
      <c r="A745" s="35" t="str">
        <f>IF(AND($L745*1&gt;=$G$3,$L745*1&lt;=$G$4,$I745*$J745&gt;0,CONCATENATE($H745:$L745)&lt;&gt;CONCATENATE($H746:$L746),$I745/POW(10,$J745)*MAXIFS(Token!$B:$B,Token!$A:$A,$K745)&gt;0.01),$L745/86400+DATE(1970,1,1)+IF($L745*1&gt;=$G$5,$G$6,0),)</f>
        <v/>
      </c>
      <c r="B745" s="22" t="str">
        <f t="shared" si="1"/>
        <v/>
      </c>
      <c r="C745" s="14" t="str">
        <f>IF($A745&lt;&gt;"",MINIFS(Merchant!$A:$A,Merchant!$B:$B,$G$2),)</f>
        <v/>
      </c>
      <c r="D745" s="14" t="str">
        <f t="shared" si="2"/>
        <v/>
      </c>
      <c r="E745" s="14" t="str">
        <f t="shared" si="3"/>
        <v/>
      </c>
      <c r="F745" s="6" t="str">
        <f>IF($A745&lt;&gt;"",MAXIFS(Token!$B:$B,Token!$A:$A,$D745),)</f>
        <v/>
      </c>
    </row>
    <row r="746">
      <c r="A746" s="35" t="str">
        <f>IF(AND($L746*1&gt;=$G$3,$L746*1&lt;=$G$4,$I746*$J746&gt;0,CONCATENATE($H746:$L746)&lt;&gt;CONCATENATE($H747:$L747),$I746/POW(10,$J746)*MAXIFS(Token!$B:$B,Token!$A:$A,$K746)&gt;0.01),$L746/86400+DATE(1970,1,1)+IF($L746*1&gt;=$G$5,$G$6,0),)</f>
        <v/>
      </c>
      <c r="B746" s="22" t="str">
        <f t="shared" si="1"/>
        <v/>
      </c>
      <c r="C746" s="14" t="str">
        <f>IF($A746&lt;&gt;"",MINIFS(Merchant!$A:$A,Merchant!$B:$B,$G$2),)</f>
        <v/>
      </c>
      <c r="D746" s="14" t="str">
        <f t="shared" si="2"/>
        <v/>
      </c>
      <c r="E746" s="14" t="str">
        <f t="shared" si="3"/>
        <v/>
      </c>
      <c r="F746" s="6" t="str">
        <f>IF($A746&lt;&gt;"",MAXIFS(Token!$B:$B,Token!$A:$A,$D746),)</f>
        <v/>
      </c>
    </row>
    <row r="747">
      <c r="A747" s="35" t="str">
        <f>IF(AND($L747*1&gt;=$G$3,$L747*1&lt;=$G$4,$I747*$J747&gt;0,CONCATENATE($H747:$L747)&lt;&gt;CONCATENATE($H748:$L748),$I747/POW(10,$J747)*MAXIFS(Token!$B:$B,Token!$A:$A,$K747)&gt;0.01),$L747/86400+DATE(1970,1,1)+IF($L747*1&gt;=$G$5,$G$6,0),)</f>
        <v/>
      </c>
      <c r="B747" s="22" t="str">
        <f t="shared" si="1"/>
        <v/>
      </c>
      <c r="C747" s="14" t="str">
        <f>IF($A747&lt;&gt;"",MINIFS(Merchant!$A:$A,Merchant!$B:$B,$G$2),)</f>
        <v/>
      </c>
      <c r="D747" s="14" t="str">
        <f t="shared" si="2"/>
        <v/>
      </c>
      <c r="E747" s="14" t="str">
        <f t="shared" si="3"/>
        <v/>
      </c>
      <c r="F747" s="6" t="str">
        <f>IF($A747&lt;&gt;"",MAXIFS(Token!$B:$B,Token!$A:$A,$D747),)</f>
        <v/>
      </c>
    </row>
    <row r="748">
      <c r="A748" s="35" t="str">
        <f>IF(AND($L748*1&gt;=$G$3,$L748*1&lt;=$G$4,$I748*$J748&gt;0,CONCATENATE($H748:$L748)&lt;&gt;CONCATENATE($H749:$L749),$I748/POW(10,$J748)*MAXIFS(Token!$B:$B,Token!$A:$A,$K748)&gt;0.01),$L748/86400+DATE(1970,1,1)+IF($L748*1&gt;=$G$5,$G$6,0),)</f>
        <v/>
      </c>
      <c r="B748" s="22" t="str">
        <f t="shared" si="1"/>
        <v/>
      </c>
      <c r="C748" s="14" t="str">
        <f>IF($A748&lt;&gt;"",MINIFS(Merchant!$A:$A,Merchant!$B:$B,$G$2),)</f>
        <v/>
      </c>
      <c r="D748" s="14" t="str">
        <f t="shared" si="2"/>
        <v/>
      </c>
      <c r="E748" s="14" t="str">
        <f t="shared" si="3"/>
        <v/>
      </c>
      <c r="F748" s="6" t="str">
        <f>IF($A748&lt;&gt;"",MAXIFS(Token!$B:$B,Token!$A:$A,$D748),)</f>
        <v/>
      </c>
    </row>
    <row r="749">
      <c r="A749" s="35" t="str">
        <f>IF(AND($L749*1&gt;=$G$3,$L749*1&lt;=$G$4,$I749*$J749&gt;0,CONCATENATE($H749:$L749)&lt;&gt;CONCATENATE($H750:$L750),$I749/POW(10,$J749)*MAXIFS(Token!$B:$B,Token!$A:$A,$K749)&gt;0.01),$L749/86400+DATE(1970,1,1)+IF($L749*1&gt;=$G$5,$G$6,0),)</f>
        <v/>
      </c>
      <c r="B749" s="22" t="str">
        <f t="shared" si="1"/>
        <v/>
      </c>
      <c r="C749" s="14" t="str">
        <f>IF($A749&lt;&gt;"",MINIFS(Merchant!$A:$A,Merchant!$B:$B,$G$2),)</f>
        <v/>
      </c>
      <c r="D749" s="14" t="str">
        <f t="shared" si="2"/>
        <v/>
      </c>
      <c r="E749" s="14" t="str">
        <f t="shared" si="3"/>
        <v/>
      </c>
      <c r="F749" s="6" t="str">
        <f>IF($A749&lt;&gt;"",MAXIFS(Token!$B:$B,Token!$A:$A,$D749),)</f>
        <v/>
      </c>
    </row>
    <row r="750">
      <c r="A750" s="35" t="str">
        <f>IF(AND($L750*1&gt;=$G$3,$L750*1&lt;=$G$4,$I750*$J750&gt;0,CONCATENATE($H750:$L750)&lt;&gt;CONCATENATE($H751:$L751),$I750/POW(10,$J750)*MAXIFS(Token!$B:$B,Token!$A:$A,$K750)&gt;0.01),$L750/86400+DATE(1970,1,1)+IF($L750*1&gt;=$G$5,$G$6,0),)</f>
        <v/>
      </c>
      <c r="B750" s="22" t="str">
        <f t="shared" si="1"/>
        <v/>
      </c>
      <c r="C750" s="14" t="str">
        <f>IF($A750&lt;&gt;"",MINIFS(Merchant!$A:$A,Merchant!$B:$B,$G$2),)</f>
        <v/>
      </c>
      <c r="D750" s="14" t="str">
        <f t="shared" si="2"/>
        <v/>
      </c>
      <c r="E750" s="14" t="str">
        <f t="shared" si="3"/>
        <v/>
      </c>
      <c r="F750" s="6" t="str">
        <f>IF($A750&lt;&gt;"",MAXIFS(Token!$B:$B,Token!$A:$A,$D750),)</f>
        <v/>
      </c>
    </row>
    <row r="751">
      <c r="A751" s="35" t="str">
        <f>IF(AND($L751*1&gt;=$G$3,$L751*1&lt;=$G$4,$I751*$J751&gt;0,CONCATENATE($H751:$L751)&lt;&gt;CONCATENATE($H752:$L752),$I751/POW(10,$J751)*MAXIFS(Token!$B:$B,Token!$A:$A,$K751)&gt;0.01),$L751/86400+DATE(1970,1,1)+IF($L751*1&gt;=$G$5,$G$6,0),)</f>
        <v/>
      </c>
      <c r="B751" s="22" t="str">
        <f t="shared" si="1"/>
        <v/>
      </c>
      <c r="C751" s="14" t="str">
        <f>IF($A751&lt;&gt;"",MINIFS(Merchant!$A:$A,Merchant!$B:$B,$G$2),)</f>
        <v/>
      </c>
      <c r="D751" s="14" t="str">
        <f t="shared" si="2"/>
        <v/>
      </c>
      <c r="E751" s="14" t="str">
        <f t="shared" si="3"/>
        <v/>
      </c>
      <c r="F751" s="6" t="str">
        <f>IF($A751&lt;&gt;"",MAXIFS(Token!$B:$B,Token!$A:$A,$D751),)</f>
        <v/>
      </c>
    </row>
    <row r="752">
      <c r="A752" s="35" t="str">
        <f>IF(AND($L752*1&gt;=$G$3,$L752*1&lt;=$G$4,$I752*$J752&gt;0,CONCATENATE($H752:$L752)&lt;&gt;CONCATENATE($H753:$L753),$I752/POW(10,$J752)*MAXIFS(Token!$B:$B,Token!$A:$A,$K752)&gt;0.01),$L752/86400+DATE(1970,1,1)+IF($L752*1&gt;=$G$5,$G$6,0),)</f>
        <v/>
      </c>
      <c r="B752" s="22" t="str">
        <f t="shared" si="1"/>
        <v/>
      </c>
      <c r="C752" s="14" t="str">
        <f>IF($A752&lt;&gt;"",MINIFS(Merchant!$A:$A,Merchant!$B:$B,$G$2),)</f>
        <v/>
      </c>
      <c r="D752" s="14" t="str">
        <f t="shared" si="2"/>
        <v/>
      </c>
      <c r="E752" s="14" t="str">
        <f t="shared" si="3"/>
        <v/>
      </c>
      <c r="F752" s="6" t="str">
        <f>IF($A752&lt;&gt;"",MAXIFS(Token!$B:$B,Token!$A:$A,$D752),)</f>
        <v/>
      </c>
    </row>
    <row r="753">
      <c r="A753" s="35" t="str">
        <f>IF(AND($L753*1&gt;=$G$3,$L753*1&lt;=$G$4,$I753*$J753&gt;0,CONCATENATE($H753:$L753)&lt;&gt;CONCATENATE($H754:$L754),$I753/POW(10,$J753)*MAXIFS(Token!$B:$B,Token!$A:$A,$K753)&gt;0.01),$L753/86400+DATE(1970,1,1)+IF($L753*1&gt;=$G$5,$G$6,0),)</f>
        <v/>
      </c>
      <c r="B753" s="22" t="str">
        <f t="shared" si="1"/>
        <v/>
      </c>
      <c r="C753" s="14" t="str">
        <f>IF($A753&lt;&gt;"",MINIFS(Merchant!$A:$A,Merchant!$B:$B,$G$2),)</f>
        <v/>
      </c>
      <c r="D753" s="14" t="str">
        <f t="shared" si="2"/>
        <v/>
      </c>
      <c r="E753" s="14" t="str">
        <f t="shared" si="3"/>
        <v/>
      </c>
      <c r="F753" s="6" t="str">
        <f>IF($A753&lt;&gt;"",MAXIFS(Token!$B:$B,Token!$A:$A,$D753),)</f>
        <v/>
      </c>
    </row>
    <row r="754">
      <c r="A754" s="35" t="str">
        <f>IF(AND($L754*1&gt;=$G$3,$L754*1&lt;=$G$4,$I754*$J754&gt;0,CONCATENATE($H754:$L754)&lt;&gt;CONCATENATE($H755:$L755),$I754/POW(10,$J754)*MAXIFS(Token!$B:$B,Token!$A:$A,$K754)&gt;0.01),$L754/86400+DATE(1970,1,1)+IF($L754*1&gt;=$G$5,$G$6,0),)</f>
        <v/>
      </c>
      <c r="B754" s="22" t="str">
        <f t="shared" si="1"/>
        <v/>
      </c>
      <c r="C754" s="14" t="str">
        <f>IF($A754&lt;&gt;"",MINIFS(Merchant!$A:$A,Merchant!$B:$B,$G$2),)</f>
        <v/>
      </c>
      <c r="D754" s="14" t="str">
        <f t="shared" si="2"/>
        <v/>
      </c>
      <c r="E754" s="14" t="str">
        <f t="shared" si="3"/>
        <v/>
      </c>
      <c r="F754" s="6" t="str">
        <f>IF($A754&lt;&gt;"",MAXIFS(Token!$B:$B,Token!$A:$A,$D754),)</f>
        <v/>
      </c>
    </row>
    <row r="755">
      <c r="A755" s="35" t="str">
        <f>IF(AND($L755*1&gt;=$G$3,$L755*1&lt;=$G$4,$I755*$J755&gt;0,CONCATENATE($H755:$L755)&lt;&gt;CONCATENATE($H756:$L756),$I755/POW(10,$J755)*MAXIFS(Token!$B:$B,Token!$A:$A,$K755)&gt;0.01),$L755/86400+DATE(1970,1,1)+IF($L755*1&gt;=$G$5,$G$6,0),)</f>
        <v/>
      </c>
      <c r="B755" s="22" t="str">
        <f t="shared" si="1"/>
        <v/>
      </c>
      <c r="C755" s="14" t="str">
        <f>IF($A755&lt;&gt;"",MINIFS(Merchant!$A:$A,Merchant!$B:$B,$G$2),)</f>
        <v/>
      </c>
      <c r="D755" s="14" t="str">
        <f t="shared" si="2"/>
        <v/>
      </c>
      <c r="E755" s="14" t="str">
        <f t="shared" si="3"/>
        <v/>
      </c>
      <c r="F755" s="6" t="str">
        <f>IF($A755&lt;&gt;"",MAXIFS(Token!$B:$B,Token!$A:$A,$D755),)</f>
        <v/>
      </c>
    </row>
    <row r="756">
      <c r="A756" s="35" t="str">
        <f>IF(AND($L756*1&gt;=$G$3,$L756*1&lt;=$G$4,$I756*$J756&gt;0,CONCATENATE($H756:$L756)&lt;&gt;CONCATENATE($H757:$L757),$I756/POW(10,$J756)*MAXIFS(Token!$B:$B,Token!$A:$A,$K756)&gt;0.01),$L756/86400+DATE(1970,1,1)+IF($L756*1&gt;=$G$5,$G$6,0),)</f>
        <v/>
      </c>
      <c r="B756" s="22" t="str">
        <f t="shared" si="1"/>
        <v/>
      </c>
      <c r="C756" s="14" t="str">
        <f>IF($A756&lt;&gt;"",MINIFS(Merchant!$A:$A,Merchant!$B:$B,$G$2),)</f>
        <v/>
      </c>
      <c r="D756" s="14" t="str">
        <f t="shared" si="2"/>
        <v/>
      </c>
      <c r="E756" s="14" t="str">
        <f t="shared" si="3"/>
        <v/>
      </c>
      <c r="F756" s="6" t="str">
        <f>IF($A756&lt;&gt;"",MAXIFS(Token!$B:$B,Token!$A:$A,$D756),)</f>
        <v/>
      </c>
    </row>
    <row r="757">
      <c r="A757" s="35" t="str">
        <f>IF(AND($L757*1&gt;=$G$3,$L757*1&lt;=$G$4,$I757*$J757&gt;0,CONCATENATE($H757:$L757)&lt;&gt;CONCATENATE($H758:$L758),$I757/POW(10,$J757)*MAXIFS(Token!$B:$B,Token!$A:$A,$K757)&gt;0.01),$L757/86400+DATE(1970,1,1)+IF($L757*1&gt;=$G$5,$G$6,0),)</f>
        <v/>
      </c>
      <c r="B757" s="22" t="str">
        <f t="shared" si="1"/>
        <v/>
      </c>
      <c r="C757" s="14" t="str">
        <f>IF($A757&lt;&gt;"",MINIFS(Merchant!$A:$A,Merchant!$B:$B,$G$2),)</f>
        <v/>
      </c>
      <c r="D757" s="14" t="str">
        <f t="shared" si="2"/>
        <v/>
      </c>
      <c r="E757" s="14" t="str">
        <f t="shared" si="3"/>
        <v/>
      </c>
      <c r="F757" s="6" t="str">
        <f>IF($A757&lt;&gt;"",MAXIFS(Token!$B:$B,Token!$A:$A,$D757),)</f>
        <v/>
      </c>
    </row>
    <row r="758">
      <c r="A758" s="35" t="str">
        <f>IF(AND($L758*1&gt;=$G$3,$L758*1&lt;=$G$4,$I758*$J758&gt;0,CONCATENATE($H758:$L758)&lt;&gt;CONCATENATE($H759:$L759),$I758/POW(10,$J758)*MAXIFS(Token!$B:$B,Token!$A:$A,$K758)&gt;0.01),$L758/86400+DATE(1970,1,1)+IF($L758*1&gt;=$G$5,$G$6,0),)</f>
        <v/>
      </c>
      <c r="B758" s="22" t="str">
        <f t="shared" si="1"/>
        <v/>
      </c>
      <c r="C758" s="14" t="str">
        <f>IF($A758&lt;&gt;"",MINIFS(Merchant!$A:$A,Merchant!$B:$B,$G$2),)</f>
        <v/>
      </c>
      <c r="D758" s="14" t="str">
        <f t="shared" si="2"/>
        <v/>
      </c>
      <c r="E758" s="14" t="str">
        <f t="shared" si="3"/>
        <v/>
      </c>
      <c r="F758" s="6" t="str">
        <f>IF($A758&lt;&gt;"",MAXIFS(Token!$B:$B,Token!$A:$A,$D758),)</f>
        <v/>
      </c>
    </row>
    <row r="759">
      <c r="A759" s="35" t="str">
        <f>IF(AND($L759*1&gt;=$G$3,$L759*1&lt;=$G$4,$I759*$J759&gt;0,CONCATENATE($H759:$L759)&lt;&gt;CONCATENATE($H760:$L760),$I759/POW(10,$J759)*MAXIFS(Token!$B:$B,Token!$A:$A,$K759)&gt;0.01),$L759/86400+DATE(1970,1,1)+IF($L759*1&gt;=$G$5,$G$6,0),)</f>
        <v/>
      </c>
      <c r="B759" s="22" t="str">
        <f t="shared" si="1"/>
        <v/>
      </c>
      <c r="C759" s="14" t="str">
        <f>IF($A759&lt;&gt;"",MINIFS(Merchant!$A:$A,Merchant!$B:$B,$G$2),)</f>
        <v/>
      </c>
      <c r="D759" s="14" t="str">
        <f t="shared" si="2"/>
        <v/>
      </c>
      <c r="E759" s="14" t="str">
        <f t="shared" si="3"/>
        <v/>
      </c>
      <c r="F759" s="6" t="str">
        <f>IF($A759&lt;&gt;"",MAXIFS(Token!$B:$B,Token!$A:$A,$D759),)</f>
        <v/>
      </c>
    </row>
    <row r="760">
      <c r="A760" s="35" t="str">
        <f>IF(AND($L760*1&gt;=$G$3,$L760*1&lt;=$G$4,$I760*$J760&gt;0,CONCATENATE($H760:$L760)&lt;&gt;CONCATENATE($H761:$L761),$I760/POW(10,$J760)*MAXIFS(Token!$B:$B,Token!$A:$A,$K760)&gt;0.01),$L760/86400+DATE(1970,1,1)+IF($L760*1&gt;=$G$5,$G$6,0),)</f>
        <v/>
      </c>
      <c r="B760" s="22" t="str">
        <f t="shared" si="1"/>
        <v/>
      </c>
      <c r="C760" s="14" t="str">
        <f>IF($A760&lt;&gt;"",MINIFS(Merchant!$A:$A,Merchant!$B:$B,$G$2),)</f>
        <v/>
      </c>
      <c r="D760" s="14" t="str">
        <f t="shared" si="2"/>
        <v/>
      </c>
      <c r="E760" s="14" t="str">
        <f t="shared" si="3"/>
        <v/>
      </c>
      <c r="F760" s="6" t="str">
        <f>IF($A760&lt;&gt;"",MAXIFS(Token!$B:$B,Token!$A:$A,$D760),)</f>
        <v/>
      </c>
    </row>
    <row r="761">
      <c r="A761" s="35" t="str">
        <f>IF(AND($L761*1&gt;=$G$3,$L761*1&lt;=$G$4,$I761*$J761&gt;0,CONCATENATE($H761:$L761)&lt;&gt;CONCATENATE($H762:$L762),$I761/POW(10,$J761)*MAXIFS(Token!$B:$B,Token!$A:$A,$K761)&gt;0.01),$L761/86400+DATE(1970,1,1)+IF($L761*1&gt;=$G$5,$G$6,0),)</f>
        <v/>
      </c>
      <c r="B761" s="22" t="str">
        <f t="shared" si="1"/>
        <v/>
      </c>
      <c r="C761" s="14" t="str">
        <f>IF($A761&lt;&gt;"",MINIFS(Merchant!$A:$A,Merchant!$B:$B,$G$2),)</f>
        <v/>
      </c>
      <c r="D761" s="14" t="str">
        <f t="shared" si="2"/>
        <v/>
      </c>
      <c r="E761" s="14" t="str">
        <f t="shared" si="3"/>
        <v/>
      </c>
      <c r="F761" s="6" t="str">
        <f>IF($A761&lt;&gt;"",MAXIFS(Token!$B:$B,Token!$A:$A,$D761),)</f>
        <v/>
      </c>
    </row>
    <row r="762">
      <c r="A762" s="35" t="str">
        <f>IF(AND($L762*1&gt;=$G$3,$L762*1&lt;=$G$4,$I762*$J762&gt;0,CONCATENATE($H762:$L762)&lt;&gt;CONCATENATE($H763:$L763),$I762/POW(10,$J762)*MAXIFS(Token!$B:$B,Token!$A:$A,$K762)&gt;0.01),$L762/86400+DATE(1970,1,1)+IF($L762*1&gt;=$G$5,$G$6,0),)</f>
        <v/>
      </c>
      <c r="B762" s="22" t="str">
        <f t="shared" si="1"/>
        <v/>
      </c>
      <c r="C762" s="14" t="str">
        <f>IF($A762&lt;&gt;"",MINIFS(Merchant!$A:$A,Merchant!$B:$B,$G$2),)</f>
        <v/>
      </c>
      <c r="D762" s="14" t="str">
        <f t="shared" si="2"/>
        <v/>
      </c>
      <c r="E762" s="14" t="str">
        <f t="shared" si="3"/>
        <v/>
      </c>
      <c r="F762" s="6" t="str">
        <f>IF($A762&lt;&gt;"",MAXIFS(Token!$B:$B,Token!$A:$A,$D762),)</f>
        <v/>
      </c>
    </row>
    <row r="763">
      <c r="A763" s="35" t="str">
        <f>IF(AND($L763*1&gt;=$G$3,$L763*1&lt;=$G$4,$I763*$J763&gt;0,CONCATENATE($H763:$L763)&lt;&gt;CONCATENATE($H764:$L764),$I763/POW(10,$J763)*MAXIFS(Token!$B:$B,Token!$A:$A,$K763)&gt;0.01),$L763/86400+DATE(1970,1,1)+IF($L763*1&gt;=$G$5,$G$6,0),)</f>
        <v/>
      </c>
      <c r="B763" s="22" t="str">
        <f t="shared" si="1"/>
        <v/>
      </c>
      <c r="C763" s="14" t="str">
        <f>IF($A763&lt;&gt;"",MINIFS(Merchant!$A:$A,Merchant!$B:$B,$G$2),)</f>
        <v/>
      </c>
      <c r="D763" s="14" t="str">
        <f t="shared" si="2"/>
        <v/>
      </c>
      <c r="E763" s="14" t="str">
        <f t="shared" si="3"/>
        <v/>
      </c>
      <c r="F763" s="6" t="str">
        <f>IF($A763&lt;&gt;"",MAXIFS(Token!$B:$B,Token!$A:$A,$D763),)</f>
        <v/>
      </c>
    </row>
    <row r="764">
      <c r="A764" s="35" t="str">
        <f>IF(AND($L764*1&gt;=$G$3,$L764*1&lt;=$G$4,$I764*$J764&gt;0,CONCATENATE($H764:$L764)&lt;&gt;CONCATENATE($H765:$L765),$I764/POW(10,$J764)*MAXIFS(Token!$B:$B,Token!$A:$A,$K764)&gt;0.01),$L764/86400+DATE(1970,1,1)+IF($L764*1&gt;=$G$5,$G$6,0),)</f>
        <v/>
      </c>
      <c r="B764" s="22" t="str">
        <f t="shared" si="1"/>
        <v/>
      </c>
      <c r="C764" s="14" t="str">
        <f>IF($A764&lt;&gt;"",MINIFS(Merchant!$A:$A,Merchant!$B:$B,$G$2),)</f>
        <v/>
      </c>
      <c r="D764" s="14" t="str">
        <f t="shared" si="2"/>
        <v/>
      </c>
      <c r="E764" s="14" t="str">
        <f t="shared" si="3"/>
        <v/>
      </c>
      <c r="F764" s="6" t="str">
        <f>IF($A764&lt;&gt;"",MAXIFS(Token!$B:$B,Token!$A:$A,$D764),)</f>
        <v/>
      </c>
    </row>
    <row r="765">
      <c r="A765" s="35" t="str">
        <f>IF(AND($L765*1&gt;=$G$3,$L765*1&lt;=$G$4,$I765*$J765&gt;0,CONCATENATE($H765:$L765)&lt;&gt;CONCATENATE($H766:$L766),$I765/POW(10,$J765)*MAXIFS(Token!$B:$B,Token!$A:$A,$K765)&gt;0.01),$L765/86400+DATE(1970,1,1)+IF($L765*1&gt;=$G$5,$G$6,0),)</f>
        <v/>
      </c>
      <c r="B765" s="22" t="str">
        <f t="shared" si="1"/>
        <v/>
      </c>
      <c r="C765" s="14" t="str">
        <f>IF($A765&lt;&gt;"",MINIFS(Merchant!$A:$A,Merchant!$B:$B,$G$2),)</f>
        <v/>
      </c>
      <c r="D765" s="14" t="str">
        <f t="shared" si="2"/>
        <v/>
      </c>
      <c r="E765" s="14" t="str">
        <f t="shared" si="3"/>
        <v/>
      </c>
      <c r="F765" s="6" t="str">
        <f>IF($A765&lt;&gt;"",MAXIFS(Token!$B:$B,Token!$A:$A,$D765),)</f>
        <v/>
      </c>
    </row>
    <row r="766">
      <c r="A766" s="35" t="str">
        <f>IF(AND($L766*1&gt;=$G$3,$L766*1&lt;=$G$4,$I766*$J766&gt;0,CONCATENATE($H766:$L766)&lt;&gt;CONCATENATE($H767:$L767),$I766/POW(10,$J766)*MAXIFS(Token!$B:$B,Token!$A:$A,$K766)&gt;0.01),$L766/86400+DATE(1970,1,1)+IF($L766*1&gt;=$G$5,$G$6,0),)</f>
        <v/>
      </c>
      <c r="B766" s="22" t="str">
        <f t="shared" si="1"/>
        <v/>
      </c>
      <c r="C766" s="14" t="str">
        <f>IF($A766&lt;&gt;"",MINIFS(Merchant!$A:$A,Merchant!$B:$B,$G$2),)</f>
        <v/>
      </c>
      <c r="D766" s="14" t="str">
        <f t="shared" si="2"/>
        <v/>
      </c>
      <c r="E766" s="14" t="str">
        <f t="shared" si="3"/>
        <v/>
      </c>
      <c r="F766" s="6" t="str">
        <f>IF($A766&lt;&gt;"",MAXIFS(Token!$B:$B,Token!$A:$A,$D766),)</f>
        <v/>
      </c>
    </row>
    <row r="767">
      <c r="A767" s="35" t="str">
        <f>IF(AND($L767*1&gt;=$G$3,$L767*1&lt;=$G$4,$I767*$J767&gt;0,CONCATENATE($H767:$L767)&lt;&gt;CONCATENATE($H768:$L768),$I767/POW(10,$J767)*MAXIFS(Token!$B:$B,Token!$A:$A,$K767)&gt;0.01),$L767/86400+DATE(1970,1,1)+IF($L767*1&gt;=$G$5,$G$6,0),)</f>
        <v/>
      </c>
      <c r="B767" s="22" t="str">
        <f t="shared" si="1"/>
        <v/>
      </c>
      <c r="C767" s="14" t="str">
        <f>IF($A767&lt;&gt;"",MINIFS(Merchant!$A:$A,Merchant!$B:$B,$G$2),)</f>
        <v/>
      </c>
      <c r="D767" s="14" t="str">
        <f t="shared" si="2"/>
        <v/>
      </c>
      <c r="E767" s="14" t="str">
        <f t="shared" si="3"/>
        <v/>
      </c>
      <c r="F767" s="6" t="str">
        <f>IF($A767&lt;&gt;"",MAXIFS(Token!$B:$B,Token!$A:$A,$D767),)</f>
        <v/>
      </c>
    </row>
    <row r="768">
      <c r="A768" s="35" t="str">
        <f>IF(AND($L768*1&gt;=$G$3,$L768*1&lt;=$G$4,$I768*$J768&gt;0,CONCATENATE($H768:$L768)&lt;&gt;CONCATENATE($H769:$L769),$I768/POW(10,$J768)*MAXIFS(Token!$B:$B,Token!$A:$A,$K768)&gt;0.01),$L768/86400+DATE(1970,1,1)+IF($L768*1&gt;=$G$5,$G$6,0),)</f>
        <v/>
      </c>
      <c r="B768" s="22" t="str">
        <f t="shared" si="1"/>
        <v/>
      </c>
      <c r="C768" s="14" t="str">
        <f>IF($A768&lt;&gt;"",MINIFS(Merchant!$A:$A,Merchant!$B:$B,$G$2),)</f>
        <v/>
      </c>
      <c r="D768" s="14" t="str">
        <f t="shared" si="2"/>
        <v/>
      </c>
      <c r="E768" s="14" t="str">
        <f t="shared" si="3"/>
        <v/>
      </c>
      <c r="F768" s="6" t="str">
        <f>IF($A768&lt;&gt;"",MAXIFS(Token!$B:$B,Token!$A:$A,$D768),)</f>
        <v/>
      </c>
    </row>
    <row r="769">
      <c r="A769" s="35" t="str">
        <f>IF(AND($L769*1&gt;=$G$3,$L769*1&lt;=$G$4,$I769*$J769&gt;0,CONCATENATE($H769:$L769)&lt;&gt;CONCATENATE($H770:$L770),$I769/POW(10,$J769)*MAXIFS(Token!$B:$B,Token!$A:$A,$K769)&gt;0.01),$L769/86400+DATE(1970,1,1)+IF($L769*1&gt;=$G$5,$G$6,0),)</f>
        <v/>
      </c>
      <c r="B769" s="22" t="str">
        <f t="shared" si="1"/>
        <v/>
      </c>
      <c r="C769" s="14" t="str">
        <f>IF($A769&lt;&gt;"",MINIFS(Merchant!$A:$A,Merchant!$B:$B,$G$2),)</f>
        <v/>
      </c>
      <c r="D769" s="14" t="str">
        <f t="shared" si="2"/>
        <v/>
      </c>
      <c r="E769" s="14" t="str">
        <f t="shared" si="3"/>
        <v/>
      </c>
      <c r="F769" s="6" t="str">
        <f>IF($A769&lt;&gt;"",MAXIFS(Token!$B:$B,Token!$A:$A,$D769),)</f>
        <v/>
      </c>
    </row>
    <row r="770">
      <c r="A770" s="35" t="str">
        <f>IF(AND($L770*1&gt;=$G$3,$L770*1&lt;=$G$4,$I770*$J770&gt;0,CONCATENATE($H770:$L770)&lt;&gt;CONCATENATE($H771:$L771),$I770/POW(10,$J770)*MAXIFS(Token!$B:$B,Token!$A:$A,$K770)&gt;0.01),$L770/86400+DATE(1970,1,1)+IF($L770*1&gt;=$G$5,$G$6,0),)</f>
        <v/>
      </c>
      <c r="B770" s="22" t="str">
        <f t="shared" si="1"/>
        <v/>
      </c>
      <c r="C770" s="14" t="str">
        <f>IF($A770&lt;&gt;"",MINIFS(Merchant!$A:$A,Merchant!$B:$B,$G$2),)</f>
        <v/>
      </c>
      <c r="D770" s="14" t="str">
        <f t="shared" si="2"/>
        <v/>
      </c>
      <c r="E770" s="14" t="str">
        <f t="shared" si="3"/>
        <v/>
      </c>
      <c r="F770" s="6" t="str">
        <f>IF($A770&lt;&gt;"",MAXIFS(Token!$B:$B,Token!$A:$A,$D770),)</f>
        <v/>
      </c>
    </row>
    <row r="771">
      <c r="A771" s="35" t="str">
        <f>IF(AND($L771*1&gt;=$G$3,$L771*1&lt;=$G$4,$I771*$J771&gt;0,CONCATENATE($H771:$L771)&lt;&gt;CONCATENATE($H772:$L772),$I771/POW(10,$J771)*MAXIFS(Token!$B:$B,Token!$A:$A,$K771)&gt;0.01),$L771/86400+DATE(1970,1,1)+IF($L771*1&gt;=$G$5,$G$6,0),)</f>
        <v/>
      </c>
      <c r="B771" s="22" t="str">
        <f t="shared" si="1"/>
        <v/>
      </c>
      <c r="C771" s="14" t="str">
        <f>IF($A771&lt;&gt;"",MINIFS(Merchant!$A:$A,Merchant!$B:$B,$G$2),)</f>
        <v/>
      </c>
      <c r="D771" s="14" t="str">
        <f t="shared" si="2"/>
        <v/>
      </c>
      <c r="E771" s="14" t="str">
        <f t="shared" si="3"/>
        <v/>
      </c>
      <c r="F771" s="6" t="str">
        <f>IF($A771&lt;&gt;"",MAXIFS(Token!$B:$B,Token!$A:$A,$D771),)</f>
        <v/>
      </c>
    </row>
    <row r="772">
      <c r="A772" s="35" t="str">
        <f>IF(AND($L772*1&gt;=$G$3,$L772*1&lt;=$G$4,$I772*$J772&gt;0,CONCATENATE($H772:$L772)&lt;&gt;CONCATENATE($H773:$L773),$I772/POW(10,$J772)*MAXIFS(Token!$B:$B,Token!$A:$A,$K772)&gt;0.01),$L772/86400+DATE(1970,1,1)+IF($L772*1&gt;=$G$5,$G$6,0),)</f>
        <v/>
      </c>
      <c r="B772" s="22" t="str">
        <f t="shared" si="1"/>
        <v/>
      </c>
      <c r="C772" s="14" t="str">
        <f>IF($A772&lt;&gt;"",MINIFS(Merchant!$A:$A,Merchant!$B:$B,$G$2),)</f>
        <v/>
      </c>
      <c r="D772" s="14" t="str">
        <f t="shared" si="2"/>
        <v/>
      </c>
      <c r="E772" s="14" t="str">
        <f t="shared" si="3"/>
        <v/>
      </c>
      <c r="F772" s="6" t="str">
        <f>IF($A772&lt;&gt;"",MAXIFS(Token!$B:$B,Token!$A:$A,$D772),)</f>
        <v/>
      </c>
    </row>
    <row r="773">
      <c r="A773" s="35" t="str">
        <f>IF(AND($L773*1&gt;=$G$3,$L773*1&lt;=$G$4,$I773*$J773&gt;0,CONCATENATE($H773:$L773)&lt;&gt;CONCATENATE($H774:$L774),$I773/POW(10,$J773)*MAXIFS(Token!$B:$B,Token!$A:$A,$K773)&gt;0.01),$L773/86400+DATE(1970,1,1)+IF($L773*1&gt;=$G$5,$G$6,0),)</f>
        <v/>
      </c>
      <c r="B773" s="22" t="str">
        <f t="shared" si="1"/>
        <v/>
      </c>
      <c r="C773" s="14" t="str">
        <f>IF($A773&lt;&gt;"",MINIFS(Merchant!$A:$A,Merchant!$B:$B,$G$2),)</f>
        <v/>
      </c>
      <c r="D773" s="14" t="str">
        <f t="shared" si="2"/>
        <v/>
      </c>
      <c r="E773" s="14" t="str">
        <f t="shared" si="3"/>
        <v/>
      </c>
      <c r="F773" s="6" t="str">
        <f>IF($A773&lt;&gt;"",MAXIFS(Token!$B:$B,Token!$A:$A,$D773),)</f>
        <v/>
      </c>
    </row>
    <row r="774">
      <c r="A774" s="35" t="str">
        <f>IF(AND($L774*1&gt;=$G$3,$L774*1&lt;=$G$4,$I774*$J774&gt;0,CONCATENATE($H774:$L774)&lt;&gt;CONCATENATE($H775:$L775),$I774/POW(10,$J774)*MAXIFS(Token!$B:$B,Token!$A:$A,$K774)&gt;0.01),$L774/86400+DATE(1970,1,1)+IF($L774*1&gt;=$G$5,$G$6,0),)</f>
        <v/>
      </c>
      <c r="B774" s="22" t="str">
        <f t="shared" si="1"/>
        <v/>
      </c>
      <c r="C774" s="14" t="str">
        <f>IF($A774&lt;&gt;"",MINIFS(Merchant!$A:$A,Merchant!$B:$B,$G$2),)</f>
        <v/>
      </c>
      <c r="D774" s="14" t="str">
        <f t="shared" si="2"/>
        <v/>
      </c>
      <c r="E774" s="14" t="str">
        <f t="shared" si="3"/>
        <v/>
      </c>
      <c r="F774" s="6" t="str">
        <f>IF($A774&lt;&gt;"",MAXIFS(Token!$B:$B,Token!$A:$A,$D774),)</f>
        <v/>
      </c>
    </row>
    <row r="775">
      <c r="A775" s="35" t="str">
        <f>IF(AND($L775*1&gt;=$G$3,$L775*1&lt;=$G$4,$I775*$J775&gt;0,CONCATENATE($H775:$L775)&lt;&gt;CONCATENATE($H776:$L776),$I775/POW(10,$J775)*MAXIFS(Token!$B:$B,Token!$A:$A,$K775)&gt;0.01),$L775/86400+DATE(1970,1,1)+IF($L775*1&gt;=$G$5,$G$6,0),)</f>
        <v/>
      </c>
      <c r="B775" s="22" t="str">
        <f t="shared" si="1"/>
        <v/>
      </c>
      <c r="C775" s="14" t="str">
        <f>IF($A775&lt;&gt;"",MINIFS(Merchant!$A:$A,Merchant!$B:$B,$G$2),)</f>
        <v/>
      </c>
      <c r="D775" s="14" t="str">
        <f t="shared" si="2"/>
        <v/>
      </c>
      <c r="E775" s="14" t="str">
        <f t="shared" si="3"/>
        <v/>
      </c>
      <c r="F775" s="6" t="str">
        <f>IF($A775&lt;&gt;"",MAXIFS(Token!$B:$B,Token!$A:$A,$D775),)</f>
        <v/>
      </c>
    </row>
    <row r="776">
      <c r="A776" s="35" t="str">
        <f>IF(AND($L776*1&gt;=$G$3,$L776*1&lt;=$G$4,$I776*$J776&gt;0,CONCATENATE($H776:$L776)&lt;&gt;CONCATENATE($H777:$L777),$I776/POW(10,$J776)*MAXIFS(Token!$B:$B,Token!$A:$A,$K776)&gt;0.01),$L776/86400+DATE(1970,1,1)+IF($L776*1&gt;=$G$5,$G$6,0),)</f>
        <v/>
      </c>
      <c r="B776" s="22" t="str">
        <f t="shared" si="1"/>
        <v/>
      </c>
      <c r="C776" s="14" t="str">
        <f>IF($A776&lt;&gt;"",MINIFS(Merchant!$A:$A,Merchant!$B:$B,$G$2),)</f>
        <v/>
      </c>
      <c r="D776" s="14" t="str">
        <f t="shared" si="2"/>
        <v/>
      </c>
      <c r="E776" s="14" t="str">
        <f t="shared" si="3"/>
        <v/>
      </c>
      <c r="F776" s="6" t="str">
        <f>IF($A776&lt;&gt;"",MAXIFS(Token!$B:$B,Token!$A:$A,$D776),)</f>
        <v/>
      </c>
    </row>
    <row r="777">
      <c r="A777" s="35" t="str">
        <f>IF(AND($L777*1&gt;=$G$3,$L777*1&lt;=$G$4,$I777*$J777&gt;0,CONCATENATE($H777:$L777)&lt;&gt;CONCATENATE($H778:$L778),$I777/POW(10,$J777)*MAXIFS(Token!$B:$B,Token!$A:$A,$K777)&gt;0.01),$L777/86400+DATE(1970,1,1)+IF($L777*1&gt;=$G$5,$G$6,0),)</f>
        <v/>
      </c>
      <c r="B777" s="22" t="str">
        <f t="shared" si="1"/>
        <v/>
      </c>
      <c r="C777" s="14" t="str">
        <f>IF($A777&lt;&gt;"",MINIFS(Merchant!$A:$A,Merchant!$B:$B,$G$2),)</f>
        <v/>
      </c>
      <c r="D777" s="14" t="str">
        <f t="shared" si="2"/>
        <v/>
      </c>
      <c r="E777" s="14" t="str">
        <f t="shared" si="3"/>
        <v/>
      </c>
      <c r="F777" s="6" t="str">
        <f>IF($A777&lt;&gt;"",MAXIFS(Token!$B:$B,Token!$A:$A,$D777),)</f>
        <v/>
      </c>
    </row>
    <row r="778">
      <c r="A778" s="35" t="str">
        <f>IF(AND($L778*1&gt;=$G$3,$L778*1&lt;=$G$4,$I778*$J778&gt;0,CONCATENATE($H778:$L778)&lt;&gt;CONCATENATE($H779:$L779),$I778/POW(10,$J778)*MAXIFS(Token!$B:$B,Token!$A:$A,$K778)&gt;0.01),$L778/86400+DATE(1970,1,1)+IF($L778*1&gt;=$G$5,$G$6,0),)</f>
        <v/>
      </c>
      <c r="B778" s="22" t="str">
        <f t="shared" si="1"/>
        <v/>
      </c>
      <c r="C778" s="14" t="str">
        <f>IF($A778&lt;&gt;"",MINIFS(Merchant!$A:$A,Merchant!$B:$B,$G$2),)</f>
        <v/>
      </c>
      <c r="D778" s="14" t="str">
        <f t="shared" si="2"/>
        <v/>
      </c>
      <c r="E778" s="14" t="str">
        <f t="shared" si="3"/>
        <v/>
      </c>
      <c r="F778" s="6" t="str">
        <f>IF($A778&lt;&gt;"",MAXIFS(Token!$B:$B,Token!$A:$A,$D778),)</f>
        <v/>
      </c>
    </row>
    <row r="779">
      <c r="A779" s="35" t="str">
        <f>IF(AND($L779*1&gt;=$G$3,$L779*1&lt;=$G$4,$I779*$J779&gt;0,CONCATENATE($H779:$L779)&lt;&gt;CONCATENATE($H780:$L780),$I779/POW(10,$J779)*MAXIFS(Token!$B:$B,Token!$A:$A,$K779)&gt;0.01),$L779/86400+DATE(1970,1,1)+IF($L779*1&gt;=$G$5,$G$6,0),)</f>
        <v/>
      </c>
      <c r="B779" s="22" t="str">
        <f t="shared" si="1"/>
        <v/>
      </c>
      <c r="C779" s="14" t="str">
        <f>IF($A779&lt;&gt;"",MINIFS(Merchant!$A:$A,Merchant!$B:$B,$G$2),)</f>
        <v/>
      </c>
      <c r="D779" s="14" t="str">
        <f t="shared" si="2"/>
        <v/>
      </c>
      <c r="E779" s="14" t="str">
        <f t="shared" si="3"/>
        <v/>
      </c>
      <c r="F779" s="6" t="str">
        <f>IF($A779&lt;&gt;"",MAXIFS(Token!$B:$B,Token!$A:$A,$D779),)</f>
        <v/>
      </c>
    </row>
    <row r="780">
      <c r="A780" s="35" t="str">
        <f>IF(AND($L780*1&gt;=$G$3,$L780*1&lt;=$G$4,$I780*$J780&gt;0,CONCATENATE($H780:$L780)&lt;&gt;CONCATENATE($H781:$L781),$I780/POW(10,$J780)*MAXIFS(Token!$B:$B,Token!$A:$A,$K780)&gt;0.01),$L780/86400+DATE(1970,1,1)+IF($L780*1&gt;=$G$5,$G$6,0),)</f>
        <v/>
      </c>
      <c r="B780" s="22" t="str">
        <f t="shared" si="1"/>
        <v/>
      </c>
      <c r="C780" s="14" t="str">
        <f>IF($A780&lt;&gt;"",MINIFS(Merchant!$A:$A,Merchant!$B:$B,$G$2),)</f>
        <v/>
      </c>
      <c r="D780" s="14" t="str">
        <f t="shared" si="2"/>
        <v/>
      </c>
      <c r="E780" s="14" t="str">
        <f t="shared" si="3"/>
        <v/>
      </c>
      <c r="F780" s="6" t="str">
        <f>IF($A780&lt;&gt;"",MAXIFS(Token!$B:$B,Token!$A:$A,$D780),)</f>
        <v/>
      </c>
    </row>
    <row r="781">
      <c r="A781" s="35" t="str">
        <f>IF(AND($L781*1&gt;=$G$3,$L781*1&lt;=$G$4,$I781*$J781&gt;0,CONCATENATE($H781:$L781)&lt;&gt;CONCATENATE($H782:$L782),$I781/POW(10,$J781)*MAXIFS(Token!$B:$B,Token!$A:$A,$K781)&gt;0.01),$L781/86400+DATE(1970,1,1)+IF($L781*1&gt;=$G$5,$G$6,0),)</f>
        <v/>
      </c>
      <c r="B781" s="22" t="str">
        <f t="shared" si="1"/>
        <v/>
      </c>
      <c r="C781" s="14" t="str">
        <f>IF($A781&lt;&gt;"",MINIFS(Merchant!$A:$A,Merchant!$B:$B,$G$2),)</f>
        <v/>
      </c>
      <c r="D781" s="14" t="str">
        <f t="shared" si="2"/>
        <v/>
      </c>
      <c r="E781" s="14" t="str">
        <f t="shared" si="3"/>
        <v/>
      </c>
      <c r="F781" s="6" t="str">
        <f>IF($A781&lt;&gt;"",MAXIFS(Token!$B:$B,Token!$A:$A,$D781),)</f>
        <v/>
      </c>
    </row>
    <row r="782">
      <c r="A782" s="35" t="str">
        <f>IF(AND($L782*1&gt;=$G$3,$L782*1&lt;=$G$4,$I782*$J782&gt;0,CONCATENATE($H782:$L782)&lt;&gt;CONCATENATE($H783:$L783),$I782/POW(10,$J782)*MAXIFS(Token!$B:$B,Token!$A:$A,$K782)&gt;0.01),$L782/86400+DATE(1970,1,1)+IF($L782*1&gt;=$G$5,$G$6,0),)</f>
        <v/>
      </c>
      <c r="B782" s="22" t="str">
        <f t="shared" si="1"/>
        <v/>
      </c>
      <c r="C782" s="14" t="str">
        <f>IF($A782&lt;&gt;"",MINIFS(Merchant!$A:$A,Merchant!$B:$B,$G$2),)</f>
        <v/>
      </c>
      <c r="D782" s="14" t="str">
        <f t="shared" si="2"/>
        <v/>
      </c>
      <c r="E782" s="14" t="str">
        <f t="shared" si="3"/>
        <v/>
      </c>
      <c r="F782" s="6" t="str">
        <f>IF($A782&lt;&gt;"",MAXIFS(Token!$B:$B,Token!$A:$A,$D782),)</f>
        <v/>
      </c>
    </row>
    <row r="783">
      <c r="A783" s="35" t="str">
        <f>IF(AND($L783*1&gt;=$G$3,$L783*1&lt;=$G$4,$I783*$J783&gt;0,CONCATENATE($H783:$L783)&lt;&gt;CONCATENATE($H784:$L784),$I783/POW(10,$J783)*MAXIFS(Token!$B:$B,Token!$A:$A,$K783)&gt;0.01),$L783/86400+DATE(1970,1,1)+IF($L783*1&gt;=$G$5,$G$6,0),)</f>
        <v/>
      </c>
      <c r="B783" s="22" t="str">
        <f t="shared" si="1"/>
        <v/>
      </c>
      <c r="C783" s="14" t="str">
        <f>IF($A783&lt;&gt;"",MINIFS(Merchant!$A:$A,Merchant!$B:$B,$G$2),)</f>
        <v/>
      </c>
      <c r="D783" s="14" t="str">
        <f t="shared" si="2"/>
        <v/>
      </c>
      <c r="E783" s="14" t="str">
        <f t="shared" si="3"/>
        <v/>
      </c>
      <c r="F783" s="6" t="str">
        <f>IF($A783&lt;&gt;"",MAXIFS(Token!$B:$B,Token!$A:$A,$D783),)</f>
        <v/>
      </c>
    </row>
    <row r="784">
      <c r="A784" s="35" t="str">
        <f>IF(AND($L784*1&gt;=$G$3,$L784*1&lt;=$G$4,$I784*$J784&gt;0,CONCATENATE($H784:$L784)&lt;&gt;CONCATENATE($H785:$L785),$I784/POW(10,$J784)*MAXIFS(Token!$B:$B,Token!$A:$A,$K784)&gt;0.01),$L784/86400+DATE(1970,1,1)+IF($L784*1&gt;=$G$5,$G$6,0),)</f>
        <v/>
      </c>
      <c r="B784" s="22" t="str">
        <f t="shared" si="1"/>
        <v/>
      </c>
      <c r="C784" s="14" t="str">
        <f>IF($A784&lt;&gt;"",MINIFS(Merchant!$A:$A,Merchant!$B:$B,$G$2),)</f>
        <v/>
      </c>
      <c r="D784" s="14" t="str">
        <f t="shared" si="2"/>
        <v/>
      </c>
      <c r="E784" s="14" t="str">
        <f t="shared" si="3"/>
        <v/>
      </c>
      <c r="F784" s="6" t="str">
        <f>IF($A784&lt;&gt;"",MAXIFS(Token!$B:$B,Token!$A:$A,$D784),)</f>
        <v/>
      </c>
    </row>
    <row r="785">
      <c r="A785" s="35" t="str">
        <f>IF(AND($L785*1&gt;=$G$3,$L785*1&lt;=$G$4,$I785*$J785&gt;0,CONCATENATE($H785:$L785)&lt;&gt;CONCATENATE($H786:$L786),$I785/POW(10,$J785)*MAXIFS(Token!$B:$B,Token!$A:$A,$K785)&gt;0.01),$L785/86400+DATE(1970,1,1)+IF($L785*1&gt;=$G$5,$G$6,0),)</f>
        <v/>
      </c>
      <c r="B785" s="22" t="str">
        <f t="shared" si="1"/>
        <v/>
      </c>
      <c r="C785" s="14" t="str">
        <f>IF($A785&lt;&gt;"",MINIFS(Merchant!$A:$A,Merchant!$B:$B,$G$2),)</f>
        <v/>
      </c>
      <c r="D785" s="14" t="str">
        <f t="shared" si="2"/>
        <v/>
      </c>
      <c r="E785" s="14" t="str">
        <f t="shared" si="3"/>
        <v/>
      </c>
      <c r="F785" s="6" t="str">
        <f>IF($A785&lt;&gt;"",MAXIFS(Token!$B:$B,Token!$A:$A,$D785),)</f>
        <v/>
      </c>
    </row>
    <row r="786">
      <c r="A786" s="35" t="str">
        <f>IF(AND($L786*1&gt;=$G$3,$L786*1&lt;=$G$4,$I786*$J786&gt;0,CONCATENATE($H786:$L786)&lt;&gt;CONCATENATE($H787:$L787),$I786/POW(10,$J786)*MAXIFS(Token!$B:$B,Token!$A:$A,$K786)&gt;0.01),$L786/86400+DATE(1970,1,1)+IF($L786*1&gt;=$G$5,$G$6,0),)</f>
        <v/>
      </c>
      <c r="B786" s="22" t="str">
        <f t="shared" si="1"/>
        <v/>
      </c>
      <c r="C786" s="14" t="str">
        <f>IF($A786&lt;&gt;"",MINIFS(Merchant!$A:$A,Merchant!$B:$B,$G$2),)</f>
        <v/>
      </c>
      <c r="D786" s="14" t="str">
        <f t="shared" si="2"/>
        <v/>
      </c>
      <c r="E786" s="14" t="str">
        <f t="shared" si="3"/>
        <v/>
      </c>
      <c r="F786" s="6" t="str">
        <f>IF($A786&lt;&gt;"",MAXIFS(Token!$B:$B,Token!$A:$A,$D786),)</f>
        <v/>
      </c>
    </row>
    <row r="787">
      <c r="A787" s="35" t="str">
        <f>IF(AND($L787*1&gt;=$G$3,$L787*1&lt;=$G$4,$I787*$J787&gt;0,CONCATENATE($H787:$L787)&lt;&gt;CONCATENATE($H788:$L788),$I787/POW(10,$J787)*MAXIFS(Token!$B:$B,Token!$A:$A,$K787)&gt;0.01),$L787/86400+DATE(1970,1,1)+IF($L787*1&gt;=$G$5,$G$6,0),)</f>
        <v/>
      </c>
      <c r="B787" s="22" t="str">
        <f t="shared" si="1"/>
        <v/>
      </c>
      <c r="C787" s="14" t="str">
        <f>IF($A787&lt;&gt;"",MINIFS(Merchant!$A:$A,Merchant!$B:$B,$G$2),)</f>
        <v/>
      </c>
      <c r="D787" s="14" t="str">
        <f t="shared" si="2"/>
        <v/>
      </c>
      <c r="E787" s="14" t="str">
        <f t="shared" si="3"/>
        <v/>
      </c>
      <c r="F787" s="6" t="str">
        <f>IF($A787&lt;&gt;"",MAXIFS(Token!$B:$B,Token!$A:$A,$D787),)</f>
        <v/>
      </c>
    </row>
    <row r="788">
      <c r="A788" s="35" t="str">
        <f>IF(AND($L788*1&gt;=$G$3,$L788*1&lt;=$G$4,$I788*$J788&gt;0,CONCATENATE($H788:$L788)&lt;&gt;CONCATENATE($H789:$L789),$I788/POW(10,$J788)*MAXIFS(Token!$B:$B,Token!$A:$A,$K788)&gt;0.01),$L788/86400+DATE(1970,1,1)+IF($L788*1&gt;=$G$5,$G$6,0),)</f>
        <v/>
      </c>
      <c r="B788" s="22" t="str">
        <f t="shared" si="1"/>
        <v/>
      </c>
      <c r="C788" s="14" t="str">
        <f>IF($A788&lt;&gt;"",MINIFS(Merchant!$A:$A,Merchant!$B:$B,$G$2),)</f>
        <v/>
      </c>
      <c r="D788" s="14" t="str">
        <f t="shared" si="2"/>
        <v/>
      </c>
      <c r="E788" s="14" t="str">
        <f t="shared" si="3"/>
        <v/>
      </c>
      <c r="F788" s="6" t="str">
        <f>IF($A788&lt;&gt;"",MAXIFS(Token!$B:$B,Token!$A:$A,$D788),)</f>
        <v/>
      </c>
    </row>
    <row r="789">
      <c r="A789" s="35" t="str">
        <f>IF(AND($L789*1&gt;=$G$3,$L789*1&lt;=$G$4,$I789*$J789&gt;0,CONCATENATE($H789:$L789)&lt;&gt;CONCATENATE($H790:$L790),$I789/POW(10,$J789)*MAXIFS(Token!$B:$B,Token!$A:$A,$K789)&gt;0.01),$L789/86400+DATE(1970,1,1)+IF($L789*1&gt;=$G$5,$G$6,0),)</f>
        <v/>
      </c>
      <c r="B789" s="22" t="str">
        <f t="shared" si="1"/>
        <v/>
      </c>
      <c r="C789" s="14" t="str">
        <f>IF($A789&lt;&gt;"",MINIFS(Merchant!$A:$A,Merchant!$B:$B,$G$2),)</f>
        <v/>
      </c>
      <c r="D789" s="14" t="str">
        <f t="shared" si="2"/>
        <v/>
      </c>
      <c r="E789" s="14" t="str">
        <f t="shared" si="3"/>
        <v/>
      </c>
      <c r="F789" s="6" t="str">
        <f>IF($A789&lt;&gt;"",MAXIFS(Token!$B:$B,Token!$A:$A,$D789),)</f>
        <v/>
      </c>
    </row>
    <row r="790">
      <c r="A790" s="35" t="str">
        <f>IF(AND($L790*1&gt;=$G$3,$L790*1&lt;=$G$4,$I790*$J790&gt;0,CONCATENATE($H790:$L790)&lt;&gt;CONCATENATE($H791:$L791),$I790/POW(10,$J790)*MAXIFS(Token!$B:$B,Token!$A:$A,$K790)&gt;0.01),$L790/86400+DATE(1970,1,1)+IF($L790*1&gt;=$G$5,$G$6,0),)</f>
        <v/>
      </c>
      <c r="B790" s="22" t="str">
        <f t="shared" si="1"/>
        <v/>
      </c>
      <c r="C790" s="14" t="str">
        <f>IF($A790&lt;&gt;"",MINIFS(Merchant!$A:$A,Merchant!$B:$B,$G$2),)</f>
        <v/>
      </c>
      <c r="D790" s="14" t="str">
        <f t="shared" si="2"/>
        <v/>
      </c>
      <c r="E790" s="14" t="str">
        <f t="shared" si="3"/>
        <v/>
      </c>
      <c r="F790" s="6" t="str">
        <f>IF($A790&lt;&gt;"",MAXIFS(Token!$B:$B,Token!$A:$A,$D790),)</f>
        <v/>
      </c>
    </row>
    <row r="791">
      <c r="A791" s="35" t="str">
        <f>IF(AND($L791*1&gt;=$G$3,$L791*1&lt;=$G$4,$I791*$J791&gt;0,CONCATENATE($H791:$L791)&lt;&gt;CONCATENATE($H792:$L792),$I791/POW(10,$J791)*MAXIFS(Token!$B:$B,Token!$A:$A,$K791)&gt;0.01),$L791/86400+DATE(1970,1,1)+IF($L791*1&gt;=$G$5,$G$6,0),)</f>
        <v/>
      </c>
      <c r="B791" s="22" t="str">
        <f t="shared" si="1"/>
        <v/>
      </c>
      <c r="C791" s="14" t="str">
        <f>IF($A791&lt;&gt;"",MINIFS(Merchant!$A:$A,Merchant!$B:$B,$G$2),)</f>
        <v/>
      </c>
      <c r="D791" s="14" t="str">
        <f t="shared" si="2"/>
        <v/>
      </c>
      <c r="E791" s="14" t="str">
        <f t="shared" si="3"/>
        <v/>
      </c>
      <c r="F791" s="6" t="str">
        <f>IF($A791&lt;&gt;"",MAXIFS(Token!$B:$B,Token!$A:$A,$D791),)</f>
        <v/>
      </c>
    </row>
    <row r="792">
      <c r="A792" s="35" t="str">
        <f>IF(AND($L792*1&gt;=$G$3,$L792*1&lt;=$G$4,$I792*$J792&gt;0,CONCATENATE($H792:$L792)&lt;&gt;CONCATENATE($H793:$L793),$I792/POW(10,$J792)*MAXIFS(Token!$B:$B,Token!$A:$A,$K792)&gt;0.01),$L792/86400+DATE(1970,1,1)+IF($L792*1&gt;=$G$5,$G$6,0),)</f>
        <v/>
      </c>
      <c r="B792" s="22" t="str">
        <f t="shared" si="1"/>
        <v/>
      </c>
      <c r="C792" s="14" t="str">
        <f>IF($A792&lt;&gt;"",MINIFS(Merchant!$A:$A,Merchant!$B:$B,$G$2),)</f>
        <v/>
      </c>
      <c r="D792" s="14" t="str">
        <f t="shared" si="2"/>
        <v/>
      </c>
      <c r="E792" s="14" t="str">
        <f t="shared" si="3"/>
        <v/>
      </c>
      <c r="F792" s="6" t="str">
        <f>IF($A792&lt;&gt;"",MAXIFS(Token!$B:$B,Token!$A:$A,$D792),)</f>
        <v/>
      </c>
    </row>
    <row r="793">
      <c r="A793" s="35" t="str">
        <f>IF(AND($L793*1&gt;=$G$3,$L793*1&lt;=$G$4,$I793*$J793&gt;0,CONCATENATE($H793:$L793)&lt;&gt;CONCATENATE($H794:$L794),$I793/POW(10,$J793)*MAXIFS(Token!$B:$B,Token!$A:$A,$K793)&gt;0.01),$L793/86400+DATE(1970,1,1)+IF($L793*1&gt;=$G$5,$G$6,0),)</f>
        <v/>
      </c>
      <c r="B793" s="22" t="str">
        <f t="shared" si="1"/>
        <v/>
      </c>
      <c r="C793" s="14" t="str">
        <f>IF($A793&lt;&gt;"",MINIFS(Merchant!$A:$A,Merchant!$B:$B,$G$2),)</f>
        <v/>
      </c>
      <c r="D793" s="14" t="str">
        <f t="shared" si="2"/>
        <v/>
      </c>
      <c r="E793" s="14" t="str">
        <f t="shared" si="3"/>
        <v/>
      </c>
      <c r="F793" s="6" t="str">
        <f>IF($A793&lt;&gt;"",MAXIFS(Token!$B:$B,Token!$A:$A,$D793),)</f>
        <v/>
      </c>
    </row>
    <row r="794">
      <c r="A794" s="35" t="str">
        <f>IF(AND($L794*1&gt;=$G$3,$L794*1&lt;=$G$4,$I794*$J794&gt;0,CONCATENATE($H794:$L794)&lt;&gt;CONCATENATE($H795:$L795),$I794/POW(10,$J794)*MAXIFS(Token!$B:$B,Token!$A:$A,$K794)&gt;0.01),$L794/86400+DATE(1970,1,1)+IF($L794*1&gt;=$G$5,$G$6,0),)</f>
        <v/>
      </c>
      <c r="B794" s="22" t="str">
        <f t="shared" si="1"/>
        <v/>
      </c>
      <c r="C794" s="14" t="str">
        <f>IF($A794&lt;&gt;"",MINIFS(Merchant!$A:$A,Merchant!$B:$B,$G$2),)</f>
        <v/>
      </c>
      <c r="D794" s="14" t="str">
        <f t="shared" si="2"/>
        <v/>
      </c>
      <c r="E794" s="14" t="str">
        <f t="shared" si="3"/>
        <v/>
      </c>
      <c r="F794" s="6" t="str">
        <f>IF($A794&lt;&gt;"",MAXIFS(Token!$B:$B,Token!$A:$A,$D794),)</f>
        <v/>
      </c>
    </row>
    <row r="795">
      <c r="A795" s="35" t="str">
        <f>IF(AND($L795*1&gt;=$G$3,$L795*1&lt;=$G$4,$I795*$J795&gt;0,CONCATENATE($H795:$L795)&lt;&gt;CONCATENATE($H796:$L796),$I795/POW(10,$J795)*MAXIFS(Token!$B:$B,Token!$A:$A,$K795)&gt;0.01),$L795/86400+DATE(1970,1,1)+IF($L795*1&gt;=$G$5,$G$6,0),)</f>
        <v/>
      </c>
      <c r="B795" s="22" t="str">
        <f t="shared" si="1"/>
        <v/>
      </c>
      <c r="C795" s="14" t="str">
        <f>IF($A795&lt;&gt;"",MINIFS(Merchant!$A:$A,Merchant!$B:$B,$G$2),)</f>
        <v/>
      </c>
      <c r="D795" s="14" t="str">
        <f t="shared" si="2"/>
        <v/>
      </c>
      <c r="E795" s="14" t="str">
        <f t="shared" si="3"/>
        <v/>
      </c>
      <c r="F795" s="6" t="str">
        <f>IF($A795&lt;&gt;"",MAXIFS(Token!$B:$B,Token!$A:$A,$D795),)</f>
        <v/>
      </c>
    </row>
    <row r="796">
      <c r="A796" s="35" t="str">
        <f>IF(AND($L796*1&gt;=$G$3,$L796*1&lt;=$G$4,$I796*$J796&gt;0,CONCATENATE($H796:$L796)&lt;&gt;CONCATENATE($H797:$L797),$I796/POW(10,$J796)*MAXIFS(Token!$B:$B,Token!$A:$A,$K796)&gt;0.01),$L796/86400+DATE(1970,1,1)+IF($L796*1&gt;=$G$5,$G$6,0),)</f>
        <v/>
      </c>
      <c r="B796" s="22" t="str">
        <f t="shared" si="1"/>
        <v/>
      </c>
      <c r="C796" s="14" t="str">
        <f>IF($A796&lt;&gt;"",MINIFS(Merchant!$A:$A,Merchant!$B:$B,$G$2),)</f>
        <v/>
      </c>
      <c r="D796" s="14" t="str">
        <f t="shared" si="2"/>
        <v/>
      </c>
      <c r="E796" s="14" t="str">
        <f t="shared" si="3"/>
        <v/>
      </c>
      <c r="F796" s="6" t="str">
        <f>IF($A796&lt;&gt;"",MAXIFS(Token!$B:$B,Token!$A:$A,$D796),)</f>
        <v/>
      </c>
    </row>
    <row r="797">
      <c r="A797" s="35" t="str">
        <f>IF(AND($L797*1&gt;=$G$3,$L797*1&lt;=$G$4,$I797*$J797&gt;0,CONCATENATE($H797:$L797)&lt;&gt;CONCATENATE($H798:$L798),$I797/POW(10,$J797)*MAXIFS(Token!$B:$B,Token!$A:$A,$K797)&gt;0.01),$L797/86400+DATE(1970,1,1)+IF($L797*1&gt;=$G$5,$G$6,0),)</f>
        <v/>
      </c>
      <c r="B797" s="22" t="str">
        <f t="shared" si="1"/>
        <v/>
      </c>
      <c r="C797" s="14" t="str">
        <f>IF($A797&lt;&gt;"",MINIFS(Merchant!$A:$A,Merchant!$B:$B,$G$2),)</f>
        <v/>
      </c>
      <c r="D797" s="14" t="str">
        <f t="shared" si="2"/>
        <v/>
      </c>
      <c r="E797" s="14" t="str">
        <f t="shared" si="3"/>
        <v/>
      </c>
      <c r="F797" s="6" t="str">
        <f>IF($A797&lt;&gt;"",MAXIFS(Token!$B:$B,Token!$A:$A,$D797),)</f>
        <v/>
      </c>
    </row>
    <row r="798">
      <c r="A798" s="35" t="str">
        <f>IF(AND($L798*1&gt;=$G$3,$L798*1&lt;=$G$4,$I798*$J798&gt;0,CONCATENATE($H798:$L798)&lt;&gt;CONCATENATE($H799:$L799),$I798/POW(10,$J798)*MAXIFS(Token!$B:$B,Token!$A:$A,$K798)&gt;0.01),$L798/86400+DATE(1970,1,1)+IF($L798*1&gt;=$G$5,$G$6,0),)</f>
        <v/>
      </c>
      <c r="B798" s="22" t="str">
        <f t="shared" si="1"/>
        <v/>
      </c>
      <c r="C798" s="14" t="str">
        <f>IF($A798&lt;&gt;"",MINIFS(Merchant!$A:$A,Merchant!$B:$B,$G$2),)</f>
        <v/>
      </c>
      <c r="D798" s="14" t="str">
        <f t="shared" si="2"/>
        <v/>
      </c>
      <c r="E798" s="14" t="str">
        <f t="shared" si="3"/>
        <v/>
      </c>
      <c r="F798" s="6" t="str">
        <f>IF($A798&lt;&gt;"",MAXIFS(Token!$B:$B,Token!$A:$A,$D798),)</f>
        <v/>
      </c>
    </row>
    <row r="799">
      <c r="A799" s="35" t="str">
        <f>IF(AND($L799*1&gt;=$G$3,$L799*1&lt;=$G$4,$I799*$J799&gt;0,CONCATENATE($H799:$L799)&lt;&gt;CONCATENATE($H800:$L800),$I799/POW(10,$J799)*MAXIFS(Token!$B:$B,Token!$A:$A,$K799)&gt;0.01),$L799/86400+DATE(1970,1,1)+IF($L799*1&gt;=$G$5,$G$6,0),)</f>
        <v/>
      </c>
      <c r="B799" s="22" t="str">
        <f t="shared" si="1"/>
        <v/>
      </c>
      <c r="C799" s="14" t="str">
        <f>IF($A799&lt;&gt;"",MINIFS(Merchant!$A:$A,Merchant!$B:$B,$G$2),)</f>
        <v/>
      </c>
      <c r="D799" s="14" t="str">
        <f t="shared" si="2"/>
        <v/>
      </c>
      <c r="E799" s="14" t="str">
        <f t="shared" si="3"/>
        <v/>
      </c>
      <c r="F799" s="6" t="str">
        <f>IF($A799&lt;&gt;"",MAXIFS(Token!$B:$B,Token!$A:$A,$D799),)</f>
        <v/>
      </c>
    </row>
    <row r="800">
      <c r="A800" s="35" t="str">
        <f>IF(AND($L800*1&gt;=$G$3,$L800*1&lt;=$G$4,$I800*$J800&gt;0,CONCATENATE($H800:$L800)&lt;&gt;CONCATENATE($H801:$L801),$I800/POW(10,$J800)*MAXIFS(Token!$B:$B,Token!$A:$A,$K800)&gt;0.01),$L800/86400+DATE(1970,1,1)+IF($L800*1&gt;=$G$5,$G$6,0),)</f>
        <v/>
      </c>
      <c r="B800" s="22" t="str">
        <f t="shared" si="1"/>
        <v/>
      </c>
      <c r="C800" s="14" t="str">
        <f>IF($A800&lt;&gt;"",MINIFS(Merchant!$A:$A,Merchant!$B:$B,$G$2),)</f>
        <v/>
      </c>
      <c r="D800" s="14" t="str">
        <f t="shared" si="2"/>
        <v/>
      </c>
      <c r="E800" s="14" t="str">
        <f t="shared" si="3"/>
        <v/>
      </c>
      <c r="F800" s="6" t="str">
        <f>IF($A800&lt;&gt;"",MAXIFS(Token!$B:$B,Token!$A:$A,$D800),)</f>
        <v/>
      </c>
    </row>
    <row r="801">
      <c r="A801" s="35" t="str">
        <f>IF(AND($L801*1&gt;=$G$3,$L801*1&lt;=$G$4,$I801*$J801&gt;0,CONCATENATE($H801:$L801)&lt;&gt;CONCATENATE($H802:$L802),$I801/POW(10,$J801)*MAXIFS(Token!$B:$B,Token!$A:$A,$K801)&gt;0.01),$L801/86400+DATE(1970,1,1)+IF($L801*1&gt;=$G$5,$G$6,0),)</f>
        <v/>
      </c>
      <c r="B801" s="22" t="str">
        <f t="shared" si="1"/>
        <v/>
      </c>
      <c r="C801" s="14" t="str">
        <f>IF($A801&lt;&gt;"",MINIFS(Merchant!$A:$A,Merchant!$B:$B,$G$2),)</f>
        <v/>
      </c>
      <c r="D801" s="14" t="str">
        <f t="shared" si="2"/>
        <v/>
      </c>
      <c r="E801" s="14" t="str">
        <f t="shared" si="3"/>
        <v/>
      </c>
      <c r="F801" s="6" t="str">
        <f>IF($A801&lt;&gt;"",MAXIFS(Token!$B:$B,Token!$A:$A,$D801),)</f>
        <v/>
      </c>
    </row>
    <row r="802">
      <c r="A802" s="35" t="str">
        <f>IF(AND($L802*1&gt;=$G$3,$L802*1&lt;=$G$4,$I802*$J802&gt;0,CONCATENATE($H802:$L802)&lt;&gt;CONCATENATE($H803:$L803),$I802/POW(10,$J802)*MAXIFS(Token!$B:$B,Token!$A:$A,$K802)&gt;0.01),$L802/86400+DATE(1970,1,1)+IF($L802*1&gt;=$G$5,$G$6,0),)</f>
        <v/>
      </c>
      <c r="B802" s="22" t="str">
        <f t="shared" si="1"/>
        <v/>
      </c>
      <c r="C802" s="14" t="str">
        <f>IF($A802&lt;&gt;"",MINIFS(Merchant!$A:$A,Merchant!$B:$B,$G$2),)</f>
        <v/>
      </c>
      <c r="D802" s="14" t="str">
        <f t="shared" si="2"/>
        <v/>
      </c>
      <c r="E802" s="14" t="str">
        <f t="shared" si="3"/>
        <v/>
      </c>
      <c r="F802" s="6" t="str">
        <f>IF($A802&lt;&gt;"",MAXIFS(Token!$B:$B,Token!$A:$A,$D802),)</f>
        <v/>
      </c>
    </row>
    <row r="803">
      <c r="A803" s="35" t="str">
        <f>IF(AND($L803*1&gt;=$G$3,$L803*1&lt;=$G$4,$I803*$J803&gt;0,CONCATENATE($H803:$L803)&lt;&gt;CONCATENATE($H804:$L804),$I803/POW(10,$J803)*MAXIFS(Token!$B:$B,Token!$A:$A,$K803)&gt;0.01),$L803/86400+DATE(1970,1,1)+IF($L803*1&gt;=$G$5,$G$6,0),)</f>
        <v/>
      </c>
      <c r="B803" s="22" t="str">
        <f t="shared" si="1"/>
        <v/>
      </c>
      <c r="C803" s="14" t="str">
        <f>IF($A803&lt;&gt;"",MINIFS(Merchant!$A:$A,Merchant!$B:$B,$G$2),)</f>
        <v/>
      </c>
      <c r="D803" s="14" t="str">
        <f t="shared" si="2"/>
        <v/>
      </c>
      <c r="E803" s="14" t="str">
        <f t="shared" si="3"/>
        <v/>
      </c>
      <c r="F803" s="6" t="str">
        <f>IF($A803&lt;&gt;"",MAXIFS(Token!$B:$B,Token!$A:$A,$D803),)</f>
        <v/>
      </c>
    </row>
    <row r="804">
      <c r="A804" s="35" t="str">
        <f>IF(AND($L804*1&gt;=$G$3,$L804*1&lt;=$G$4,$I804*$J804&gt;0,CONCATENATE($H804:$L804)&lt;&gt;CONCATENATE($H805:$L805),$I804/POW(10,$J804)*MAXIFS(Token!$B:$B,Token!$A:$A,$K804)&gt;0.01),$L804/86400+DATE(1970,1,1)+IF($L804*1&gt;=$G$5,$G$6,0),)</f>
        <v/>
      </c>
      <c r="B804" s="22" t="str">
        <f t="shared" si="1"/>
        <v/>
      </c>
      <c r="C804" s="14" t="str">
        <f>IF($A804&lt;&gt;"",MINIFS(Merchant!$A:$A,Merchant!$B:$B,$G$2),)</f>
        <v/>
      </c>
      <c r="D804" s="14" t="str">
        <f t="shared" si="2"/>
        <v/>
      </c>
      <c r="E804" s="14" t="str">
        <f t="shared" si="3"/>
        <v/>
      </c>
      <c r="F804" s="6" t="str">
        <f>IF($A804&lt;&gt;"",MAXIFS(Token!$B:$B,Token!$A:$A,$D804),)</f>
        <v/>
      </c>
    </row>
    <row r="805">
      <c r="A805" s="35" t="str">
        <f>IF(AND($L805*1&gt;=$G$3,$L805*1&lt;=$G$4,$I805*$J805&gt;0,CONCATENATE($H805:$L805)&lt;&gt;CONCATENATE($H806:$L806),$I805/POW(10,$J805)*MAXIFS(Token!$B:$B,Token!$A:$A,$K805)&gt;0.01),$L805/86400+DATE(1970,1,1)+IF($L805*1&gt;=$G$5,$G$6,0),)</f>
        <v/>
      </c>
      <c r="B805" s="22" t="str">
        <f t="shared" si="1"/>
        <v/>
      </c>
      <c r="C805" s="14" t="str">
        <f>IF($A805&lt;&gt;"",MINIFS(Merchant!$A:$A,Merchant!$B:$B,$G$2),)</f>
        <v/>
      </c>
      <c r="D805" s="14" t="str">
        <f t="shared" si="2"/>
        <v/>
      </c>
      <c r="E805" s="14" t="str">
        <f t="shared" si="3"/>
        <v/>
      </c>
      <c r="F805" s="6" t="str">
        <f>IF($A805&lt;&gt;"",MAXIFS(Token!$B:$B,Token!$A:$A,$D805),)</f>
        <v/>
      </c>
    </row>
    <row r="806">
      <c r="A806" s="35" t="str">
        <f>IF(AND($L806*1&gt;=$G$3,$L806*1&lt;=$G$4,$I806*$J806&gt;0,CONCATENATE($H806:$L806)&lt;&gt;CONCATENATE($H807:$L807),$I806/POW(10,$J806)*MAXIFS(Token!$B:$B,Token!$A:$A,$K806)&gt;0.01),$L806/86400+DATE(1970,1,1)+IF($L806*1&gt;=$G$5,$G$6,0),)</f>
        <v/>
      </c>
      <c r="B806" s="22" t="str">
        <f t="shared" si="1"/>
        <v/>
      </c>
      <c r="C806" s="14" t="str">
        <f>IF($A806&lt;&gt;"",MINIFS(Merchant!$A:$A,Merchant!$B:$B,$G$2),)</f>
        <v/>
      </c>
      <c r="D806" s="14" t="str">
        <f t="shared" si="2"/>
        <v/>
      </c>
      <c r="E806" s="14" t="str">
        <f t="shared" si="3"/>
        <v/>
      </c>
      <c r="F806" s="6" t="str">
        <f>IF($A806&lt;&gt;"",MAXIFS(Token!$B:$B,Token!$A:$A,$D806),)</f>
        <v/>
      </c>
    </row>
    <row r="807">
      <c r="A807" s="35" t="str">
        <f>IF(AND($L807*1&gt;=$G$3,$L807*1&lt;=$G$4,$I807*$J807&gt;0,CONCATENATE($H807:$L807)&lt;&gt;CONCATENATE($H808:$L808),$I807/POW(10,$J807)*MAXIFS(Token!$B:$B,Token!$A:$A,$K807)&gt;0.01),$L807/86400+DATE(1970,1,1)+IF($L807*1&gt;=$G$5,$G$6,0),)</f>
        <v/>
      </c>
      <c r="B807" s="22" t="str">
        <f t="shared" si="1"/>
        <v/>
      </c>
      <c r="C807" s="14" t="str">
        <f>IF($A807&lt;&gt;"",MINIFS(Merchant!$A:$A,Merchant!$B:$B,$G$2),)</f>
        <v/>
      </c>
      <c r="D807" s="14" t="str">
        <f t="shared" si="2"/>
        <v/>
      </c>
      <c r="E807" s="14" t="str">
        <f t="shared" si="3"/>
        <v/>
      </c>
      <c r="F807" s="6" t="str">
        <f>IF($A807&lt;&gt;"",MAXIFS(Token!$B:$B,Token!$A:$A,$D807),)</f>
        <v/>
      </c>
    </row>
    <row r="808">
      <c r="A808" s="35" t="str">
        <f>IF(AND($L808*1&gt;=$G$3,$L808*1&lt;=$G$4,$I808*$J808&gt;0,CONCATENATE($H808:$L808)&lt;&gt;CONCATENATE($H809:$L809),$I808/POW(10,$J808)*MAXIFS(Token!$B:$B,Token!$A:$A,$K808)&gt;0.01),$L808/86400+DATE(1970,1,1)+IF($L808*1&gt;=$G$5,$G$6,0),)</f>
        <v/>
      </c>
      <c r="B808" s="22" t="str">
        <f t="shared" si="1"/>
        <v/>
      </c>
      <c r="C808" s="14" t="str">
        <f>IF($A808&lt;&gt;"",MINIFS(Merchant!$A:$A,Merchant!$B:$B,$G$2),)</f>
        <v/>
      </c>
      <c r="D808" s="14" t="str">
        <f t="shared" si="2"/>
        <v/>
      </c>
      <c r="E808" s="14" t="str">
        <f t="shared" si="3"/>
        <v/>
      </c>
      <c r="F808" s="6" t="str">
        <f>IF($A808&lt;&gt;"",MAXIFS(Token!$B:$B,Token!$A:$A,$D808),)</f>
        <v/>
      </c>
    </row>
    <row r="809">
      <c r="A809" s="35" t="str">
        <f>IF(AND($L809*1&gt;=$G$3,$L809*1&lt;=$G$4,$I809*$J809&gt;0,CONCATENATE($H809:$L809)&lt;&gt;CONCATENATE($H810:$L810),$I809/POW(10,$J809)*MAXIFS(Token!$B:$B,Token!$A:$A,$K809)&gt;0.01),$L809/86400+DATE(1970,1,1)+IF($L809*1&gt;=$G$5,$G$6,0),)</f>
        <v/>
      </c>
      <c r="B809" s="22" t="str">
        <f t="shared" si="1"/>
        <v/>
      </c>
      <c r="C809" s="14" t="str">
        <f>IF($A809&lt;&gt;"",MINIFS(Merchant!$A:$A,Merchant!$B:$B,$G$2),)</f>
        <v/>
      </c>
      <c r="D809" s="14" t="str">
        <f t="shared" si="2"/>
        <v/>
      </c>
      <c r="E809" s="14" t="str">
        <f t="shared" si="3"/>
        <v/>
      </c>
      <c r="F809" s="6" t="str">
        <f>IF($A809&lt;&gt;"",MAXIFS(Token!$B:$B,Token!$A:$A,$D809),)</f>
        <v/>
      </c>
    </row>
    <row r="810">
      <c r="A810" s="35" t="str">
        <f>IF(AND($L810*1&gt;=$G$3,$L810*1&lt;=$G$4,$I810*$J810&gt;0,CONCATENATE($H810:$L810)&lt;&gt;CONCATENATE($H811:$L811),$I810/POW(10,$J810)*MAXIFS(Token!$B:$B,Token!$A:$A,$K810)&gt;0.01),$L810/86400+DATE(1970,1,1)+IF($L810*1&gt;=$G$5,$G$6,0),)</f>
        <v/>
      </c>
      <c r="B810" s="22" t="str">
        <f t="shared" si="1"/>
        <v/>
      </c>
      <c r="C810" s="14" t="str">
        <f>IF($A810&lt;&gt;"",MINIFS(Merchant!$A:$A,Merchant!$B:$B,$G$2),)</f>
        <v/>
      </c>
      <c r="D810" s="14" t="str">
        <f t="shared" si="2"/>
        <v/>
      </c>
      <c r="E810" s="14" t="str">
        <f t="shared" si="3"/>
        <v/>
      </c>
      <c r="F810" s="6" t="str">
        <f>IF($A810&lt;&gt;"",MAXIFS(Token!$B:$B,Token!$A:$A,$D810),)</f>
        <v/>
      </c>
    </row>
    <row r="811">
      <c r="A811" s="35" t="str">
        <f>IF(AND($L811*1&gt;=$G$3,$L811*1&lt;=$G$4,$I811*$J811&gt;0,CONCATENATE($H811:$L811)&lt;&gt;CONCATENATE($H812:$L812),$I811/POW(10,$J811)*MAXIFS(Token!$B:$B,Token!$A:$A,$K811)&gt;0.01),$L811/86400+DATE(1970,1,1)+IF($L811*1&gt;=$G$5,$G$6,0),)</f>
        <v/>
      </c>
      <c r="B811" s="22" t="str">
        <f t="shared" si="1"/>
        <v/>
      </c>
      <c r="C811" s="14" t="str">
        <f>IF($A811&lt;&gt;"",MINIFS(Merchant!$A:$A,Merchant!$B:$B,$G$2),)</f>
        <v/>
      </c>
      <c r="D811" s="14" t="str">
        <f t="shared" si="2"/>
        <v/>
      </c>
      <c r="E811" s="14" t="str">
        <f t="shared" si="3"/>
        <v/>
      </c>
      <c r="F811" s="6" t="str">
        <f>IF($A811&lt;&gt;"",MAXIFS(Token!$B:$B,Token!$A:$A,$D811),)</f>
        <v/>
      </c>
    </row>
    <row r="812">
      <c r="A812" s="35" t="str">
        <f>IF(AND($L812*1&gt;=$G$3,$L812*1&lt;=$G$4,$I812*$J812&gt;0,CONCATENATE($H812:$L812)&lt;&gt;CONCATENATE($H813:$L813),$I812/POW(10,$J812)*MAXIFS(Token!$B:$B,Token!$A:$A,$K812)&gt;0.01),$L812/86400+DATE(1970,1,1)+IF($L812*1&gt;=$G$5,$G$6,0),)</f>
        <v/>
      </c>
      <c r="B812" s="22" t="str">
        <f t="shared" si="1"/>
        <v/>
      </c>
      <c r="C812" s="14" t="str">
        <f>IF($A812&lt;&gt;"",MINIFS(Merchant!$A:$A,Merchant!$B:$B,$G$2),)</f>
        <v/>
      </c>
      <c r="D812" s="14" t="str">
        <f t="shared" si="2"/>
        <v/>
      </c>
      <c r="E812" s="14" t="str">
        <f t="shared" si="3"/>
        <v/>
      </c>
      <c r="F812" s="6" t="str">
        <f>IF($A812&lt;&gt;"",MAXIFS(Token!$B:$B,Token!$A:$A,$D812),)</f>
        <v/>
      </c>
    </row>
    <row r="813">
      <c r="A813" s="35" t="str">
        <f>IF(AND($L813*1&gt;=$G$3,$L813*1&lt;=$G$4,$I813*$J813&gt;0,CONCATENATE($H813:$L813)&lt;&gt;CONCATENATE($H814:$L814),$I813/POW(10,$J813)*MAXIFS(Token!$B:$B,Token!$A:$A,$K813)&gt;0.01),$L813/86400+DATE(1970,1,1)+IF($L813*1&gt;=$G$5,$G$6,0),)</f>
        <v/>
      </c>
      <c r="B813" s="22" t="str">
        <f t="shared" si="1"/>
        <v/>
      </c>
      <c r="C813" s="14" t="str">
        <f>IF($A813&lt;&gt;"",MINIFS(Merchant!$A:$A,Merchant!$B:$B,$G$2),)</f>
        <v/>
      </c>
      <c r="D813" s="14" t="str">
        <f t="shared" si="2"/>
        <v/>
      </c>
      <c r="E813" s="14" t="str">
        <f t="shared" si="3"/>
        <v/>
      </c>
      <c r="F813" s="6" t="str">
        <f>IF($A813&lt;&gt;"",MAXIFS(Token!$B:$B,Token!$A:$A,$D813),)</f>
        <v/>
      </c>
    </row>
    <row r="814">
      <c r="A814" s="35" t="str">
        <f>IF(AND($L814*1&gt;=$G$3,$L814*1&lt;=$G$4,$I814*$J814&gt;0,CONCATENATE($H814:$L814)&lt;&gt;CONCATENATE($H815:$L815),$I814/POW(10,$J814)*MAXIFS(Token!$B:$B,Token!$A:$A,$K814)&gt;0.01),$L814/86400+DATE(1970,1,1)+IF($L814*1&gt;=$G$5,$G$6,0),)</f>
        <v/>
      </c>
      <c r="B814" s="22" t="str">
        <f t="shared" si="1"/>
        <v/>
      </c>
      <c r="C814" s="14" t="str">
        <f>IF($A814&lt;&gt;"",MINIFS(Merchant!$A:$A,Merchant!$B:$B,$G$2),)</f>
        <v/>
      </c>
      <c r="D814" s="14" t="str">
        <f t="shared" si="2"/>
        <v/>
      </c>
      <c r="E814" s="14" t="str">
        <f t="shared" si="3"/>
        <v/>
      </c>
      <c r="F814" s="6" t="str">
        <f>IF($A814&lt;&gt;"",MAXIFS(Token!$B:$B,Token!$A:$A,$D814),)</f>
        <v/>
      </c>
    </row>
    <row r="815">
      <c r="A815" s="35" t="str">
        <f>IF(AND($L815*1&gt;=$G$3,$L815*1&lt;=$G$4,$I815*$J815&gt;0,CONCATENATE($H815:$L815)&lt;&gt;CONCATENATE($H816:$L816),$I815/POW(10,$J815)*MAXIFS(Token!$B:$B,Token!$A:$A,$K815)&gt;0.01),$L815/86400+DATE(1970,1,1)+IF($L815*1&gt;=$G$5,$G$6,0),)</f>
        <v/>
      </c>
      <c r="B815" s="22" t="str">
        <f t="shared" si="1"/>
        <v/>
      </c>
      <c r="C815" s="14" t="str">
        <f>IF($A815&lt;&gt;"",MINIFS(Merchant!$A:$A,Merchant!$B:$B,$G$2),)</f>
        <v/>
      </c>
      <c r="D815" s="14" t="str">
        <f t="shared" si="2"/>
        <v/>
      </c>
      <c r="E815" s="14" t="str">
        <f t="shared" si="3"/>
        <v/>
      </c>
      <c r="F815" s="6" t="str">
        <f>IF($A815&lt;&gt;"",MAXIFS(Token!$B:$B,Token!$A:$A,$D815),)</f>
        <v/>
      </c>
    </row>
    <row r="816">
      <c r="A816" s="35" t="str">
        <f>IF(AND($L816*1&gt;=$G$3,$L816*1&lt;=$G$4,$I816*$J816&gt;0,CONCATENATE($H816:$L816)&lt;&gt;CONCATENATE($H817:$L817),$I816/POW(10,$J816)*MAXIFS(Token!$B:$B,Token!$A:$A,$K816)&gt;0.01),$L816/86400+DATE(1970,1,1)+IF($L816*1&gt;=$G$5,$G$6,0),)</f>
        <v/>
      </c>
      <c r="B816" s="22" t="str">
        <f t="shared" si="1"/>
        <v/>
      </c>
      <c r="C816" s="14" t="str">
        <f>IF($A816&lt;&gt;"",MINIFS(Merchant!$A:$A,Merchant!$B:$B,$G$2),)</f>
        <v/>
      </c>
      <c r="D816" s="14" t="str">
        <f t="shared" si="2"/>
        <v/>
      </c>
      <c r="E816" s="14" t="str">
        <f t="shared" si="3"/>
        <v/>
      </c>
      <c r="F816" s="6" t="str">
        <f>IF($A816&lt;&gt;"",MAXIFS(Token!$B:$B,Token!$A:$A,$D816),)</f>
        <v/>
      </c>
    </row>
    <row r="817">
      <c r="A817" s="35" t="str">
        <f>IF(AND($L817*1&gt;=$G$3,$L817*1&lt;=$G$4,$I817*$J817&gt;0,CONCATENATE($H817:$L817)&lt;&gt;CONCATENATE($H818:$L818),$I817/POW(10,$J817)*MAXIFS(Token!$B:$B,Token!$A:$A,$K817)&gt;0.01),$L817/86400+DATE(1970,1,1)+IF($L817*1&gt;=$G$5,$G$6,0),)</f>
        <v/>
      </c>
      <c r="B817" s="22" t="str">
        <f t="shared" si="1"/>
        <v/>
      </c>
      <c r="C817" s="14" t="str">
        <f>IF($A817&lt;&gt;"",MINIFS(Merchant!$A:$A,Merchant!$B:$B,$G$2),)</f>
        <v/>
      </c>
      <c r="D817" s="14" t="str">
        <f t="shared" si="2"/>
        <v/>
      </c>
      <c r="E817" s="14" t="str">
        <f t="shared" si="3"/>
        <v/>
      </c>
      <c r="F817" s="6" t="str">
        <f>IF($A817&lt;&gt;"",MAXIFS(Token!$B:$B,Token!$A:$A,$D817),)</f>
        <v/>
      </c>
    </row>
    <row r="818">
      <c r="A818" s="35" t="str">
        <f>IF(AND($L818*1&gt;=$G$3,$L818*1&lt;=$G$4,$I818*$J818&gt;0,CONCATENATE($H818:$L818)&lt;&gt;CONCATENATE($H819:$L819),$I818/POW(10,$J818)*MAXIFS(Token!$B:$B,Token!$A:$A,$K818)&gt;0.01),$L818/86400+DATE(1970,1,1)+IF($L818*1&gt;=$G$5,$G$6,0),)</f>
        <v/>
      </c>
      <c r="B818" s="22" t="str">
        <f t="shared" si="1"/>
        <v/>
      </c>
      <c r="C818" s="14" t="str">
        <f>IF($A818&lt;&gt;"",MINIFS(Merchant!$A:$A,Merchant!$B:$B,$G$2),)</f>
        <v/>
      </c>
      <c r="D818" s="14" t="str">
        <f t="shared" si="2"/>
        <v/>
      </c>
      <c r="E818" s="14" t="str">
        <f t="shared" si="3"/>
        <v/>
      </c>
      <c r="F818" s="6" t="str">
        <f>IF($A818&lt;&gt;"",MAXIFS(Token!$B:$B,Token!$A:$A,$D818),)</f>
        <v/>
      </c>
    </row>
    <row r="819">
      <c r="A819" s="35" t="str">
        <f>IF(AND($L819*1&gt;=$G$3,$L819*1&lt;=$G$4,$I819*$J819&gt;0,CONCATENATE($H819:$L819)&lt;&gt;CONCATENATE($H820:$L820),$I819/POW(10,$J819)*MAXIFS(Token!$B:$B,Token!$A:$A,$K819)&gt;0.01),$L819/86400+DATE(1970,1,1)+IF($L819*1&gt;=$G$5,$G$6,0),)</f>
        <v/>
      </c>
      <c r="B819" s="22" t="str">
        <f t="shared" si="1"/>
        <v/>
      </c>
      <c r="C819" s="14" t="str">
        <f>IF($A819&lt;&gt;"",MINIFS(Merchant!$A:$A,Merchant!$B:$B,$G$2),)</f>
        <v/>
      </c>
      <c r="D819" s="14" t="str">
        <f t="shared" si="2"/>
        <v/>
      </c>
      <c r="E819" s="14" t="str">
        <f t="shared" si="3"/>
        <v/>
      </c>
      <c r="F819" s="6" t="str">
        <f>IF($A819&lt;&gt;"",MAXIFS(Token!$B:$B,Token!$A:$A,$D819),)</f>
        <v/>
      </c>
    </row>
    <row r="820">
      <c r="A820" s="35" t="str">
        <f>IF(AND($L820*1&gt;=$G$3,$L820*1&lt;=$G$4,$I820*$J820&gt;0,CONCATENATE($H820:$L820)&lt;&gt;CONCATENATE($H821:$L821),$I820/POW(10,$J820)*MAXIFS(Token!$B:$B,Token!$A:$A,$K820)&gt;0.01),$L820/86400+DATE(1970,1,1)+IF($L820*1&gt;=$G$5,$G$6,0),)</f>
        <v/>
      </c>
      <c r="B820" s="22" t="str">
        <f t="shared" si="1"/>
        <v/>
      </c>
      <c r="C820" s="14" t="str">
        <f>IF($A820&lt;&gt;"",MINIFS(Merchant!$A:$A,Merchant!$B:$B,$G$2),)</f>
        <v/>
      </c>
      <c r="D820" s="14" t="str">
        <f t="shared" si="2"/>
        <v/>
      </c>
      <c r="E820" s="14" t="str">
        <f t="shared" si="3"/>
        <v/>
      </c>
      <c r="F820" s="6" t="str">
        <f>IF($A820&lt;&gt;"",MAXIFS(Token!$B:$B,Token!$A:$A,$D820),)</f>
        <v/>
      </c>
    </row>
    <row r="821">
      <c r="A821" s="35" t="str">
        <f>IF(AND($L821*1&gt;=$G$3,$L821*1&lt;=$G$4,$I821*$J821&gt;0,CONCATENATE($H821:$L821)&lt;&gt;CONCATENATE($H822:$L822),$I821/POW(10,$J821)*MAXIFS(Token!$B:$B,Token!$A:$A,$K821)&gt;0.01),$L821/86400+DATE(1970,1,1)+IF($L821*1&gt;=$G$5,$G$6,0),)</f>
        <v/>
      </c>
      <c r="B821" s="22" t="str">
        <f t="shared" si="1"/>
        <v/>
      </c>
      <c r="C821" s="14" t="str">
        <f>IF($A821&lt;&gt;"",MINIFS(Merchant!$A:$A,Merchant!$B:$B,$G$2),)</f>
        <v/>
      </c>
      <c r="D821" s="14" t="str">
        <f t="shared" si="2"/>
        <v/>
      </c>
      <c r="E821" s="14" t="str">
        <f t="shared" si="3"/>
        <v/>
      </c>
      <c r="F821" s="6" t="str">
        <f>IF($A821&lt;&gt;"",MAXIFS(Token!$B:$B,Token!$A:$A,$D821),)</f>
        <v/>
      </c>
    </row>
    <row r="822">
      <c r="A822" s="35" t="str">
        <f>IF(AND($L822*1&gt;=$G$3,$L822*1&lt;=$G$4,$I822*$J822&gt;0,CONCATENATE($H822:$L822)&lt;&gt;CONCATENATE($H823:$L823),$I822/POW(10,$J822)*MAXIFS(Token!$B:$B,Token!$A:$A,$K822)&gt;0.01),$L822/86400+DATE(1970,1,1)+IF($L822*1&gt;=$G$5,$G$6,0),)</f>
        <v/>
      </c>
      <c r="B822" s="22" t="str">
        <f t="shared" si="1"/>
        <v/>
      </c>
      <c r="C822" s="14" t="str">
        <f>IF($A822&lt;&gt;"",MINIFS(Merchant!$A:$A,Merchant!$B:$B,$G$2),)</f>
        <v/>
      </c>
      <c r="D822" s="14" t="str">
        <f t="shared" si="2"/>
        <v/>
      </c>
      <c r="E822" s="14" t="str">
        <f t="shared" si="3"/>
        <v/>
      </c>
      <c r="F822" s="6" t="str">
        <f>IF($A822&lt;&gt;"",MAXIFS(Token!$B:$B,Token!$A:$A,$D822),)</f>
        <v/>
      </c>
    </row>
    <row r="823">
      <c r="A823" s="35" t="str">
        <f>IF(AND($L823*1&gt;=$G$3,$L823*1&lt;=$G$4,$I823*$J823&gt;0,CONCATENATE($H823:$L823)&lt;&gt;CONCATENATE($H824:$L824),$I823/POW(10,$J823)*MAXIFS(Token!$B:$B,Token!$A:$A,$K823)&gt;0.01),$L823/86400+DATE(1970,1,1)+IF($L823*1&gt;=$G$5,$G$6,0),)</f>
        <v/>
      </c>
      <c r="B823" s="22" t="str">
        <f t="shared" si="1"/>
        <v/>
      </c>
      <c r="C823" s="14" t="str">
        <f>IF($A823&lt;&gt;"",MINIFS(Merchant!$A:$A,Merchant!$B:$B,$G$2),)</f>
        <v/>
      </c>
      <c r="D823" s="14" t="str">
        <f t="shared" si="2"/>
        <v/>
      </c>
      <c r="E823" s="14" t="str">
        <f t="shared" si="3"/>
        <v/>
      </c>
      <c r="F823" s="6" t="str">
        <f>IF($A823&lt;&gt;"",MAXIFS(Token!$B:$B,Token!$A:$A,$D823),)</f>
        <v/>
      </c>
    </row>
    <row r="824">
      <c r="A824" s="35" t="str">
        <f>IF(AND($L824*1&gt;=$G$3,$L824*1&lt;=$G$4,$I824*$J824&gt;0,CONCATENATE($H824:$L824)&lt;&gt;CONCATENATE($H825:$L825),$I824/POW(10,$J824)*MAXIFS(Token!$B:$B,Token!$A:$A,$K824)&gt;0.01),$L824/86400+DATE(1970,1,1)+IF($L824*1&gt;=$G$5,$G$6,0),)</f>
        <v/>
      </c>
      <c r="B824" s="22" t="str">
        <f t="shared" si="1"/>
        <v/>
      </c>
      <c r="C824" s="14" t="str">
        <f>IF($A824&lt;&gt;"",MINIFS(Merchant!$A:$A,Merchant!$B:$B,$G$2),)</f>
        <v/>
      </c>
      <c r="D824" s="14" t="str">
        <f t="shared" si="2"/>
        <v/>
      </c>
      <c r="E824" s="14" t="str">
        <f t="shared" si="3"/>
        <v/>
      </c>
      <c r="F824" s="6" t="str">
        <f>IF($A824&lt;&gt;"",MAXIFS(Token!$B:$B,Token!$A:$A,$D824),)</f>
        <v/>
      </c>
    </row>
    <row r="825">
      <c r="A825" s="35" t="str">
        <f>IF(AND($L825*1&gt;=$G$3,$L825*1&lt;=$G$4,$I825*$J825&gt;0,CONCATENATE($H825:$L825)&lt;&gt;CONCATENATE($H826:$L826),$I825/POW(10,$J825)*MAXIFS(Token!$B:$B,Token!$A:$A,$K825)&gt;0.01),$L825/86400+DATE(1970,1,1)+IF($L825*1&gt;=$G$5,$G$6,0),)</f>
        <v/>
      </c>
      <c r="B825" s="22" t="str">
        <f t="shared" si="1"/>
        <v/>
      </c>
      <c r="C825" s="14" t="str">
        <f>IF($A825&lt;&gt;"",MINIFS(Merchant!$A:$A,Merchant!$B:$B,$G$2),)</f>
        <v/>
      </c>
      <c r="D825" s="14" t="str">
        <f t="shared" si="2"/>
        <v/>
      </c>
      <c r="E825" s="14" t="str">
        <f t="shared" si="3"/>
        <v/>
      </c>
      <c r="F825" s="6" t="str">
        <f>IF($A825&lt;&gt;"",MAXIFS(Token!$B:$B,Token!$A:$A,$D825),)</f>
        <v/>
      </c>
    </row>
    <row r="826">
      <c r="A826" s="35" t="str">
        <f>IF(AND($L826*1&gt;=$G$3,$L826*1&lt;=$G$4,$I826*$J826&gt;0,CONCATENATE($H826:$L826)&lt;&gt;CONCATENATE($H827:$L827),$I826/POW(10,$J826)*MAXIFS(Token!$B:$B,Token!$A:$A,$K826)&gt;0.01),$L826/86400+DATE(1970,1,1)+IF($L826*1&gt;=$G$5,$G$6,0),)</f>
        <v/>
      </c>
      <c r="B826" s="22" t="str">
        <f t="shared" si="1"/>
        <v/>
      </c>
      <c r="C826" s="14" t="str">
        <f>IF($A826&lt;&gt;"",MINIFS(Merchant!$A:$A,Merchant!$B:$B,$G$2),)</f>
        <v/>
      </c>
      <c r="D826" s="14" t="str">
        <f t="shared" si="2"/>
        <v/>
      </c>
      <c r="E826" s="14" t="str">
        <f t="shared" si="3"/>
        <v/>
      </c>
      <c r="F826" s="6" t="str">
        <f>IF($A826&lt;&gt;"",MAXIFS(Token!$B:$B,Token!$A:$A,$D826),)</f>
        <v/>
      </c>
    </row>
    <row r="827">
      <c r="A827" s="35" t="str">
        <f>IF(AND($L827*1&gt;=$G$3,$L827*1&lt;=$G$4,$I827*$J827&gt;0,CONCATENATE($H827:$L827)&lt;&gt;CONCATENATE($H828:$L828),$I827/POW(10,$J827)*MAXIFS(Token!$B:$B,Token!$A:$A,$K827)&gt;0.01),$L827/86400+DATE(1970,1,1)+IF($L827*1&gt;=$G$5,$G$6,0),)</f>
        <v/>
      </c>
      <c r="B827" s="22" t="str">
        <f t="shared" si="1"/>
        <v/>
      </c>
      <c r="C827" s="14" t="str">
        <f>IF($A827&lt;&gt;"",MINIFS(Merchant!$A:$A,Merchant!$B:$B,$G$2),)</f>
        <v/>
      </c>
      <c r="D827" s="14" t="str">
        <f t="shared" si="2"/>
        <v/>
      </c>
      <c r="E827" s="14" t="str">
        <f t="shared" si="3"/>
        <v/>
      </c>
      <c r="F827" s="6" t="str">
        <f>IF($A827&lt;&gt;"",MAXIFS(Token!$B:$B,Token!$A:$A,$D827),)</f>
        <v/>
      </c>
    </row>
    <row r="828">
      <c r="A828" s="35" t="str">
        <f>IF(AND($L828*1&gt;=$G$3,$L828*1&lt;=$G$4,$I828*$J828&gt;0,CONCATENATE($H828:$L828)&lt;&gt;CONCATENATE($H829:$L829),$I828/POW(10,$J828)*MAXIFS(Token!$B:$B,Token!$A:$A,$K828)&gt;0.01),$L828/86400+DATE(1970,1,1)+IF($L828*1&gt;=$G$5,$G$6,0),)</f>
        <v/>
      </c>
      <c r="B828" s="22" t="str">
        <f t="shared" si="1"/>
        <v/>
      </c>
      <c r="C828" s="14" t="str">
        <f>IF($A828&lt;&gt;"",MINIFS(Merchant!$A:$A,Merchant!$B:$B,$G$2),)</f>
        <v/>
      </c>
      <c r="D828" s="14" t="str">
        <f t="shared" si="2"/>
        <v/>
      </c>
      <c r="E828" s="14" t="str">
        <f t="shared" si="3"/>
        <v/>
      </c>
      <c r="F828" s="6" t="str">
        <f>IF($A828&lt;&gt;"",MAXIFS(Token!$B:$B,Token!$A:$A,$D828),)</f>
        <v/>
      </c>
    </row>
    <row r="829">
      <c r="A829" s="35" t="str">
        <f>IF(AND($L829*1&gt;=$G$3,$L829*1&lt;=$G$4,$I829*$J829&gt;0,CONCATENATE($H829:$L829)&lt;&gt;CONCATENATE($H830:$L830),$I829/POW(10,$J829)*MAXIFS(Token!$B:$B,Token!$A:$A,$K829)&gt;0.01),$L829/86400+DATE(1970,1,1)+IF($L829*1&gt;=$G$5,$G$6,0),)</f>
        <v/>
      </c>
      <c r="B829" s="22" t="str">
        <f t="shared" si="1"/>
        <v/>
      </c>
      <c r="C829" s="14" t="str">
        <f>IF($A829&lt;&gt;"",MINIFS(Merchant!$A:$A,Merchant!$B:$B,$G$2),)</f>
        <v/>
      </c>
      <c r="D829" s="14" t="str">
        <f t="shared" si="2"/>
        <v/>
      </c>
      <c r="E829" s="14" t="str">
        <f t="shared" si="3"/>
        <v/>
      </c>
      <c r="F829" s="6" t="str">
        <f>IF($A829&lt;&gt;"",MAXIFS(Token!$B:$B,Token!$A:$A,$D829),)</f>
        <v/>
      </c>
    </row>
    <row r="830">
      <c r="A830" s="35" t="str">
        <f>IF(AND($L830*1&gt;=$G$3,$L830*1&lt;=$G$4,$I830*$J830&gt;0,CONCATENATE($H830:$L830)&lt;&gt;CONCATENATE($H831:$L831),$I830/POW(10,$J830)*MAXIFS(Token!$B:$B,Token!$A:$A,$K830)&gt;0.01),$L830/86400+DATE(1970,1,1)+IF($L830*1&gt;=$G$5,$G$6,0),)</f>
        <v/>
      </c>
      <c r="B830" s="22" t="str">
        <f t="shared" si="1"/>
        <v/>
      </c>
      <c r="C830" s="14" t="str">
        <f>IF($A830&lt;&gt;"",MINIFS(Merchant!$A:$A,Merchant!$B:$B,$G$2),)</f>
        <v/>
      </c>
      <c r="D830" s="14" t="str">
        <f t="shared" si="2"/>
        <v/>
      </c>
      <c r="E830" s="14" t="str">
        <f t="shared" si="3"/>
        <v/>
      </c>
      <c r="F830" s="6" t="str">
        <f>IF($A830&lt;&gt;"",MAXIFS(Token!$B:$B,Token!$A:$A,$D830),)</f>
        <v/>
      </c>
    </row>
    <row r="831">
      <c r="A831" s="35" t="str">
        <f>IF(AND($L831*1&gt;=$G$3,$L831*1&lt;=$G$4,$I831*$J831&gt;0,CONCATENATE($H831:$L831)&lt;&gt;CONCATENATE($H832:$L832),$I831/POW(10,$J831)*MAXIFS(Token!$B:$B,Token!$A:$A,$K831)&gt;0.01),$L831/86400+DATE(1970,1,1)+IF($L831*1&gt;=$G$5,$G$6,0),)</f>
        <v/>
      </c>
      <c r="B831" s="22" t="str">
        <f t="shared" si="1"/>
        <v/>
      </c>
      <c r="C831" s="14" t="str">
        <f>IF($A831&lt;&gt;"",MINIFS(Merchant!$A:$A,Merchant!$B:$B,$G$2),)</f>
        <v/>
      </c>
      <c r="D831" s="14" t="str">
        <f t="shared" si="2"/>
        <v/>
      </c>
      <c r="E831" s="14" t="str">
        <f t="shared" si="3"/>
        <v/>
      </c>
      <c r="F831" s="6" t="str">
        <f>IF($A831&lt;&gt;"",MAXIFS(Token!$B:$B,Token!$A:$A,$D831),)</f>
        <v/>
      </c>
    </row>
    <row r="832">
      <c r="A832" s="35" t="str">
        <f>IF(AND($L832*1&gt;=$G$3,$L832*1&lt;=$G$4,$I832*$J832&gt;0,CONCATENATE($H832:$L832)&lt;&gt;CONCATENATE($H833:$L833),$I832/POW(10,$J832)*MAXIFS(Token!$B:$B,Token!$A:$A,$K832)&gt;0.01),$L832/86400+DATE(1970,1,1)+IF($L832*1&gt;=$G$5,$G$6,0),)</f>
        <v/>
      </c>
      <c r="B832" s="22" t="str">
        <f t="shared" si="1"/>
        <v/>
      </c>
      <c r="C832" s="14" t="str">
        <f>IF($A832&lt;&gt;"",MINIFS(Merchant!$A:$A,Merchant!$B:$B,$G$2),)</f>
        <v/>
      </c>
      <c r="D832" s="14" t="str">
        <f t="shared" si="2"/>
        <v/>
      </c>
      <c r="E832" s="14" t="str">
        <f t="shared" si="3"/>
        <v/>
      </c>
      <c r="F832" s="6" t="str">
        <f>IF($A832&lt;&gt;"",MAXIFS(Token!$B:$B,Token!$A:$A,$D832),)</f>
        <v/>
      </c>
    </row>
    <row r="833">
      <c r="A833" s="35" t="str">
        <f>IF(AND($L833*1&gt;=$G$3,$L833*1&lt;=$G$4,$I833*$J833&gt;0,CONCATENATE($H833:$L833)&lt;&gt;CONCATENATE($H834:$L834),$I833/POW(10,$J833)*MAXIFS(Token!$B:$B,Token!$A:$A,$K833)&gt;0.01),$L833/86400+DATE(1970,1,1)+IF($L833*1&gt;=$G$5,$G$6,0),)</f>
        <v/>
      </c>
      <c r="B833" s="22" t="str">
        <f t="shared" si="1"/>
        <v/>
      </c>
      <c r="C833" s="14" t="str">
        <f>IF($A833&lt;&gt;"",MINIFS(Merchant!$A:$A,Merchant!$B:$B,$G$2),)</f>
        <v/>
      </c>
      <c r="D833" s="14" t="str">
        <f t="shared" si="2"/>
        <v/>
      </c>
      <c r="E833" s="14" t="str">
        <f t="shared" si="3"/>
        <v/>
      </c>
      <c r="F833" s="6" t="str">
        <f>IF($A833&lt;&gt;"",MAXIFS(Token!$B:$B,Token!$A:$A,$D833),)</f>
        <v/>
      </c>
    </row>
    <row r="834">
      <c r="A834" s="35" t="str">
        <f>IF(AND($L834*1&gt;=$G$3,$L834*1&lt;=$G$4,$I834*$J834&gt;0,CONCATENATE($H834:$L834)&lt;&gt;CONCATENATE($H835:$L835),$I834/POW(10,$J834)*MAXIFS(Token!$B:$B,Token!$A:$A,$K834)&gt;0.01),$L834/86400+DATE(1970,1,1)+IF($L834*1&gt;=$G$5,$G$6,0),)</f>
        <v/>
      </c>
      <c r="B834" s="22" t="str">
        <f t="shared" si="1"/>
        <v/>
      </c>
      <c r="C834" s="14" t="str">
        <f>IF($A834&lt;&gt;"",MINIFS(Merchant!$A:$A,Merchant!$B:$B,$G$2),)</f>
        <v/>
      </c>
      <c r="D834" s="14" t="str">
        <f t="shared" si="2"/>
        <v/>
      </c>
      <c r="E834" s="14" t="str">
        <f t="shared" si="3"/>
        <v/>
      </c>
      <c r="F834" s="6" t="str">
        <f>IF($A834&lt;&gt;"",MAXIFS(Token!$B:$B,Token!$A:$A,$D834),)</f>
        <v/>
      </c>
    </row>
    <row r="835">
      <c r="A835" s="35" t="str">
        <f>IF(AND($L835*1&gt;=$G$3,$L835*1&lt;=$G$4,$I835*$J835&gt;0,CONCATENATE($H835:$L835)&lt;&gt;CONCATENATE($H836:$L836),$I835/POW(10,$J835)*MAXIFS(Token!$B:$B,Token!$A:$A,$K835)&gt;0.01),$L835/86400+DATE(1970,1,1)+IF($L835*1&gt;=$G$5,$G$6,0),)</f>
        <v/>
      </c>
      <c r="B835" s="22" t="str">
        <f t="shared" si="1"/>
        <v/>
      </c>
      <c r="C835" s="14" t="str">
        <f>IF($A835&lt;&gt;"",MINIFS(Merchant!$A:$A,Merchant!$B:$B,$G$2),)</f>
        <v/>
      </c>
      <c r="D835" s="14" t="str">
        <f t="shared" si="2"/>
        <v/>
      </c>
      <c r="E835" s="14" t="str">
        <f t="shared" si="3"/>
        <v/>
      </c>
      <c r="F835" s="6" t="str">
        <f>IF($A835&lt;&gt;"",MAXIFS(Token!$B:$B,Token!$A:$A,$D835),)</f>
        <v/>
      </c>
    </row>
    <row r="836">
      <c r="A836" s="35" t="str">
        <f>IF(AND($L836*1&gt;=$G$3,$L836*1&lt;=$G$4,$I836*$J836&gt;0,CONCATENATE($H836:$L836)&lt;&gt;CONCATENATE($H837:$L837),$I836/POW(10,$J836)*MAXIFS(Token!$B:$B,Token!$A:$A,$K836)&gt;0.01),$L836/86400+DATE(1970,1,1)+IF($L836*1&gt;=$G$5,$G$6,0),)</f>
        <v/>
      </c>
      <c r="B836" s="22" t="str">
        <f t="shared" si="1"/>
        <v/>
      </c>
      <c r="C836" s="14" t="str">
        <f>IF($A836&lt;&gt;"",MINIFS(Merchant!$A:$A,Merchant!$B:$B,$G$2),)</f>
        <v/>
      </c>
      <c r="D836" s="14" t="str">
        <f t="shared" si="2"/>
        <v/>
      </c>
      <c r="E836" s="14" t="str">
        <f t="shared" si="3"/>
        <v/>
      </c>
      <c r="F836" s="6" t="str">
        <f>IF($A836&lt;&gt;"",MAXIFS(Token!$B:$B,Token!$A:$A,$D836),)</f>
        <v/>
      </c>
    </row>
    <row r="837">
      <c r="A837" s="35" t="str">
        <f>IF(AND($L837*1&gt;=$G$3,$L837*1&lt;=$G$4,$I837*$J837&gt;0,CONCATENATE($H837:$L837)&lt;&gt;CONCATENATE($H838:$L838),$I837/POW(10,$J837)*MAXIFS(Token!$B:$B,Token!$A:$A,$K837)&gt;0.01),$L837/86400+DATE(1970,1,1)+IF($L837*1&gt;=$G$5,$G$6,0),)</f>
        <v/>
      </c>
      <c r="B837" s="22" t="str">
        <f t="shared" si="1"/>
        <v/>
      </c>
      <c r="C837" s="14" t="str">
        <f>IF($A837&lt;&gt;"",MINIFS(Merchant!$A:$A,Merchant!$B:$B,$G$2),)</f>
        <v/>
      </c>
      <c r="D837" s="14" t="str">
        <f t="shared" si="2"/>
        <v/>
      </c>
      <c r="E837" s="14" t="str">
        <f t="shared" si="3"/>
        <v/>
      </c>
      <c r="F837" s="6" t="str">
        <f>IF($A837&lt;&gt;"",MAXIFS(Token!$B:$B,Token!$A:$A,$D837),)</f>
        <v/>
      </c>
    </row>
    <row r="838">
      <c r="A838" s="35" t="str">
        <f>IF(AND($L838*1&gt;=$G$3,$L838*1&lt;=$G$4,$I838*$J838&gt;0,CONCATENATE($H838:$L838)&lt;&gt;CONCATENATE($H839:$L839),$I838/POW(10,$J838)*MAXIFS(Token!$B:$B,Token!$A:$A,$K838)&gt;0.01),$L838/86400+DATE(1970,1,1)+IF($L838*1&gt;=$G$5,$G$6,0),)</f>
        <v/>
      </c>
      <c r="B838" s="22" t="str">
        <f t="shared" si="1"/>
        <v/>
      </c>
      <c r="C838" s="14" t="str">
        <f>IF($A838&lt;&gt;"",MINIFS(Merchant!$A:$A,Merchant!$B:$B,$G$2),)</f>
        <v/>
      </c>
      <c r="D838" s="14" t="str">
        <f t="shared" si="2"/>
        <v/>
      </c>
      <c r="E838" s="14" t="str">
        <f t="shared" si="3"/>
        <v/>
      </c>
      <c r="F838" s="6" t="str">
        <f>IF($A838&lt;&gt;"",MAXIFS(Token!$B:$B,Token!$A:$A,$D838),)</f>
        <v/>
      </c>
    </row>
    <row r="839">
      <c r="A839" s="35" t="str">
        <f>IF(AND($L839*1&gt;=$G$3,$L839*1&lt;=$G$4,$I839*$J839&gt;0,CONCATENATE($H839:$L839)&lt;&gt;CONCATENATE($H840:$L840),$I839/POW(10,$J839)*MAXIFS(Token!$B:$B,Token!$A:$A,$K839)&gt;0.01),$L839/86400+DATE(1970,1,1)+IF($L839*1&gt;=$G$5,$G$6,0),)</f>
        <v/>
      </c>
      <c r="B839" s="22" t="str">
        <f t="shared" si="1"/>
        <v/>
      </c>
      <c r="C839" s="14" t="str">
        <f>IF($A839&lt;&gt;"",MINIFS(Merchant!$A:$A,Merchant!$B:$B,$G$2),)</f>
        <v/>
      </c>
      <c r="D839" s="14" t="str">
        <f t="shared" si="2"/>
        <v/>
      </c>
      <c r="E839" s="14" t="str">
        <f t="shared" si="3"/>
        <v/>
      </c>
      <c r="F839" s="6" t="str">
        <f>IF($A839&lt;&gt;"",MAXIFS(Token!$B:$B,Token!$A:$A,$D839),)</f>
        <v/>
      </c>
    </row>
    <row r="840">
      <c r="A840" s="35" t="str">
        <f>IF(AND($L840*1&gt;=$G$3,$L840*1&lt;=$G$4,$I840*$J840&gt;0,CONCATENATE($H840:$L840)&lt;&gt;CONCATENATE($H841:$L841),$I840/POW(10,$J840)*MAXIFS(Token!$B:$B,Token!$A:$A,$K840)&gt;0.01),$L840/86400+DATE(1970,1,1)+IF($L840*1&gt;=$G$5,$G$6,0),)</f>
        <v/>
      </c>
      <c r="B840" s="22" t="str">
        <f t="shared" si="1"/>
        <v/>
      </c>
      <c r="C840" s="14" t="str">
        <f>IF($A840&lt;&gt;"",MINIFS(Merchant!$A:$A,Merchant!$B:$B,$G$2),)</f>
        <v/>
      </c>
      <c r="D840" s="14" t="str">
        <f t="shared" si="2"/>
        <v/>
      </c>
      <c r="E840" s="14" t="str">
        <f t="shared" si="3"/>
        <v/>
      </c>
      <c r="F840" s="6" t="str">
        <f>IF($A840&lt;&gt;"",MAXIFS(Token!$B:$B,Token!$A:$A,$D840),)</f>
        <v/>
      </c>
    </row>
    <row r="841">
      <c r="A841" s="35" t="str">
        <f>IF(AND($L841*1&gt;=$G$3,$L841*1&lt;=$G$4,$I841*$J841&gt;0,CONCATENATE($H841:$L841)&lt;&gt;CONCATENATE($H842:$L842),$I841/POW(10,$J841)*MAXIFS(Token!$B:$B,Token!$A:$A,$K841)&gt;0.01),$L841/86400+DATE(1970,1,1)+IF($L841*1&gt;=$G$5,$G$6,0),)</f>
        <v/>
      </c>
      <c r="B841" s="22" t="str">
        <f t="shared" si="1"/>
        <v/>
      </c>
      <c r="C841" s="14" t="str">
        <f>IF($A841&lt;&gt;"",MINIFS(Merchant!$A:$A,Merchant!$B:$B,$G$2),)</f>
        <v/>
      </c>
      <c r="D841" s="14" t="str">
        <f t="shared" si="2"/>
        <v/>
      </c>
      <c r="E841" s="14" t="str">
        <f t="shared" si="3"/>
        <v/>
      </c>
      <c r="F841" s="6" t="str">
        <f>IF($A841&lt;&gt;"",MAXIFS(Token!$B:$B,Token!$A:$A,$D841),)</f>
        <v/>
      </c>
    </row>
    <row r="842">
      <c r="A842" s="35" t="str">
        <f>IF(AND($L842*1&gt;=$G$3,$L842*1&lt;=$G$4,$I842*$J842&gt;0,CONCATENATE($H842:$L842)&lt;&gt;CONCATENATE($H843:$L843),$I842/POW(10,$J842)*MAXIFS(Token!$B:$B,Token!$A:$A,$K842)&gt;0.01),$L842/86400+DATE(1970,1,1)+IF($L842*1&gt;=$G$5,$G$6,0),)</f>
        <v/>
      </c>
      <c r="B842" s="22" t="str">
        <f t="shared" si="1"/>
        <v/>
      </c>
      <c r="C842" s="14" t="str">
        <f>IF($A842&lt;&gt;"",MINIFS(Merchant!$A:$A,Merchant!$B:$B,$G$2),)</f>
        <v/>
      </c>
      <c r="D842" s="14" t="str">
        <f t="shared" si="2"/>
        <v/>
      </c>
      <c r="E842" s="14" t="str">
        <f t="shared" si="3"/>
        <v/>
      </c>
      <c r="F842" s="6" t="str">
        <f>IF($A842&lt;&gt;"",MAXIFS(Token!$B:$B,Token!$A:$A,$D842),)</f>
        <v/>
      </c>
    </row>
    <row r="843">
      <c r="A843" s="35" t="str">
        <f>IF(AND($L843*1&gt;=$G$3,$L843*1&lt;=$G$4,$I843*$J843&gt;0,CONCATENATE($H843:$L843)&lt;&gt;CONCATENATE($H844:$L844),$I843/POW(10,$J843)*MAXIFS(Token!$B:$B,Token!$A:$A,$K843)&gt;0.01),$L843/86400+DATE(1970,1,1)+IF($L843*1&gt;=$G$5,$G$6,0),)</f>
        <v/>
      </c>
      <c r="B843" s="22" t="str">
        <f t="shared" si="1"/>
        <v/>
      </c>
      <c r="C843" s="14" t="str">
        <f>IF($A843&lt;&gt;"",MINIFS(Merchant!$A:$A,Merchant!$B:$B,$G$2),)</f>
        <v/>
      </c>
      <c r="D843" s="14" t="str">
        <f t="shared" si="2"/>
        <v/>
      </c>
      <c r="E843" s="14" t="str">
        <f t="shared" si="3"/>
        <v/>
      </c>
      <c r="F843" s="6" t="str">
        <f>IF($A843&lt;&gt;"",MAXIFS(Token!$B:$B,Token!$A:$A,$D843),)</f>
        <v/>
      </c>
    </row>
    <row r="844">
      <c r="A844" s="35" t="str">
        <f>IF(AND($L844*1&gt;=$G$3,$L844*1&lt;=$G$4,$I844*$J844&gt;0,CONCATENATE($H844:$L844)&lt;&gt;CONCATENATE($H845:$L845),$I844/POW(10,$J844)*MAXIFS(Token!$B:$B,Token!$A:$A,$K844)&gt;0.01),$L844/86400+DATE(1970,1,1)+IF($L844*1&gt;=$G$5,$G$6,0),)</f>
        <v/>
      </c>
      <c r="B844" s="22" t="str">
        <f t="shared" si="1"/>
        <v/>
      </c>
      <c r="C844" s="14" t="str">
        <f>IF($A844&lt;&gt;"",MINIFS(Merchant!$A:$A,Merchant!$B:$B,$G$2),)</f>
        <v/>
      </c>
      <c r="D844" s="14" t="str">
        <f t="shared" si="2"/>
        <v/>
      </c>
      <c r="E844" s="14" t="str">
        <f t="shared" si="3"/>
        <v/>
      </c>
      <c r="F844" s="6" t="str">
        <f>IF($A844&lt;&gt;"",MAXIFS(Token!$B:$B,Token!$A:$A,$D844),)</f>
        <v/>
      </c>
    </row>
    <row r="845">
      <c r="A845" s="35" t="str">
        <f>IF(AND($L845*1&gt;=$G$3,$L845*1&lt;=$G$4,$I845*$J845&gt;0,CONCATENATE($H845:$L845)&lt;&gt;CONCATENATE($H846:$L846),$I845/POW(10,$J845)*MAXIFS(Token!$B:$B,Token!$A:$A,$K845)&gt;0.01),$L845/86400+DATE(1970,1,1)+IF($L845*1&gt;=$G$5,$G$6,0),)</f>
        <v/>
      </c>
      <c r="B845" s="22" t="str">
        <f t="shared" si="1"/>
        <v/>
      </c>
      <c r="C845" s="14" t="str">
        <f>IF($A845&lt;&gt;"",MINIFS(Merchant!$A:$A,Merchant!$B:$B,$G$2),)</f>
        <v/>
      </c>
      <c r="D845" s="14" t="str">
        <f t="shared" si="2"/>
        <v/>
      </c>
      <c r="E845" s="14" t="str">
        <f t="shared" si="3"/>
        <v/>
      </c>
      <c r="F845" s="6" t="str">
        <f>IF($A845&lt;&gt;"",MAXIFS(Token!$B:$B,Token!$A:$A,$D845),)</f>
        <v/>
      </c>
    </row>
    <row r="846">
      <c r="A846" s="35" t="str">
        <f>IF(AND($L846*1&gt;=$G$3,$L846*1&lt;=$G$4,$I846*$J846&gt;0,CONCATENATE($H846:$L846)&lt;&gt;CONCATENATE($H847:$L847),$I846/POW(10,$J846)*MAXIFS(Token!$B:$B,Token!$A:$A,$K846)&gt;0.01),$L846/86400+DATE(1970,1,1)+IF($L846*1&gt;=$G$5,$G$6,0),)</f>
        <v/>
      </c>
      <c r="B846" s="22" t="str">
        <f t="shared" si="1"/>
        <v/>
      </c>
      <c r="C846" s="14" t="str">
        <f>IF($A846&lt;&gt;"",MINIFS(Merchant!$A:$A,Merchant!$B:$B,$G$2),)</f>
        <v/>
      </c>
      <c r="D846" s="14" t="str">
        <f t="shared" si="2"/>
        <v/>
      </c>
      <c r="E846" s="14" t="str">
        <f t="shared" si="3"/>
        <v/>
      </c>
      <c r="F846" s="6" t="str">
        <f>IF($A846&lt;&gt;"",MAXIFS(Token!$B:$B,Token!$A:$A,$D846),)</f>
        <v/>
      </c>
    </row>
    <row r="847">
      <c r="A847" s="35" t="str">
        <f>IF(AND($L847*1&gt;=$G$3,$L847*1&lt;=$G$4,$I847*$J847&gt;0,CONCATENATE($H847:$L847)&lt;&gt;CONCATENATE($H848:$L848),$I847/POW(10,$J847)*MAXIFS(Token!$B:$B,Token!$A:$A,$K847)&gt;0.01),$L847/86400+DATE(1970,1,1)+IF($L847*1&gt;=$G$5,$G$6,0),)</f>
        <v/>
      </c>
      <c r="B847" s="22" t="str">
        <f t="shared" si="1"/>
        <v/>
      </c>
      <c r="C847" s="14" t="str">
        <f>IF($A847&lt;&gt;"",MINIFS(Merchant!$A:$A,Merchant!$B:$B,$G$2),)</f>
        <v/>
      </c>
      <c r="D847" s="14" t="str">
        <f t="shared" si="2"/>
        <v/>
      </c>
      <c r="E847" s="14" t="str">
        <f t="shared" si="3"/>
        <v/>
      </c>
      <c r="F847" s="6" t="str">
        <f>IF($A847&lt;&gt;"",MAXIFS(Token!$B:$B,Token!$A:$A,$D847),)</f>
        <v/>
      </c>
    </row>
    <row r="848">
      <c r="A848" s="35" t="str">
        <f>IF(AND($L848*1&gt;=$G$3,$L848*1&lt;=$G$4,$I848*$J848&gt;0,CONCATENATE($H848:$L848)&lt;&gt;CONCATENATE($H849:$L849),$I848/POW(10,$J848)*MAXIFS(Token!$B:$B,Token!$A:$A,$K848)&gt;0.01),$L848/86400+DATE(1970,1,1)+IF($L848*1&gt;=$G$5,$G$6,0),)</f>
        <v/>
      </c>
      <c r="B848" s="22" t="str">
        <f t="shared" si="1"/>
        <v/>
      </c>
      <c r="C848" s="14" t="str">
        <f>IF($A848&lt;&gt;"",MINIFS(Merchant!$A:$A,Merchant!$B:$B,$G$2),)</f>
        <v/>
      </c>
      <c r="D848" s="14" t="str">
        <f t="shared" si="2"/>
        <v/>
      </c>
      <c r="E848" s="14" t="str">
        <f t="shared" si="3"/>
        <v/>
      </c>
      <c r="F848" s="6" t="str">
        <f>IF($A848&lt;&gt;"",MAXIFS(Token!$B:$B,Token!$A:$A,$D848),)</f>
        <v/>
      </c>
    </row>
    <row r="849">
      <c r="A849" s="35" t="str">
        <f>IF(AND($L849*1&gt;=$G$3,$L849*1&lt;=$G$4,$I849*$J849&gt;0,CONCATENATE($H849:$L849)&lt;&gt;CONCATENATE($H850:$L850),$I849/POW(10,$J849)*MAXIFS(Token!$B:$B,Token!$A:$A,$K849)&gt;0.01),$L849/86400+DATE(1970,1,1)+IF($L849*1&gt;=$G$5,$G$6,0),)</f>
        <v/>
      </c>
      <c r="B849" s="22" t="str">
        <f t="shared" si="1"/>
        <v/>
      </c>
      <c r="C849" s="14" t="str">
        <f>IF($A849&lt;&gt;"",MINIFS(Merchant!$A:$A,Merchant!$B:$B,$G$2),)</f>
        <v/>
      </c>
      <c r="D849" s="14" t="str">
        <f t="shared" si="2"/>
        <v/>
      </c>
      <c r="E849" s="14" t="str">
        <f t="shared" si="3"/>
        <v/>
      </c>
      <c r="F849" s="6" t="str">
        <f>IF($A849&lt;&gt;"",MAXIFS(Token!$B:$B,Token!$A:$A,$D849),)</f>
        <v/>
      </c>
    </row>
    <row r="850">
      <c r="A850" s="35" t="str">
        <f>IF(AND($L850*1&gt;=$G$3,$L850*1&lt;=$G$4,$I850*$J850&gt;0,CONCATENATE($H850:$L850)&lt;&gt;CONCATENATE($H851:$L851),$I850/POW(10,$J850)*MAXIFS(Token!$B:$B,Token!$A:$A,$K850)&gt;0.01),$L850/86400+DATE(1970,1,1)+IF($L850*1&gt;=$G$5,$G$6,0),)</f>
        <v/>
      </c>
      <c r="B850" s="22" t="str">
        <f t="shared" si="1"/>
        <v/>
      </c>
      <c r="C850" s="14" t="str">
        <f>IF($A850&lt;&gt;"",MINIFS(Merchant!$A:$A,Merchant!$B:$B,$G$2),)</f>
        <v/>
      </c>
      <c r="D850" s="14" t="str">
        <f t="shared" si="2"/>
        <v/>
      </c>
      <c r="E850" s="14" t="str">
        <f t="shared" si="3"/>
        <v/>
      </c>
      <c r="F850" s="6" t="str">
        <f>IF($A850&lt;&gt;"",MAXIFS(Token!$B:$B,Token!$A:$A,$D850),)</f>
        <v/>
      </c>
    </row>
    <row r="851">
      <c r="A851" s="35" t="str">
        <f>IF(AND($L851*1&gt;=$G$3,$L851*1&lt;=$G$4,$I851*$J851&gt;0,CONCATENATE($H851:$L851)&lt;&gt;CONCATENATE($H852:$L852),$I851/POW(10,$J851)*MAXIFS(Token!$B:$B,Token!$A:$A,$K851)&gt;0.01),$L851/86400+DATE(1970,1,1)+IF($L851*1&gt;=$G$5,$G$6,0),)</f>
        <v/>
      </c>
      <c r="B851" s="22" t="str">
        <f t="shared" si="1"/>
        <v/>
      </c>
      <c r="C851" s="14" t="str">
        <f>IF($A851&lt;&gt;"",MINIFS(Merchant!$A:$A,Merchant!$B:$B,$G$2),)</f>
        <v/>
      </c>
      <c r="D851" s="14" t="str">
        <f t="shared" si="2"/>
        <v/>
      </c>
      <c r="E851" s="14" t="str">
        <f t="shared" si="3"/>
        <v/>
      </c>
      <c r="F851" s="6" t="str">
        <f>IF($A851&lt;&gt;"",MAXIFS(Token!$B:$B,Token!$A:$A,$D851),)</f>
        <v/>
      </c>
    </row>
    <row r="852">
      <c r="A852" s="35" t="str">
        <f>IF(AND($L852*1&gt;=$G$3,$L852*1&lt;=$G$4,$I852*$J852&gt;0,CONCATENATE($H852:$L852)&lt;&gt;CONCATENATE($H853:$L853),$I852/POW(10,$J852)*MAXIFS(Token!$B:$B,Token!$A:$A,$K852)&gt;0.01),$L852/86400+DATE(1970,1,1)+IF($L852*1&gt;=$G$5,$G$6,0),)</f>
        <v/>
      </c>
      <c r="B852" s="22" t="str">
        <f t="shared" si="1"/>
        <v/>
      </c>
      <c r="C852" s="14" t="str">
        <f>IF($A852&lt;&gt;"",MINIFS(Merchant!$A:$A,Merchant!$B:$B,$G$2),)</f>
        <v/>
      </c>
      <c r="D852" s="14" t="str">
        <f t="shared" si="2"/>
        <v/>
      </c>
      <c r="E852" s="14" t="str">
        <f t="shared" si="3"/>
        <v/>
      </c>
      <c r="F852" s="6" t="str">
        <f>IF($A852&lt;&gt;"",MAXIFS(Token!$B:$B,Token!$A:$A,$D852),)</f>
        <v/>
      </c>
    </row>
    <row r="853">
      <c r="A853" s="35" t="str">
        <f>IF(AND($L853*1&gt;=$G$3,$L853*1&lt;=$G$4,$I853*$J853&gt;0,CONCATENATE($H853:$L853)&lt;&gt;CONCATENATE($H854:$L854),$I853/POW(10,$J853)*MAXIFS(Token!$B:$B,Token!$A:$A,$K853)&gt;0.01),$L853/86400+DATE(1970,1,1)+IF($L853*1&gt;=$G$5,$G$6,0),)</f>
        <v/>
      </c>
      <c r="B853" s="22" t="str">
        <f t="shared" si="1"/>
        <v/>
      </c>
      <c r="C853" s="14" t="str">
        <f>IF($A853&lt;&gt;"",MINIFS(Merchant!$A:$A,Merchant!$B:$B,$G$2),)</f>
        <v/>
      </c>
      <c r="D853" s="14" t="str">
        <f t="shared" si="2"/>
        <v/>
      </c>
      <c r="E853" s="14" t="str">
        <f t="shared" si="3"/>
        <v/>
      </c>
      <c r="F853" s="6" t="str">
        <f>IF($A853&lt;&gt;"",MAXIFS(Token!$B:$B,Token!$A:$A,$D853),)</f>
        <v/>
      </c>
    </row>
    <row r="854">
      <c r="A854" s="35" t="str">
        <f>IF(AND($L854*1&gt;=$G$3,$L854*1&lt;=$G$4,$I854*$J854&gt;0,CONCATENATE($H854:$L854)&lt;&gt;CONCATENATE($H855:$L855),$I854/POW(10,$J854)*MAXIFS(Token!$B:$B,Token!$A:$A,$K854)&gt;0.01),$L854/86400+DATE(1970,1,1)+IF($L854*1&gt;=$G$5,$G$6,0),)</f>
        <v/>
      </c>
      <c r="B854" s="22" t="str">
        <f t="shared" si="1"/>
        <v/>
      </c>
      <c r="C854" s="14" t="str">
        <f>IF($A854&lt;&gt;"",MINIFS(Merchant!$A:$A,Merchant!$B:$B,$G$2),)</f>
        <v/>
      </c>
      <c r="D854" s="14" t="str">
        <f t="shared" si="2"/>
        <v/>
      </c>
      <c r="E854" s="14" t="str">
        <f t="shared" si="3"/>
        <v/>
      </c>
      <c r="F854" s="6" t="str">
        <f>IF($A854&lt;&gt;"",MAXIFS(Token!$B:$B,Token!$A:$A,$D854),)</f>
        <v/>
      </c>
    </row>
    <row r="855">
      <c r="A855" s="35" t="str">
        <f>IF(AND($L855*1&gt;=$G$3,$L855*1&lt;=$G$4,$I855*$J855&gt;0,CONCATENATE($H855:$L855)&lt;&gt;CONCATENATE($H856:$L856),$I855/POW(10,$J855)*MAXIFS(Token!$B:$B,Token!$A:$A,$K855)&gt;0.01),$L855/86400+DATE(1970,1,1)+IF($L855*1&gt;=$G$5,$G$6,0),)</f>
        <v/>
      </c>
      <c r="B855" s="22" t="str">
        <f t="shared" si="1"/>
        <v/>
      </c>
      <c r="C855" s="14" t="str">
        <f>IF($A855&lt;&gt;"",MINIFS(Merchant!$A:$A,Merchant!$B:$B,$G$2),)</f>
        <v/>
      </c>
      <c r="D855" s="14" t="str">
        <f t="shared" si="2"/>
        <v/>
      </c>
      <c r="E855" s="14" t="str">
        <f t="shared" si="3"/>
        <v/>
      </c>
      <c r="F855" s="6" t="str">
        <f>IF($A855&lt;&gt;"",MAXIFS(Token!$B:$B,Token!$A:$A,$D855),)</f>
        <v/>
      </c>
    </row>
    <row r="856">
      <c r="A856" s="35" t="str">
        <f>IF(AND($L856*1&gt;=$G$3,$L856*1&lt;=$G$4,$I856*$J856&gt;0,CONCATENATE($H856:$L856)&lt;&gt;CONCATENATE($H857:$L857),$I856/POW(10,$J856)*MAXIFS(Token!$B:$B,Token!$A:$A,$K856)&gt;0.01),$L856/86400+DATE(1970,1,1)+IF($L856*1&gt;=$G$5,$G$6,0),)</f>
        <v/>
      </c>
      <c r="B856" s="22" t="str">
        <f t="shared" si="1"/>
        <v/>
      </c>
      <c r="C856" s="14" t="str">
        <f>IF($A856&lt;&gt;"",MINIFS(Merchant!$A:$A,Merchant!$B:$B,$G$2),)</f>
        <v/>
      </c>
      <c r="D856" s="14" t="str">
        <f t="shared" si="2"/>
        <v/>
      </c>
      <c r="E856" s="14" t="str">
        <f t="shared" si="3"/>
        <v/>
      </c>
      <c r="F856" s="6" t="str">
        <f>IF($A856&lt;&gt;"",MAXIFS(Token!$B:$B,Token!$A:$A,$D856),)</f>
        <v/>
      </c>
    </row>
    <row r="857">
      <c r="A857" s="35" t="str">
        <f>IF(AND($L857*1&gt;=$G$3,$L857*1&lt;=$G$4,$I857*$J857&gt;0,CONCATENATE($H857:$L857)&lt;&gt;CONCATENATE($H858:$L858),$I857/POW(10,$J857)*MAXIFS(Token!$B:$B,Token!$A:$A,$K857)&gt;0.01),$L857/86400+DATE(1970,1,1)+IF($L857*1&gt;=$G$5,$G$6,0),)</f>
        <v/>
      </c>
      <c r="B857" s="22" t="str">
        <f t="shared" si="1"/>
        <v/>
      </c>
      <c r="C857" s="14" t="str">
        <f>IF($A857&lt;&gt;"",MINIFS(Merchant!$A:$A,Merchant!$B:$B,$G$2),)</f>
        <v/>
      </c>
      <c r="D857" s="14" t="str">
        <f t="shared" si="2"/>
        <v/>
      </c>
      <c r="E857" s="14" t="str">
        <f t="shared" si="3"/>
        <v/>
      </c>
      <c r="F857" s="6" t="str">
        <f>IF($A857&lt;&gt;"",MAXIFS(Token!$B:$B,Token!$A:$A,$D857),)</f>
        <v/>
      </c>
    </row>
    <row r="858">
      <c r="A858" s="35" t="str">
        <f>IF(AND($L858*1&gt;=$G$3,$L858*1&lt;=$G$4,$I858*$J858&gt;0,CONCATENATE($H858:$L858)&lt;&gt;CONCATENATE($H859:$L859),$I858/POW(10,$J858)*MAXIFS(Token!$B:$B,Token!$A:$A,$K858)&gt;0.01),$L858/86400+DATE(1970,1,1)+IF($L858*1&gt;=$G$5,$G$6,0),)</f>
        <v/>
      </c>
      <c r="B858" s="22" t="str">
        <f t="shared" si="1"/>
        <v/>
      </c>
      <c r="C858" s="14" t="str">
        <f>IF($A858&lt;&gt;"",MINIFS(Merchant!$A:$A,Merchant!$B:$B,$G$2),)</f>
        <v/>
      </c>
      <c r="D858" s="14" t="str">
        <f t="shared" si="2"/>
        <v/>
      </c>
      <c r="E858" s="14" t="str">
        <f t="shared" si="3"/>
        <v/>
      </c>
      <c r="F858" s="6" t="str">
        <f>IF($A858&lt;&gt;"",MAXIFS(Token!$B:$B,Token!$A:$A,$D858),)</f>
        <v/>
      </c>
    </row>
    <row r="859">
      <c r="A859" s="35" t="str">
        <f>IF(AND($L859*1&gt;=$G$3,$L859*1&lt;=$G$4,$I859*$J859&gt;0,CONCATENATE($H859:$L859)&lt;&gt;CONCATENATE($H860:$L860),$I859/POW(10,$J859)*MAXIFS(Token!$B:$B,Token!$A:$A,$K859)&gt;0.01),$L859/86400+DATE(1970,1,1)+IF($L859*1&gt;=$G$5,$G$6,0),)</f>
        <v/>
      </c>
      <c r="B859" s="22" t="str">
        <f t="shared" si="1"/>
        <v/>
      </c>
      <c r="C859" s="14" t="str">
        <f>IF($A859&lt;&gt;"",MINIFS(Merchant!$A:$A,Merchant!$B:$B,$G$2),)</f>
        <v/>
      </c>
      <c r="D859" s="14" t="str">
        <f t="shared" si="2"/>
        <v/>
      </c>
      <c r="E859" s="14" t="str">
        <f t="shared" si="3"/>
        <v/>
      </c>
      <c r="F859" s="6" t="str">
        <f>IF($A859&lt;&gt;"",MAXIFS(Token!$B:$B,Token!$A:$A,$D859),)</f>
        <v/>
      </c>
    </row>
    <row r="860">
      <c r="A860" s="35" t="str">
        <f>IF(AND($L860*1&gt;=$G$3,$L860*1&lt;=$G$4,$I860*$J860&gt;0,CONCATENATE($H860:$L860)&lt;&gt;CONCATENATE($H861:$L861),$I860/POW(10,$J860)*MAXIFS(Token!$B:$B,Token!$A:$A,$K860)&gt;0.01),$L860/86400+DATE(1970,1,1)+IF($L860*1&gt;=$G$5,$G$6,0),)</f>
        <v/>
      </c>
      <c r="B860" s="22" t="str">
        <f t="shared" si="1"/>
        <v/>
      </c>
      <c r="C860" s="14" t="str">
        <f>IF($A860&lt;&gt;"",MINIFS(Merchant!$A:$A,Merchant!$B:$B,$G$2),)</f>
        <v/>
      </c>
      <c r="D860" s="14" t="str">
        <f t="shared" si="2"/>
        <v/>
      </c>
      <c r="E860" s="14" t="str">
        <f t="shared" si="3"/>
        <v/>
      </c>
      <c r="F860" s="6" t="str">
        <f>IF($A860&lt;&gt;"",MAXIFS(Token!$B:$B,Token!$A:$A,$D860),)</f>
        <v/>
      </c>
    </row>
    <row r="861">
      <c r="A861" s="35" t="str">
        <f>IF(AND($L861*1&gt;=$G$3,$L861*1&lt;=$G$4,$I861*$J861&gt;0,CONCATENATE($H861:$L861)&lt;&gt;CONCATENATE($H862:$L862),$I861/POW(10,$J861)*MAXIFS(Token!$B:$B,Token!$A:$A,$K861)&gt;0.01),$L861/86400+DATE(1970,1,1)+IF($L861*1&gt;=$G$5,$G$6,0),)</f>
        <v/>
      </c>
      <c r="B861" s="22" t="str">
        <f t="shared" si="1"/>
        <v/>
      </c>
      <c r="C861" s="14" t="str">
        <f>IF($A861&lt;&gt;"",MINIFS(Merchant!$A:$A,Merchant!$B:$B,$G$2),)</f>
        <v/>
      </c>
      <c r="D861" s="14" t="str">
        <f t="shared" si="2"/>
        <v/>
      </c>
      <c r="E861" s="14" t="str">
        <f t="shared" si="3"/>
        <v/>
      </c>
      <c r="F861" s="6" t="str">
        <f>IF($A861&lt;&gt;"",MAXIFS(Token!$B:$B,Token!$A:$A,$D861),)</f>
        <v/>
      </c>
    </row>
    <row r="862">
      <c r="A862" s="35" t="str">
        <f>IF(AND($L862*1&gt;=$G$3,$L862*1&lt;=$G$4,$I862*$J862&gt;0,CONCATENATE($H862:$L862)&lt;&gt;CONCATENATE($H863:$L863),$I862/POW(10,$J862)*MAXIFS(Token!$B:$B,Token!$A:$A,$K862)&gt;0.01),$L862/86400+DATE(1970,1,1)+IF($L862*1&gt;=$G$5,$G$6,0),)</f>
        <v/>
      </c>
      <c r="B862" s="22" t="str">
        <f t="shared" si="1"/>
        <v/>
      </c>
      <c r="C862" s="14" t="str">
        <f>IF($A862&lt;&gt;"",MINIFS(Merchant!$A:$A,Merchant!$B:$B,$G$2),)</f>
        <v/>
      </c>
      <c r="D862" s="14" t="str">
        <f t="shared" si="2"/>
        <v/>
      </c>
      <c r="E862" s="14" t="str">
        <f t="shared" si="3"/>
        <v/>
      </c>
      <c r="F862" s="6" t="str">
        <f>IF($A862&lt;&gt;"",MAXIFS(Token!$B:$B,Token!$A:$A,$D862),)</f>
        <v/>
      </c>
    </row>
    <row r="863">
      <c r="A863" s="35" t="str">
        <f>IF(AND($L863*1&gt;=$G$3,$L863*1&lt;=$G$4,$I863*$J863&gt;0,CONCATENATE($H863:$L863)&lt;&gt;CONCATENATE($H864:$L864),$I863/POW(10,$J863)*MAXIFS(Token!$B:$B,Token!$A:$A,$K863)&gt;0.01),$L863/86400+DATE(1970,1,1)+IF($L863*1&gt;=$G$5,$G$6,0),)</f>
        <v/>
      </c>
      <c r="B863" s="22" t="str">
        <f t="shared" si="1"/>
        <v/>
      </c>
      <c r="C863" s="14" t="str">
        <f>IF($A863&lt;&gt;"",MINIFS(Merchant!$A:$A,Merchant!$B:$B,$G$2),)</f>
        <v/>
      </c>
      <c r="D863" s="14" t="str">
        <f t="shared" si="2"/>
        <v/>
      </c>
      <c r="E863" s="14" t="str">
        <f t="shared" si="3"/>
        <v/>
      </c>
      <c r="F863" s="6" t="str">
        <f>IF($A863&lt;&gt;"",MAXIFS(Token!$B:$B,Token!$A:$A,$D863),)</f>
        <v/>
      </c>
    </row>
    <row r="864">
      <c r="A864" s="35" t="str">
        <f>IF(AND($L864*1&gt;=$G$3,$L864*1&lt;=$G$4,$I864*$J864&gt;0,CONCATENATE($H864:$L864)&lt;&gt;CONCATENATE($H865:$L865),$I864/POW(10,$J864)*MAXIFS(Token!$B:$B,Token!$A:$A,$K864)&gt;0.01),$L864/86400+DATE(1970,1,1)+IF($L864*1&gt;=$G$5,$G$6,0),)</f>
        <v/>
      </c>
      <c r="B864" s="22" t="str">
        <f t="shared" si="1"/>
        <v/>
      </c>
      <c r="C864" s="14" t="str">
        <f>IF($A864&lt;&gt;"",MINIFS(Merchant!$A:$A,Merchant!$B:$B,$G$2),)</f>
        <v/>
      </c>
      <c r="D864" s="14" t="str">
        <f t="shared" si="2"/>
        <v/>
      </c>
      <c r="E864" s="14" t="str">
        <f t="shared" si="3"/>
        <v/>
      </c>
      <c r="F864" s="6" t="str">
        <f>IF($A864&lt;&gt;"",MAXIFS(Token!$B:$B,Token!$A:$A,$D864),)</f>
        <v/>
      </c>
    </row>
    <row r="865">
      <c r="A865" s="35" t="str">
        <f>IF(AND($L865*1&gt;=$G$3,$L865*1&lt;=$G$4,$I865*$J865&gt;0,CONCATENATE($H865:$L865)&lt;&gt;CONCATENATE($H866:$L866),$I865/POW(10,$J865)*MAXIFS(Token!$B:$B,Token!$A:$A,$K865)&gt;0.01),$L865/86400+DATE(1970,1,1)+IF($L865*1&gt;=$G$5,$G$6,0),)</f>
        <v/>
      </c>
      <c r="B865" s="22" t="str">
        <f t="shared" si="1"/>
        <v/>
      </c>
      <c r="C865" s="14" t="str">
        <f>IF($A865&lt;&gt;"",MINIFS(Merchant!$A:$A,Merchant!$B:$B,$G$2),)</f>
        <v/>
      </c>
      <c r="D865" s="14" t="str">
        <f t="shared" si="2"/>
        <v/>
      </c>
      <c r="E865" s="14" t="str">
        <f t="shared" si="3"/>
        <v/>
      </c>
      <c r="F865" s="6" t="str">
        <f>IF($A865&lt;&gt;"",MAXIFS(Token!$B:$B,Token!$A:$A,$D865),)</f>
        <v/>
      </c>
    </row>
    <row r="866">
      <c r="A866" s="35" t="str">
        <f>IF(AND($L866*1&gt;=$G$3,$L866*1&lt;=$G$4,$I866*$J866&gt;0,CONCATENATE($H866:$L866)&lt;&gt;CONCATENATE($H867:$L867),$I866/POW(10,$J866)*MAXIFS(Token!$B:$B,Token!$A:$A,$K866)&gt;0.01),$L866/86400+DATE(1970,1,1)+IF($L866*1&gt;=$G$5,$G$6,0),)</f>
        <v/>
      </c>
      <c r="B866" s="22" t="str">
        <f t="shared" si="1"/>
        <v/>
      </c>
      <c r="C866" s="14" t="str">
        <f>IF($A866&lt;&gt;"",MINIFS(Merchant!$A:$A,Merchant!$B:$B,$G$2),)</f>
        <v/>
      </c>
      <c r="D866" s="14" t="str">
        <f t="shared" si="2"/>
        <v/>
      </c>
      <c r="E866" s="14" t="str">
        <f t="shared" si="3"/>
        <v/>
      </c>
      <c r="F866" s="6" t="str">
        <f>IF($A866&lt;&gt;"",MAXIFS(Token!$B:$B,Token!$A:$A,$D866),)</f>
        <v/>
      </c>
    </row>
    <row r="867">
      <c r="A867" s="35" t="str">
        <f>IF(AND($L867*1&gt;=$G$3,$L867*1&lt;=$G$4,$I867*$J867&gt;0,CONCATENATE($H867:$L867)&lt;&gt;CONCATENATE($H868:$L868),$I867/POW(10,$J867)*MAXIFS(Token!$B:$B,Token!$A:$A,$K867)&gt;0.01),$L867/86400+DATE(1970,1,1)+IF($L867*1&gt;=$G$5,$G$6,0),)</f>
        <v/>
      </c>
      <c r="B867" s="22" t="str">
        <f t="shared" si="1"/>
        <v/>
      </c>
      <c r="C867" s="14" t="str">
        <f>IF($A867&lt;&gt;"",MINIFS(Merchant!$A:$A,Merchant!$B:$B,$G$2),)</f>
        <v/>
      </c>
      <c r="D867" s="14" t="str">
        <f t="shared" si="2"/>
        <v/>
      </c>
      <c r="E867" s="14" t="str">
        <f t="shared" si="3"/>
        <v/>
      </c>
      <c r="F867" s="6" t="str">
        <f>IF($A867&lt;&gt;"",MAXIFS(Token!$B:$B,Token!$A:$A,$D867),)</f>
        <v/>
      </c>
    </row>
    <row r="868">
      <c r="A868" s="35" t="str">
        <f>IF(AND($L868*1&gt;=$G$3,$L868*1&lt;=$G$4,$I868*$J868&gt;0,CONCATENATE($H868:$L868)&lt;&gt;CONCATENATE($H869:$L869),$I868/POW(10,$J868)*MAXIFS(Token!$B:$B,Token!$A:$A,$K868)&gt;0.01),$L868/86400+DATE(1970,1,1)+IF($L868*1&gt;=$G$5,$G$6,0),)</f>
        <v/>
      </c>
      <c r="B868" s="22" t="str">
        <f t="shared" si="1"/>
        <v/>
      </c>
      <c r="C868" s="14" t="str">
        <f>IF($A868&lt;&gt;"",MINIFS(Merchant!$A:$A,Merchant!$B:$B,$G$2),)</f>
        <v/>
      </c>
      <c r="D868" s="14" t="str">
        <f t="shared" si="2"/>
        <v/>
      </c>
      <c r="E868" s="14" t="str">
        <f t="shared" si="3"/>
        <v/>
      </c>
      <c r="F868" s="6" t="str">
        <f>IF($A868&lt;&gt;"",MAXIFS(Token!$B:$B,Token!$A:$A,$D868),)</f>
        <v/>
      </c>
    </row>
    <row r="869">
      <c r="A869" s="35" t="str">
        <f>IF(AND($L869*1&gt;=$G$3,$L869*1&lt;=$G$4,$I869*$J869&gt;0,CONCATENATE($H869:$L869)&lt;&gt;CONCATENATE($H870:$L870),$I869/POW(10,$J869)*MAXIFS(Token!$B:$B,Token!$A:$A,$K869)&gt;0.01),$L869/86400+DATE(1970,1,1)+IF($L869*1&gt;=$G$5,$G$6,0),)</f>
        <v/>
      </c>
      <c r="B869" s="22" t="str">
        <f t="shared" si="1"/>
        <v/>
      </c>
      <c r="C869" s="14" t="str">
        <f>IF($A869&lt;&gt;"",MINIFS(Merchant!$A:$A,Merchant!$B:$B,$G$2),)</f>
        <v/>
      </c>
      <c r="D869" s="14" t="str">
        <f t="shared" si="2"/>
        <v/>
      </c>
      <c r="E869" s="14" t="str">
        <f t="shared" si="3"/>
        <v/>
      </c>
      <c r="F869" s="6" t="str">
        <f>IF($A869&lt;&gt;"",MAXIFS(Token!$B:$B,Token!$A:$A,$D869),)</f>
        <v/>
      </c>
    </row>
    <row r="870">
      <c r="A870" s="35" t="str">
        <f>IF(AND($L870*1&gt;=$G$3,$L870*1&lt;=$G$4,$I870*$J870&gt;0,CONCATENATE($H870:$L870)&lt;&gt;CONCATENATE($H871:$L871),$I870/POW(10,$J870)*MAXIFS(Token!$B:$B,Token!$A:$A,$K870)&gt;0.01),$L870/86400+DATE(1970,1,1)+IF($L870*1&gt;=$G$5,$G$6,0),)</f>
        <v/>
      </c>
      <c r="B870" s="22" t="str">
        <f t="shared" si="1"/>
        <v/>
      </c>
      <c r="C870" s="14" t="str">
        <f>IF($A870&lt;&gt;"",MINIFS(Merchant!$A:$A,Merchant!$B:$B,$G$2),)</f>
        <v/>
      </c>
      <c r="D870" s="14" t="str">
        <f t="shared" si="2"/>
        <v/>
      </c>
      <c r="E870" s="14" t="str">
        <f t="shared" si="3"/>
        <v/>
      </c>
      <c r="F870" s="6" t="str">
        <f>IF($A870&lt;&gt;"",MAXIFS(Token!$B:$B,Token!$A:$A,$D870),)</f>
        <v/>
      </c>
    </row>
    <row r="871">
      <c r="A871" s="35" t="str">
        <f>IF(AND($L871*1&gt;=$G$3,$L871*1&lt;=$G$4,$I871*$J871&gt;0,CONCATENATE($H871:$L871)&lt;&gt;CONCATENATE($H872:$L872),$I871/POW(10,$J871)*MAXIFS(Token!$B:$B,Token!$A:$A,$K871)&gt;0.01),$L871/86400+DATE(1970,1,1)+IF($L871*1&gt;=$G$5,$G$6,0),)</f>
        <v/>
      </c>
      <c r="B871" s="22" t="str">
        <f t="shared" si="1"/>
        <v/>
      </c>
      <c r="C871" s="14" t="str">
        <f>IF($A871&lt;&gt;"",MINIFS(Merchant!$A:$A,Merchant!$B:$B,$G$2),)</f>
        <v/>
      </c>
      <c r="D871" s="14" t="str">
        <f t="shared" si="2"/>
        <v/>
      </c>
      <c r="E871" s="14" t="str">
        <f t="shared" si="3"/>
        <v/>
      </c>
      <c r="F871" s="6" t="str">
        <f>IF($A871&lt;&gt;"",MAXIFS(Token!$B:$B,Token!$A:$A,$D871),)</f>
        <v/>
      </c>
    </row>
    <row r="872">
      <c r="A872" s="35" t="str">
        <f>IF(AND($L872*1&gt;=$G$3,$L872*1&lt;=$G$4,$I872*$J872&gt;0,CONCATENATE($H872:$L872)&lt;&gt;CONCATENATE($H873:$L873),$I872/POW(10,$J872)*MAXIFS(Token!$B:$B,Token!$A:$A,$K872)&gt;0.01),$L872/86400+DATE(1970,1,1)+IF($L872*1&gt;=$G$5,$G$6,0),)</f>
        <v/>
      </c>
      <c r="B872" s="22" t="str">
        <f t="shared" si="1"/>
        <v/>
      </c>
      <c r="C872" s="14" t="str">
        <f>IF($A872&lt;&gt;"",MINIFS(Merchant!$A:$A,Merchant!$B:$B,$G$2),)</f>
        <v/>
      </c>
      <c r="D872" s="14" t="str">
        <f t="shared" si="2"/>
        <v/>
      </c>
      <c r="E872" s="14" t="str">
        <f t="shared" si="3"/>
        <v/>
      </c>
      <c r="F872" s="6" t="str">
        <f>IF($A872&lt;&gt;"",MAXIFS(Token!$B:$B,Token!$A:$A,$D872),)</f>
        <v/>
      </c>
    </row>
    <row r="873">
      <c r="A873" s="35" t="str">
        <f>IF(AND($L873*1&gt;=$G$3,$L873*1&lt;=$G$4,$I873*$J873&gt;0,CONCATENATE($H873:$L873)&lt;&gt;CONCATENATE($H874:$L874),$I873/POW(10,$J873)*MAXIFS(Token!$B:$B,Token!$A:$A,$K873)&gt;0.01),$L873/86400+DATE(1970,1,1)+IF($L873*1&gt;=$G$5,$G$6,0),)</f>
        <v/>
      </c>
      <c r="B873" s="22" t="str">
        <f t="shared" si="1"/>
        <v/>
      </c>
      <c r="C873" s="14" t="str">
        <f>IF($A873&lt;&gt;"",MINIFS(Merchant!$A:$A,Merchant!$B:$B,$G$2),)</f>
        <v/>
      </c>
      <c r="D873" s="14" t="str">
        <f t="shared" si="2"/>
        <v/>
      </c>
      <c r="E873" s="14" t="str">
        <f t="shared" si="3"/>
        <v/>
      </c>
      <c r="F873" s="6" t="str">
        <f>IF($A873&lt;&gt;"",MAXIFS(Token!$B:$B,Token!$A:$A,$D873),)</f>
        <v/>
      </c>
    </row>
    <row r="874">
      <c r="A874" s="35" t="str">
        <f>IF(AND($L874*1&gt;=$G$3,$L874*1&lt;=$G$4,$I874*$J874&gt;0,CONCATENATE($H874:$L874)&lt;&gt;CONCATENATE($H875:$L875),$I874/POW(10,$J874)*MAXIFS(Token!$B:$B,Token!$A:$A,$K874)&gt;0.01),$L874/86400+DATE(1970,1,1)+IF($L874*1&gt;=$G$5,$G$6,0),)</f>
        <v/>
      </c>
      <c r="B874" s="22" t="str">
        <f t="shared" si="1"/>
        <v/>
      </c>
      <c r="C874" s="14" t="str">
        <f>IF($A874&lt;&gt;"",MINIFS(Merchant!$A:$A,Merchant!$B:$B,$G$2),)</f>
        <v/>
      </c>
      <c r="D874" s="14" t="str">
        <f t="shared" si="2"/>
        <v/>
      </c>
      <c r="E874" s="14" t="str">
        <f t="shared" si="3"/>
        <v/>
      </c>
      <c r="F874" s="6" t="str">
        <f>IF($A874&lt;&gt;"",MAXIFS(Token!$B:$B,Token!$A:$A,$D874),)</f>
        <v/>
      </c>
    </row>
    <row r="875">
      <c r="A875" s="35" t="str">
        <f>IF(AND($L875*1&gt;=$G$3,$L875*1&lt;=$G$4,$I875*$J875&gt;0,CONCATENATE($H875:$L875)&lt;&gt;CONCATENATE($H876:$L876),$I875/POW(10,$J875)*MAXIFS(Token!$B:$B,Token!$A:$A,$K875)&gt;0.01),$L875/86400+DATE(1970,1,1)+IF($L875*1&gt;=$G$5,$G$6,0),)</f>
        <v/>
      </c>
      <c r="B875" s="22" t="str">
        <f t="shared" si="1"/>
        <v/>
      </c>
      <c r="C875" s="14" t="str">
        <f>IF($A875&lt;&gt;"",MINIFS(Merchant!$A:$A,Merchant!$B:$B,$G$2),)</f>
        <v/>
      </c>
      <c r="D875" s="14" t="str">
        <f t="shared" si="2"/>
        <v/>
      </c>
      <c r="E875" s="14" t="str">
        <f t="shared" si="3"/>
        <v/>
      </c>
      <c r="F875" s="6" t="str">
        <f>IF($A875&lt;&gt;"",MAXIFS(Token!$B:$B,Token!$A:$A,$D875),)</f>
        <v/>
      </c>
    </row>
    <row r="876">
      <c r="A876" s="35" t="str">
        <f>IF(AND($L876*1&gt;=$G$3,$L876*1&lt;=$G$4,$I876*$J876&gt;0,CONCATENATE($H876:$L876)&lt;&gt;CONCATENATE($H877:$L877),$I876/POW(10,$J876)*MAXIFS(Token!$B:$B,Token!$A:$A,$K876)&gt;0.01),$L876/86400+DATE(1970,1,1)+IF($L876*1&gt;=$G$5,$G$6,0),)</f>
        <v/>
      </c>
      <c r="B876" s="22" t="str">
        <f t="shared" si="1"/>
        <v/>
      </c>
      <c r="C876" s="14" t="str">
        <f>IF($A876&lt;&gt;"",MINIFS(Merchant!$A:$A,Merchant!$B:$B,$G$2),)</f>
        <v/>
      </c>
      <c r="D876" s="14" t="str">
        <f t="shared" si="2"/>
        <v/>
      </c>
      <c r="E876" s="14" t="str">
        <f t="shared" si="3"/>
        <v/>
      </c>
      <c r="F876" s="6" t="str">
        <f>IF($A876&lt;&gt;"",MAXIFS(Token!$B:$B,Token!$A:$A,$D876),)</f>
        <v/>
      </c>
    </row>
    <row r="877">
      <c r="A877" s="35" t="str">
        <f>IF(AND($L877*1&gt;=$G$3,$L877*1&lt;=$G$4,$I877*$J877&gt;0,CONCATENATE($H877:$L877)&lt;&gt;CONCATENATE($H878:$L878),$I877/POW(10,$J877)*MAXIFS(Token!$B:$B,Token!$A:$A,$K877)&gt;0.01),$L877/86400+DATE(1970,1,1)+IF($L877*1&gt;=$G$5,$G$6,0),)</f>
        <v/>
      </c>
      <c r="B877" s="22" t="str">
        <f t="shared" si="1"/>
        <v/>
      </c>
      <c r="C877" s="14" t="str">
        <f>IF($A877&lt;&gt;"",MINIFS(Merchant!$A:$A,Merchant!$B:$B,$G$2),)</f>
        <v/>
      </c>
      <c r="D877" s="14" t="str">
        <f t="shared" si="2"/>
        <v/>
      </c>
      <c r="E877" s="14" t="str">
        <f t="shared" si="3"/>
        <v/>
      </c>
      <c r="F877" s="6" t="str">
        <f>IF($A877&lt;&gt;"",MAXIFS(Token!$B:$B,Token!$A:$A,$D877),)</f>
        <v/>
      </c>
    </row>
    <row r="878">
      <c r="A878" s="35" t="str">
        <f>IF(AND($L878*1&gt;=$G$3,$L878*1&lt;=$G$4,$I878*$J878&gt;0,CONCATENATE($H878:$L878)&lt;&gt;CONCATENATE($H879:$L879),$I878/POW(10,$J878)*MAXIFS(Token!$B:$B,Token!$A:$A,$K878)&gt;0.01),$L878/86400+DATE(1970,1,1)+IF($L878*1&gt;=$G$5,$G$6,0),)</f>
        <v/>
      </c>
      <c r="B878" s="22" t="str">
        <f t="shared" si="1"/>
        <v/>
      </c>
      <c r="C878" s="14" t="str">
        <f>IF($A878&lt;&gt;"",MINIFS(Merchant!$A:$A,Merchant!$B:$B,$G$2),)</f>
        <v/>
      </c>
      <c r="D878" s="14" t="str">
        <f t="shared" si="2"/>
        <v/>
      </c>
      <c r="E878" s="14" t="str">
        <f t="shared" si="3"/>
        <v/>
      </c>
      <c r="F878" s="6" t="str">
        <f>IF($A878&lt;&gt;"",MAXIFS(Token!$B:$B,Token!$A:$A,$D878),)</f>
        <v/>
      </c>
    </row>
    <row r="879">
      <c r="A879" s="35" t="str">
        <f>IF(AND($L879*1&gt;=$G$3,$L879*1&lt;=$G$4,$I879*$J879&gt;0,CONCATENATE($H879:$L879)&lt;&gt;CONCATENATE($H880:$L880),$I879/POW(10,$J879)*MAXIFS(Token!$B:$B,Token!$A:$A,$K879)&gt;0.01),$L879/86400+DATE(1970,1,1)+IF($L879*1&gt;=$G$5,$G$6,0),)</f>
        <v/>
      </c>
      <c r="B879" s="22" t="str">
        <f t="shared" si="1"/>
        <v/>
      </c>
      <c r="C879" s="14" t="str">
        <f>IF($A879&lt;&gt;"",MINIFS(Merchant!$A:$A,Merchant!$B:$B,$G$2),)</f>
        <v/>
      </c>
      <c r="D879" s="14" t="str">
        <f t="shared" si="2"/>
        <v/>
      </c>
      <c r="E879" s="14" t="str">
        <f t="shared" si="3"/>
        <v/>
      </c>
      <c r="F879" s="6" t="str">
        <f>IF($A879&lt;&gt;"",MAXIFS(Token!$B:$B,Token!$A:$A,$D879),)</f>
        <v/>
      </c>
    </row>
    <row r="880">
      <c r="A880" s="35" t="str">
        <f>IF(AND($L880*1&gt;=$G$3,$L880*1&lt;=$G$4,$I880*$J880&gt;0,CONCATENATE($H880:$L880)&lt;&gt;CONCATENATE($H881:$L881),$I880/POW(10,$J880)*MAXIFS(Token!$B:$B,Token!$A:$A,$K880)&gt;0.01),$L880/86400+DATE(1970,1,1)+IF($L880*1&gt;=$G$5,$G$6,0),)</f>
        <v/>
      </c>
      <c r="B880" s="22" t="str">
        <f t="shared" si="1"/>
        <v/>
      </c>
      <c r="C880" s="14" t="str">
        <f>IF($A880&lt;&gt;"",MINIFS(Merchant!$A:$A,Merchant!$B:$B,$G$2),)</f>
        <v/>
      </c>
      <c r="D880" s="14" t="str">
        <f t="shared" si="2"/>
        <v/>
      </c>
      <c r="E880" s="14" t="str">
        <f t="shared" si="3"/>
        <v/>
      </c>
      <c r="F880" s="6" t="str">
        <f>IF($A880&lt;&gt;"",MAXIFS(Token!$B:$B,Token!$A:$A,$D880),)</f>
        <v/>
      </c>
    </row>
    <row r="881">
      <c r="A881" s="35" t="str">
        <f>IF(AND($L881*1&gt;=$G$3,$L881*1&lt;=$G$4,$I881*$J881&gt;0,CONCATENATE($H881:$L881)&lt;&gt;CONCATENATE($H882:$L882),$I881/POW(10,$J881)*MAXIFS(Token!$B:$B,Token!$A:$A,$K881)&gt;0.01),$L881/86400+DATE(1970,1,1)+IF($L881*1&gt;=$G$5,$G$6,0),)</f>
        <v/>
      </c>
      <c r="B881" s="22" t="str">
        <f t="shared" si="1"/>
        <v/>
      </c>
      <c r="C881" s="14" t="str">
        <f>IF($A881&lt;&gt;"",MINIFS(Merchant!$A:$A,Merchant!$B:$B,$G$2),)</f>
        <v/>
      </c>
      <c r="D881" s="14" t="str">
        <f t="shared" si="2"/>
        <v/>
      </c>
      <c r="E881" s="14" t="str">
        <f t="shared" si="3"/>
        <v/>
      </c>
      <c r="F881" s="6" t="str">
        <f>IF($A881&lt;&gt;"",MAXIFS(Token!$B:$B,Token!$A:$A,$D881),)</f>
        <v/>
      </c>
    </row>
    <row r="882">
      <c r="A882" s="35" t="str">
        <f>IF(AND($L882*1&gt;=$G$3,$L882*1&lt;=$G$4,$I882*$J882&gt;0,CONCATENATE($H882:$L882)&lt;&gt;CONCATENATE($H883:$L883),$I882/POW(10,$J882)*MAXIFS(Token!$B:$B,Token!$A:$A,$K882)&gt;0.01),$L882/86400+DATE(1970,1,1)+IF($L882*1&gt;=$G$5,$G$6,0),)</f>
        <v/>
      </c>
      <c r="B882" s="22" t="str">
        <f t="shared" si="1"/>
        <v/>
      </c>
      <c r="C882" s="14" t="str">
        <f>IF($A882&lt;&gt;"",MINIFS(Merchant!$A:$A,Merchant!$B:$B,$G$2),)</f>
        <v/>
      </c>
      <c r="D882" s="14" t="str">
        <f t="shared" si="2"/>
        <v/>
      </c>
      <c r="E882" s="14" t="str">
        <f t="shared" si="3"/>
        <v/>
      </c>
      <c r="F882" s="6" t="str">
        <f>IF($A882&lt;&gt;"",MAXIFS(Token!$B:$B,Token!$A:$A,$D882),)</f>
        <v/>
      </c>
    </row>
    <row r="883">
      <c r="A883" s="35" t="str">
        <f>IF(AND($L883*1&gt;=$G$3,$L883*1&lt;=$G$4,$I883*$J883&gt;0,CONCATENATE($H883:$L883)&lt;&gt;CONCATENATE($H884:$L884),$I883/POW(10,$J883)*MAXIFS(Token!$B:$B,Token!$A:$A,$K883)&gt;0.01),$L883/86400+DATE(1970,1,1)+IF($L883*1&gt;=$G$5,$G$6,0),)</f>
        <v/>
      </c>
      <c r="B883" s="22" t="str">
        <f t="shared" si="1"/>
        <v/>
      </c>
      <c r="C883" s="14" t="str">
        <f>IF($A883&lt;&gt;"",MINIFS(Merchant!$A:$A,Merchant!$B:$B,$G$2),)</f>
        <v/>
      </c>
      <c r="D883" s="14" t="str">
        <f t="shared" si="2"/>
        <v/>
      </c>
      <c r="E883" s="14" t="str">
        <f t="shared" si="3"/>
        <v/>
      </c>
      <c r="F883" s="6" t="str">
        <f>IF($A883&lt;&gt;"",MAXIFS(Token!$B:$B,Token!$A:$A,$D883),)</f>
        <v/>
      </c>
    </row>
    <row r="884">
      <c r="A884" s="35" t="str">
        <f>IF(AND($L884*1&gt;=$G$3,$L884*1&lt;=$G$4,$I884*$J884&gt;0,CONCATENATE($H884:$L884)&lt;&gt;CONCATENATE($H885:$L885),$I884/POW(10,$J884)*MAXIFS(Token!$B:$B,Token!$A:$A,$K884)&gt;0.01),$L884/86400+DATE(1970,1,1)+IF($L884*1&gt;=$G$5,$G$6,0),)</f>
        <v/>
      </c>
      <c r="B884" s="22" t="str">
        <f t="shared" si="1"/>
        <v/>
      </c>
      <c r="C884" s="14" t="str">
        <f>IF($A884&lt;&gt;"",MINIFS(Merchant!$A:$A,Merchant!$B:$B,$G$2),)</f>
        <v/>
      </c>
      <c r="D884" s="14" t="str">
        <f t="shared" si="2"/>
        <v/>
      </c>
      <c r="E884" s="14" t="str">
        <f t="shared" si="3"/>
        <v/>
      </c>
      <c r="F884" s="6" t="str">
        <f>IF($A884&lt;&gt;"",MAXIFS(Token!$B:$B,Token!$A:$A,$D884),)</f>
        <v/>
      </c>
    </row>
    <row r="885">
      <c r="A885" s="35" t="str">
        <f>IF(AND($L885*1&gt;=$G$3,$L885*1&lt;=$G$4,$I885*$J885&gt;0,CONCATENATE($H885:$L885)&lt;&gt;CONCATENATE($H886:$L886),$I885/POW(10,$J885)*MAXIFS(Token!$B:$B,Token!$A:$A,$K885)&gt;0.01),$L885/86400+DATE(1970,1,1)+IF($L885*1&gt;=$G$5,$G$6,0),)</f>
        <v/>
      </c>
      <c r="B885" s="22" t="str">
        <f t="shared" si="1"/>
        <v/>
      </c>
      <c r="C885" s="14" t="str">
        <f>IF($A885&lt;&gt;"",MINIFS(Merchant!$A:$A,Merchant!$B:$B,$G$2),)</f>
        <v/>
      </c>
      <c r="D885" s="14" t="str">
        <f t="shared" si="2"/>
        <v/>
      </c>
      <c r="E885" s="14" t="str">
        <f t="shared" si="3"/>
        <v/>
      </c>
      <c r="F885" s="6" t="str">
        <f>IF($A885&lt;&gt;"",MAXIFS(Token!$B:$B,Token!$A:$A,$D885),)</f>
        <v/>
      </c>
    </row>
    <row r="886">
      <c r="A886" s="35" t="str">
        <f>IF(AND($L886*1&gt;=$G$3,$L886*1&lt;=$G$4,$I886*$J886&gt;0,CONCATENATE($H886:$L886)&lt;&gt;CONCATENATE($H887:$L887),$I886/POW(10,$J886)*MAXIFS(Token!$B:$B,Token!$A:$A,$K886)&gt;0.01),$L886/86400+DATE(1970,1,1)+IF($L886*1&gt;=$G$5,$G$6,0),)</f>
        <v/>
      </c>
      <c r="B886" s="22" t="str">
        <f t="shared" si="1"/>
        <v/>
      </c>
      <c r="C886" s="14" t="str">
        <f>IF($A886&lt;&gt;"",MINIFS(Merchant!$A:$A,Merchant!$B:$B,$G$2),)</f>
        <v/>
      </c>
      <c r="D886" s="14" t="str">
        <f t="shared" si="2"/>
        <v/>
      </c>
      <c r="E886" s="14" t="str">
        <f t="shared" si="3"/>
        <v/>
      </c>
      <c r="F886" s="6" t="str">
        <f>IF($A886&lt;&gt;"",MAXIFS(Token!$B:$B,Token!$A:$A,$D886),)</f>
        <v/>
      </c>
    </row>
    <row r="887">
      <c r="A887" s="35" t="str">
        <f>IF(AND($L887*1&gt;=$G$3,$L887*1&lt;=$G$4,$I887*$J887&gt;0,CONCATENATE($H887:$L887)&lt;&gt;CONCATENATE($H888:$L888),$I887/POW(10,$J887)*MAXIFS(Token!$B:$B,Token!$A:$A,$K887)&gt;0.01),$L887/86400+DATE(1970,1,1)+IF($L887*1&gt;=$G$5,$G$6,0),)</f>
        <v/>
      </c>
      <c r="B887" s="22" t="str">
        <f t="shared" si="1"/>
        <v/>
      </c>
      <c r="C887" s="14" t="str">
        <f>IF($A887&lt;&gt;"",MINIFS(Merchant!$A:$A,Merchant!$B:$B,$G$2),)</f>
        <v/>
      </c>
      <c r="D887" s="14" t="str">
        <f t="shared" si="2"/>
        <v/>
      </c>
      <c r="E887" s="14" t="str">
        <f t="shared" si="3"/>
        <v/>
      </c>
      <c r="F887" s="6" t="str">
        <f>IF($A887&lt;&gt;"",MAXIFS(Token!$B:$B,Token!$A:$A,$D887),)</f>
        <v/>
      </c>
    </row>
    <row r="888">
      <c r="A888" s="35" t="str">
        <f>IF(AND($L888*1&gt;=$G$3,$L888*1&lt;=$G$4,$I888*$J888&gt;0,CONCATENATE($H888:$L888)&lt;&gt;CONCATENATE($H889:$L889),$I888/POW(10,$J888)*MAXIFS(Token!$B:$B,Token!$A:$A,$K888)&gt;0.01),$L888/86400+DATE(1970,1,1)+IF($L888*1&gt;=$G$5,$G$6,0),)</f>
        <v/>
      </c>
      <c r="B888" s="22" t="str">
        <f t="shared" si="1"/>
        <v/>
      </c>
      <c r="C888" s="14" t="str">
        <f>IF($A888&lt;&gt;"",MINIFS(Merchant!$A:$A,Merchant!$B:$B,$G$2),)</f>
        <v/>
      </c>
      <c r="D888" s="14" t="str">
        <f t="shared" si="2"/>
        <v/>
      </c>
      <c r="E888" s="14" t="str">
        <f t="shared" si="3"/>
        <v/>
      </c>
      <c r="F888" s="6" t="str">
        <f>IF($A888&lt;&gt;"",MAXIFS(Token!$B:$B,Token!$A:$A,$D888),)</f>
        <v/>
      </c>
    </row>
    <row r="889">
      <c r="A889" s="35" t="str">
        <f>IF(AND($L889*1&gt;=$G$3,$L889*1&lt;=$G$4,$I889*$J889&gt;0,CONCATENATE($H889:$L889)&lt;&gt;CONCATENATE($H890:$L890),$I889/POW(10,$J889)*MAXIFS(Token!$B:$B,Token!$A:$A,$K889)&gt;0.01),$L889/86400+DATE(1970,1,1)+IF($L889*1&gt;=$G$5,$G$6,0),)</f>
        <v/>
      </c>
      <c r="B889" s="22" t="str">
        <f t="shared" si="1"/>
        <v/>
      </c>
      <c r="C889" s="14" t="str">
        <f>IF($A889&lt;&gt;"",MINIFS(Merchant!$A:$A,Merchant!$B:$B,$G$2),)</f>
        <v/>
      </c>
      <c r="D889" s="14" t="str">
        <f t="shared" si="2"/>
        <v/>
      </c>
      <c r="E889" s="14" t="str">
        <f t="shared" si="3"/>
        <v/>
      </c>
      <c r="F889" s="6" t="str">
        <f>IF($A889&lt;&gt;"",MAXIFS(Token!$B:$B,Token!$A:$A,$D889),)</f>
        <v/>
      </c>
    </row>
    <row r="890">
      <c r="A890" s="35" t="str">
        <f>IF(AND($L890*1&gt;=$G$3,$L890*1&lt;=$G$4,$I890*$J890&gt;0,CONCATENATE($H890:$L890)&lt;&gt;CONCATENATE($H891:$L891),$I890/POW(10,$J890)*MAXIFS(Token!$B:$B,Token!$A:$A,$K890)&gt;0.01),$L890/86400+DATE(1970,1,1)+IF($L890*1&gt;=$G$5,$G$6,0),)</f>
        <v/>
      </c>
      <c r="B890" s="22" t="str">
        <f t="shared" si="1"/>
        <v/>
      </c>
      <c r="C890" s="14" t="str">
        <f>IF($A890&lt;&gt;"",MINIFS(Merchant!$A:$A,Merchant!$B:$B,$G$2),)</f>
        <v/>
      </c>
      <c r="D890" s="14" t="str">
        <f t="shared" si="2"/>
        <v/>
      </c>
      <c r="E890" s="14" t="str">
        <f t="shared" si="3"/>
        <v/>
      </c>
      <c r="F890" s="6" t="str">
        <f>IF($A890&lt;&gt;"",MAXIFS(Token!$B:$B,Token!$A:$A,$D890),)</f>
        <v/>
      </c>
    </row>
    <row r="891">
      <c r="A891" s="35" t="str">
        <f>IF(AND($L891*1&gt;=$G$3,$L891*1&lt;=$G$4,$I891*$J891&gt;0,CONCATENATE($H891:$L891)&lt;&gt;CONCATENATE($H892:$L892),$I891/POW(10,$J891)*MAXIFS(Token!$B:$B,Token!$A:$A,$K891)&gt;0.01),$L891/86400+DATE(1970,1,1)+IF($L891*1&gt;=$G$5,$G$6,0),)</f>
        <v/>
      </c>
      <c r="B891" s="22" t="str">
        <f t="shared" si="1"/>
        <v/>
      </c>
      <c r="C891" s="14" t="str">
        <f>IF($A891&lt;&gt;"",MINIFS(Merchant!$A:$A,Merchant!$B:$B,$G$2),)</f>
        <v/>
      </c>
      <c r="D891" s="14" t="str">
        <f t="shared" si="2"/>
        <v/>
      </c>
      <c r="E891" s="14" t="str">
        <f t="shared" si="3"/>
        <v/>
      </c>
      <c r="F891" s="6" t="str">
        <f>IF($A891&lt;&gt;"",MAXIFS(Token!$B:$B,Token!$A:$A,$D891),)</f>
        <v/>
      </c>
    </row>
    <row r="892">
      <c r="A892" s="35" t="str">
        <f>IF(AND($L892*1&gt;=$G$3,$L892*1&lt;=$G$4,$I892*$J892&gt;0,CONCATENATE($H892:$L892)&lt;&gt;CONCATENATE($H893:$L893),$I892/POW(10,$J892)*MAXIFS(Token!$B:$B,Token!$A:$A,$K892)&gt;0.01),$L892/86400+DATE(1970,1,1)+IF($L892*1&gt;=$G$5,$G$6,0),)</f>
        <v/>
      </c>
      <c r="B892" s="22" t="str">
        <f t="shared" si="1"/>
        <v/>
      </c>
      <c r="C892" s="14" t="str">
        <f>IF($A892&lt;&gt;"",MINIFS(Merchant!$A:$A,Merchant!$B:$B,$G$2),)</f>
        <v/>
      </c>
      <c r="D892" s="14" t="str">
        <f t="shared" si="2"/>
        <v/>
      </c>
      <c r="E892" s="14" t="str">
        <f t="shared" si="3"/>
        <v/>
      </c>
      <c r="F892" s="6" t="str">
        <f>IF($A892&lt;&gt;"",MAXIFS(Token!$B:$B,Token!$A:$A,$D892),)</f>
        <v/>
      </c>
    </row>
    <row r="893">
      <c r="A893" s="35" t="str">
        <f>IF(AND($L893*1&gt;=$G$3,$L893*1&lt;=$G$4,$I893*$J893&gt;0,CONCATENATE($H893:$L893)&lt;&gt;CONCATENATE($H894:$L894),$I893/POW(10,$J893)*MAXIFS(Token!$B:$B,Token!$A:$A,$K893)&gt;0.01),$L893/86400+DATE(1970,1,1)+IF($L893*1&gt;=$G$5,$G$6,0),)</f>
        <v/>
      </c>
      <c r="B893" s="22" t="str">
        <f t="shared" si="1"/>
        <v/>
      </c>
      <c r="C893" s="14" t="str">
        <f>IF($A893&lt;&gt;"",MINIFS(Merchant!$A:$A,Merchant!$B:$B,$G$2),)</f>
        <v/>
      </c>
      <c r="D893" s="14" t="str">
        <f t="shared" si="2"/>
        <v/>
      </c>
      <c r="E893" s="14" t="str">
        <f t="shared" si="3"/>
        <v/>
      </c>
      <c r="F893" s="6" t="str">
        <f>IF($A893&lt;&gt;"",MAXIFS(Token!$B:$B,Token!$A:$A,$D893),)</f>
        <v/>
      </c>
    </row>
    <row r="894">
      <c r="A894" s="35" t="str">
        <f>IF(AND($L894*1&gt;=$G$3,$L894*1&lt;=$G$4,$I894*$J894&gt;0,CONCATENATE($H894:$L894)&lt;&gt;CONCATENATE($H895:$L895),$I894/POW(10,$J894)*MAXIFS(Token!$B:$B,Token!$A:$A,$K894)&gt;0.01),$L894/86400+DATE(1970,1,1)+IF($L894*1&gt;=$G$5,$G$6,0),)</f>
        <v/>
      </c>
      <c r="B894" s="22" t="str">
        <f t="shared" si="1"/>
        <v/>
      </c>
      <c r="C894" s="14" t="str">
        <f>IF($A894&lt;&gt;"",MINIFS(Merchant!$A:$A,Merchant!$B:$B,$G$2),)</f>
        <v/>
      </c>
      <c r="D894" s="14" t="str">
        <f t="shared" si="2"/>
        <v/>
      </c>
      <c r="E894" s="14" t="str">
        <f t="shared" si="3"/>
        <v/>
      </c>
      <c r="F894" s="6" t="str">
        <f>IF($A894&lt;&gt;"",MAXIFS(Token!$B:$B,Token!$A:$A,$D894),)</f>
        <v/>
      </c>
    </row>
    <row r="895">
      <c r="A895" s="35" t="str">
        <f>IF(AND($L895*1&gt;=$G$3,$L895*1&lt;=$G$4,$I895*$J895&gt;0,CONCATENATE($H895:$L895)&lt;&gt;CONCATENATE($H896:$L896),$I895/POW(10,$J895)*MAXIFS(Token!$B:$B,Token!$A:$A,$K895)&gt;0.01),$L895/86400+DATE(1970,1,1)+IF($L895*1&gt;=$G$5,$G$6,0),)</f>
        <v/>
      </c>
      <c r="B895" s="22" t="str">
        <f t="shared" si="1"/>
        <v/>
      </c>
      <c r="C895" s="14" t="str">
        <f>IF($A895&lt;&gt;"",MINIFS(Merchant!$A:$A,Merchant!$B:$B,$G$2),)</f>
        <v/>
      </c>
      <c r="D895" s="14" t="str">
        <f t="shared" si="2"/>
        <v/>
      </c>
      <c r="E895" s="14" t="str">
        <f t="shared" si="3"/>
        <v/>
      </c>
      <c r="F895" s="6" t="str">
        <f>IF($A895&lt;&gt;"",MAXIFS(Token!$B:$B,Token!$A:$A,$D895),)</f>
        <v/>
      </c>
    </row>
    <row r="896">
      <c r="A896" s="35" t="str">
        <f>IF(AND($L896*1&gt;=$G$3,$L896*1&lt;=$G$4,$I896*$J896&gt;0,CONCATENATE($H896:$L896)&lt;&gt;CONCATENATE($H897:$L897),$I896/POW(10,$J896)*MAXIFS(Token!$B:$B,Token!$A:$A,$K896)&gt;0.01),$L896/86400+DATE(1970,1,1)+IF($L896*1&gt;=$G$5,$G$6,0),)</f>
        <v/>
      </c>
      <c r="B896" s="22" t="str">
        <f t="shared" si="1"/>
        <v/>
      </c>
      <c r="C896" s="14" t="str">
        <f>IF($A896&lt;&gt;"",MINIFS(Merchant!$A:$A,Merchant!$B:$B,$G$2),)</f>
        <v/>
      </c>
      <c r="D896" s="14" t="str">
        <f t="shared" si="2"/>
        <v/>
      </c>
      <c r="E896" s="14" t="str">
        <f t="shared" si="3"/>
        <v/>
      </c>
      <c r="F896" s="6" t="str">
        <f>IF($A896&lt;&gt;"",MAXIFS(Token!$B:$B,Token!$A:$A,$D896),)</f>
        <v/>
      </c>
    </row>
    <row r="897">
      <c r="A897" s="35" t="str">
        <f>IF(AND($L897*1&gt;=$G$3,$L897*1&lt;=$G$4,$I897*$J897&gt;0,CONCATENATE($H897:$L897)&lt;&gt;CONCATENATE($H898:$L898),$I897/POW(10,$J897)*MAXIFS(Token!$B:$B,Token!$A:$A,$K897)&gt;0.01),$L897/86400+DATE(1970,1,1)+IF($L897*1&gt;=$G$5,$G$6,0),)</f>
        <v/>
      </c>
      <c r="B897" s="22" t="str">
        <f t="shared" si="1"/>
        <v/>
      </c>
      <c r="C897" s="14" t="str">
        <f>IF($A897&lt;&gt;"",MINIFS(Merchant!$A:$A,Merchant!$B:$B,$G$2),)</f>
        <v/>
      </c>
      <c r="D897" s="14" t="str">
        <f t="shared" si="2"/>
        <v/>
      </c>
      <c r="E897" s="14" t="str">
        <f t="shared" si="3"/>
        <v/>
      </c>
      <c r="F897" s="6" t="str">
        <f>IF($A897&lt;&gt;"",MAXIFS(Token!$B:$B,Token!$A:$A,$D897),)</f>
        <v/>
      </c>
    </row>
    <row r="898">
      <c r="A898" s="35" t="str">
        <f>IF(AND($L898*1&gt;=$G$3,$L898*1&lt;=$G$4,$I898*$J898&gt;0,CONCATENATE($H898:$L898)&lt;&gt;CONCATENATE($H899:$L899),$I898/POW(10,$J898)*MAXIFS(Token!$B:$B,Token!$A:$A,$K898)&gt;0.01),$L898/86400+DATE(1970,1,1)+IF($L898*1&gt;=$G$5,$G$6,0),)</f>
        <v/>
      </c>
      <c r="B898" s="22" t="str">
        <f t="shared" si="1"/>
        <v/>
      </c>
      <c r="C898" s="14" t="str">
        <f>IF($A898&lt;&gt;"",MINIFS(Merchant!$A:$A,Merchant!$B:$B,$G$2),)</f>
        <v/>
      </c>
      <c r="D898" s="14" t="str">
        <f t="shared" si="2"/>
        <v/>
      </c>
      <c r="E898" s="14" t="str">
        <f t="shared" si="3"/>
        <v/>
      </c>
      <c r="F898" s="6" t="str">
        <f>IF($A898&lt;&gt;"",MAXIFS(Token!$B:$B,Token!$A:$A,$D898),)</f>
        <v/>
      </c>
    </row>
    <row r="899">
      <c r="A899" s="35" t="str">
        <f>IF(AND($L899*1&gt;=$G$3,$L899*1&lt;=$G$4,$I899*$J899&gt;0,CONCATENATE($H899:$L899)&lt;&gt;CONCATENATE($H900:$L900),$I899/POW(10,$J899)*MAXIFS(Token!$B:$B,Token!$A:$A,$K899)&gt;0.01),$L899/86400+DATE(1970,1,1)+IF($L899*1&gt;=$G$5,$G$6,0),)</f>
        <v/>
      </c>
      <c r="B899" s="22" t="str">
        <f t="shared" si="1"/>
        <v/>
      </c>
      <c r="C899" s="14" t="str">
        <f>IF($A899&lt;&gt;"",MINIFS(Merchant!$A:$A,Merchant!$B:$B,$G$2),)</f>
        <v/>
      </c>
      <c r="D899" s="14" t="str">
        <f t="shared" si="2"/>
        <v/>
      </c>
      <c r="E899" s="14" t="str">
        <f t="shared" si="3"/>
        <v/>
      </c>
      <c r="F899" s="6" t="str">
        <f>IF($A899&lt;&gt;"",MAXIFS(Token!$B:$B,Token!$A:$A,$D899),)</f>
        <v/>
      </c>
    </row>
    <row r="900">
      <c r="A900" s="35" t="str">
        <f>IF(AND($L900*1&gt;=$G$3,$L900*1&lt;=$G$4,$I900*$J900&gt;0,CONCATENATE($H900:$L900)&lt;&gt;CONCATENATE($H901:$L901),$I900/POW(10,$J900)*MAXIFS(Token!$B:$B,Token!$A:$A,$K900)&gt;0.01),$L900/86400+DATE(1970,1,1)+IF($L900*1&gt;=$G$5,$G$6,0),)</f>
        <v/>
      </c>
      <c r="B900" s="22" t="str">
        <f t="shared" si="1"/>
        <v/>
      </c>
      <c r="C900" s="14" t="str">
        <f>IF($A900&lt;&gt;"",MINIFS(Merchant!$A:$A,Merchant!$B:$B,$G$2),)</f>
        <v/>
      </c>
      <c r="D900" s="14" t="str">
        <f t="shared" si="2"/>
        <v/>
      </c>
      <c r="E900" s="14" t="str">
        <f t="shared" si="3"/>
        <v/>
      </c>
      <c r="F900" s="6" t="str">
        <f>IF($A900&lt;&gt;"",MAXIFS(Token!$B:$B,Token!$A:$A,$D900),)</f>
        <v/>
      </c>
    </row>
    <row r="901">
      <c r="A901" s="35" t="str">
        <f>IF(AND($L901*1&gt;=$G$3,$L901*1&lt;=$G$4,$I901*$J901&gt;0,CONCATENATE($H901:$L901)&lt;&gt;CONCATENATE($H902:$L902),$I901/POW(10,$J901)*MAXIFS(Token!$B:$B,Token!$A:$A,$K901)&gt;0.01),$L901/86400+DATE(1970,1,1)+IF($L901*1&gt;=$G$5,$G$6,0),)</f>
        <v/>
      </c>
      <c r="B901" s="22" t="str">
        <f t="shared" si="1"/>
        <v/>
      </c>
      <c r="C901" s="14" t="str">
        <f>IF($A901&lt;&gt;"",MINIFS(Merchant!$A:$A,Merchant!$B:$B,$G$2),)</f>
        <v/>
      </c>
      <c r="D901" s="14" t="str">
        <f t="shared" si="2"/>
        <v/>
      </c>
      <c r="E901" s="14" t="str">
        <f t="shared" si="3"/>
        <v/>
      </c>
      <c r="F901" s="6" t="str">
        <f>IF($A901&lt;&gt;"",MAXIFS(Token!$B:$B,Token!$A:$A,$D901),)</f>
        <v/>
      </c>
    </row>
    <row r="902">
      <c r="A902" s="35" t="str">
        <f>IF(AND($L902*1&gt;=$G$3,$L902*1&lt;=$G$4,$I902*$J902&gt;0,CONCATENATE($H902:$L902)&lt;&gt;CONCATENATE($H903:$L903),$I902/POW(10,$J902)*MAXIFS(Token!$B:$B,Token!$A:$A,$K902)&gt;0.01),$L902/86400+DATE(1970,1,1)+IF($L902*1&gt;=$G$5,$G$6,0),)</f>
        <v/>
      </c>
      <c r="B902" s="22" t="str">
        <f t="shared" si="1"/>
        <v/>
      </c>
      <c r="C902" s="14" t="str">
        <f>IF($A902&lt;&gt;"",MINIFS(Merchant!$A:$A,Merchant!$B:$B,$G$2),)</f>
        <v/>
      </c>
      <c r="D902" s="14" t="str">
        <f t="shared" si="2"/>
        <v/>
      </c>
      <c r="E902" s="14" t="str">
        <f t="shared" si="3"/>
        <v/>
      </c>
      <c r="F902" s="6" t="str">
        <f>IF($A902&lt;&gt;"",MAXIFS(Token!$B:$B,Token!$A:$A,$D902),)</f>
        <v/>
      </c>
    </row>
    <row r="903">
      <c r="A903" s="35" t="str">
        <f>IF(AND($L903*1&gt;=$G$3,$L903*1&lt;=$G$4,$I903*$J903&gt;0,CONCATENATE($H903:$L903)&lt;&gt;CONCATENATE($H904:$L904),$I903/POW(10,$J903)*MAXIFS(Token!$B:$B,Token!$A:$A,$K903)&gt;0.01),$L903/86400+DATE(1970,1,1)+IF($L903*1&gt;=$G$5,$G$6,0),)</f>
        <v/>
      </c>
      <c r="B903" s="22" t="str">
        <f t="shared" si="1"/>
        <v/>
      </c>
      <c r="C903" s="14" t="str">
        <f>IF($A903&lt;&gt;"",MINIFS(Merchant!$A:$A,Merchant!$B:$B,$G$2),)</f>
        <v/>
      </c>
      <c r="D903" s="14" t="str">
        <f t="shared" si="2"/>
        <v/>
      </c>
      <c r="E903" s="14" t="str">
        <f t="shared" si="3"/>
        <v/>
      </c>
      <c r="F903" s="6" t="str">
        <f>IF($A903&lt;&gt;"",MAXIFS(Token!$B:$B,Token!$A:$A,$D903),)</f>
        <v/>
      </c>
    </row>
    <row r="904">
      <c r="A904" s="35" t="str">
        <f>IF(AND($L904*1&gt;=$G$3,$L904*1&lt;=$G$4,$I904*$J904&gt;0,CONCATENATE($H904:$L904)&lt;&gt;CONCATENATE($H905:$L905),$I904/POW(10,$J904)*MAXIFS(Token!$B:$B,Token!$A:$A,$K904)&gt;0.01),$L904/86400+DATE(1970,1,1)+IF($L904*1&gt;=$G$5,$G$6,0),)</f>
        <v/>
      </c>
      <c r="B904" s="22" t="str">
        <f t="shared" si="1"/>
        <v/>
      </c>
      <c r="C904" s="14" t="str">
        <f>IF($A904&lt;&gt;"",MINIFS(Merchant!$A:$A,Merchant!$B:$B,$G$2),)</f>
        <v/>
      </c>
      <c r="D904" s="14" t="str">
        <f t="shared" si="2"/>
        <v/>
      </c>
      <c r="E904" s="14" t="str">
        <f t="shared" si="3"/>
        <v/>
      </c>
      <c r="F904" s="6" t="str">
        <f>IF($A904&lt;&gt;"",MAXIFS(Token!$B:$B,Token!$A:$A,$D904),)</f>
        <v/>
      </c>
    </row>
    <row r="905">
      <c r="A905" s="35" t="str">
        <f>IF(AND($L905*1&gt;=$G$3,$L905*1&lt;=$G$4,$I905*$J905&gt;0,CONCATENATE($H905:$L905)&lt;&gt;CONCATENATE($H906:$L906),$I905/POW(10,$J905)*MAXIFS(Token!$B:$B,Token!$A:$A,$K905)&gt;0.01),$L905/86400+DATE(1970,1,1)+IF($L905*1&gt;=$G$5,$G$6,0),)</f>
        <v/>
      </c>
      <c r="B905" s="22" t="str">
        <f t="shared" si="1"/>
        <v/>
      </c>
      <c r="C905" s="14" t="str">
        <f>IF($A905&lt;&gt;"",MINIFS(Merchant!$A:$A,Merchant!$B:$B,$G$2),)</f>
        <v/>
      </c>
      <c r="D905" s="14" t="str">
        <f t="shared" si="2"/>
        <v/>
      </c>
      <c r="E905" s="14" t="str">
        <f t="shared" si="3"/>
        <v/>
      </c>
      <c r="F905" s="6" t="str">
        <f>IF($A905&lt;&gt;"",MAXIFS(Token!$B:$B,Token!$A:$A,$D905),)</f>
        <v/>
      </c>
    </row>
    <row r="906">
      <c r="A906" s="35" t="str">
        <f>IF(AND($L906*1&gt;=$G$3,$L906*1&lt;=$G$4,$I906*$J906&gt;0,CONCATENATE($H906:$L906)&lt;&gt;CONCATENATE($H907:$L907),$I906/POW(10,$J906)*MAXIFS(Token!$B:$B,Token!$A:$A,$K906)&gt;0.01),$L906/86400+DATE(1970,1,1)+IF($L906*1&gt;=$G$5,$G$6,0),)</f>
        <v/>
      </c>
      <c r="B906" s="22" t="str">
        <f t="shared" si="1"/>
        <v/>
      </c>
      <c r="C906" s="14" t="str">
        <f>IF($A906&lt;&gt;"",MINIFS(Merchant!$A:$A,Merchant!$B:$B,$G$2),)</f>
        <v/>
      </c>
      <c r="D906" s="14" t="str">
        <f t="shared" si="2"/>
        <v/>
      </c>
      <c r="E906" s="14" t="str">
        <f t="shared" si="3"/>
        <v/>
      </c>
      <c r="F906" s="6" t="str">
        <f>IF($A906&lt;&gt;"",MAXIFS(Token!$B:$B,Token!$A:$A,$D906),)</f>
        <v/>
      </c>
    </row>
    <row r="907">
      <c r="A907" s="35" t="str">
        <f>IF(AND($L907*1&gt;=$G$3,$L907*1&lt;=$G$4,$I907*$J907&gt;0,CONCATENATE($H907:$L907)&lt;&gt;CONCATENATE($H908:$L908),$I907/POW(10,$J907)*MAXIFS(Token!$B:$B,Token!$A:$A,$K907)&gt;0.01),$L907/86400+DATE(1970,1,1)+IF($L907*1&gt;=$G$5,$G$6,0),)</f>
        <v/>
      </c>
      <c r="B907" s="22" t="str">
        <f t="shared" si="1"/>
        <v/>
      </c>
      <c r="C907" s="14" t="str">
        <f>IF($A907&lt;&gt;"",MINIFS(Merchant!$A:$A,Merchant!$B:$B,$G$2),)</f>
        <v/>
      </c>
      <c r="D907" s="14" t="str">
        <f t="shared" si="2"/>
        <v/>
      </c>
      <c r="E907" s="14" t="str">
        <f t="shared" si="3"/>
        <v/>
      </c>
      <c r="F907" s="6" t="str">
        <f>IF($A907&lt;&gt;"",MAXIFS(Token!$B:$B,Token!$A:$A,$D907),)</f>
        <v/>
      </c>
    </row>
    <row r="908">
      <c r="A908" s="35" t="str">
        <f>IF(AND($L908*1&gt;=$G$3,$L908*1&lt;=$G$4,$I908*$J908&gt;0,CONCATENATE($H908:$L908)&lt;&gt;CONCATENATE($H909:$L909),$I908/POW(10,$J908)*MAXIFS(Token!$B:$B,Token!$A:$A,$K908)&gt;0.01),$L908/86400+DATE(1970,1,1)+IF($L908*1&gt;=$G$5,$G$6,0),)</f>
        <v/>
      </c>
      <c r="B908" s="22" t="str">
        <f t="shared" si="1"/>
        <v/>
      </c>
      <c r="C908" s="14" t="str">
        <f>IF($A908&lt;&gt;"",MINIFS(Merchant!$A:$A,Merchant!$B:$B,$G$2),)</f>
        <v/>
      </c>
      <c r="D908" s="14" t="str">
        <f t="shared" si="2"/>
        <v/>
      </c>
      <c r="E908" s="14" t="str">
        <f t="shared" si="3"/>
        <v/>
      </c>
      <c r="F908" s="6" t="str">
        <f>IF($A908&lt;&gt;"",MAXIFS(Token!$B:$B,Token!$A:$A,$D908),)</f>
        <v/>
      </c>
    </row>
    <row r="909">
      <c r="A909" s="35" t="str">
        <f>IF(AND($L909*1&gt;=$G$3,$L909*1&lt;=$G$4,$I909*$J909&gt;0,CONCATENATE($H909:$L909)&lt;&gt;CONCATENATE($H910:$L910),$I909/POW(10,$J909)*MAXIFS(Token!$B:$B,Token!$A:$A,$K909)&gt;0.01),$L909/86400+DATE(1970,1,1)+IF($L909*1&gt;=$G$5,$G$6,0),)</f>
        <v/>
      </c>
      <c r="B909" s="22" t="str">
        <f t="shared" si="1"/>
        <v/>
      </c>
      <c r="C909" s="14" t="str">
        <f>IF($A909&lt;&gt;"",MINIFS(Merchant!$A:$A,Merchant!$B:$B,$G$2),)</f>
        <v/>
      </c>
      <c r="D909" s="14" t="str">
        <f t="shared" si="2"/>
        <v/>
      </c>
      <c r="E909" s="14" t="str">
        <f t="shared" si="3"/>
        <v/>
      </c>
      <c r="F909" s="6" t="str">
        <f>IF($A909&lt;&gt;"",MAXIFS(Token!$B:$B,Token!$A:$A,$D909),)</f>
        <v/>
      </c>
    </row>
    <row r="910">
      <c r="A910" s="35" t="str">
        <f>IF(AND($L910*1&gt;=$G$3,$L910*1&lt;=$G$4,$I910*$J910&gt;0,CONCATENATE($H910:$L910)&lt;&gt;CONCATENATE($H911:$L911),$I910/POW(10,$J910)*MAXIFS(Token!$B:$B,Token!$A:$A,$K910)&gt;0.01),$L910/86400+DATE(1970,1,1)+IF($L910*1&gt;=$G$5,$G$6,0),)</f>
        <v/>
      </c>
      <c r="B910" s="22" t="str">
        <f t="shared" si="1"/>
        <v/>
      </c>
      <c r="C910" s="14" t="str">
        <f>IF($A910&lt;&gt;"",MINIFS(Merchant!$A:$A,Merchant!$B:$B,$G$2),)</f>
        <v/>
      </c>
      <c r="D910" s="14" t="str">
        <f t="shared" si="2"/>
        <v/>
      </c>
      <c r="E910" s="14" t="str">
        <f t="shared" si="3"/>
        <v/>
      </c>
      <c r="F910" s="6" t="str">
        <f>IF($A910&lt;&gt;"",MAXIFS(Token!$B:$B,Token!$A:$A,$D910),)</f>
        <v/>
      </c>
    </row>
    <row r="911">
      <c r="A911" s="35" t="str">
        <f>IF(AND($L911*1&gt;=$G$3,$L911*1&lt;=$G$4,$I911*$J911&gt;0,CONCATENATE($H911:$L911)&lt;&gt;CONCATENATE($H912:$L912),$I911/POW(10,$J911)*MAXIFS(Token!$B:$B,Token!$A:$A,$K911)&gt;0.01),$L911/86400+DATE(1970,1,1)+IF($L911*1&gt;=$G$5,$G$6,0),)</f>
        <v/>
      </c>
      <c r="B911" s="22" t="str">
        <f t="shared" si="1"/>
        <v/>
      </c>
      <c r="C911" s="14" t="str">
        <f>IF($A911&lt;&gt;"",MINIFS(Merchant!$A:$A,Merchant!$B:$B,$G$2),)</f>
        <v/>
      </c>
      <c r="D911" s="14" t="str">
        <f t="shared" si="2"/>
        <v/>
      </c>
      <c r="E911" s="14" t="str">
        <f t="shared" si="3"/>
        <v/>
      </c>
      <c r="F911" s="6" t="str">
        <f>IF($A911&lt;&gt;"",MAXIFS(Token!$B:$B,Token!$A:$A,$D911),)</f>
        <v/>
      </c>
    </row>
    <row r="912">
      <c r="A912" s="35" t="str">
        <f>IF(AND($L912*1&gt;=$G$3,$L912*1&lt;=$G$4,$I912*$J912&gt;0,CONCATENATE($H912:$L912)&lt;&gt;CONCATENATE($H913:$L913),$I912/POW(10,$J912)*MAXIFS(Token!$B:$B,Token!$A:$A,$K912)&gt;0.01),$L912/86400+DATE(1970,1,1)+IF($L912*1&gt;=$G$5,$G$6,0),)</f>
        <v/>
      </c>
      <c r="B912" s="22" t="str">
        <f t="shared" si="1"/>
        <v/>
      </c>
      <c r="C912" s="14" t="str">
        <f>IF($A912&lt;&gt;"",MINIFS(Merchant!$A:$A,Merchant!$B:$B,$G$2),)</f>
        <v/>
      </c>
      <c r="D912" s="14" t="str">
        <f t="shared" si="2"/>
        <v/>
      </c>
      <c r="E912" s="14" t="str">
        <f t="shared" si="3"/>
        <v/>
      </c>
      <c r="F912" s="6" t="str">
        <f>IF($A912&lt;&gt;"",MAXIFS(Token!$B:$B,Token!$A:$A,$D912),)</f>
        <v/>
      </c>
    </row>
    <row r="913">
      <c r="A913" s="35" t="str">
        <f>IF(AND($L913*1&gt;=$G$3,$L913*1&lt;=$G$4,$I913*$J913&gt;0,CONCATENATE($H913:$L913)&lt;&gt;CONCATENATE($H914:$L914),$I913/POW(10,$J913)*MAXIFS(Token!$B:$B,Token!$A:$A,$K913)&gt;0.01),$L913/86400+DATE(1970,1,1)+IF($L913*1&gt;=$G$5,$G$6,0),)</f>
        <v/>
      </c>
      <c r="B913" s="22" t="str">
        <f t="shared" si="1"/>
        <v/>
      </c>
      <c r="C913" s="14" t="str">
        <f>IF($A913&lt;&gt;"",MINIFS(Merchant!$A:$A,Merchant!$B:$B,$G$2),)</f>
        <v/>
      </c>
      <c r="D913" s="14" t="str">
        <f t="shared" si="2"/>
        <v/>
      </c>
      <c r="E913" s="14" t="str">
        <f t="shared" si="3"/>
        <v/>
      </c>
      <c r="F913" s="6" t="str">
        <f>IF($A913&lt;&gt;"",MAXIFS(Token!$B:$B,Token!$A:$A,$D913),)</f>
        <v/>
      </c>
    </row>
    <row r="914">
      <c r="A914" s="35" t="str">
        <f>IF(AND($L914*1&gt;=$G$3,$L914*1&lt;=$G$4,$I914*$J914&gt;0,CONCATENATE($H914:$L914)&lt;&gt;CONCATENATE($H915:$L915),$I914/POW(10,$J914)*MAXIFS(Token!$B:$B,Token!$A:$A,$K914)&gt;0.01),$L914/86400+DATE(1970,1,1)+IF($L914*1&gt;=$G$5,$G$6,0),)</f>
        <v/>
      </c>
      <c r="B914" s="22" t="str">
        <f t="shared" si="1"/>
        <v/>
      </c>
      <c r="C914" s="14" t="str">
        <f>IF($A914&lt;&gt;"",MINIFS(Merchant!$A:$A,Merchant!$B:$B,$G$2),)</f>
        <v/>
      </c>
      <c r="D914" s="14" t="str">
        <f t="shared" si="2"/>
        <v/>
      </c>
      <c r="E914" s="14" t="str">
        <f t="shared" si="3"/>
        <v/>
      </c>
      <c r="F914" s="6" t="str">
        <f>IF($A914&lt;&gt;"",MAXIFS(Token!$B:$B,Token!$A:$A,$D914),)</f>
        <v/>
      </c>
    </row>
    <row r="915">
      <c r="A915" s="35" t="str">
        <f>IF(AND($L915*1&gt;=$G$3,$L915*1&lt;=$G$4,$I915*$J915&gt;0,CONCATENATE($H915:$L915)&lt;&gt;CONCATENATE($H916:$L916),$I915/POW(10,$J915)*MAXIFS(Token!$B:$B,Token!$A:$A,$K915)&gt;0.01),$L915/86400+DATE(1970,1,1)+IF($L915*1&gt;=$G$5,$G$6,0),)</f>
        <v/>
      </c>
      <c r="B915" s="22" t="str">
        <f t="shared" si="1"/>
        <v/>
      </c>
      <c r="C915" s="14" t="str">
        <f>IF($A915&lt;&gt;"",MINIFS(Merchant!$A:$A,Merchant!$B:$B,$G$2),)</f>
        <v/>
      </c>
      <c r="D915" s="14" t="str">
        <f t="shared" si="2"/>
        <v/>
      </c>
      <c r="E915" s="14" t="str">
        <f t="shared" si="3"/>
        <v/>
      </c>
      <c r="F915" s="6" t="str">
        <f>IF($A915&lt;&gt;"",MAXIFS(Token!$B:$B,Token!$A:$A,$D915),)</f>
        <v/>
      </c>
    </row>
    <row r="916">
      <c r="A916" s="35" t="str">
        <f>IF(AND($L916*1&gt;=$G$3,$L916*1&lt;=$G$4,$I916*$J916&gt;0,CONCATENATE($H916:$L916)&lt;&gt;CONCATENATE($H917:$L917),$I916/POW(10,$J916)*MAXIFS(Token!$B:$B,Token!$A:$A,$K916)&gt;0.01),$L916/86400+DATE(1970,1,1)+IF($L916*1&gt;=$G$5,$G$6,0),)</f>
        <v/>
      </c>
      <c r="B916" s="22" t="str">
        <f t="shared" si="1"/>
        <v/>
      </c>
      <c r="C916" s="14" t="str">
        <f>IF($A916&lt;&gt;"",MINIFS(Merchant!$A:$A,Merchant!$B:$B,$G$2),)</f>
        <v/>
      </c>
      <c r="D916" s="14" t="str">
        <f t="shared" si="2"/>
        <v/>
      </c>
      <c r="E916" s="14" t="str">
        <f t="shared" si="3"/>
        <v/>
      </c>
      <c r="F916" s="6" t="str">
        <f>IF($A916&lt;&gt;"",MAXIFS(Token!$B:$B,Token!$A:$A,$D916),)</f>
        <v/>
      </c>
    </row>
    <row r="917">
      <c r="A917" s="35" t="str">
        <f>IF(AND($L917*1&gt;=$G$3,$L917*1&lt;=$G$4,$I917*$J917&gt;0,CONCATENATE($H917:$L917)&lt;&gt;CONCATENATE($H918:$L918),$I917/POW(10,$J917)*MAXIFS(Token!$B:$B,Token!$A:$A,$K917)&gt;0.01),$L917/86400+DATE(1970,1,1)+IF($L917*1&gt;=$G$5,$G$6,0),)</f>
        <v/>
      </c>
      <c r="B917" s="22" t="str">
        <f t="shared" si="1"/>
        <v/>
      </c>
      <c r="C917" s="14" t="str">
        <f>IF($A917&lt;&gt;"",MINIFS(Merchant!$A:$A,Merchant!$B:$B,$G$2),)</f>
        <v/>
      </c>
      <c r="D917" s="14" t="str">
        <f t="shared" si="2"/>
        <v/>
      </c>
      <c r="E917" s="14" t="str">
        <f t="shared" si="3"/>
        <v/>
      </c>
      <c r="F917" s="6" t="str">
        <f>IF($A917&lt;&gt;"",MAXIFS(Token!$B:$B,Token!$A:$A,$D917),)</f>
        <v/>
      </c>
    </row>
    <row r="918">
      <c r="A918" s="35" t="str">
        <f>IF(AND($L918*1&gt;=$G$3,$L918*1&lt;=$G$4,$I918*$J918&gt;0,CONCATENATE($H918:$L918)&lt;&gt;CONCATENATE($H919:$L919),$I918/POW(10,$J918)*MAXIFS(Token!$B:$B,Token!$A:$A,$K918)&gt;0.01),$L918/86400+DATE(1970,1,1)+IF($L918*1&gt;=$G$5,$G$6,0),)</f>
        <v/>
      </c>
      <c r="B918" s="22" t="str">
        <f t="shared" si="1"/>
        <v/>
      </c>
      <c r="C918" s="14" t="str">
        <f>IF($A918&lt;&gt;"",MINIFS(Merchant!$A:$A,Merchant!$B:$B,$G$2),)</f>
        <v/>
      </c>
      <c r="D918" s="14" t="str">
        <f t="shared" si="2"/>
        <v/>
      </c>
      <c r="E918" s="14" t="str">
        <f t="shared" si="3"/>
        <v/>
      </c>
      <c r="F918" s="6" t="str">
        <f>IF($A918&lt;&gt;"",MAXIFS(Token!$B:$B,Token!$A:$A,$D918),)</f>
        <v/>
      </c>
    </row>
    <row r="919">
      <c r="A919" s="35" t="str">
        <f>IF(AND($L919*1&gt;=$G$3,$L919*1&lt;=$G$4,$I919*$J919&gt;0,CONCATENATE($H919:$L919)&lt;&gt;CONCATENATE($H920:$L920),$I919/POW(10,$J919)*MAXIFS(Token!$B:$B,Token!$A:$A,$K919)&gt;0.01),$L919/86400+DATE(1970,1,1)+IF($L919*1&gt;=$G$5,$G$6,0),)</f>
        <v/>
      </c>
      <c r="B919" s="22" t="str">
        <f t="shared" si="1"/>
        <v/>
      </c>
      <c r="C919" s="14" t="str">
        <f>IF($A919&lt;&gt;"",MINIFS(Merchant!$A:$A,Merchant!$B:$B,$G$2),)</f>
        <v/>
      </c>
      <c r="D919" s="14" t="str">
        <f t="shared" si="2"/>
        <v/>
      </c>
      <c r="E919" s="14" t="str">
        <f t="shared" si="3"/>
        <v/>
      </c>
      <c r="F919" s="6" t="str">
        <f>IF($A919&lt;&gt;"",MAXIFS(Token!$B:$B,Token!$A:$A,$D919),)</f>
        <v/>
      </c>
    </row>
    <row r="920">
      <c r="A920" s="35" t="str">
        <f>IF(AND($L920*1&gt;=$G$3,$L920*1&lt;=$G$4,$I920*$J920&gt;0,CONCATENATE($H920:$L920)&lt;&gt;CONCATENATE($H921:$L921),$I920/POW(10,$J920)*MAXIFS(Token!$B:$B,Token!$A:$A,$K920)&gt;0.01),$L920/86400+DATE(1970,1,1)+IF($L920*1&gt;=$G$5,$G$6,0),)</f>
        <v/>
      </c>
      <c r="B920" s="22" t="str">
        <f t="shared" si="1"/>
        <v/>
      </c>
      <c r="C920" s="14" t="str">
        <f>IF($A920&lt;&gt;"",MINIFS(Merchant!$A:$A,Merchant!$B:$B,$G$2),)</f>
        <v/>
      </c>
      <c r="D920" s="14" t="str">
        <f t="shared" si="2"/>
        <v/>
      </c>
      <c r="E920" s="14" t="str">
        <f t="shared" si="3"/>
        <v/>
      </c>
      <c r="F920" s="6" t="str">
        <f>IF($A920&lt;&gt;"",MAXIFS(Token!$B:$B,Token!$A:$A,$D920),)</f>
        <v/>
      </c>
    </row>
    <row r="921">
      <c r="A921" s="35" t="str">
        <f>IF(AND($L921*1&gt;=$G$3,$L921*1&lt;=$G$4,$I921*$J921&gt;0,CONCATENATE($H921:$L921)&lt;&gt;CONCATENATE($H922:$L922),$I921/POW(10,$J921)*MAXIFS(Token!$B:$B,Token!$A:$A,$K921)&gt;0.01),$L921/86400+DATE(1970,1,1)+IF($L921*1&gt;=$G$5,$G$6,0),)</f>
        <v/>
      </c>
      <c r="B921" s="22" t="str">
        <f t="shared" si="1"/>
        <v/>
      </c>
      <c r="C921" s="14" t="str">
        <f>IF($A921&lt;&gt;"",MINIFS(Merchant!$A:$A,Merchant!$B:$B,$G$2),)</f>
        <v/>
      </c>
      <c r="D921" s="14" t="str">
        <f t="shared" si="2"/>
        <v/>
      </c>
      <c r="E921" s="14" t="str">
        <f t="shared" si="3"/>
        <v/>
      </c>
      <c r="F921" s="6" t="str">
        <f>IF($A921&lt;&gt;"",MAXIFS(Token!$B:$B,Token!$A:$A,$D921),)</f>
        <v/>
      </c>
    </row>
    <row r="922">
      <c r="A922" s="35" t="str">
        <f>IF(AND($L922*1&gt;=$G$3,$L922*1&lt;=$G$4,$I922*$J922&gt;0,CONCATENATE($H922:$L922)&lt;&gt;CONCATENATE($H923:$L923),$I922/POW(10,$J922)*MAXIFS(Token!$B:$B,Token!$A:$A,$K922)&gt;0.01),$L922/86400+DATE(1970,1,1)+IF($L922*1&gt;=$G$5,$G$6,0),)</f>
        <v/>
      </c>
      <c r="B922" s="22" t="str">
        <f t="shared" si="1"/>
        <v/>
      </c>
      <c r="C922" s="14" t="str">
        <f>IF($A922&lt;&gt;"",MINIFS(Merchant!$A:$A,Merchant!$B:$B,$G$2),)</f>
        <v/>
      </c>
      <c r="D922" s="14" t="str">
        <f t="shared" si="2"/>
        <v/>
      </c>
      <c r="E922" s="14" t="str">
        <f t="shared" si="3"/>
        <v/>
      </c>
      <c r="F922" s="6" t="str">
        <f>IF($A922&lt;&gt;"",MAXIFS(Token!$B:$B,Token!$A:$A,$D922),)</f>
        <v/>
      </c>
    </row>
    <row r="923">
      <c r="A923" s="35" t="str">
        <f>IF(AND($L923*1&gt;=$G$3,$L923*1&lt;=$G$4,$I923*$J923&gt;0,CONCATENATE($H923:$L923)&lt;&gt;CONCATENATE($H924:$L924),$I923/POW(10,$J923)*MAXIFS(Token!$B:$B,Token!$A:$A,$K923)&gt;0.01),$L923/86400+DATE(1970,1,1)+IF($L923*1&gt;=$G$5,$G$6,0),)</f>
        <v/>
      </c>
      <c r="B923" s="22" t="str">
        <f t="shared" si="1"/>
        <v/>
      </c>
      <c r="C923" s="14" t="str">
        <f>IF($A923&lt;&gt;"",MINIFS(Merchant!$A:$A,Merchant!$B:$B,$G$2),)</f>
        <v/>
      </c>
      <c r="D923" s="14" t="str">
        <f t="shared" si="2"/>
        <v/>
      </c>
      <c r="E923" s="14" t="str">
        <f t="shared" si="3"/>
        <v/>
      </c>
      <c r="F923" s="6" t="str">
        <f>IF($A923&lt;&gt;"",MAXIFS(Token!$B:$B,Token!$A:$A,$D923),)</f>
        <v/>
      </c>
    </row>
    <row r="924">
      <c r="A924" s="35" t="str">
        <f>IF(AND($L924*1&gt;=$G$3,$L924*1&lt;=$G$4,$I924*$J924&gt;0,CONCATENATE($H924:$L924)&lt;&gt;CONCATENATE($H925:$L925),$I924/POW(10,$J924)*MAXIFS(Token!$B:$B,Token!$A:$A,$K924)&gt;0.01),$L924/86400+DATE(1970,1,1)+IF($L924*1&gt;=$G$5,$G$6,0),)</f>
        <v/>
      </c>
      <c r="B924" s="22" t="str">
        <f t="shared" si="1"/>
        <v/>
      </c>
      <c r="C924" s="14" t="str">
        <f>IF($A924&lt;&gt;"",MINIFS(Merchant!$A:$A,Merchant!$B:$B,$G$2),)</f>
        <v/>
      </c>
      <c r="D924" s="14" t="str">
        <f t="shared" si="2"/>
        <v/>
      </c>
      <c r="E924" s="14" t="str">
        <f t="shared" si="3"/>
        <v/>
      </c>
      <c r="F924" s="6" t="str">
        <f>IF($A924&lt;&gt;"",MAXIFS(Token!$B:$B,Token!$A:$A,$D924),)</f>
        <v/>
      </c>
    </row>
    <row r="925">
      <c r="A925" s="35" t="str">
        <f>IF(AND($L925*1&gt;=$G$3,$L925*1&lt;=$G$4,$I925*$J925&gt;0,CONCATENATE($H925:$L925)&lt;&gt;CONCATENATE($H926:$L926),$I925/POW(10,$J925)*MAXIFS(Token!$B:$B,Token!$A:$A,$K925)&gt;0.01),$L925/86400+DATE(1970,1,1)+IF($L925*1&gt;=$G$5,$G$6,0),)</f>
        <v/>
      </c>
      <c r="B925" s="22" t="str">
        <f t="shared" si="1"/>
        <v/>
      </c>
      <c r="C925" s="14" t="str">
        <f>IF($A925&lt;&gt;"",MINIFS(Merchant!$A:$A,Merchant!$B:$B,$G$2),)</f>
        <v/>
      </c>
      <c r="D925" s="14" t="str">
        <f t="shared" si="2"/>
        <v/>
      </c>
      <c r="E925" s="14" t="str">
        <f t="shared" si="3"/>
        <v/>
      </c>
      <c r="F925" s="6" t="str">
        <f>IF($A925&lt;&gt;"",MAXIFS(Token!$B:$B,Token!$A:$A,$D925),)</f>
        <v/>
      </c>
    </row>
    <row r="926">
      <c r="A926" s="35" t="str">
        <f>IF(AND($L926*1&gt;=$G$3,$L926*1&lt;=$G$4,$I926*$J926&gt;0,CONCATENATE($H926:$L926)&lt;&gt;CONCATENATE($H927:$L927),$I926/POW(10,$J926)*MAXIFS(Token!$B:$B,Token!$A:$A,$K926)&gt;0.01),$L926/86400+DATE(1970,1,1)+IF($L926*1&gt;=$G$5,$G$6,0),)</f>
        <v/>
      </c>
      <c r="B926" s="22" t="str">
        <f t="shared" si="1"/>
        <v/>
      </c>
      <c r="C926" s="14" t="str">
        <f>IF($A926&lt;&gt;"",MINIFS(Merchant!$A:$A,Merchant!$B:$B,$G$2),)</f>
        <v/>
      </c>
      <c r="D926" s="14" t="str">
        <f t="shared" si="2"/>
        <v/>
      </c>
      <c r="E926" s="14" t="str">
        <f t="shared" si="3"/>
        <v/>
      </c>
      <c r="F926" s="6" t="str">
        <f>IF($A926&lt;&gt;"",MAXIFS(Token!$B:$B,Token!$A:$A,$D926),)</f>
        <v/>
      </c>
    </row>
    <row r="927">
      <c r="A927" s="35" t="str">
        <f>IF(AND($L927*1&gt;=$G$3,$L927*1&lt;=$G$4,$I927*$J927&gt;0,CONCATENATE($H927:$L927)&lt;&gt;CONCATENATE($H928:$L928),$I927/POW(10,$J927)*MAXIFS(Token!$B:$B,Token!$A:$A,$K927)&gt;0.01),$L927/86400+DATE(1970,1,1)+IF($L927*1&gt;=$G$5,$G$6,0),)</f>
        <v/>
      </c>
      <c r="B927" s="22" t="str">
        <f t="shared" si="1"/>
        <v/>
      </c>
      <c r="C927" s="14" t="str">
        <f>IF($A927&lt;&gt;"",MINIFS(Merchant!$A:$A,Merchant!$B:$B,$G$2),)</f>
        <v/>
      </c>
      <c r="D927" s="14" t="str">
        <f t="shared" si="2"/>
        <v/>
      </c>
      <c r="E927" s="14" t="str">
        <f t="shared" si="3"/>
        <v/>
      </c>
      <c r="F927" s="6" t="str">
        <f>IF($A927&lt;&gt;"",MAXIFS(Token!$B:$B,Token!$A:$A,$D927),)</f>
        <v/>
      </c>
    </row>
    <row r="928">
      <c r="A928" s="35" t="str">
        <f>IF(AND($L928*1&gt;=$G$3,$L928*1&lt;=$G$4,$I928*$J928&gt;0,CONCATENATE($H928:$L928)&lt;&gt;CONCATENATE($H929:$L929),$I928/POW(10,$J928)*MAXIFS(Token!$B:$B,Token!$A:$A,$K928)&gt;0.01),$L928/86400+DATE(1970,1,1)+IF($L928*1&gt;=$G$5,$G$6,0),)</f>
        <v/>
      </c>
      <c r="B928" s="22" t="str">
        <f t="shared" si="1"/>
        <v/>
      </c>
      <c r="C928" s="14" t="str">
        <f>IF($A928&lt;&gt;"",MINIFS(Merchant!$A:$A,Merchant!$B:$B,$G$2),)</f>
        <v/>
      </c>
      <c r="D928" s="14" t="str">
        <f t="shared" si="2"/>
        <v/>
      </c>
      <c r="E928" s="14" t="str">
        <f t="shared" si="3"/>
        <v/>
      </c>
      <c r="F928" s="6" t="str">
        <f>IF($A928&lt;&gt;"",MAXIFS(Token!$B:$B,Token!$A:$A,$D928),)</f>
        <v/>
      </c>
    </row>
    <row r="929">
      <c r="A929" s="35" t="str">
        <f>IF(AND($L929*1&gt;=$G$3,$L929*1&lt;=$G$4,$I929*$J929&gt;0,CONCATENATE($H929:$L929)&lt;&gt;CONCATENATE($H930:$L930),$I929/POW(10,$J929)*MAXIFS(Token!$B:$B,Token!$A:$A,$K929)&gt;0.01),$L929/86400+DATE(1970,1,1)+IF($L929*1&gt;=$G$5,$G$6,0),)</f>
        <v/>
      </c>
      <c r="B929" s="22" t="str">
        <f t="shared" si="1"/>
        <v/>
      </c>
      <c r="C929" s="14" t="str">
        <f>IF($A929&lt;&gt;"",MINIFS(Merchant!$A:$A,Merchant!$B:$B,$G$2),)</f>
        <v/>
      </c>
      <c r="D929" s="14" t="str">
        <f t="shared" si="2"/>
        <v/>
      </c>
      <c r="E929" s="14" t="str">
        <f t="shared" si="3"/>
        <v/>
      </c>
      <c r="F929" s="6" t="str">
        <f>IF($A929&lt;&gt;"",MAXIFS(Token!$B:$B,Token!$A:$A,$D929),)</f>
        <v/>
      </c>
    </row>
    <row r="930">
      <c r="A930" s="35" t="str">
        <f>IF(AND($L930*1&gt;=$G$3,$L930*1&lt;=$G$4,$I930*$J930&gt;0,CONCATENATE($H930:$L930)&lt;&gt;CONCATENATE($H931:$L931),$I930/POW(10,$J930)*MAXIFS(Token!$B:$B,Token!$A:$A,$K930)&gt;0.01),$L930/86400+DATE(1970,1,1)+IF($L930*1&gt;=$G$5,$G$6,0),)</f>
        <v/>
      </c>
      <c r="B930" s="22" t="str">
        <f t="shared" si="1"/>
        <v/>
      </c>
      <c r="C930" s="14" t="str">
        <f>IF($A930&lt;&gt;"",MINIFS(Merchant!$A:$A,Merchant!$B:$B,$G$2),)</f>
        <v/>
      </c>
      <c r="D930" s="14" t="str">
        <f t="shared" si="2"/>
        <v/>
      </c>
      <c r="E930" s="14" t="str">
        <f t="shared" si="3"/>
        <v/>
      </c>
      <c r="F930" s="6" t="str">
        <f>IF($A930&lt;&gt;"",MAXIFS(Token!$B:$B,Token!$A:$A,$D930),)</f>
        <v/>
      </c>
    </row>
    <row r="931">
      <c r="A931" s="35" t="str">
        <f>IF(AND($L931*1&gt;=$G$3,$L931*1&lt;=$G$4,$I931*$J931&gt;0,CONCATENATE($H931:$L931)&lt;&gt;CONCATENATE($H932:$L932),$I931/POW(10,$J931)*MAXIFS(Token!$B:$B,Token!$A:$A,$K931)&gt;0.01),$L931/86400+DATE(1970,1,1)+IF($L931*1&gt;=$G$5,$G$6,0),)</f>
        <v/>
      </c>
      <c r="B931" s="22" t="str">
        <f t="shared" si="1"/>
        <v/>
      </c>
      <c r="C931" s="14" t="str">
        <f>IF($A931&lt;&gt;"",MINIFS(Merchant!$A:$A,Merchant!$B:$B,$G$2),)</f>
        <v/>
      </c>
      <c r="D931" s="14" t="str">
        <f t="shared" si="2"/>
        <v/>
      </c>
      <c r="E931" s="14" t="str">
        <f t="shared" si="3"/>
        <v/>
      </c>
      <c r="F931" s="6" t="str">
        <f>IF($A931&lt;&gt;"",MAXIFS(Token!$B:$B,Token!$A:$A,$D931),)</f>
        <v/>
      </c>
    </row>
    <row r="932">
      <c r="A932" s="35" t="str">
        <f>IF(AND($L932*1&gt;=$G$3,$L932*1&lt;=$G$4,$I932*$J932&gt;0,CONCATENATE($H932:$L932)&lt;&gt;CONCATENATE($H933:$L933),$I932/POW(10,$J932)*MAXIFS(Token!$B:$B,Token!$A:$A,$K932)&gt;0.01),$L932/86400+DATE(1970,1,1)+IF($L932*1&gt;=$G$5,$G$6,0),)</f>
        <v/>
      </c>
      <c r="B932" s="22" t="str">
        <f t="shared" si="1"/>
        <v/>
      </c>
      <c r="C932" s="14" t="str">
        <f>IF($A932&lt;&gt;"",MINIFS(Merchant!$A:$A,Merchant!$B:$B,$G$2),)</f>
        <v/>
      </c>
      <c r="D932" s="14" t="str">
        <f t="shared" si="2"/>
        <v/>
      </c>
      <c r="E932" s="14" t="str">
        <f t="shared" si="3"/>
        <v/>
      </c>
      <c r="F932" s="6" t="str">
        <f>IF($A932&lt;&gt;"",MAXIFS(Token!$B:$B,Token!$A:$A,$D932),)</f>
        <v/>
      </c>
    </row>
    <row r="933">
      <c r="A933" s="35" t="str">
        <f>IF(AND($L933*1&gt;=$G$3,$L933*1&lt;=$G$4,$I933*$J933&gt;0,CONCATENATE($H933:$L933)&lt;&gt;CONCATENATE($H934:$L934),$I933/POW(10,$J933)*MAXIFS(Token!$B:$B,Token!$A:$A,$K933)&gt;0.01),$L933/86400+DATE(1970,1,1)+IF($L933*1&gt;=$G$5,$G$6,0),)</f>
        <v/>
      </c>
      <c r="B933" s="22" t="str">
        <f t="shared" si="1"/>
        <v/>
      </c>
      <c r="C933" s="14" t="str">
        <f>IF($A933&lt;&gt;"",MINIFS(Merchant!$A:$A,Merchant!$B:$B,$G$2),)</f>
        <v/>
      </c>
      <c r="D933" s="14" t="str">
        <f t="shared" si="2"/>
        <v/>
      </c>
      <c r="E933" s="14" t="str">
        <f t="shared" si="3"/>
        <v/>
      </c>
      <c r="F933" s="6" t="str">
        <f>IF($A933&lt;&gt;"",MAXIFS(Token!$B:$B,Token!$A:$A,$D933),)</f>
        <v/>
      </c>
    </row>
    <row r="934">
      <c r="A934" s="35" t="str">
        <f>IF(AND($L934*1&gt;=$G$3,$L934*1&lt;=$G$4,$I934*$J934&gt;0,CONCATENATE($H934:$L934)&lt;&gt;CONCATENATE($H935:$L935),$I934/POW(10,$J934)*MAXIFS(Token!$B:$B,Token!$A:$A,$K934)&gt;0.01),$L934/86400+DATE(1970,1,1)+IF($L934*1&gt;=$G$5,$G$6,0),)</f>
        <v/>
      </c>
      <c r="B934" s="22" t="str">
        <f t="shared" si="1"/>
        <v/>
      </c>
      <c r="C934" s="14" t="str">
        <f>IF($A934&lt;&gt;"",MINIFS(Merchant!$A:$A,Merchant!$B:$B,$G$2),)</f>
        <v/>
      </c>
      <c r="D934" s="14" t="str">
        <f t="shared" si="2"/>
        <v/>
      </c>
      <c r="E934" s="14" t="str">
        <f t="shared" si="3"/>
        <v/>
      </c>
      <c r="F934" s="6" t="str">
        <f>IF($A934&lt;&gt;"",MAXIFS(Token!$B:$B,Token!$A:$A,$D934),)</f>
        <v/>
      </c>
    </row>
    <row r="935">
      <c r="A935" s="35" t="str">
        <f>IF(AND($L935*1&gt;=$G$3,$L935*1&lt;=$G$4,$I935*$J935&gt;0,CONCATENATE($H935:$L935)&lt;&gt;CONCATENATE($H936:$L936),$I935/POW(10,$J935)*MAXIFS(Token!$B:$B,Token!$A:$A,$K935)&gt;0.01),$L935/86400+DATE(1970,1,1)+IF($L935*1&gt;=$G$5,$G$6,0),)</f>
        <v/>
      </c>
      <c r="B935" s="22" t="str">
        <f t="shared" si="1"/>
        <v/>
      </c>
      <c r="C935" s="14" t="str">
        <f>IF($A935&lt;&gt;"",MINIFS(Merchant!$A:$A,Merchant!$B:$B,$G$2),)</f>
        <v/>
      </c>
      <c r="D935" s="14" t="str">
        <f t="shared" si="2"/>
        <v/>
      </c>
      <c r="E935" s="14" t="str">
        <f t="shared" si="3"/>
        <v/>
      </c>
      <c r="F935" s="6" t="str">
        <f>IF($A935&lt;&gt;"",MAXIFS(Token!$B:$B,Token!$A:$A,$D935),)</f>
        <v/>
      </c>
    </row>
    <row r="936">
      <c r="A936" s="35" t="str">
        <f>IF(AND($L936*1&gt;=$G$3,$L936*1&lt;=$G$4,$I936*$J936&gt;0,CONCATENATE($H936:$L936)&lt;&gt;CONCATENATE($H937:$L937),$I936/POW(10,$J936)*MAXIFS(Token!$B:$B,Token!$A:$A,$K936)&gt;0.01),$L936/86400+DATE(1970,1,1)+IF($L936*1&gt;=$G$5,$G$6,0),)</f>
        <v/>
      </c>
      <c r="B936" s="22" t="str">
        <f t="shared" si="1"/>
        <v/>
      </c>
      <c r="C936" s="14" t="str">
        <f>IF($A936&lt;&gt;"",MINIFS(Merchant!$A:$A,Merchant!$B:$B,$G$2),)</f>
        <v/>
      </c>
      <c r="D936" s="14" t="str">
        <f t="shared" si="2"/>
        <v/>
      </c>
      <c r="E936" s="14" t="str">
        <f t="shared" si="3"/>
        <v/>
      </c>
      <c r="F936" s="6" t="str">
        <f>IF($A936&lt;&gt;"",MAXIFS(Token!$B:$B,Token!$A:$A,$D936),)</f>
        <v/>
      </c>
    </row>
    <row r="937">
      <c r="A937" s="35" t="str">
        <f>IF(AND($L937*1&gt;=$G$3,$L937*1&lt;=$G$4,$I937*$J937&gt;0,CONCATENATE($H937:$L937)&lt;&gt;CONCATENATE($H938:$L938),$I937/POW(10,$J937)*MAXIFS(Token!$B:$B,Token!$A:$A,$K937)&gt;0.01),$L937/86400+DATE(1970,1,1)+IF($L937*1&gt;=$G$5,$G$6,0),)</f>
        <v/>
      </c>
      <c r="B937" s="22" t="str">
        <f t="shared" si="1"/>
        <v/>
      </c>
      <c r="C937" s="14" t="str">
        <f>IF($A937&lt;&gt;"",MINIFS(Merchant!$A:$A,Merchant!$B:$B,$G$2),)</f>
        <v/>
      </c>
      <c r="D937" s="14" t="str">
        <f t="shared" si="2"/>
        <v/>
      </c>
      <c r="E937" s="14" t="str">
        <f t="shared" si="3"/>
        <v/>
      </c>
      <c r="F937" s="6" t="str">
        <f>IF($A937&lt;&gt;"",MAXIFS(Token!$B:$B,Token!$A:$A,$D937),)</f>
        <v/>
      </c>
    </row>
    <row r="938">
      <c r="A938" s="35" t="str">
        <f>IF(AND($L938*1&gt;=$G$3,$L938*1&lt;=$G$4,$I938*$J938&gt;0,CONCATENATE($H938:$L938)&lt;&gt;CONCATENATE($H939:$L939),$I938/POW(10,$J938)*MAXIFS(Token!$B:$B,Token!$A:$A,$K938)&gt;0.01),$L938/86400+DATE(1970,1,1)+IF($L938*1&gt;=$G$5,$G$6,0),)</f>
        <v/>
      </c>
      <c r="B938" s="22" t="str">
        <f t="shared" si="1"/>
        <v/>
      </c>
      <c r="C938" s="14" t="str">
        <f>IF($A938&lt;&gt;"",MINIFS(Merchant!$A:$A,Merchant!$B:$B,$G$2),)</f>
        <v/>
      </c>
      <c r="D938" s="14" t="str">
        <f t="shared" si="2"/>
        <v/>
      </c>
      <c r="E938" s="14" t="str">
        <f t="shared" si="3"/>
        <v/>
      </c>
      <c r="F938" s="6" t="str">
        <f>IF($A938&lt;&gt;"",MAXIFS(Token!$B:$B,Token!$A:$A,$D938),)</f>
        <v/>
      </c>
    </row>
    <row r="939">
      <c r="A939" s="35" t="str">
        <f>IF(AND($L939*1&gt;=$G$3,$L939*1&lt;=$G$4,$I939*$J939&gt;0,CONCATENATE($H939:$L939)&lt;&gt;CONCATENATE($H940:$L940),$I939/POW(10,$J939)*MAXIFS(Token!$B:$B,Token!$A:$A,$K939)&gt;0.01),$L939/86400+DATE(1970,1,1)+IF($L939*1&gt;=$G$5,$G$6,0),)</f>
        <v/>
      </c>
      <c r="B939" s="22" t="str">
        <f t="shared" si="1"/>
        <v/>
      </c>
      <c r="C939" s="14" t="str">
        <f>IF($A939&lt;&gt;"",MINIFS(Merchant!$A:$A,Merchant!$B:$B,$G$2),)</f>
        <v/>
      </c>
      <c r="D939" s="14" t="str">
        <f t="shared" si="2"/>
        <v/>
      </c>
      <c r="E939" s="14" t="str">
        <f t="shared" si="3"/>
        <v/>
      </c>
      <c r="F939" s="6" t="str">
        <f>IF($A939&lt;&gt;"",MAXIFS(Token!$B:$B,Token!$A:$A,$D939),)</f>
        <v/>
      </c>
    </row>
    <row r="940">
      <c r="A940" s="35" t="str">
        <f>IF(AND($L940*1&gt;=$G$3,$L940*1&lt;=$G$4,$I940*$J940&gt;0,CONCATENATE($H940:$L940)&lt;&gt;CONCATENATE($H941:$L941),$I940/POW(10,$J940)*MAXIFS(Token!$B:$B,Token!$A:$A,$K940)&gt;0.01),$L940/86400+DATE(1970,1,1)+IF($L940*1&gt;=$G$5,$G$6,0),)</f>
        <v/>
      </c>
      <c r="B940" s="22" t="str">
        <f t="shared" si="1"/>
        <v/>
      </c>
      <c r="C940" s="14" t="str">
        <f>IF($A940&lt;&gt;"",MINIFS(Merchant!$A:$A,Merchant!$B:$B,$G$2),)</f>
        <v/>
      </c>
      <c r="D940" s="14" t="str">
        <f t="shared" si="2"/>
        <v/>
      </c>
      <c r="E940" s="14" t="str">
        <f t="shared" si="3"/>
        <v/>
      </c>
      <c r="F940" s="6" t="str">
        <f>IF($A940&lt;&gt;"",MAXIFS(Token!$B:$B,Token!$A:$A,$D940),)</f>
        <v/>
      </c>
    </row>
    <row r="941">
      <c r="A941" s="35" t="str">
        <f>IF(AND($L941*1&gt;=$G$3,$L941*1&lt;=$G$4,$I941*$J941&gt;0,CONCATENATE($H941:$L941)&lt;&gt;CONCATENATE($H942:$L942),$I941/POW(10,$J941)*MAXIFS(Token!$B:$B,Token!$A:$A,$K941)&gt;0.01),$L941/86400+DATE(1970,1,1)+IF($L941*1&gt;=$G$5,$G$6,0),)</f>
        <v/>
      </c>
      <c r="B941" s="22" t="str">
        <f t="shared" si="1"/>
        <v/>
      </c>
      <c r="C941" s="14" t="str">
        <f>IF($A941&lt;&gt;"",MINIFS(Merchant!$A:$A,Merchant!$B:$B,$G$2),)</f>
        <v/>
      </c>
      <c r="D941" s="14" t="str">
        <f t="shared" si="2"/>
        <v/>
      </c>
      <c r="E941" s="14" t="str">
        <f t="shared" si="3"/>
        <v/>
      </c>
      <c r="F941" s="6" t="str">
        <f>IF($A941&lt;&gt;"",MAXIFS(Token!$B:$B,Token!$A:$A,$D941),)</f>
        <v/>
      </c>
    </row>
    <row r="942">
      <c r="A942" s="35" t="str">
        <f>IF(AND($L942*1&gt;=$G$3,$L942*1&lt;=$G$4,$I942*$J942&gt;0,CONCATENATE($H942:$L942)&lt;&gt;CONCATENATE($H943:$L943),$I942/POW(10,$J942)*MAXIFS(Token!$B:$B,Token!$A:$A,$K942)&gt;0.01),$L942/86400+DATE(1970,1,1)+IF($L942*1&gt;=$G$5,$G$6,0),)</f>
        <v/>
      </c>
      <c r="B942" s="22" t="str">
        <f t="shared" si="1"/>
        <v/>
      </c>
      <c r="C942" s="14" t="str">
        <f>IF($A942&lt;&gt;"",MINIFS(Merchant!$A:$A,Merchant!$B:$B,$G$2),)</f>
        <v/>
      </c>
      <c r="D942" s="14" t="str">
        <f t="shared" si="2"/>
        <v/>
      </c>
      <c r="E942" s="14" t="str">
        <f t="shared" si="3"/>
        <v/>
      </c>
      <c r="F942" s="6" t="str">
        <f>IF($A942&lt;&gt;"",MAXIFS(Token!$B:$B,Token!$A:$A,$D942),)</f>
        <v/>
      </c>
    </row>
    <row r="943">
      <c r="A943" s="35" t="str">
        <f>IF(AND($L943*1&gt;=$G$3,$L943*1&lt;=$G$4,$I943*$J943&gt;0,CONCATENATE($H943:$L943)&lt;&gt;CONCATENATE($H944:$L944),$I943/POW(10,$J943)*MAXIFS(Token!$B:$B,Token!$A:$A,$K943)&gt;0.01),$L943/86400+DATE(1970,1,1)+IF($L943*1&gt;=$G$5,$G$6,0),)</f>
        <v/>
      </c>
      <c r="B943" s="22" t="str">
        <f t="shared" si="1"/>
        <v/>
      </c>
      <c r="C943" s="14" t="str">
        <f>IF($A943&lt;&gt;"",MINIFS(Merchant!$A:$A,Merchant!$B:$B,$G$2),)</f>
        <v/>
      </c>
      <c r="D943" s="14" t="str">
        <f t="shared" si="2"/>
        <v/>
      </c>
      <c r="E943" s="14" t="str">
        <f t="shared" si="3"/>
        <v/>
      </c>
      <c r="F943" s="6" t="str">
        <f>IF($A943&lt;&gt;"",MAXIFS(Token!$B:$B,Token!$A:$A,$D943),)</f>
        <v/>
      </c>
    </row>
    <row r="944">
      <c r="A944" s="35" t="str">
        <f>IF(AND($L944*1&gt;=$G$3,$L944*1&lt;=$G$4,$I944*$J944&gt;0,CONCATENATE($H944:$L944)&lt;&gt;CONCATENATE($H945:$L945),$I944/POW(10,$J944)*MAXIFS(Token!$B:$B,Token!$A:$A,$K944)&gt;0.01),$L944/86400+DATE(1970,1,1)+IF($L944*1&gt;=$G$5,$G$6,0),)</f>
        <v/>
      </c>
      <c r="B944" s="22" t="str">
        <f t="shared" si="1"/>
        <v/>
      </c>
      <c r="C944" s="14" t="str">
        <f>IF($A944&lt;&gt;"",MINIFS(Merchant!$A:$A,Merchant!$B:$B,$G$2),)</f>
        <v/>
      </c>
      <c r="D944" s="14" t="str">
        <f t="shared" si="2"/>
        <v/>
      </c>
      <c r="E944" s="14" t="str">
        <f t="shared" si="3"/>
        <v/>
      </c>
      <c r="F944" s="6" t="str">
        <f>IF($A944&lt;&gt;"",MAXIFS(Token!$B:$B,Token!$A:$A,$D944),)</f>
        <v/>
      </c>
    </row>
    <row r="945">
      <c r="A945" s="35" t="str">
        <f>IF(AND($L945*1&gt;=$G$3,$L945*1&lt;=$G$4,$I945*$J945&gt;0,CONCATENATE($H945:$L945)&lt;&gt;CONCATENATE($H946:$L946),$I945/POW(10,$J945)*MAXIFS(Token!$B:$B,Token!$A:$A,$K945)&gt;0.01),$L945/86400+DATE(1970,1,1)+IF($L945*1&gt;=$G$5,$G$6,0),)</f>
        <v/>
      </c>
      <c r="B945" s="22" t="str">
        <f t="shared" si="1"/>
        <v/>
      </c>
      <c r="C945" s="14" t="str">
        <f>IF($A945&lt;&gt;"",MINIFS(Merchant!$A:$A,Merchant!$B:$B,$G$2),)</f>
        <v/>
      </c>
      <c r="D945" s="14" t="str">
        <f t="shared" si="2"/>
        <v/>
      </c>
      <c r="E945" s="14" t="str">
        <f t="shared" si="3"/>
        <v/>
      </c>
      <c r="F945" s="6" t="str">
        <f>IF($A945&lt;&gt;"",MAXIFS(Token!$B:$B,Token!$A:$A,$D945),)</f>
        <v/>
      </c>
    </row>
    <row r="946">
      <c r="A946" s="35" t="str">
        <f>IF(AND($L946*1&gt;=$G$3,$L946*1&lt;=$G$4,$I946*$J946&gt;0,CONCATENATE($H946:$L946)&lt;&gt;CONCATENATE($H947:$L947),$I946/POW(10,$J946)*MAXIFS(Token!$B:$B,Token!$A:$A,$K946)&gt;0.01),$L946/86400+DATE(1970,1,1)+IF($L946*1&gt;=$G$5,$G$6,0),)</f>
        <v/>
      </c>
      <c r="B946" s="22" t="str">
        <f t="shared" si="1"/>
        <v/>
      </c>
      <c r="C946" s="14" t="str">
        <f>IF($A946&lt;&gt;"",MINIFS(Merchant!$A:$A,Merchant!$B:$B,$G$2),)</f>
        <v/>
      </c>
      <c r="D946" s="14" t="str">
        <f t="shared" si="2"/>
        <v/>
      </c>
      <c r="E946" s="14" t="str">
        <f t="shared" si="3"/>
        <v/>
      </c>
      <c r="F946" s="6" t="str">
        <f>IF($A946&lt;&gt;"",MAXIFS(Token!$B:$B,Token!$A:$A,$D946),)</f>
        <v/>
      </c>
    </row>
    <row r="947">
      <c r="A947" s="35" t="str">
        <f>IF(AND($L947*1&gt;=$G$3,$L947*1&lt;=$G$4,$I947*$J947&gt;0,CONCATENATE($H947:$L947)&lt;&gt;CONCATENATE($H948:$L948),$I947/POW(10,$J947)*MAXIFS(Token!$B:$B,Token!$A:$A,$K947)&gt;0.01),$L947/86400+DATE(1970,1,1)+IF($L947*1&gt;=$G$5,$G$6,0),)</f>
        <v/>
      </c>
      <c r="B947" s="22" t="str">
        <f t="shared" si="1"/>
        <v/>
      </c>
      <c r="C947" s="14" t="str">
        <f>IF($A947&lt;&gt;"",MINIFS(Merchant!$A:$A,Merchant!$B:$B,$G$2),)</f>
        <v/>
      </c>
      <c r="D947" s="14" t="str">
        <f t="shared" si="2"/>
        <v/>
      </c>
      <c r="E947" s="14" t="str">
        <f t="shared" si="3"/>
        <v/>
      </c>
      <c r="F947" s="6" t="str">
        <f>IF($A947&lt;&gt;"",MAXIFS(Token!$B:$B,Token!$A:$A,$D947),)</f>
        <v/>
      </c>
    </row>
    <row r="948">
      <c r="A948" s="35" t="str">
        <f>IF(AND($L948*1&gt;=$G$3,$L948*1&lt;=$G$4,$I948*$J948&gt;0,CONCATENATE($H948:$L948)&lt;&gt;CONCATENATE($H949:$L949),$I948/POW(10,$J948)*MAXIFS(Token!$B:$B,Token!$A:$A,$K948)&gt;0.01),$L948/86400+DATE(1970,1,1)+IF($L948*1&gt;=$G$5,$G$6,0),)</f>
        <v/>
      </c>
      <c r="B948" s="22" t="str">
        <f t="shared" si="1"/>
        <v/>
      </c>
      <c r="C948" s="14" t="str">
        <f>IF($A948&lt;&gt;"",MINIFS(Merchant!$A:$A,Merchant!$B:$B,$G$2),)</f>
        <v/>
      </c>
      <c r="D948" s="14" t="str">
        <f t="shared" si="2"/>
        <v/>
      </c>
      <c r="E948" s="14" t="str">
        <f t="shared" si="3"/>
        <v/>
      </c>
      <c r="F948" s="6" t="str">
        <f>IF($A948&lt;&gt;"",MAXIFS(Token!$B:$B,Token!$A:$A,$D948),)</f>
        <v/>
      </c>
    </row>
    <row r="949">
      <c r="A949" s="35" t="str">
        <f>IF(AND($L949*1&gt;=$G$3,$L949*1&lt;=$G$4,$I949*$J949&gt;0,CONCATENATE($H949:$L949)&lt;&gt;CONCATENATE($H950:$L950),$I949/POW(10,$J949)*MAXIFS(Token!$B:$B,Token!$A:$A,$K949)&gt;0.01),$L949/86400+DATE(1970,1,1)+IF($L949*1&gt;=$G$5,$G$6,0),)</f>
        <v/>
      </c>
      <c r="B949" s="22" t="str">
        <f t="shared" si="1"/>
        <v/>
      </c>
      <c r="C949" s="14" t="str">
        <f>IF($A949&lt;&gt;"",MINIFS(Merchant!$A:$A,Merchant!$B:$B,$G$2),)</f>
        <v/>
      </c>
      <c r="D949" s="14" t="str">
        <f t="shared" si="2"/>
        <v/>
      </c>
      <c r="E949" s="14" t="str">
        <f t="shared" si="3"/>
        <v/>
      </c>
      <c r="F949" s="6" t="str">
        <f>IF($A949&lt;&gt;"",MAXIFS(Token!$B:$B,Token!$A:$A,$D949),)</f>
        <v/>
      </c>
    </row>
    <row r="950">
      <c r="A950" s="35" t="str">
        <f>IF(AND($L950*1&gt;=$G$3,$L950*1&lt;=$G$4,$I950*$J950&gt;0,CONCATENATE($H950:$L950)&lt;&gt;CONCATENATE($H951:$L951),$I950/POW(10,$J950)*MAXIFS(Token!$B:$B,Token!$A:$A,$K950)&gt;0.01),$L950/86400+DATE(1970,1,1)+IF($L950*1&gt;=$G$5,$G$6,0),)</f>
        <v/>
      </c>
      <c r="B950" s="22" t="str">
        <f t="shared" si="1"/>
        <v/>
      </c>
      <c r="C950" s="14" t="str">
        <f>IF($A950&lt;&gt;"",MINIFS(Merchant!$A:$A,Merchant!$B:$B,$G$2),)</f>
        <v/>
      </c>
      <c r="D950" s="14" t="str">
        <f t="shared" si="2"/>
        <v/>
      </c>
      <c r="E950" s="14" t="str">
        <f t="shared" si="3"/>
        <v/>
      </c>
      <c r="F950" s="6" t="str">
        <f>IF($A950&lt;&gt;"",MAXIFS(Token!$B:$B,Token!$A:$A,$D950),)</f>
        <v/>
      </c>
    </row>
    <row r="951">
      <c r="A951" s="35" t="str">
        <f>IF(AND($L951*1&gt;=$G$3,$L951*1&lt;=$G$4,$I951*$J951&gt;0,CONCATENATE($H951:$L951)&lt;&gt;CONCATENATE($H952:$L952),$I951/POW(10,$J951)*MAXIFS(Token!$B:$B,Token!$A:$A,$K951)&gt;0.01),$L951/86400+DATE(1970,1,1)+IF($L951*1&gt;=$G$5,$G$6,0),)</f>
        <v/>
      </c>
      <c r="B951" s="22" t="str">
        <f t="shared" si="1"/>
        <v/>
      </c>
      <c r="C951" s="14" t="str">
        <f>IF($A951&lt;&gt;"",MINIFS(Merchant!$A:$A,Merchant!$B:$B,$G$2),)</f>
        <v/>
      </c>
      <c r="D951" s="14" t="str">
        <f t="shared" si="2"/>
        <v/>
      </c>
      <c r="E951" s="14" t="str">
        <f t="shared" si="3"/>
        <v/>
      </c>
      <c r="F951" s="6" t="str">
        <f>IF($A951&lt;&gt;"",MAXIFS(Token!$B:$B,Token!$A:$A,$D951),)</f>
        <v/>
      </c>
    </row>
    <row r="952">
      <c r="A952" s="35" t="str">
        <f>IF(AND($L952*1&gt;=$G$3,$L952*1&lt;=$G$4,$I952*$J952&gt;0,CONCATENATE($H952:$L952)&lt;&gt;CONCATENATE($H953:$L953),$I952/POW(10,$J952)*MAXIFS(Token!$B:$B,Token!$A:$A,$K952)&gt;0.01),$L952/86400+DATE(1970,1,1)+IF($L952*1&gt;=$G$5,$G$6,0),)</f>
        <v/>
      </c>
      <c r="B952" s="22" t="str">
        <f t="shared" si="1"/>
        <v/>
      </c>
      <c r="C952" s="14" t="str">
        <f>IF($A952&lt;&gt;"",MINIFS(Merchant!$A:$A,Merchant!$B:$B,$G$2),)</f>
        <v/>
      </c>
      <c r="D952" s="14" t="str">
        <f t="shared" si="2"/>
        <v/>
      </c>
      <c r="E952" s="14" t="str">
        <f t="shared" si="3"/>
        <v/>
      </c>
      <c r="F952" s="6" t="str">
        <f>IF($A952&lt;&gt;"",MAXIFS(Token!$B:$B,Token!$A:$A,$D952),)</f>
        <v/>
      </c>
    </row>
    <row r="953">
      <c r="A953" s="35" t="str">
        <f>IF(AND($L953*1&gt;=$G$3,$L953*1&lt;=$G$4,$I953*$J953&gt;0,CONCATENATE($H953:$L953)&lt;&gt;CONCATENATE($H954:$L954),$I953/POW(10,$J953)*MAXIFS(Token!$B:$B,Token!$A:$A,$K953)&gt;0.01),$L953/86400+DATE(1970,1,1)+IF($L953*1&gt;=$G$5,$G$6,0),)</f>
        <v/>
      </c>
      <c r="B953" s="22" t="str">
        <f t="shared" si="1"/>
        <v/>
      </c>
      <c r="C953" s="14" t="str">
        <f>IF($A953&lt;&gt;"",MINIFS(Merchant!$A:$A,Merchant!$B:$B,$G$2),)</f>
        <v/>
      </c>
      <c r="D953" s="14" t="str">
        <f t="shared" si="2"/>
        <v/>
      </c>
      <c r="E953" s="14" t="str">
        <f t="shared" si="3"/>
        <v/>
      </c>
      <c r="F953" s="6" t="str">
        <f>IF($A953&lt;&gt;"",MAXIFS(Token!$B:$B,Token!$A:$A,$D953),)</f>
        <v/>
      </c>
    </row>
    <row r="954">
      <c r="A954" s="35" t="str">
        <f>IF(AND($L954*1&gt;=$G$3,$L954*1&lt;=$G$4,$I954*$J954&gt;0,CONCATENATE($H954:$L954)&lt;&gt;CONCATENATE($H955:$L955),$I954/POW(10,$J954)*MAXIFS(Token!$B:$B,Token!$A:$A,$K954)&gt;0.01),$L954/86400+DATE(1970,1,1)+IF($L954*1&gt;=$G$5,$G$6,0),)</f>
        <v/>
      </c>
      <c r="B954" s="22" t="str">
        <f t="shared" si="1"/>
        <v/>
      </c>
      <c r="C954" s="14" t="str">
        <f>IF($A954&lt;&gt;"",MINIFS(Merchant!$A:$A,Merchant!$B:$B,$G$2),)</f>
        <v/>
      </c>
      <c r="D954" s="14" t="str">
        <f t="shared" si="2"/>
        <v/>
      </c>
      <c r="E954" s="14" t="str">
        <f t="shared" si="3"/>
        <v/>
      </c>
      <c r="F954" s="6" t="str">
        <f>IF($A954&lt;&gt;"",MAXIFS(Token!$B:$B,Token!$A:$A,$D954),)</f>
        <v/>
      </c>
    </row>
    <row r="955">
      <c r="A955" s="35" t="str">
        <f>IF(AND($L955*1&gt;=$G$3,$L955*1&lt;=$G$4,$I955*$J955&gt;0,CONCATENATE($H955:$L955)&lt;&gt;CONCATENATE($H956:$L956),$I955/POW(10,$J955)*MAXIFS(Token!$B:$B,Token!$A:$A,$K955)&gt;0.01),$L955/86400+DATE(1970,1,1)+IF($L955*1&gt;=$G$5,$G$6,0),)</f>
        <v/>
      </c>
      <c r="B955" s="22" t="str">
        <f t="shared" si="1"/>
        <v/>
      </c>
      <c r="C955" s="14" t="str">
        <f>IF($A955&lt;&gt;"",MINIFS(Merchant!$A:$A,Merchant!$B:$B,$G$2),)</f>
        <v/>
      </c>
      <c r="D955" s="14" t="str">
        <f t="shared" si="2"/>
        <v/>
      </c>
      <c r="E955" s="14" t="str">
        <f t="shared" si="3"/>
        <v/>
      </c>
      <c r="F955" s="6" t="str">
        <f>IF($A955&lt;&gt;"",MAXIFS(Token!$B:$B,Token!$A:$A,$D955),)</f>
        <v/>
      </c>
    </row>
    <row r="956">
      <c r="A956" s="35" t="str">
        <f>IF(AND($L956*1&gt;=$G$3,$L956*1&lt;=$G$4,$I956*$J956&gt;0,CONCATENATE($H956:$L956)&lt;&gt;CONCATENATE($H957:$L957),$I956/POW(10,$J956)*MAXIFS(Token!$B:$B,Token!$A:$A,$K956)&gt;0.01),$L956/86400+DATE(1970,1,1)+IF($L956*1&gt;=$G$5,$G$6,0),)</f>
        <v/>
      </c>
      <c r="B956" s="22" t="str">
        <f t="shared" si="1"/>
        <v/>
      </c>
      <c r="C956" s="14" t="str">
        <f>IF($A956&lt;&gt;"",MINIFS(Merchant!$A:$A,Merchant!$B:$B,$G$2),)</f>
        <v/>
      </c>
      <c r="D956" s="14" t="str">
        <f t="shared" si="2"/>
        <v/>
      </c>
      <c r="E956" s="14" t="str">
        <f t="shared" si="3"/>
        <v/>
      </c>
      <c r="F956" s="6" t="str">
        <f>IF($A956&lt;&gt;"",MAXIFS(Token!$B:$B,Token!$A:$A,$D956),)</f>
        <v/>
      </c>
    </row>
    <row r="957">
      <c r="A957" s="35" t="str">
        <f>IF(AND($L957*1&gt;=$G$3,$L957*1&lt;=$G$4,$I957*$J957&gt;0,CONCATENATE($H957:$L957)&lt;&gt;CONCATENATE($H958:$L958),$I957/POW(10,$J957)*MAXIFS(Token!$B:$B,Token!$A:$A,$K957)&gt;0.01),$L957/86400+DATE(1970,1,1)+IF($L957*1&gt;=$G$5,$G$6,0),)</f>
        <v/>
      </c>
      <c r="B957" s="22" t="str">
        <f t="shared" si="1"/>
        <v/>
      </c>
      <c r="C957" s="14" t="str">
        <f>IF($A957&lt;&gt;"",MINIFS(Merchant!$A:$A,Merchant!$B:$B,$G$2),)</f>
        <v/>
      </c>
      <c r="D957" s="14" t="str">
        <f t="shared" si="2"/>
        <v/>
      </c>
      <c r="E957" s="14" t="str">
        <f t="shared" si="3"/>
        <v/>
      </c>
      <c r="F957" s="6" t="str">
        <f>IF($A957&lt;&gt;"",MAXIFS(Token!$B:$B,Token!$A:$A,$D957),)</f>
        <v/>
      </c>
    </row>
    <row r="958">
      <c r="A958" s="35" t="str">
        <f>IF(AND($L958*1&gt;=$G$3,$L958*1&lt;=$G$4,$I958*$J958&gt;0,CONCATENATE($H958:$L958)&lt;&gt;CONCATENATE($H959:$L959),$I958/POW(10,$J958)*MAXIFS(Token!$B:$B,Token!$A:$A,$K958)&gt;0.01),$L958/86400+DATE(1970,1,1)+IF($L958*1&gt;=$G$5,$G$6,0),)</f>
        <v/>
      </c>
      <c r="B958" s="22" t="str">
        <f t="shared" si="1"/>
        <v/>
      </c>
      <c r="C958" s="14" t="str">
        <f>IF($A958&lt;&gt;"",MINIFS(Merchant!$A:$A,Merchant!$B:$B,$G$2),)</f>
        <v/>
      </c>
      <c r="D958" s="14" t="str">
        <f t="shared" si="2"/>
        <v/>
      </c>
      <c r="E958" s="14" t="str">
        <f t="shared" si="3"/>
        <v/>
      </c>
      <c r="F958" s="6" t="str">
        <f>IF($A958&lt;&gt;"",MAXIFS(Token!$B:$B,Token!$A:$A,$D958),)</f>
        <v/>
      </c>
    </row>
    <row r="959">
      <c r="A959" s="35" t="str">
        <f>IF(AND($L959*1&gt;=$G$3,$L959*1&lt;=$G$4,$I959*$J959&gt;0,CONCATENATE($H959:$L959)&lt;&gt;CONCATENATE($H960:$L960),$I959/POW(10,$J959)*MAXIFS(Token!$B:$B,Token!$A:$A,$K959)&gt;0.01),$L959/86400+DATE(1970,1,1)+IF($L959*1&gt;=$G$5,$G$6,0),)</f>
        <v/>
      </c>
      <c r="B959" s="22" t="str">
        <f t="shared" si="1"/>
        <v/>
      </c>
      <c r="C959" s="14" t="str">
        <f>IF($A959&lt;&gt;"",MINIFS(Merchant!$A:$A,Merchant!$B:$B,$G$2),)</f>
        <v/>
      </c>
      <c r="D959" s="14" t="str">
        <f t="shared" si="2"/>
        <v/>
      </c>
      <c r="E959" s="14" t="str">
        <f t="shared" si="3"/>
        <v/>
      </c>
      <c r="F959" s="6" t="str">
        <f>IF($A959&lt;&gt;"",MAXIFS(Token!$B:$B,Token!$A:$A,$D959),)</f>
        <v/>
      </c>
    </row>
    <row r="960">
      <c r="A960" s="35" t="str">
        <f>IF(AND($L960*1&gt;=$G$3,$L960*1&lt;=$G$4,$I960*$J960&gt;0,CONCATENATE($H960:$L960)&lt;&gt;CONCATENATE($H961:$L961),$I960/POW(10,$J960)*MAXIFS(Token!$B:$B,Token!$A:$A,$K960)&gt;0.01),$L960/86400+DATE(1970,1,1)+IF($L960*1&gt;=$G$5,$G$6,0),)</f>
        <v/>
      </c>
      <c r="B960" s="22" t="str">
        <f t="shared" si="1"/>
        <v/>
      </c>
      <c r="C960" s="14" t="str">
        <f>IF($A960&lt;&gt;"",MINIFS(Merchant!$A:$A,Merchant!$B:$B,$G$2),)</f>
        <v/>
      </c>
      <c r="D960" s="14" t="str">
        <f t="shared" si="2"/>
        <v/>
      </c>
      <c r="E960" s="14" t="str">
        <f t="shared" si="3"/>
        <v/>
      </c>
      <c r="F960" s="6" t="str">
        <f>IF($A960&lt;&gt;"",MAXIFS(Token!$B:$B,Token!$A:$A,$D960),)</f>
        <v/>
      </c>
    </row>
    <row r="961">
      <c r="A961" s="35" t="str">
        <f>IF(AND($L961*1&gt;=$G$3,$L961*1&lt;=$G$4,$I961*$J961&gt;0,CONCATENATE($H961:$L961)&lt;&gt;CONCATENATE($H962:$L962),$I961/POW(10,$J961)*MAXIFS(Token!$B:$B,Token!$A:$A,$K961)&gt;0.01),$L961/86400+DATE(1970,1,1)+IF($L961*1&gt;=$G$5,$G$6,0),)</f>
        <v/>
      </c>
      <c r="B961" s="22" t="str">
        <f t="shared" si="1"/>
        <v/>
      </c>
      <c r="C961" s="14" t="str">
        <f>IF($A961&lt;&gt;"",MINIFS(Merchant!$A:$A,Merchant!$B:$B,$G$2),)</f>
        <v/>
      </c>
      <c r="D961" s="14" t="str">
        <f t="shared" si="2"/>
        <v/>
      </c>
      <c r="E961" s="14" t="str">
        <f t="shared" si="3"/>
        <v/>
      </c>
      <c r="F961" s="6" t="str">
        <f>IF($A961&lt;&gt;"",MAXIFS(Token!$B:$B,Token!$A:$A,$D961),)</f>
        <v/>
      </c>
    </row>
    <row r="962">
      <c r="A962" s="35" t="str">
        <f>IF(AND($L962*1&gt;=$G$3,$L962*1&lt;=$G$4,$I962*$J962&gt;0,CONCATENATE($H962:$L962)&lt;&gt;CONCATENATE($H963:$L963),$I962/POW(10,$J962)*MAXIFS(Token!$B:$B,Token!$A:$A,$K962)&gt;0.01),$L962/86400+DATE(1970,1,1)+IF($L962*1&gt;=$G$5,$G$6,0),)</f>
        <v/>
      </c>
      <c r="B962" s="22" t="str">
        <f t="shared" si="1"/>
        <v/>
      </c>
      <c r="C962" s="14" t="str">
        <f>IF($A962&lt;&gt;"",MINIFS(Merchant!$A:$A,Merchant!$B:$B,$G$2),)</f>
        <v/>
      </c>
      <c r="D962" s="14" t="str">
        <f t="shared" si="2"/>
        <v/>
      </c>
      <c r="E962" s="14" t="str">
        <f t="shared" si="3"/>
        <v/>
      </c>
      <c r="F962" s="6" t="str">
        <f>IF($A962&lt;&gt;"",MAXIFS(Token!$B:$B,Token!$A:$A,$D962),)</f>
        <v/>
      </c>
    </row>
    <row r="963">
      <c r="A963" s="35" t="str">
        <f>IF(AND($L963*1&gt;=$G$3,$L963*1&lt;=$G$4,$I963*$J963&gt;0,CONCATENATE($H963:$L963)&lt;&gt;CONCATENATE($H964:$L964),$I963/POW(10,$J963)*MAXIFS(Token!$B:$B,Token!$A:$A,$K963)&gt;0.01),$L963/86400+DATE(1970,1,1)+IF($L963*1&gt;=$G$5,$G$6,0),)</f>
        <v/>
      </c>
      <c r="B963" s="22" t="str">
        <f t="shared" si="1"/>
        <v/>
      </c>
      <c r="C963" s="14" t="str">
        <f>IF($A963&lt;&gt;"",MINIFS(Merchant!$A:$A,Merchant!$B:$B,$G$2),)</f>
        <v/>
      </c>
      <c r="D963" s="14" t="str">
        <f t="shared" si="2"/>
        <v/>
      </c>
      <c r="E963" s="14" t="str">
        <f t="shared" si="3"/>
        <v/>
      </c>
      <c r="F963" s="6" t="str">
        <f>IF($A963&lt;&gt;"",MAXIFS(Token!$B:$B,Token!$A:$A,$D963),)</f>
        <v/>
      </c>
    </row>
    <row r="964">
      <c r="A964" s="35" t="str">
        <f>IF(AND($L964*1&gt;=$G$3,$L964*1&lt;=$G$4,$I964*$J964&gt;0,CONCATENATE($H964:$L964)&lt;&gt;CONCATENATE($H965:$L965),$I964/POW(10,$J964)*MAXIFS(Token!$B:$B,Token!$A:$A,$K964)&gt;0.01),$L964/86400+DATE(1970,1,1)+IF($L964*1&gt;=$G$5,$G$6,0),)</f>
        <v/>
      </c>
      <c r="B964" s="22" t="str">
        <f t="shared" si="1"/>
        <v/>
      </c>
      <c r="C964" s="14" t="str">
        <f>IF($A964&lt;&gt;"",MINIFS(Merchant!$A:$A,Merchant!$B:$B,$G$2),)</f>
        <v/>
      </c>
      <c r="D964" s="14" t="str">
        <f t="shared" si="2"/>
        <v/>
      </c>
      <c r="E964" s="14" t="str">
        <f t="shared" si="3"/>
        <v/>
      </c>
      <c r="F964" s="6" t="str">
        <f>IF($A964&lt;&gt;"",MAXIFS(Token!$B:$B,Token!$A:$A,$D964),)</f>
        <v/>
      </c>
    </row>
    <row r="965">
      <c r="A965" s="35" t="str">
        <f>IF(AND($L965*1&gt;=$G$3,$L965*1&lt;=$G$4,$I965*$J965&gt;0,CONCATENATE($H965:$L965)&lt;&gt;CONCATENATE($H966:$L966),$I965/POW(10,$J965)*MAXIFS(Token!$B:$B,Token!$A:$A,$K965)&gt;0.01),$L965/86400+DATE(1970,1,1)+IF($L965*1&gt;=$G$5,$G$6,0),)</f>
        <v/>
      </c>
      <c r="B965" s="22" t="str">
        <f t="shared" si="1"/>
        <v/>
      </c>
      <c r="C965" s="14" t="str">
        <f>IF($A965&lt;&gt;"",MINIFS(Merchant!$A:$A,Merchant!$B:$B,$G$2),)</f>
        <v/>
      </c>
      <c r="D965" s="14" t="str">
        <f t="shared" si="2"/>
        <v/>
      </c>
      <c r="E965" s="14" t="str">
        <f t="shared" si="3"/>
        <v/>
      </c>
      <c r="F965" s="6" t="str">
        <f>IF($A965&lt;&gt;"",MAXIFS(Token!$B:$B,Token!$A:$A,$D965),)</f>
        <v/>
      </c>
    </row>
    <row r="966">
      <c r="A966" s="35" t="str">
        <f>IF(AND($L966*1&gt;=$G$3,$L966*1&lt;=$G$4,$I966*$J966&gt;0,CONCATENATE($H966:$L966)&lt;&gt;CONCATENATE($H967:$L967),$I966/POW(10,$J966)*MAXIFS(Token!$B:$B,Token!$A:$A,$K966)&gt;0.01),$L966/86400+DATE(1970,1,1)+IF($L966*1&gt;=$G$5,$G$6,0),)</f>
        <v/>
      </c>
      <c r="B966" s="22" t="str">
        <f t="shared" si="1"/>
        <v/>
      </c>
      <c r="C966" s="14" t="str">
        <f>IF($A966&lt;&gt;"",MINIFS(Merchant!$A:$A,Merchant!$B:$B,$G$2),)</f>
        <v/>
      </c>
      <c r="D966" s="14" t="str">
        <f t="shared" si="2"/>
        <v/>
      </c>
      <c r="E966" s="14" t="str">
        <f t="shared" si="3"/>
        <v/>
      </c>
      <c r="F966" s="6" t="str">
        <f>IF($A966&lt;&gt;"",MAXIFS(Token!$B:$B,Token!$A:$A,$D966),)</f>
        <v/>
      </c>
    </row>
    <row r="967">
      <c r="A967" s="35" t="str">
        <f>IF(AND($L967*1&gt;=$G$3,$L967*1&lt;=$G$4,$I967*$J967&gt;0,CONCATENATE($H967:$L967)&lt;&gt;CONCATENATE($H968:$L968),$I967/POW(10,$J967)*MAXIFS(Token!$B:$B,Token!$A:$A,$K967)&gt;0.01),$L967/86400+DATE(1970,1,1)+IF($L967*1&gt;=$G$5,$G$6,0),)</f>
        <v/>
      </c>
      <c r="B967" s="22" t="str">
        <f t="shared" si="1"/>
        <v/>
      </c>
      <c r="C967" s="14" t="str">
        <f>IF($A967&lt;&gt;"",MINIFS(Merchant!$A:$A,Merchant!$B:$B,$G$2),)</f>
        <v/>
      </c>
      <c r="D967" s="14" t="str">
        <f t="shared" si="2"/>
        <v/>
      </c>
      <c r="E967" s="14" t="str">
        <f t="shared" si="3"/>
        <v/>
      </c>
      <c r="F967" s="6" t="str">
        <f>IF($A967&lt;&gt;"",MAXIFS(Token!$B:$B,Token!$A:$A,$D967),)</f>
        <v/>
      </c>
    </row>
    <row r="968">
      <c r="A968" s="35" t="str">
        <f>IF(AND($L968*1&gt;=$G$3,$L968*1&lt;=$G$4,$I968*$J968&gt;0,CONCATENATE($H968:$L968)&lt;&gt;CONCATENATE($H969:$L969),$I968/POW(10,$J968)*MAXIFS(Token!$B:$B,Token!$A:$A,$K968)&gt;0.01),$L968/86400+DATE(1970,1,1)+IF($L968*1&gt;=$G$5,$G$6,0),)</f>
        <v/>
      </c>
      <c r="B968" s="22" t="str">
        <f t="shared" si="1"/>
        <v/>
      </c>
      <c r="C968" s="14" t="str">
        <f>IF($A968&lt;&gt;"",MINIFS(Merchant!$A:$A,Merchant!$B:$B,$G$2),)</f>
        <v/>
      </c>
      <c r="D968" s="14" t="str">
        <f t="shared" si="2"/>
        <v/>
      </c>
      <c r="E968" s="14" t="str">
        <f t="shared" si="3"/>
        <v/>
      </c>
      <c r="F968" s="6" t="str">
        <f>IF($A968&lt;&gt;"",MAXIFS(Token!$B:$B,Token!$A:$A,$D968),)</f>
        <v/>
      </c>
    </row>
    <row r="969">
      <c r="A969" s="35" t="str">
        <f>IF(AND($L969*1&gt;=$G$3,$L969*1&lt;=$G$4,$I969*$J969&gt;0,CONCATENATE($H969:$L969)&lt;&gt;CONCATENATE($H970:$L970),$I969/POW(10,$J969)*MAXIFS(Token!$B:$B,Token!$A:$A,$K969)&gt;0.01),$L969/86400+DATE(1970,1,1)+IF($L969*1&gt;=$G$5,$G$6,0),)</f>
        <v/>
      </c>
      <c r="B969" s="22" t="str">
        <f t="shared" si="1"/>
        <v/>
      </c>
      <c r="C969" s="14" t="str">
        <f>IF($A969&lt;&gt;"",MINIFS(Merchant!$A:$A,Merchant!$B:$B,$G$2),)</f>
        <v/>
      </c>
      <c r="D969" s="14" t="str">
        <f t="shared" si="2"/>
        <v/>
      </c>
      <c r="E969" s="14" t="str">
        <f t="shared" si="3"/>
        <v/>
      </c>
      <c r="F969" s="6" t="str">
        <f>IF($A969&lt;&gt;"",MAXIFS(Token!$B:$B,Token!$A:$A,$D969),)</f>
        <v/>
      </c>
    </row>
    <row r="970">
      <c r="A970" s="35" t="str">
        <f>IF(AND($L970*1&gt;=$G$3,$L970*1&lt;=$G$4,$I970*$J970&gt;0,CONCATENATE($H970:$L970)&lt;&gt;CONCATENATE($H971:$L971),$I970/POW(10,$J970)*MAXIFS(Token!$B:$B,Token!$A:$A,$K970)&gt;0.01),$L970/86400+DATE(1970,1,1)+IF($L970*1&gt;=$G$5,$G$6,0),)</f>
        <v/>
      </c>
      <c r="B970" s="22" t="str">
        <f t="shared" si="1"/>
        <v/>
      </c>
      <c r="C970" s="14" t="str">
        <f>IF($A970&lt;&gt;"",MINIFS(Merchant!$A:$A,Merchant!$B:$B,$G$2),)</f>
        <v/>
      </c>
      <c r="D970" s="14" t="str">
        <f t="shared" si="2"/>
        <v/>
      </c>
      <c r="E970" s="14" t="str">
        <f t="shared" si="3"/>
        <v/>
      </c>
      <c r="F970" s="6" t="str">
        <f>IF($A970&lt;&gt;"",MAXIFS(Token!$B:$B,Token!$A:$A,$D970),)</f>
        <v/>
      </c>
    </row>
    <row r="971">
      <c r="A971" s="35" t="str">
        <f>IF(AND($L971*1&gt;=$G$3,$L971*1&lt;=$G$4,$I971*$J971&gt;0,CONCATENATE($H971:$L971)&lt;&gt;CONCATENATE($H972:$L972),$I971/POW(10,$J971)*MAXIFS(Token!$B:$B,Token!$A:$A,$K971)&gt;0.01),$L971/86400+DATE(1970,1,1)+IF($L971*1&gt;=$G$5,$G$6,0),)</f>
        <v/>
      </c>
      <c r="B971" s="22" t="str">
        <f t="shared" si="1"/>
        <v/>
      </c>
      <c r="C971" s="14" t="str">
        <f>IF($A971&lt;&gt;"",MINIFS(Merchant!$A:$A,Merchant!$B:$B,$G$2),)</f>
        <v/>
      </c>
      <c r="D971" s="14" t="str">
        <f t="shared" si="2"/>
        <v/>
      </c>
      <c r="E971" s="14" t="str">
        <f t="shared" si="3"/>
        <v/>
      </c>
      <c r="F971" s="6" t="str">
        <f>IF($A971&lt;&gt;"",MAXIFS(Token!$B:$B,Token!$A:$A,$D971),)</f>
        <v/>
      </c>
    </row>
    <row r="972">
      <c r="A972" s="35" t="str">
        <f>IF(AND($L972*1&gt;=$G$3,$L972*1&lt;=$G$4,$I972*$J972&gt;0,CONCATENATE($H972:$L972)&lt;&gt;CONCATENATE($H973:$L973),$I972/POW(10,$J972)*MAXIFS(Token!$B:$B,Token!$A:$A,$K972)&gt;0.01),$L972/86400+DATE(1970,1,1)+IF($L972*1&gt;=$G$5,$G$6,0),)</f>
        <v/>
      </c>
      <c r="B972" s="22" t="str">
        <f t="shared" si="1"/>
        <v/>
      </c>
      <c r="C972" s="14" t="str">
        <f>IF($A972&lt;&gt;"",MINIFS(Merchant!$A:$A,Merchant!$B:$B,$G$2),)</f>
        <v/>
      </c>
      <c r="D972" s="14" t="str">
        <f t="shared" si="2"/>
        <v/>
      </c>
      <c r="E972" s="14" t="str">
        <f t="shared" si="3"/>
        <v/>
      </c>
      <c r="F972" s="6" t="str">
        <f>IF($A972&lt;&gt;"",MAXIFS(Token!$B:$B,Token!$A:$A,$D972),)</f>
        <v/>
      </c>
    </row>
    <row r="973">
      <c r="A973" s="35" t="str">
        <f>IF(AND($L973*1&gt;=$G$3,$L973*1&lt;=$G$4,$I973*$J973&gt;0,CONCATENATE($H973:$L973)&lt;&gt;CONCATENATE($H974:$L974),$I973/POW(10,$J973)*MAXIFS(Token!$B:$B,Token!$A:$A,$K973)&gt;0.01),$L973/86400+DATE(1970,1,1)+IF($L973*1&gt;=$G$5,$G$6,0),)</f>
        <v/>
      </c>
      <c r="B973" s="22" t="str">
        <f t="shared" si="1"/>
        <v/>
      </c>
      <c r="C973" s="14" t="str">
        <f>IF($A973&lt;&gt;"",MINIFS(Merchant!$A:$A,Merchant!$B:$B,$G$2),)</f>
        <v/>
      </c>
      <c r="D973" s="14" t="str">
        <f t="shared" si="2"/>
        <v/>
      </c>
      <c r="E973" s="14" t="str">
        <f t="shared" si="3"/>
        <v/>
      </c>
      <c r="F973" s="6" t="str">
        <f>IF($A973&lt;&gt;"",MAXIFS(Token!$B:$B,Token!$A:$A,$D973),)</f>
        <v/>
      </c>
    </row>
    <row r="974">
      <c r="A974" s="35" t="str">
        <f>IF(AND($L974*1&gt;=$G$3,$L974*1&lt;=$G$4,$I974*$J974&gt;0,CONCATENATE($H974:$L974)&lt;&gt;CONCATENATE($H975:$L975),$I974/POW(10,$J974)*MAXIFS(Token!$B:$B,Token!$A:$A,$K974)&gt;0.01),$L974/86400+DATE(1970,1,1)+IF($L974*1&gt;=$G$5,$G$6,0),)</f>
        <v/>
      </c>
      <c r="B974" s="22" t="str">
        <f t="shared" si="1"/>
        <v/>
      </c>
      <c r="C974" s="14" t="str">
        <f>IF($A974&lt;&gt;"",MINIFS(Merchant!$A:$A,Merchant!$B:$B,$G$2),)</f>
        <v/>
      </c>
      <c r="D974" s="14" t="str">
        <f t="shared" si="2"/>
        <v/>
      </c>
      <c r="E974" s="14" t="str">
        <f t="shared" si="3"/>
        <v/>
      </c>
      <c r="F974" s="6" t="str">
        <f>IF($A974&lt;&gt;"",MAXIFS(Token!$B:$B,Token!$A:$A,$D974),)</f>
        <v/>
      </c>
    </row>
    <row r="975">
      <c r="A975" s="35" t="str">
        <f>IF(AND($L975*1&gt;=$G$3,$L975*1&lt;=$G$4,$I975*$J975&gt;0,CONCATENATE($H975:$L975)&lt;&gt;CONCATENATE($H976:$L976),$I975/POW(10,$J975)*MAXIFS(Token!$B:$B,Token!$A:$A,$K975)&gt;0.01),$L975/86400+DATE(1970,1,1)+IF($L975*1&gt;=$G$5,$G$6,0),)</f>
        <v/>
      </c>
      <c r="B975" s="22" t="str">
        <f t="shared" si="1"/>
        <v/>
      </c>
      <c r="C975" s="14" t="str">
        <f>IF($A975&lt;&gt;"",MINIFS(Merchant!$A:$A,Merchant!$B:$B,$G$2),)</f>
        <v/>
      </c>
      <c r="D975" s="14" t="str">
        <f t="shared" si="2"/>
        <v/>
      </c>
      <c r="E975" s="14" t="str">
        <f t="shared" si="3"/>
        <v/>
      </c>
      <c r="F975" s="6" t="str">
        <f>IF($A975&lt;&gt;"",MAXIFS(Token!$B:$B,Token!$A:$A,$D975),)</f>
        <v/>
      </c>
    </row>
    <row r="976">
      <c r="A976" s="35" t="str">
        <f>IF(AND($L976*1&gt;=$G$3,$L976*1&lt;=$G$4,$I976*$J976&gt;0,CONCATENATE($H976:$L976)&lt;&gt;CONCATENATE($H977:$L977),$I976/POW(10,$J976)*MAXIFS(Token!$B:$B,Token!$A:$A,$K976)&gt;0.01),$L976/86400+DATE(1970,1,1)+IF($L976*1&gt;=$G$5,$G$6,0),)</f>
        <v/>
      </c>
      <c r="B976" s="22" t="str">
        <f t="shared" si="1"/>
        <v/>
      </c>
      <c r="C976" s="14" t="str">
        <f>IF($A976&lt;&gt;"",MINIFS(Merchant!$A:$A,Merchant!$B:$B,$G$2),)</f>
        <v/>
      </c>
      <c r="D976" s="14" t="str">
        <f t="shared" si="2"/>
        <v/>
      </c>
      <c r="E976" s="14" t="str">
        <f t="shared" si="3"/>
        <v/>
      </c>
      <c r="F976" s="6" t="str">
        <f>IF($A976&lt;&gt;"",MAXIFS(Token!$B:$B,Token!$A:$A,$D976),)</f>
        <v/>
      </c>
    </row>
    <row r="977">
      <c r="A977" s="35" t="str">
        <f>IF(AND($L977*1&gt;=$G$3,$L977*1&lt;=$G$4,$I977*$J977&gt;0,CONCATENATE($H977:$L977)&lt;&gt;CONCATENATE($H978:$L978),$I977/POW(10,$J977)*MAXIFS(Token!$B:$B,Token!$A:$A,$K977)&gt;0.01),$L977/86400+DATE(1970,1,1)+IF($L977*1&gt;=$G$5,$G$6,0),)</f>
        <v/>
      </c>
      <c r="B977" s="22" t="str">
        <f t="shared" si="1"/>
        <v/>
      </c>
      <c r="C977" s="14" t="str">
        <f>IF($A977&lt;&gt;"",MINIFS(Merchant!$A:$A,Merchant!$B:$B,$G$2),)</f>
        <v/>
      </c>
      <c r="D977" s="14" t="str">
        <f t="shared" si="2"/>
        <v/>
      </c>
      <c r="E977" s="14" t="str">
        <f t="shared" si="3"/>
        <v/>
      </c>
      <c r="F977" s="6" t="str">
        <f>IF($A977&lt;&gt;"",MAXIFS(Token!$B:$B,Token!$A:$A,$D977),)</f>
        <v/>
      </c>
    </row>
    <row r="978">
      <c r="A978" s="35" t="str">
        <f>IF(AND($L978*1&gt;=$G$3,$L978*1&lt;=$G$4,$I978*$J978&gt;0,CONCATENATE($H978:$L978)&lt;&gt;CONCATENATE($H979:$L979),$I978/POW(10,$J978)*MAXIFS(Token!$B:$B,Token!$A:$A,$K978)&gt;0.01),$L978/86400+DATE(1970,1,1)+IF($L978*1&gt;=$G$5,$G$6,0),)</f>
        <v/>
      </c>
      <c r="B978" s="22" t="str">
        <f t="shared" si="1"/>
        <v/>
      </c>
      <c r="C978" s="14" t="str">
        <f>IF($A978&lt;&gt;"",MINIFS(Merchant!$A:$A,Merchant!$B:$B,$G$2),)</f>
        <v/>
      </c>
      <c r="D978" s="14" t="str">
        <f t="shared" si="2"/>
        <v/>
      </c>
      <c r="E978" s="14" t="str">
        <f t="shared" si="3"/>
        <v/>
      </c>
      <c r="F978" s="6" t="str">
        <f>IF($A978&lt;&gt;"",MAXIFS(Token!$B:$B,Token!$A:$A,$D978),)</f>
        <v/>
      </c>
    </row>
    <row r="979">
      <c r="A979" s="35" t="str">
        <f>IF(AND($L979*1&gt;=$G$3,$L979*1&lt;=$G$4,$I979*$J979&gt;0,CONCATENATE($H979:$L979)&lt;&gt;CONCATENATE($H980:$L980),$I979/POW(10,$J979)*MAXIFS(Token!$B:$B,Token!$A:$A,$K979)&gt;0.01),$L979/86400+DATE(1970,1,1)+IF($L979*1&gt;=$G$5,$G$6,0),)</f>
        <v/>
      </c>
      <c r="B979" s="22" t="str">
        <f t="shared" si="1"/>
        <v/>
      </c>
      <c r="C979" s="14" t="str">
        <f>IF($A979&lt;&gt;"",MINIFS(Merchant!$A:$A,Merchant!$B:$B,$G$2),)</f>
        <v/>
      </c>
      <c r="D979" s="14" t="str">
        <f t="shared" si="2"/>
        <v/>
      </c>
      <c r="E979" s="14" t="str">
        <f t="shared" si="3"/>
        <v/>
      </c>
      <c r="F979" s="6" t="str">
        <f>IF($A979&lt;&gt;"",MAXIFS(Token!$B:$B,Token!$A:$A,$D979),)</f>
        <v/>
      </c>
    </row>
    <row r="980">
      <c r="A980" s="35" t="str">
        <f>IF(AND($L980*1&gt;=$G$3,$L980*1&lt;=$G$4,$I980*$J980&gt;0,CONCATENATE($H980:$L980)&lt;&gt;CONCATENATE($H981:$L981),$I980/POW(10,$J980)*MAXIFS(Token!$B:$B,Token!$A:$A,$K980)&gt;0.01),$L980/86400+DATE(1970,1,1)+IF($L980*1&gt;=$G$5,$G$6,0),)</f>
        <v/>
      </c>
      <c r="B980" s="22" t="str">
        <f t="shared" si="1"/>
        <v/>
      </c>
      <c r="C980" s="14" t="str">
        <f>IF($A980&lt;&gt;"",MINIFS(Merchant!$A:$A,Merchant!$B:$B,$G$2),)</f>
        <v/>
      </c>
      <c r="D980" s="14" t="str">
        <f t="shared" si="2"/>
        <v/>
      </c>
      <c r="E980" s="14" t="str">
        <f t="shared" si="3"/>
        <v/>
      </c>
      <c r="F980" s="6" t="str">
        <f>IF($A980&lt;&gt;"",MAXIFS(Token!$B:$B,Token!$A:$A,$D980),)</f>
        <v/>
      </c>
    </row>
    <row r="981">
      <c r="A981" s="35" t="str">
        <f>IF(AND($L981*1&gt;=$G$3,$L981*1&lt;=$G$4,$I981*$J981&gt;0,CONCATENATE($H981:$L981)&lt;&gt;CONCATENATE($H982:$L982),$I981/POW(10,$J981)*MAXIFS(Token!$B:$B,Token!$A:$A,$K981)&gt;0.01),$L981/86400+DATE(1970,1,1)+IF($L981*1&gt;=$G$5,$G$6,0),)</f>
        <v/>
      </c>
      <c r="B981" s="22" t="str">
        <f t="shared" si="1"/>
        <v/>
      </c>
      <c r="C981" s="14" t="str">
        <f>IF($A981&lt;&gt;"",MINIFS(Merchant!$A:$A,Merchant!$B:$B,$G$2),)</f>
        <v/>
      </c>
      <c r="D981" s="14" t="str">
        <f t="shared" si="2"/>
        <v/>
      </c>
      <c r="E981" s="14" t="str">
        <f t="shared" si="3"/>
        <v/>
      </c>
      <c r="F981" s="6" t="str">
        <f>IF($A981&lt;&gt;"",MAXIFS(Token!$B:$B,Token!$A:$A,$D981),)</f>
        <v/>
      </c>
    </row>
    <row r="982">
      <c r="A982" s="35" t="str">
        <f>IF(AND($L982*1&gt;=$G$3,$L982*1&lt;=$G$4,$I982*$J982&gt;0,CONCATENATE($H982:$L982)&lt;&gt;CONCATENATE($H983:$L983),$I982/POW(10,$J982)*MAXIFS(Token!$B:$B,Token!$A:$A,$K982)&gt;0.01),$L982/86400+DATE(1970,1,1)+IF($L982*1&gt;=$G$5,$G$6,0),)</f>
        <v/>
      </c>
      <c r="B982" s="22" t="str">
        <f t="shared" si="1"/>
        <v/>
      </c>
      <c r="C982" s="14" t="str">
        <f>IF($A982&lt;&gt;"",MINIFS(Merchant!$A:$A,Merchant!$B:$B,$G$2),)</f>
        <v/>
      </c>
      <c r="D982" s="14" t="str">
        <f t="shared" si="2"/>
        <v/>
      </c>
      <c r="E982" s="14" t="str">
        <f t="shared" si="3"/>
        <v/>
      </c>
      <c r="F982" s="6" t="str">
        <f>IF($A982&lt;&gt;"",MAXIFS(Token!$B:$B,Token!$A:$A,$D982),)</f>
        <v/>
      </c>
    </row>
    <row r="983">
      <c r="A983" s="35" t="str">
        <f>IF(AND($L983*1&gt;=$G$3,$L983*1&lt;=$G$4,$I983*$J983&gt;0,CONCATENATE($H983:$L983)&lt;&gt;CONCATENATE($H984:$L984),$I983/POW(10,$J983)*MAXIFS(Token!$B:$B,Token!$A:$A,$K983)&gt;0.01),$L983/86400+DATE(1970,1,1)+IF($L983*1&gt;=$G$5,$G$6,0),)</f>
        <v/>
      </c>
      <c r="B983" s="22" t="str">
        <f t="shared" si="1"/>
        <v/>
      </c>
      <c r="C983" s="14" t="str">
        <f>IF($A983&lt;&gt;"",MINIFS(Merchant!$A:$A,Merchant!$B:$B,$G$2),)</f>
        <v/>
      </c>
      <c r="D983" s="14" t="str">
        <f t="shared" si="2"/>
        <v/>
      </c>
      <c r="E983" s="14" t="str">
        <f t="shared" si="3"/>
        <v/>
      </c>
      <c r="F983" s="6" t="str">
        <f>IF($A983&lt;&gt;"",MAXIFS(Token!$B:$B,Token!$A:$A,$D983),)</f>
        <v/>
      </c>
    </row>
    <row r="984">
      <c r="A984" s="35" t="str">
        <f>IF(AND($L984*1&gt;=$G$3,$L984*1&lt;=$G$4,$I984*$J984&gt;0,CONCATENATE($H984:$L984)&lt;&gt;CONCATENATE($H985:$L985),$I984/POW(10,$J984)*MAXIFS(Token!$B:$B,Token!$A:$A,$K984)&gt;0.01),$L984/86400+DATE(1970,1,1)+IF($L984*1&gt;=$G$5,$G$6,0),)</f>
        <v/>
      </c>
      <c r="B984" s="22" t="str">
        <f t="shared" si="1"/>
        <v/>
      </c>
      <c r="C984" s="14" t="str">
        <f>IF($A984&lt;&gt;"",MINIFS(Merchant!$A:$A,Merchant!$B:$B,$G$2),)</f>
        <v/>
      </c>
      <c r="D984" s="14" t="str">
        <f t="shared" si="2"/>
        <v/>
      </c>
      <c r="E984" s="14" t="str">
        <f t="shared" si="3"/>
        <v/>
      </c>
      <c r="F984" s="6" t="str">
        <f>IF($A984&lt;&gt;"",MAXIFS(Token!$B:$B,Token!$A:$A,$D984),)</f>
        <v/>
      </c>
    </row>
    <row r="985">
      <c r="A985" s="35" t="str">
        <f>IF(AND($L985*1&gt;=$G$3,$L985*1&lt;=$G$4,$I985*$J985&gt;0,CONCATENATE($H985:$L985)&lt;&gt;CONCATENATE($H986:$L986),$I985/POW(10,$J985)*MAXIFS(Token!$B:$B,Token!$A:$A,$K985)&gt;0.01),$L985/86400+DATE(1970,1,1)+IF($L985*1&gt;=$G$5,$G$6,0),)</f>
        <v/>
      </c>
      <c r="B985" s="22" t="str">
        <f t="shared" si="1"/>
        <v/>
      </c>
      <c r="C985" s="14" t="str">
        <f>IF($A985&lt;&gt;"",MINIFS(Merchant!$A:$A,Merchant!$B:$B,$G$2),)</f>
        <v/>
      </c>
      <c r="D985" s="14" t="str">
        <f t="shared" si="2"/>
        <v/>
      </c>
      <c r="E985" s="14" t="str">
        <f t="shared" si="3"/>
        <v/>
      </c>
      <c r="F985" s="6" t="str">
        <f>IF($A985&lt;&gt;"",MAXIFS(Token!$B:$B,Token!$A:$A,$D985),)</f>
        <v/>
      </c>
    </row>
    <row r="986">
      <c r="A986" s="35" t="str">
        <f>IF(AND($L986*1&gt;=$G$3,$L986*1&lt;=$G$4,$I986*$J986&gt;0,CONCATENATE($H986:$L986)&lt;&gt;CONCATENATE($H987:$L987),$I986/POW(10,$J986)*MAXIFS(Token!$B:$B,Token!$A:$A,$K986)&gt;0.01),$L986/86400+DATE(1970,1,1)+IF($L986*1&gt;=$G$5,$G$6,0),)</f>
        <v/>
      </c>
      <c r="B986" s="22" t="str">
        <f t="shared" si="1"/>
        <v/>
      </c>
      <c r="C986" s="14" t="str">
        <f>IF($A986&lt;&gt;"",MINIFS(Merchant!$A:$A,Merchant!$B:$B,$G$2),)</f>
        <v/>
      </c>
      <c r="D986" s="14" t="str">
        <f t="shared" si="2"/>
        <v/>
      </c>
      <c r="E986" s="14" t="str">
        <f t="shared" si="3"/>
        <v/>
      </c>
      <c r="F986" s="6" t="str">
        <f>IF($A986&lt;&gt;"",MAXIFS(Token!$B:$B,Token!$A:$A,$D986),)</f>
        <v/>
      </c>
    </row>
    <row r="987">
      <c r="A987" s="35" t="str">
        <f>IF(AND($L987*1&gt;=$G$3,$L987*1&lt;=$G$4,$I987*$J987&gt;0,CONCATENATE($H987:$L987)&lt;&gt;CONCATENATE($H988:$L988),$I987/POW(10,$J987)*MAXIFS(Token!$B:$B,Token!$A:$A,$K987)&gt;0.01),$L987/86400+DATE(1970,1,1)+IF($L987*1&gt;=$G$5,$G$6,0),)</f>
        <v/>
      </c>
      <c r="B987" s="22" t="str">
        <f t="shared" si="1"/>
        <v/>
      </c>
      <c r="C987" s="14" t="str">
        <f>IF($A987&lt;&gt;"",MINIFS(Merchant!$A:$A,Merchant!$B:$B,$G$2),)</f>
        <v/>
      </c>
      <c r="D987" s="14" t="str">
        <f t="shared" si="2"/>
        <v/>
      </c>
      <c r="E987" s="14" t="str">
        <f t="shared" si="3"/>
        <v/>
      </c>
      <c r="F987" s="6" t="str">
        <f>IF($A987&lt;&gt;"",MAXIFS(Token!$B:$B,Token!$A:$A,$D987),)</f>
        <v/>
      </c>
    </row>
    <row r="988">
      <c r="A988" s="35" t="str">
        <f>IF(AND($L988*1&gt;=$G$3,$L988*1&lt;=$G$4,$I988*$J988&gt;0,CONCATENATE($H988:$L988)&lt;&gt;CONCATENATE($H989:$L989),$I988/POW(10,$J988)*MAXIFS(Token!$B:$B,Token!$A:$A,$K988)&gt;0.01),$L988/86400+DATE(1970,1,1)+IF($L988*1&gt;=$G$5,$G$6,0),)</f>
        <v/>
      </c>
      <c r="B988" s="22" t="str">
        <f t="shared" si="1"/>
        <v/>
      </c>
      <c r="C988" s="14" t="str">
        <f>IF($A988&lt;&gt;"",MINIFS(Merchant!$A:$A,Merchant!$B:$B,$G$2),)</f>
        <v/>
      </c>
      <c r="D988" s="14" t="str">
        <f t="shared" si="2"/>
        <v/>
      </c>
      <c r="E988" s="14" t="str">
        <f t="shared" si="3"/>
        <v/>
      </c>
      <c r="F988" s="6" t="str">
        <f>IF($A988&lt;&gt;"",MAXIFS(Token!$B:$B,Token!$A:$A,$D988),)</f>
        <v/>
      </c>
    </row>
    <row r="989">
      <c r="A989" s="35" t="str">
        <f>IF(AND($L989*1&gt;=$G$3,$L989*1&lt;=$G$4,$I989*$J989&gt;0,CONCATENATE($H989:$L989)&lt;&gt;CONCATENATE($H990:$L990),$I989/POW(10,$J989)*MAXIFS(Token!$B:$B,Token!$A:$A,$K989)&gt;0.01),$L989/86400+DATE(1970,1,1)+IF($L989*1&gt;=$G$5,$G$6,0),)</f>
        <v/>
      </c>
      <c r="B989" s="22" t="str">
        <f t="shared" si="1"/>
        <v/>
      </c>
      <c r="C989" s="14" t="str">
        <f>IF($A989&lt;&gt;"",MINIFS(Merchant!$A:$A,Merchant!$B:$B,$G$2),)</f>
        <v/>
      </c>
      <c r="D989" s="14" t="str">
        <f t="shared" si="2"/>
        <v/>
      </c>
      <c r="E989" s="14" t="str">
        <f t="shared" si="3"/>
        <v/>
      </c>
      <c r="F989" s="6" t="str">
        <f>IF($A989&lt;&gt;"",MAXIFS(Token!$B:$B,Token!$A:$A,$D989),)</f>
        <v/>
      </c>
    </row>
    <row r="990">
      <c r="A990" s="35" t="str">
        <f>IF(AND($L990*1&gt;=$G$3,$L990*1&lt;=$G$4,$I990*$J990&gt;0,CONCATENATE($H990:$L990)&lt;&gt;CONCATENATE($H991:$L991),$I990/POW(10,$J990)*MAXIFS(Token!$B:$B,Token!$A:$A,$K990)&gt;0.01),$L990/86400+DATE(1970,1,1)+IF($L990*1&gt;=$G$5,$G$6,0),)</f>
        <v/>
      </c>
      <c r="B990" s="22" t="str">
        <f t="shared" si="1"/>
        <v/>
      </c>
      <c r="C990" s="14" t="str">
        <f>IF($A990&lt;&gt;"",MINIFS(Merchant!$A:$A,Merchant!$B:$B,$G$2),)</f>
        <v/>
      </c>
      <c r="D990" s="14" t="str">
        <f t="shared" si="2"/>
        <v/>
      </c>
      <c r="E990" s="14" t="str">
        <f t="shared" si="3"/>
        <v/>
      </c>
      <c r="F990" s="6" t="str">
        <f>IF($A990&lt;&gt;"",MAXIFS(Token!$B:$B,Token!$A:$A,$D990),)</f>
        <v/>
      </c>
    </row>
    <row r="991">
      <c r="A991" s="35" t="str">
        <f>IF(AND($L991*1&gt;=$G$3,$L991*1&lt;=$G$4,$I991*$J991&gt;0,CONCATENATE($H991:$L991)&lt;&gt;CONCATENATE($H992:$L992),$I991/POW(10,$J991)*MAXIFS(Token!$B:$B,Token!$A:$A,$K991)&gt;0.01),$L991/86400+DATE(1970,1,1)+IF($L991*1&gt;=$G$5,$G$6,0),)</f>
        <v/>
      </c>
      <c r="B991" s="22" t="str">
        <f t="shared" si="1"/>
        <v/>
      </c>
      <c r="C991" s="14" t="str">
        <f>IF($A991&lt;&gt;"",MINIFS(Merchant!$A:$A,Merchant!$B:$B,$G$2),)</f>
        <v/>
      </c>
      <c r="D991" s="14" t="str">
        <f t="shared" si="2"/>
        <v/>
      </c>
      <c r="E991" s="14" t="str">
        <f t="shared" si="3"/>
        <v/>
      </c>
      <c r="F991" s="6" t="str">
        <f>IF($A991&lt;&gt;"",MAXIFS(Token!$B:$B,Token!$A:$A,$D991),)</f>
        <v/>
      </c>
    </row>
    <row r="992">
      <c r="A992" s="35" t="str">
        <f>IF(AND($L992*1&gt;=$G$3,$L992*1&lt;=$G$4,$I992*$J992&gt;0,CONCATENATE($H992:$L992)&lt;&gt;CONCATENATE($H993:$L993),$I992/POW(10,$J992)*MAXIFS(Token!$B:$B,Token!$A:$A,$K992)&gt;0.01),$L992/86400+DATE(1970,1,1)+IF($L992*1&gt;=$G$5,$G$6,0),)</f>
        <v/>
      </c>
      <c r="B992" s="22" t="str">
        <f t="shared" si="1"/>
        <v/>
      </c>
      <c r="C992" s="14" t="str">
        <f>IF($A992&lt;&gt;"",MINIFS(Merchant!$A:$A,Merchant!$B:$B,$G$2),)</f>
        <v/>
      </c>
      <c r="D992" s="14" t="str">
        <f t="shared" si="2"/>
        <v/>
      </c>
      <c r="E992" s="14" t="str">
        <f t="shared" si="3"/>
        <v/>
      </c>
      <c r="F992" s="6" t="str">
        <f>IF($A992&lt;&gt;"",MAXIFS(Token!$B:$B,Token!$A:$A,$D992),)</f>
        <v/>
      </c>
    </row>
    <row r="993">
      <c r="A993" s="35" t="str">
        <f>IF(AND($L993*1&gt;=$G$3,$L993*1&lt;=$G$4,$I993*$J993&gt;0,CONCATENATE($H993:$L993)&lt;&gt;CONCATENATE($H994:$L994),$I993/POW(10,$J993)*MAXIFS(Token!$B:$B,Token!$A:$A,$K993)&gt;0.01),$L993/86400+DATE(1970,1,1)+IF($L993*1&gt;=$G$5,$G$6,0),)</f>
        <v/>
      </c>
      <c r="B993" s="22" t="str">
        <f t="shared" si="1"/>
        <v/>
      </c>
      <c r="C993" s="14" t="str">
        <f>IF($A993&lt;&gt;"",MINIFS(Merchant!$A:$A,Merchant!$B:$B,$G$2),)</f>
        <v/>
      </c>
      <c r="D993" s="14" t="str">
        <f t="shared" si="2"/>
        <v/>
      </c>
      <c r="E993" s="14" t="str">
        <f t="shared" si="3"/>
        <v/>
      </c>
      <c r="F993" s="6" t="str">
        <f>IF($A993&lt;&gt;"",MAXIFS(Token!$B:$B,Token!$A:$A,$D993),)</f>
        <v/>
      </c>
    </row>
    <row r="994">
      <c r="A994" s="35" t="str">
        <f>IF(AND($L994*1&gt;=$G$3,$L994*1&lt;=$G$4,$I994*$J994&gt;0,CONCATENATE($H994:$L994)&lt;&gt;CONCATENATE($H995:$L995),$I994/POW(10,$J994)*MAXIFS(Token!$B:$B,Token!$A:$A,$K994)&gt;0.01),$L994/86400+DATE(1970,1,1)+IF($L994*1&gt;=$G$5,$G$6,0),)</f>
        <v/>
      </c>
      <c r="B994" s="22" t="str">
        <f t="shared" si="1"/>
        <v/>
      </c>
      <c r="C994" s="14" t="str">
        <f>IF($A994&lt;&gt;"",MINIFS(Merchant!$A:$A,Merchant!$B:$B,$G$2),)</f>
        <v/>
      </c>
      <c r="D994" s="14" t="str">
        <f t="shared" si="2"/>
        <v/>
      </c>
      <c r="E994" s="14" t="str">
        <f t="shared" si="3"/>
        <v/>
      </c>
      <c r="F994" s="6" t="str">
        <f>IF($A994&lt;&gt;"",MAXIFS(Token!$B:$B,Token!$A:$A,$D994),)</f>
        <v/>
      </c>
    </row>
    <row r="995">
      <c r="A995" s="35" t="str">
        <f>IF(AND($L995*1&gt;=$G$3,$L995*1&lt;=$G$4,$I995*$J995&gt;0,CONCATENATE($H995:$L995)&lt;&gt;CONCATENATE($H996:$L996),$I995/POW(10,$J995)*MAXIFS(Token!$B:$B,Token!$A:$A,$K995)&gt;0.01),$L995/86400+DATE(1970,1,1)+IF($L995*1&gt;=$G$5,$G$6,0),)</f>
        <v/>
      </c>
      <c r="B995" s="22" t="str">
        <f t="shared" si="1"/>
        <v/>
      </c>
      <c r="C995" s="14" t="str">
        <f>IF($A995&lt;&gt;"",MINIFS(Merchant!$A:$A,Merchant!$B:$B,$G$2),)</f>
        <v/>
      </c>
      <c r="D995" s="14" t="str">
        <f t="shared" si="2"/>
        <v/>
      </c>
      <c r="E995" s="14" t="str">
        <f t="shared" si="3"/>
        <v/>
      </c>
      <c r="F995" s="6" t="str">
        <f>IF($A995&lt;&gt;"",MAXIFS(Token!$B:$B,Token!$A:$A,$D995),)</f>
        <v/>
      </c>
    </row>
    <row r="996">
      <c r="A996" s="35" t="str">
        <f>IF(AND($L996*1&gt;=$G$3,$L996*1&lt;=$G$4,$I996*$J996&gt;0,CONCATENATE($H996:$L996)&lt;&gt;CONCATENATE($H997:$L997),$I996/POW(10,$J996)*MAXIFS(Token!$B:$B,Token!$A:$A,$K996)&gt;0.01),$L996/86400+DATE(1970,1,1)+IF($L996*1&gt;=$G$5,$G$6,0),)</f>
        <v/>
      </c>
      <c r="B996" s="22" t="str">
        <f t="shared" si="1"/>
        <v/>
      </c>
      <c r="C996" s="14" t="str">
        <f>IF($A996&lt;&gt;"",MINIFS(Merchant!$A:$A,Merchant!$B:$B,$G$2),)</f>
        <v/>
      </c>
      <c r="D996" s="14" t="str">
        <f t="shared" si="2"/>
        <v/>
      </c>
      <c r="E996" s="14" t="str">
        <f t="shared" si="3"/>
        <v/>
      </c>
      <c r="F996" s="6" t="str">
        <f>IF($A996&lt;&gt;"",MAXIFS(Token!$B:$B,Token!$A:$A,$D996),)</f>
        <v/>
      </c>
    </row>
    <row r="997">
      <c r="A997" s="35" t="str">
        <f>IF(AND($L997*1&gt;=$G$3,$L997*1&lt;=$G$4,$I997*$J997&gt;0,CONCATENATE($H997:$L997)&lt;&gt;CONCATENATE($H998:$L998),$I997/POW(10,$J997)*MAXIFS(Token!$B:$B,Token!$A:$A,$K997)&gt;0.01),$L997/86400+DATE(1970,1,1)+IF($L997*1&gt;=$G$5,$G$6,0),)</f>
        <v/>
      </c>
      <c r="B997" s="22" t="str">
        <f t="shared" si="1"/>
        <v/>
      </c>
      <c r="C997" s="14" t="str">
        <f>IF($A997&lt;&gt;"",MINIFS(Merchant!$A:$A,Merchant!$B:$B,$G$2),)</f>
        <v/>
      </c>
      <c r="D997" s="14" t="str">
        <f t="shared" si="2"/>
        <v/>
      </c>
      <c r="E997" s="14" t="str">
        <f t="shared" si="3"/>
        <v/>
      </c>
      <c r="F997" s="6" t="str">
        <f>IF($A997&lt;&gt;"",MAXIFS(Token!$B:$B,Token!$A:$A,$D997),)</f>
        <v/>
      </c>
    </row>
    <row r="998">
      <c r="A998" s="35" t="str">
        <f>IF(AND($L998*1&gt;=$G$3,$L998*1&lt;=$G$4,$I998*$J998&gt;0,CONCATENATE($H998:$L998)&lt;&gt;CONCATENATE($H999:$L999),$I998/POW(10,$J998)*MAXIFS(Token!$B:$B,Token!$A:$A,$K998)&gt;0.01),$L998/86400+DATE(1970,1,1)+IF($L998*1&gt;=$G$5,$G$6,0),)</f>
        <v/>
      </c>
      <c r="B998" s="22" t="str">
        <f t="shared" si="1"/>
        <v/>
      </c>
      <c r="C998" s="14" t="str">
        <f>IF($A998&lt;&gt;"",MINIFS(Merchant!$A:$A,Merchant!$B:$B,$G$2),)</f>
        <v/>
      </c>
      <c r="D998" s="14" t="str">
        <f t="shared" si="2"/>
        <v/>
      </c>
      <c r="E998" s="14" t="str">
        <f t="shared" si="3"/>
        <v/>
      </c>
      <c r="F998" s="6" t="str">
        <f>IF($A998&lt;&gt;"",MAXIFS(Token!$B:$B,Token!$A:$A,$D998),)</f>
        <v/>
      </c>
    </row>
    <row r="999">
      <c r="A999" s="35" t="str">
        <f>IF(AND($L999*1&gt;=$G$3,$L999*1&lt;=$G$4,$I999*$J999&gt;0,CONCATENATE($H999:$L999)&lt;&gt;CONCATENATE($H1000:$L1000),$I999/POW(10,$J999)*MAXIFS(Token!$B:$B,Token!$A:$A,$K999)&gt;0.01),$L999/86400+DATE(1970,1,1)+IF($L999*1&gt;=$G$5,$G$6,0),)</f>
        <v/>
      </c>
      <c r="B999" s="22" t="str">
        <f t="shared" si="1"/>
        <v/>
      </c>
      <c r="C999" s="14" t="str">
        <f>IF($A999&lt;&gt;"",MINIFS(Merchant!$A:$A,Merchant!$B:$B,$G$2),)</f>
        <v/>
      </c>
      <c r="D999" s="14" t="str">
        <f t="shared" si="2"/>
        <v/>
      </c>
      <c r="E999" s="14" t="str">
        <f t="shared" si="3"/>
        <v/>
      </c>
      <c r="F999" s="6" t="str">
        <f>IF($A999&lt;&gt;"",MAXIFS(Token!$B:$B,Token!$A:$A,$D999),)</f>
        <v/>
      </c>
    </row>
    <row r="1000">
      <c r="A1000" s="35" t="str">
        <f>IF(AND($L1000*1&gt;=$G$3,$L1000*1&lt;=$G$4,$I1000*$J1000&gt;0,CONCATENATE($H1000:$L1000)&lt;&gt;CONCATENATE($H1001:$L1001),$I1000/POW(10,$J1000)*MAXIFS(Token!$B:$B,Token!$A:$A,$K1000)&gt;0.01),$L1000/86400+DATE(1970,1,1)+IF($L1000*1&gt;=$G$5,$G$6,0),)</f>
        <v/>
      </c>
      <c r="B1000" s="22" t="str">
        <f t="shared" si="1"/>
        <v/>
      </c>
      <c r="C1000" s="14" t="str">
        <f>IF($A1000&lt;&gt;"",MINIFS(Merchant!$A:$A,Merchant!$B:$B,$G$2),)</f>
        <v/>
      </c>
      <c r="D1000" s="14" t="str">
        <f t="shared" si="2"/>
        <v/>
      </c>
      <c r="E1000" s="14" t="str">
        <f t="shared" si="3"/>
        <v/>
      </c>
      <c r="F1000" s="6" t="str">
        <f>IF($A1000&lt;&gt;"",MAXIFS(Token!$B:$B,Token!$A:$A,$D1000),)</f>
        <v/>
      </c>
    </row>
  </sheetData>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75"/>
    <col customWidth="1" min="7" max="7" width="12.63"/>
  </cols>
  <sheetData>
    <row r="1">
      <c r="A1" s="1" t="s">
        <v>4</v>
      </c>
      <c r="B1" s="1" t="s">
        <v>5</v>
      </c>
      <c r="C1" s="1" t="s">
        <v>6</v>
      </c>
      <c r="D1" s="1" t="s">
        <v>7</v>
      </c>
      <c r="E1" s="1" t="s">
        <v>8</v>
      </c>
      <c r="F1" s="11" t="s">
        <v>9</v>
      </c>
      <c r="G1" s="14">
        <v>3.0</v>
      </c>
      <c r="H1" s="14" t="s">
        <v>105</v>
      </c>
      <c r="I1" s="5" t="s">
        <v>106</v>
      </c>
      <c r="J1" s="5" t="s">
        <v>107</v>
      </c>
      <c r="K1" s="5" t="s">
        <v>108</v>
      </c>
      <c r="L1" s="5" t="s">
        <v>109</v>
      </c>
    </row>
    <row r="2">
      <c r="A2" s="35" t="str">
        <f t="shared" ref="A2:A1000" si="1">IF(AND($L2*1&gt;=$G$3,$L2*1&lt;=$G$4,$I2*$J2&gt;0),$L2/86400+DATE(1970,1,1)+IF($L2*1&gt;=$G$5,$G$6,0),)</f>
        <v/>
      </c>
      <c r="B2" s="22" t="str">
        <f t="shared" ref="B2:B1000" si="2">IF($A2&lt;&gt;"",$E2*$F2,)</f>
        <v/>
      </c>
      <c r="C2" s="14" t="str">
        <f>IF($A2&lt;&gt;"",MINIFS(Merchant!$A:$A,Merchant!$B:$B,$G$2),)</f>
        <v/>
      </c>
      <c r="D2" s="14" t="str">
        <f t="shared" ref="D2:D1000" si="3">IF($A2&lt;&gt;"",$K2,)</f>
        <v/>
      </c>
      <c r="E2" s="14" t="str">
        <f t="shared" ref="E2:E1000" si="4">IF($A2&lt;&gt;"",$I2/POW(10,$J2),)</f>
        <v/>
      </c>
      <c r="F2" s="6" t="str">
        <f>IF($A2&lt;&gt;"",MAXIFS(#REF!,Token!$A:$A,$D2),)</f>
        <v/>
      </c>
      <c r="G2" s="14" t="str">
        <f>VLOOKUP($G1,Merchant!$A:$B,2)</f>
        <v>88r4F8tmgzxyxSoQFz5cWwTMAqtM8xB8pABfL4ikcJyx</v>
      </c>
      <c r="H2" s="5" t="str">
        <f>IFERROR(__xludf.DUMMYFUNCTION("IF(AND($G$11,$G$1&gt;1,INDEX(I:I,ROW()-1)&lt;&gt;""""),ImportJSON(""https://public-api.solscan.io/account/splTransfers?account=""&amp;$G$2&amp;IF($G$5,""&amp;fromTime=""&amp;TO_TEXT($G$3)&amp;""&amp;toTime=""&amp;TO_TEXT($G$4),)&amp;""&amp;offset=""&amp;ROW()-2&amp;""&amp;limit=50""&amp;$G$7,TEXTJOIN("","",1,$H$1:$"&amp;"L$1),""noHeaders""),)"),"3")</f>
        <v>3</v>
      </c>
      <c r="I2" s="5" t="str">
        <f>IFERROR(__xludf.DUMMYFUNCTION("""COMPUTED_VALUE"""),"-5000000000")</f>
        <v>-5000000000</v>
      </c>
      <c r="J2" s="5" t="str">
        <f>IFERROR(__xludf.DUMMYFUNCTION("""COMPUTED_VALUE"""),"8")</f>
        <v>8</v>
      </c>
      <c r="K2" s="5" t="str">
        <f>IFERROR(__xludf.DUMMYFUNCTION("""COMPUTED_VALUE"""),"agEUR")</f>
        <v>agEUR</v>
      </c>
      <c r="L2" s="5" t="str">
        <f>IFERROR(__xludf.DUMMYFUNCTION("""COMPUTED_VALUE"""),"1656239091")</f>
        <v>1656239091</v>
      </c>
    </row>
    <row r="3">
      <c r="A3" s="35" t="str">
        <f t="shared" si="1"/>
        <v/>
      </c>
      <c r="B3" s="22" t="str">
        <f t="shared" si="2"/>
        <v/>
      </c>
      <c r="C3" s="14" t="str">
        <f>IF($A3&lt;&gt;"",MINIFS(Merchant!$A:$A,Merchant!$B:$B,$G$2),)</f>
        <v/>
      </c>
      <c r="D3" s="14" t="str">
        <f t="shared" si="3"/>
        <v/>
      </c>
      <c r="E3" s="14" t="str">
        <f t="shared" si="4"/>
        <v/>
      </c>
      <c r="F3" s="6" t="str">
        <f>IF($A3&lt;&gt;"",MAXIFS(#REF!,Token!$A:$A,$D3),)</f>
        <v/>
      </c>
      <c r="G3" s="5">
        <f>IFERROR((MIN(TODAY(),VLOOKUP($G$1,Merchant!$A:$L,10))-DATE(1970,1,1)-IF($G$6&lt;&gt;"",$G$6,0))*86400,0)</f>
        <v>1661713810</v>
      </c>
      <c r="H3" s="5" t="str">
        <f>IFERROR(__xludf.DUMMYFUNCTION("""COMPUTED_VALUE"""),"3")</f>
        <v>3</v>
      </c>
      <c r="I3" s="5" t="str">
        <f>IFERROR(__xludf.DUMMYFUNCTION("""COMPUTED_VALUE"""),"5000000000")</f>
        <v>5000000000</v>
      </c>
      <c r="J3" s="5" t="str">
        <f>IFERROR(__xludf.DUMMYFUNCTION("""COMPUTED_VALUE"""),"8")</f>
        <v>8</v>
      </c>
      <c r="K3" s="5" t="str">
        <f>IFERROR(__xludf.DUMMYFUNCTION("""COMPUTED_VALUE"""),"agEUR")</f>
        <v>agEUR</v>
      </c>
      <c r="L3" s="5" t="str">
        <f>IFERROR(__xludf.DUMMYFUNCTION("""COMPUTED_VALUE"""),"1656094934")</f>
        <v>1656094934</v>
      </c>
    </row>
    <row r="4">
      <c r="A4" s="35" t="str">
        <f t="shared" si="1"/>
        <v/>
      </c>
      <c r="B4" s="22" t="str">
        <f t="shared" si="2"/>
        <v/>
      </c>
      <c r="C4" s="14" t="str">
        <f>IF($A4&lt;&gt;"",MINIFS(Merchant!$A:$A,Merchant!$B:$B,$G$2),)</f>
        <v/>
      </c>
      <c r="D4" s="14" t="str">
        <f t="shared" si="3"/>
        <v/>
      </c>
      <c r="E4" s="14" t="str">
        <f t="shared" si="4"/>
        <v/>
      </c>
      <c r="F4" s="6" t="str">
        <f>IF($A4&lt;&gt;"",MAXIFS(#REF!,Token!$A:$A,$D4),)</f>
        <v/>
      </c>
      <c r="G4" s="5">
        <f>IFERROR((MAX(VLOOKUP($G$1,Merchant!$A:$L,10),VLOOKUP($G$1,Merchant!$A:$L,11))-DATE(1970,1,1)-IF($G$6&lt;&gt;"",$G$6,0))*86400,0)</f>
        <v>1662318000</v>
      </c>
      <c r="H4" s="5" t="str">
        <f>IFERROR(__xludf.DUMMYFUNCTION("""COMPUTED_VALUE"""),"3")</f>
        <v>3</v>
      </c>
      <c r="I4" s="5" t="str">
        <f>IFERROR(__xludf.DUMMYFUNCTION("""COMPUTED_VALUE"""),"0")</f>
        <v>0</v>
      </c>
      <c r="J4" s="5" t="str">
        <f>IFERROR(__xludf.DUMMYFUNCTION("""COMPUTED_VALUE"""),"8")</f>
        <v>8</v>
      </c>
      <c r="K4" s="5" t="str">
        <f>IFERROR(__xludf.DUMMYFUNCTION("""COMPUTED_VALUE"""),"agEUR")</f>
        <v>agEUR</v>
      </c>
      <c r="L4" s="5" t="str">
        <f>IFERROR(__xludf.DUMMYFUNCTION("""COMPUTED_VALUE"""),"1654189127")</f>
        <v>1654189127</v>
      </c>
    </row>
    <row r="5">
      <c r="A5" s="35" t="str">
        <f t="shared" si="1"/>
        <v/>
      </c>
      <c r="B5" s="22" t="str">
        <f t="shared" si="2"/>
        <v/>
      </c>
      <c r="C5" s="14" t="str">
        <f>IF($A5&lt;&gt;"",MINIFS(Merchant!$A:$A,Merchant!$B:$B,$G$2),)</f>
        <v/>
      </c>
      <c r="D5" s="14" t="str">
        <f t="shared" si="3"/>
        <v/>
      </c>
      <c r="E5" s="14" t="str">
        <f t="shared" si="4"/>
        <v/>
      </c>
      <c r="F5" s="6" t="str">
        <f>IF($A5&lt;&gt;"",MAXIFS(#REF!,Token!$A:$A,$D5),)</f>
        <v/>
      </c>
      <c r="G5" s="36" t="b">
        <f>FALSE</f>
        <v>0</v>
      </c>
    </row>
    <row r="6">
      <c r="A6" s="35" t="str">
        <f t="shared" si="1"/>
        <v/>
      </c>
      <c r="B6" s="22" t="str">
        <f t="shared" si="2"/>
        <v/>
      </c>
      <c r="C6" s="14" t="str">
        <f>IF($A6&lt;&gt;"",MINIFS(Merchant!$A:$A,Merchant!$B:$B,$G$2),)</f>
        <v/>
      </c>
      <c r="D6" s="14" t="str">
        <f t="shared" si="3"/>
        <v/>
      </c>
      <c r="E6" s="14" t="str">
        <f t="shared" si="4"/>
        <v/>
      </c>
      <c r="F6" s="6" t="str">
        <f>IF($A6&lt;&gt;"",MAXIFS(#REF!,Token!$A:$A,$D6),)</f>
        <v/>
      </c>
      <c r="G6" s="37">
        <f>TIME(2,0,0)</f>
        <v>0.08333333333</v>
      </c>
    </row>
    <row r="7">
      <c r="A7" s="35" t="str">
        <f t="shared" si="1"/>
        <v/>
      </c>
      <c r="B7" s="22" t="str">
        <f t="shared" si="2"/>
        <v/>
      </c>
      <c r="C7" s="14" t="str">
        <f>IF($A7&lt;&gt;"",MINIFS(Merchant!$A:$A,Merchant!$B:$B,$G$2),)</f>
        <v/>
      </c>
      <c r="D7" s="14" t="str">
        <f t="shared" si="3"/>
        <v/>
      </c>
      <c r="E7" s="14" t="str">
        <f t="shared" si="4"/>
        <v/>
      </c>
      <c r="F7" s="6" t="str">
        <f>IF($A7&lt;&gt;"",MAXIFS(#REF!,Token!$A:$A,$D7),)</f>
        <v/>
      </c>
      <c r="G7" s="14" t="s">
        <v>100</v>
      </c>
    </row>
    <row r="8">
      <c r="A8" s="35" t="str">
        <f t="shared" si="1"/>
        <v/>
      </c>
      <c r="B8" s="22" t="str">
        <f t="shared" si="2"/>
        <v/>
      </c>
      <c r="C8" s="14" t="str">
        <f>IF($A8&lt;&gt;"",MINIFS(Merchant!$A:$A,Merchant!$B:$B,$G$2),)</f>
        <v/>
      </c>
      <c r="D8" s="14" t="str">
        <f t="shared" si="3"/>
        <v/>
      </c>
      <c r="E8" s="14" t="str">
        <f t="shared" si="4"/>
        <v/>
      </c>
      <c r="F8" s="6" t="str">
        <f>IF($A8&lt;&gt;"",MAXIFS(#REF!,Token!$A:$A,$D8),)</f>
        <v/>
      </c>
      <c r="G8" s="5" t="b">
        <f>COUNTIF(OFFSET($A:$A,1,0),"&lt;&gt;")&lt;&gt;COUNTIF(Transactions!$C:$C,$G$1)</f>
        <v>0</v>
      </c>
    </row>
    <row r="9">
      <c r="A9" s="35" t="str">
        <f t="shared" si="1"/>
        <v/>
      </c>
      <c r="B9" s="22" t="str">
        <f t="shared" si="2"/>
        <v/>
      </c>
      <c r="C9" s="14" t="str">
        <f>IF($A9&lt;&gt;"",MINIFS(Merchant!$A:$A,Merchant!$B:$B,$G$2),)</f>
        <v/>
      </c>
      <c r="D9" s="14" t="str">
        <f t="shared" si="3"/>
        <v/>
      </c>
      <c r="E9" s="14" t="str">
        <f t="shared" si="4"/>
        <v/>
      </c>
      <c r="F9" s="6" t="str">
        <f>IF($A9&lt;&gt;"",MAXIFS(#REF!,Token!$A:$A,$D9),)</f>
        <v/>
      </c>
      <c r="G9" s="38">
        <f>TODAY()+TIME(7,0,0)</f>
        <v>44807.29167</v>
      </c>
    </row>
    <row r="10">
      <c r="A10" s="35" t="str">
        <f t="shared" si="1"/>
        <v/>
      </c>
      <c r="B10" s="22" t="str">
        <f t="shared" si="2"/>
        <v/>
      </c>
      <c r="C10" s="14" t="str">
        <f>IF($A10&lt;&gt;"",MINIFS(Merchant!$A:$A,Merchant!$B:$B,$G$2),)</f>
        <v/>
      </c>
      <c r="D10" s="14" t="str">
        <f t="shared" si="3"/>
        <v/>
      </c>
      <c r="E10" s="14" t="str">
        <f t="shared" si="4"/>
        <v/>
      </c>
      <c r="F10" s="6" t="str">
        <f>IF($A10&lt;&gt;"",MAXIFS(#REF!,Token!$A:$A,$D10),)</f>
        <v/>
      </c>
      <c r="G10" s="38">
        <f>TODAY()+TIME(22,0,0)</f>
        <v>44807.91667</v>
      </c>
    </row>
    <row r="11">
      <c r="A11" s="35" t="str">
        <f t="shared" si="1"/>
        <v/>
      </c>
      <c r="B11" s="22" t="str">
        <f t="shared" si="2"/>
        <v/>
      </c>
      <c r="C11" s="14" t="str">
        <f>IF($A11&lt;&gt;"",MINIFS(Merchant!$A:$A,Merchant!$B:$B,$G$2),)</f>
        <v/>
      </c>
      <c r="D11" s="14" t="str">
        <f t="shared" si="3"/>
        <v/>
      </c>
      <c r="E11" s="14" t="str">
        <f t="shared" si="4"/>
        <v/>
      </c>
      <c r="F11" s="6" t="str">
        <f>IF($A11&lt;&gt;"",MAXIFS(#REF!,Token!$A:$A,$D11),)</f>
        <v/>
      </c>
      <c r="G11" s="5" t="b">
        <f>OR(TRUE,AND(NOW()&gt;$G$9,NOW()&lt;=$G$10))</f>
        <v>1</v>
      </c>
    </row>
    <row r="12">
      <c r="A12" s="35" t="str">
        <f t="shared" si="1"/>
        <v/>
      </c>
      <c r="B12" s="22" t="str">
        <f t="shared" si="2"/>
        <v/>
      </c>
      <c r="C12" s="14" t="str">
        <f>IF($A12&lt;&gt;"",MINIFS(Merchant!$A:$A,Merchant!$B:$B,$G$2),)</f>
        <v/>
      </c>
      <c r="D12" s="14" t="str">
        <f t="shared" si="3"/>
        <v/>
      </c>
      <c r="E12" s="14" t="str">
        <f t="shared" si="4"/>
        <v/>
      </c>
      <c r="F12" s="6" t="str">
        <f>IF($A12&lt;&gt;"",MAXIFS(#REF!,Token!$A:$A,$D12),)</f>
        <v/>
      </c>
    </row>
    <row r="13">
      <c r="A13" s="35" t="str">
        <f t="shared" si="1"/>
        <v/>
      </c>
      <c r="B13" s="22" t="str">
        <f t="shared" si="2"/>
        <v/>
      </c>
      <c r="C13" s="14" t="str">
        <f>IF($A13&lt;&gt;"",MINIFS(Merchant!$A:$A,Merchant!$B:$B,$G$2),)</f>
        <v/>
      </c>
      <c r="D13" s="14" t="str">
        <f t="shared" si="3"/>
        <v/>
      </c>
      <c r="E13" s="14" t="str">
        <f t="shared" si="4"/>
        <v/>
      </c>
      <c r="F13" s="6" t="str">
        <f>IF($A13&lt;&gt;"",MAXIFS(#REF!,Token!$A:$A,$D13),)</f>
        <v/>
      </c>
    </row>
    <row r="14">
      <c r="A14" s="35" t="str">
        <f t="shared" si="1"/>
        <v/>
      </c>
      <c r="B14" s="22" t="str">
        <f t="shared" si="2"/>
        <v/>
      </c>
      <c r="C14" s="14" t="str">
        <f>IF($A14&lt;&gt;"",MINIFS(Merchant!$A:$A,Merchant!$B:$B,$G$2),)</f>
        <v/>
      </c>
      <c r="D14" s="14" t="str">
        <f t="shared" si="3"/>
        <v/>
      </c>
      <c r="E14" s="14" t="str">
        <f t="shared" si="4"/>
        <v/>
      </c>
      <c r="F14" s="6" t="str">
        <f>IF($A14&lt;&gt;"",MAXIFS(#REF!,Token!$A:$A,$D14),)</f>
        <v/>
      </c>
    </row>
    <row r="15">
      <c r="A15" s="35" t="str">
        <f t="shared" si="1"/>
        <v/>
      </c>
      <c r="B15" s="22" t="str">
        <f t="shared" si="2"/>
        <v/>
      </c>
      <c r="C15" s="14" t="str">
        <f>IF($A15&lt;&gt;"",MINIFS(Merchant!$A:$A,Merchant!$B:$B,$G$2),)</f>
        <v/>
      </c>
      <c r="D15" s="14" t="str">
        <f t="shared" si="3"/>
        <v/>
      </c>
      <c r="E15" s="14" t="str">
        <f t="shared" si="4"/>
        <v/>
      </c>
      <c r="F15" s="6" t="str">
        <f>IF($A15&lt;&gt;"",MAXIFS(#REF!,Token!$A:$A,$D15),)</f>
        <v/>
      </c>
      <c r="G15" s="35"/>
    </row>
    <row r="16">
      <c r="A16" s="35" t="str">
        <f t="shared" si="1"/>
        <v/>
      </c>
      <c r="B16" s="22" t="str">
        <f t="shared" si="2"/>
        <v/>
      </c>
      <c r="C16" s="14" t="str">
        <f>IF($A16&lt;&gt;"",MINIFS(Merchant!$A:$A,Merchant!$B:$B,$G$2),)</f>
        <v/>
      </c>
      <c r="D16" s="14" t="str">
        <f t="shared" si="3"/>
        <v/>
      </c>
      <c r="E16" s="14" t="str">
        <f t="shared" si="4"/>
        <v/>
      </c>
      <c r="F16" s="6" t="str">
        <f>IF($A16&lt;&gt;"",MAXIFS(#REF!,Token!$A:$A,$D16),)</f>
        <v/>
      </c>
    </row>
    <row r="17">
      <c r="A17" s="35" t="str">
        <f t="shared" si="1"/>
        <v/>
      </c>
      <c r="B17" s="22" t="str">
        <f t="shared" si="2"/>
        <v/>
      </c>
      <c r="C17" s="14" t="str">
        <f>IF($A17&lt;&gt;"",MINIFS(Merchant!$A:$A,Merchant!$B:$B,$G$2),)</f>
        <v/>
      </c>
      <c r="D17" s="14" t="str">
        <f t="shared" si="3"/>
        <v/>
      </c>
      <c r="E17" s="14" t="str">
        <f t="shared" si="4"/>
        <v/>
      </c>
      <c r="F17" s="6" t="str">
        <f>IF($A17&lt;&gt;"",MAXIFS(#REF!,Token!$A:$A,$D17),)</f>
        <v/>
      </c>
    </row>
    <row r="18">
      <c r="A18" s="35" t="str">
        <f t="shared" si="1"/>
        <v/>
      </c>
      <c r="B18" s="22" t="str">
        <f t="shared" si="2"/>
        <v/>
      </c>
      <c r="C18" s="14" t="str">
        <f>IF($A18&lt;&gt;"",MINIFS(Merchant!$A:$A,Merchant!$B:$B,$G$2),)</f>
        <v/>
      </c>
      <c r="D18" s="14" t="str">
        <f t="shared" si="3"/>
        <v/>
      </c>
      <c r="E18" s="14" t="str">
        <f t="shared" si="4"/>
        <v/>
      </c>
      <c r="F18" s="6" t="str">
        <f>IF($A18&lt;&gt;"",MAXIFS(#REF!,Token!$A:$A,$D18),)</f>
        <v/>
      </c>
    </row>
    <row r="19">
      <c r="A19" s="35" t="str">
        <f t="shared" si="1"/>
        <v/>
      </c>
      <c r="B19" s="22" t="str">
        <f t="shared" si="2"/>
        <v/>
      </c>
      <c r="C19" s="14" t="str">
        <f>IF($A19&lt;&gt;"",MINIFS(Merchant!$A:$A,Merchant!$B:$B,$G$2),)</f>
        <v/>
      </c>
      <c r="D19" s="14" t="str">
        <f t="shared" si="3"/>
        <v/>
      </c>
      <c r="E19" s="14" t="str">
        <f t="shared" si="4"/>
        <v/>
      </c>
      <c r="F19" s="6" t="str">
        <f>IF($A19&lt;&gt;"",MAXIFS(#REF!,Token!$A:$A,$D19),)</f>
        <v/>
      </c>
    </row>
    <row r="20">
      <c r="A20" s="35" t="str">
        <f t="shared" si="1"/>
        <v/>
      </c>
      <c r="B20" s="22" t="str">
        <f t="shared" si="2"/>
        <v/>
      </c>
      <c r="C20" s="14" t="str">
        <f>IF($A20&lt;&gt;"",MINIFS(Merchant!$A:$A,Merchant!$B:$B,$G$2),)</f>
        <v/>
      </c>
      <c r="D20" s="14" t="str">
        <f t="shared" si="3"/>
        <v/>
      </c>
      <c r="E20" s="14" t="str">
        <f t="shared" si="4"/>
        <v/>
      </c>
      <c r="F20" s="6" t="str">
        <f>IF($A20&lt;&gt;"",MAXIFS(#REF!,Token!$A:$A,$D20),)</f>
        <v/>
      </c>
    </row>
    <row r="21">
      <c r="A21" s="35" t="str">
        <f t="shared" si="1"/>
        <v/>
      </c>
      <c r="B21" s="22" t="str">
        <f t="shared" si="2"/>
        <v/>
      </c>
      <c r="C21" s="14" t="str">
        <f>IF($A21&lt;&gt;"",MINIFS(Merchant!$A:$A,Merchant!$B:$B,$G$2),)</f>
        <v/>
      </c>
      <c r="D21" s="14" t="str">
        <f t="shared" si="3"/>
        <v/>
      </c>
      <c r="E21" s="14" t="str">
        <f t="shared" si="4"/>
        <v/>
      </c>
      <c r="F21" s="6" t="str">
        <f>IF($A21&lt;&gt;"",MAXIFS(#REF!,Token!$A:$A,$D21),)</f>
        <v/>
      </c>
    </row>
    <row r="22">
      <c r="A22" s="35" t="str">
        <f t="shared" si="1"/>
        <v/>
      </c>
      <c r="B22" s="22" t="str">
        <f t="shared" si="2"/>
        <v/>
      </c>
      <c r="C22" s="14" t="str">
        <f>IF($A22&lt;&gt;"",MINIFS(Merchant!$A:$A,Merchant!$B:$B,$G$2),)</f>
        <v/>
      </c>
      <c r="D22" s="14" t="str">
        <f t="shared" si="3"/>
        <v/>
      </c>
      <c r="E22" s="14" t="str">
        <f t="shared" si="4"/>
        <v/>
      </c>
      <c r="F22" s="6" t="str">
        <f>IF($A22&lt;&gt;"",MAXIFS(#REF!,Token!$A:$A,$D22),)</f>
        <v/>
      </c>
    </row>
    <row r="23">
      <c r="A23" s="35" t="str">
        <f t="shared" si="1"/>
        <v/>
      </c>
      <c r="B23" s="22" t="str">
        <f t="shared" si="2"/>
        <v/>
      </c>
      <c r="C23" s="14" t="str">
        <f>IF($A23&lt;&gt;"",MINIFS(Merchant!$A:$A,Merchant!$B:$B,$G$2),)</f>
        <v/>
      </c>
      <c r="D23" s="14" t="str">
        <f t="shared" si="3"/>
        <v/>
      </c>
      <c r="E23" s="14" t="str">
        <f t="shared" si="4"/>
        <v/>
      </c>
      <c r="F23" s="6" t="str">
        <f>IF($A23&lt;&gt;"",MAXIFS(#REF!,Token!$A:$A,$D23),)</f>
        <v/>
      </c>
    </row>
    <row r="24">
      <c r="A24" s="35" t="str">
        <f t="shared" si="1"/>
        <v/>
      </c>
      <c r="B24" s="22" t="str">
        <f t="shared" si="2"/>
        <v/>
      </c>
      <c r="C24" s="14" t="str">
        <f>IF($A24&lt;&gt;"",MINIFS(Merchant!$A:$A,Merchant!$B:$B,$G$2),)</f>
        <v/>
      </c>
      <c r="D24" s="14" t="str">
        <f t="shared" si="3"/>
        <v/>
      </c>
      <c r="E24" s="14" t="str">
        <f t="shared" si="4"/>
        <v/>
      </c>
      <c r="F24" s="6" t="str">
        <f>IF($A24&lt;&gt;"",MAXIFS(#REF!,Token!$A:$A,$D24),)</f>
        <v/>
      </c>
    </row>
    <row r="25">
      <c r="A25" s="35" t="str">
        <f t="shared" si="1"/>
        <v/>
      </c>
      <c r="B25" s="22" t="str">
        <f t="shared" si="2"/>
        <v/>
      </c>
      <c r="C25" s="14" t="str">
        <f>IF($A25&lt;&gt;"",MINIFS(Merchant!$A:$A,Merchant!$B:$B,$G$2),)</f>
        <v/>
      </c>
      <c r="D25" s="14" t="str">
        <f t="shared" si="3"/>
        <v/>
      </c>
      <c r="E25" s="14" t="str">
        <f t="shared" si="4"/>
        <v/>
      </c>
      <c r="F25" s="6" t="str">
        <f>IF($A25&lt;&gt;"",MAXIFS(#REF!,Token!$A:$A,$D25),)</f>
        <v/>
      </c>
    </row>
    <row r="26">
      <c r="A26" s="35" t="str">
        <f t="shared" si="1"/>
        <v/>
      </c>
      <c r="B26" s="22" t="str">
        <f t="shared" si="2"/>
        <v/>
      </c>
      <c r="C26" s="14" t="str">
        <f>IF($A26&lt;&gt;"",MINIFS(Merchant!$A:$A,Merchant!$B:$B,$G$2),)</f>
        <v/>
      </c>
      <c r="D26" s="14" t="str">
        <f t="shared" si="3"/>
        <v/>
      </c>
      <c r="E26" s="14" t="str">
        <f t="shared" si="4"/>
        <v/>
      </c>
      <c r="F26" s="6" t="str">
        <f>IF($A26&lt;&gt;"",MAXIFS(#REF!,Token!$A:$A,$D26),)</f>
        <v/>
      </c>
    </row>
    <row r="27">
      <c r="A27" s="35" t="str">
        <f t="shared" si="1"/>
        <v/>
      </c>
      <c r="B27" s="22" t="str">
        <f t="shared" si="2"/>
        <v/>
      </c>
      <c r="C27" s="14" t="str">
        <f>IF($A27&lt;&gt;"",MINIFS(Merchant!$A:$A,Merchant!$B:$B,$G$2),)</f>
        <v/>
      </c>
      <c r="D27" s="14" t="str">
        <f t="shared" si="3"/>
        <v/>
      </c>
      <c r="E27" s="14" t="str">
        <f t="shared" si="4"/>
        <v/>
      </c>
      <c r="F27" s="6" t="str">
        <f>IF($A27&lt;&gt;"",MAXIFS(#REF!,Token!$A:$A,$D27),)</f>
        <v/>
      </c>
    </row>
    <row r="28">
      <c r="A28" s="35" t="str">
        <f t="shared" si="1"/>
        <v/>
      </c>
      <c r="B28" s="22" t="str">
        <f t="shared" si="2"/>
        <v/>
      </c>
      <c r="C28" s="14" t="str">
        <f>IF($A28&lt;&gt;"",MINIFS(Merchant!$A:$A,Merchant!$B:$B,$G$2),)</f>
        <v/>
      </c>
      <c r="D28" s="14" t="str">
        <f t="shared" si="3"/>
        <v/>
      </c>
      <c r="E28" s="14" t="str">
        <f t="shared" si="4"/>
        <v/>
      </c>
      <c r="F28" s="6" t="str">
        <f>IF($A28&lt;&gt;"",MAXIFS(#REF!,Token!$A:$A,$D28),)</f>
        <v/>
      </c>
    </row>
    <row r="29">
      <c r="A29" s="35" t="str">
        <f t="shared" si="1"/>
        <v/>
      </c>
      <c r="B29" s="22" t="str">
        <f t="shared" si="2"/>
        <v/>
      </c>
      <c r="C29" s="14" t="str">
        <f>IF($A29&lt;&gt;"",MINIFS(Merchant!$A:$A,Merchant!$B:$B,$G$2),)</f>
        <v/>
      </c>
      <c r="D29" s="14" t="str">
        <f t="shared" si="3"/>
        <v/>
      </c>
      <c r="E29" s="14" t="str">
        <f t="shared" si="4"/>
        <v/>
      </c>
      <c r="F29" s="6" t="str">
        <f>IF($A29&lt;&gt;"",MAXIFS(#REF!,Token!$A:$A,$D29),)</f>
        <v/>
      </c>
    </row>
    <row r="30">
      <c r="A30" s="35" t="str">
        <f t="shared" si="1"/>
        <v/>
      </c>
      <c r="B30" s="22" t="str">
        <f t="shared" si="2"/>
        <v/>
      </c>
      <c r="C30" s="14" t="str">
        <f>IF($A30&lt;&gt;"",MINIFS(Merchant!$A:$A,Merchant!$B:$B,$G$2),)</f>
        <v/>
      </c>
      <c r="D30" s="14" t="str">
        <f t="shared" si="3"/>
        <v/>
      </c>
      <c r="E30" s="14" t="str">
        <f t="shared" si="4"/>
        <v/>
      </c>
      <c r="F30" s="6" t="str">
        <f>IF($A30&lt;&gt;"",MAXIFS(#REF!,Token!$A:$A,$D30),)</f>
        <v/>
      </c>
    </row>
    <row r="31">
      <c r="A31" s="35" t="str">
        <f t="shared" si="1"/>
        <v/>
      </c>
      <c r="B31" s="22" t="str">
        <f t="shared" si="2"/>
        <v/>
      </c>
      <c r="C31" s="14" t="str">
        <f>IF($A31&lt;&gt;"",MINIFS(Merchant!$A:$A,Merchant!$B:$B,$G$2),)</f>
        <v/>
      </c>
      <c r="D31" s="14" t="str">
        <f t="shared" si="3"/>
        <v/>
      </c>
      <c r="E31" s="14" t="str">
        <f t="shared" si="4"/>
        <v/>
      </c>
      <c r="F31" s="6" t="str">
        <f>IF($A31&lt;&gt;"",MAXIFS(#REF!,Token!$A:$A,$D31),)</f>
        <v/>
      </c>
    </row>
    <row r="32">
      <c r="A32" s="35" t="str">
        <f t="shared" si="1"/>
        <v/>
      </c>
      <c r="B32" s="22" t="str">
        <f t="shared" si="2"/>
        <v/>
      </c>
      <c r="C32" s="14" t="str">
        <f>IF($A32&lt;&gt;"",MINIFS(Merchant!$A:$A,Merchant!$B:$B,$G$2),)</f>
        <v/>
      </c>
      <c r="D32" s="14" t="str">
        <f t="shared" si="3"/>
        <v/>
      </c>
      <c r="E32" s="14" t="str">
        <f t="shared" si="4"/>
        <v/>
      </c>
      <c r="F32" s="6" t="str">
        <f>IF($A32&lt;&gt;"",MAXIFS(#REF!,Token!$A:$A,$D32),)</f>
        <v/>
      </c>
    </row>
    <row r="33">
      <c r="A33" s="35" t="str">
        <f t="shared" si="1"/>
        <v/>
      </c>
      <c r="B33" s="22" t="str">
        <f t="shared" si="2"/>
        <v/>
      </c>
      <c r="C33" s="14" t="str">
        <f>IF($A33&lt;&gt;"",MINIFS(Merchant!$A:$A,Merchant!$B:$B,$G$2),)</f>
        <v/>
      </c>
      <c r="D33" s="14" t="str">
        <f t="shared" si="3"/>
        <v/>
      </c>
      <c r="E33" s="14" t="str">
        <f t="shared" si="4"/>
        <v/>
      </c>
      <c r="F33" s="6" t="str">
        <f>IF($A33&lt;&gt;"",MAXIFS(#REF!,Token!$A:$A,$D33),)</f>
        <v/>
      </c>
    </row>
    <row r="34">
      <c r="A34" s="35" t="str">
        <f t="shared" si="1"/>
        <v/>
      </c>
      <c r="B34" s="22" t="str">
        <f t="shared" si="2"/>
        <v/>
      </c>
      <c r="C34" s="14" t="str">
        <f>IF($A34&lt;&gt;"",MINIFS(Merchant!$A:$A,Merchant!$B:$B,$G$2),)</f>
        <v/>
      </c>
      <c r="D34" s="14" t="str">
        <f t="shared" si="3"/>
        <v/>
      </c>
      <c r="E34" s="14" t="str">
        <f t="shared" si="4"/>
        <v/>
      </c>
      <c r="F34" s="6" t="str">
        <f>IF($A34&lt;&gt;"",MAXIFS(#REF!,Token!$A:$A,$D34),)</f>
        <v/>
      </c>
    </row>
    <row r="35">
      <c r="A35" s="35" t="str">
        <f t="shared" si="1"/>
        <v/>
      </c>
      <c r="B35" s="22" t="str">
        <f t="shared" si="2"/>
        <v/>
      </c>
      <c r="C35" s="14" t="str">
        <f>IF($A35&lt;&gt;"",MINIFS(Merchant!$A:$A,Merchant!$B:$B,$G$2),)</f>
        <v/>
      </c>
      <c r="D35" s="14" t="str">
        <f t="shared" si="3"/>
        <v/>
      </c>
      <c r="E35" s="14" t="str">
        <f t="shared" si="4"/>
        <v/>
      </c>
      <c r="F35" s="6" t="str">
        <f>IF($A35&lt;&gt;"",MAXIFS(#REF!,Token!$A:$A,$D35),)</f>
        <v/>
      </c>
    </row>
    <row r="36">
      <c r="A36" s="35" t="str">
        <f t="shared" si="1"/>
        <v/>
      </c>
      <c r="B36" s="22" t="str">
        <f t="shared" si="2"/>
        <v/>
      </c>
      <c r="C36" s="14" t="str">
        <f>IF($A36&lt;&gt;"",MINIFS(Merchant!$A:$A,Merchant!$B:$B,$G$2),)</f>
        <v/>
      </c>
      <c r="D36" s="14" t="str">
        <f t="shared" si="3"/>
        <v/>
      </c>
      <c r="E36" s="14" t="str">
        <f t="shared" si="4"/>
        <v/>
      </c>
      <c r="F36" s="6" t="str">
        <f>IF($A36&lt;&gt;"",MAXIFS(#REF!,Token!$A:$A,$D36),)</f>
        <v/>
      </c>
    </row>
    <row r="37">
      <c r="A37" s="35" t="str">
        <f t="shared" si="1"/>
        <v/>
      </c>
      <c r="B37" s="22" t="str">
        <f t="shared" si="2"/>
        <v/>
      </c>
      <c r="C37" s="14" t="str">
        <f>IF($A37&lt;&gt;"",MINIFS(Merchant!$A:$A,Merchant!$B:$B,$G$2),)</f>
        <v/>
      </c>
      <c r="D37" s="14" t="str">
        <f t="shared" si="3"/>
        <v/>
      </c>
      <c r="E37" s="14" t="str">
        <f t="shared" si="4"/>
        <v/>
      </c>
      <c r="F37" s="6" t="str">
        <f>IF($A37&lt;&gt;"",MAXIFS(#REF!,Token!$A:$A,$D37),)</f>
        <v/>
      </c>
    </row>
    <row r="38">
      <c r="A38" s="35" t="str">
        <f t="shared" si="1"/>
        <v/>
      </c>
      <c r="B38" s="22" t="str">
        <f t="shared" si="2"/>
        <v/>
      </c>
      <c r="C38" s="14" t="str">
        <f>IF($A38&lt;&gt;"",MINIFS(Merchant!$A:$A,Merchant!$B:$B,$G$2),)</f>
        <v/>
      </c>
      <c r="D38" s="14" t="str">
        <f t="shared" si="3"/>
        <v/>
      </c>
      <c r="E38" s="14" t="str">
        <f t="shared" si="4"/>
        <v/>
      </c>
      <c r="F38" s="6" t="str">
        <f>IF($A38&lt;&gt;"",MAXIFS(#REF!,Token!$A:$A,$D38),)</f>
        <v/>
      </c>
    </row>
    <row r="39">
      <c r="A39" s="35" t="str">
        <f t="shared" si="1"/>
        <v/>
      </c>
      <c r="B39" s="22" t="str">
        <f t="shared" si="2"/>
        <v/>
      </c>
      <c r="C39" s="14" t="str">
        <f>IF($A39&lt;&gt;"",MINIFS(Merchant!$A:$A,Merchant!$B:$B,$G$2),)</f>
        <v/>
      </c>
      <c r="D39" s="14" t="str">
        <f t="shared" si="3"/>
        <v/>
      </c>
      <c r="E39" s="14" t="str">
        <f t="shared" si="4"/>
        <v/>
      </c>
      <c r="F39" s="6" t="str">
        <f>IF($A39&lt;&gt;"",MAXIFS(#REF!,Token!$A:$A,$D39),)</f>
        <v/>
      </c>
    </row>
    <row r="40">
      <c r="A40" s="35" t="str">
        <f t="shared" si="1"/>
        <v/>
      </c>
      <c r="B40" s="22" t="str">
        <f t="shared" si="2"/>
        <v/>
      </c>
      <c r="C40" s="14" t="str">
        <f>IF($A40&lt;&gt;"",MINIFS(Merchant!$A:$A,Merchant!$B:$B,$G$2),)</f>
        <v/>
      </c>
      <c r="D40" s="14" t="str">
        <f t="shared" si="3"/>
        <v/>
      </c>
      <c r="E40" s="14" t="str">
        <f t="shared" si="4"/>
        <v/>
      </c>
      <c r="F40" s="6" t="str">
        <f>IF($A40&lt;&gt;"",MAXIFS(#REF!,Token!$A:$A,$D40),)</f>
        <v/>
      </c>
    </row>
    <row r="41">
      <c r="A41" s="35" t="str">
        <f t="shared" si="1"/>
        <v/>
      </c>
      <c r="B41" s="22" t="str">
        <f t="shared" si="2"/>
        <v/>
      </c>
      <c r="C41" s="14" t="str">
        <f>IF($A41&lt;&gt;"",MINIFS(Merchant!$A:$A,Merchant!$B:$B,$G$2),)</f>
        <v/>
      </c>
      <c r="D41" s="14" t="str">
        <f t="shared" si="3"/>
        <v/>
      </c>
      <c r="E41" s="14" t="str">
        <f t="shared" si="4"/>
        <v/>
      </c>
      <c r="F41" s="6" t="str">
        <f>IF($A41&lt;&gt;"",MAXIFS(#REF!,Token!$A:$A,$D41),)</f>
        <v/>
      </c>
    </row>
    <row r="42">
      <c r="A42" s="35" t="str">
        <f t="shared" si="1"/>
        <v/>
      </c>
      <c r="B42" s="22" t="str">
        <f t="shared" si="2"/>
        <v/>
      </c>
      <c r="C42" s="14" t="str">
        <f>IF($A42&lt;&gt;"",MINIFS(Merchant!$A:$A,Merchant!$B:$B,$G$2),)</f>
        <v/>
      </c>
      <c r="D42" s="14" t="str">
        <f t="shared" si="3"/>
        <v/>
      </c>
      <c r="E42" s="14" t="str">
        <f t="shared" si="4"/>
        <v/>
      </c>
      <c r="F42" s="6" t="str">
        <f>IF($A42&lt;&gt;"",MAXIFS(#REF!,Token!$A:$A,$D42),)</f>
        <v/>
      </c>
    </row>
    <row r="43">
      <c r="A43" s="35" t="str">
        <f t="shared" si="1"/>
        <v/>
      </c>
      <c r="B43" s="22" t="str">
        <f t="shared" si="2"/>
        <v/>
      </c>
      <c r="C43" s="14" t="str">
        <f>IF($A43&lt;&gt;"",MINIFS(Merchant!$A:$A,Merchant!$B:$B,$G$2),)</f>
        <v/>
      </c>
      <c r="D43" s="14" t="str">
        <f t="shared" si="3"/>
        <v/>
      </c>
      <c r="E43" s="14" t="str">
        <f t="shared" si="4"/>
        <v/>
      </c>
      <c r="F43" s="6" t="str">
        <f>IF($A43&lt;&gt;"",MAXIFS(#REF!,Token!$A:$A,$D43),)</f>
        <v/>
      </c>
    </row>
    <row r="44">
      <c r="A44" s="35" t="str">
        <f t="shared" si="1"/>
        <v/>
      </c>
      <c r="B44" s="22" t="str">
        <f t="shared" si="2"/>
        <v/>
      </c>
      <c r="C44" s="14" t="str">
        <f>IF($A44&lt;&gt;"",MINIFS(Merchant!$A:$A,Merchant!$B:$B,$G$2),)</f>
        <v/>
      </c>
      <c r="D44" s="14" t="str">
        <f t="shared" si="3"/>
        <v/>
      </c>
      <c r="E44" s="14" t="str">
        <f t="shared" si="4"/>
        <v/>
      </c>
      <c r="F44" s="6" t="str">
        <f>IF($A44&lt;&gt;"",MAXIFS(#REF!,Token!$A:$A,$D44),)</f>
        <v/>
      </c>
    </row>
    <row r="45">
      <c r="A45" s="35" t="str">
        <f t="shared" si="1"/>
        <v/>
      </c>
      <c r="B45" s="22" t="str">
        <f t="shared" si="2"/>
        <v/>
      </c>
      <c r="C45" s="14" t="str">
        <f>IF($A45&lt;&gt;"",MINIFS(Merchant!$A:$A,Merchant!$B:$B,$G$2),)</f>
        <v/>
      </c>
      <c r="D45" s="14" t="str">
        <f t="shared" si="3"/>
        <v/>
      </c>
      <c r="E45" s="14" t="str">
        <f t="shared" si="4"/>
        <v/>
      </c>
      <c r="F45" s="6" t="str">
        <f>IF($A45&lt;&gt;"",MAXIFS(#REF!,Token!$A:$A,$D45),)</f>
        <v/>
      </c>
    </row>
    <row r="46">
      <c r="A46" s="35" t="str">
        <f t="shared" si="1"/>
        <v/>
      </c>
      <c r="B46" s="22" t="str">
        <f t="shared" si="2"/>
        <v/>
      </c>
      <c r="C46" s="14" t="str">
        <f>IF($A46&lt;&gt;"",MINIFS(Merchant!$A:$A,Merchant!$B:$B,$G$2),)</f>
        <v/>
      </c>
      <c r="D46" s="14" t="str">
        <f t="shared" si="3"/>
        <v/>
      </c>
      <c r="E46" s="14" t="str">
        <f t="shared" si="4"/>
        <v/>
      </c>
      <c r="F46" s="6" t="str">
        <f>IF($A46&lt;&gt;"",MAXIFS(#REF!,Token!$A:$A,$D46),)</f>
        <v/>
      </c>
    </row>
    <row r="47">
      <c r="A47" s="35" t="str">
        <f t="shared" si="1"/>
        <v/>
      </c>
      <c r="B47" s="22" t="str">
        <f t="shared" si="2"/>
        <v/>
      </c>
      <c r="C47" s="14" t="str">
        <f>IF($A47&lt;&gt;"",MINIFS(Merchant!$A:$A,Merchant!$B:$B,$G$2),)</f>
        <v/>
      </c>
      <c r="D47" s="14" t="str">
        <f t="shared" si="3"/>
        <v/>
      </c>
      <c r="E47" s="14" t="str">
        <f t="shared" si="4"/>
        <v/>
      </c>
      <c r="F47" s="6" t="str">
        <f>IF($A47&lt;&gt;"",MAXIFS(#REF!,Token!$A:$A,$D47),)</f>
        <v/>
      </c>
    </row>
    <row r="48">
      <c r="A48" s="35" t="str">
        <f t="shared" si="1"/>
        <v/>
      </c>
      <c r="B48" s="22" t="str">
        <f t="shared" si="2"/>
        <v/>
      </c>
      <c r="C48" s="14" t="str">
        <f>IF($A48&lt;&gt;"",MINIFS(Merchant!$A:$A,Merchant!$B:$B,$G$2),)</f>
        <v/>
      </c>
      <c r="D48" s="14" t="str">
        <f t="shared" si="3"/>
        <v/>
      </c>
      <c r="E48" s="14" t="str">
        <f t="shared" si="4"/>
        <v/>
      </c>
      <c r="F48" s="6" t="str">
        <f>IF($A48&lt;&gt;"",MAXIFS(#REF!,Token!$A:$A,$D48),)</f>
        <v/>
      </c>
    </row>
    <row r="49">
      <c r="A49" s="35" t="str">
        <f t="shared" si="1"/>
        <v/>
      </c>
      <c r="B49" s="22" t="str">
        <f t="shared" si="2"/>
        <v/>
      </c>
      <c r="C49" s="14" t="str">
        <f>IF($A49&lt;&gt;"",MINIFS(Merchant!$A:$A,Merchant!$B:$B,$G$2),)</f>
        <v/>
      </c>
      <c r="D49" s="14" t="str">
        <f t="shared" si="3"/>
        <v/>
      </c>
      <c r="E49" s="14" t="str">
        <f t="shared" si="4"/>
        <v/>
      </c>
      <c r="F49" s="6" t="str">
        <f>IF($A49&lt;&gt;"",MAXIFS(#REF!,Token!$A:$A,$D49),)</f>
        <v/>
      </c>
    </row>
    <row r="50">
      <c r="A50" s="35" t="str">
        <f t="shared" si="1"/>
        <v/>
      </c>
      <c r="B50" s="22" t="str">
        <f t="shared" si="2"/>
        <v/>
      </c>
      <c r="C50" s="14" t="str">
        <f>IF($A50&lt;&gt;"",MINIFS(Merchant!$A:$A,Merchant!$B:$B,$G$2),)</f>
        <v/>
      </c>
      <c r="D50" s="14" t="str">
        <f t="shared" si="3"/>
        <v/>
      </c>
      <c r="E50" s="14" t="str">
        <f t="shared" si="4"/>
        <v/>
      </c>
      <c r="F50" s="6" t="str">
        <f>IF($A50&lt;&gt;"",MAXIFS(#REF!,Token!$A:$A,$D50),)</f>
        <v/>
      </c>
    </row>
    <row r="51">
      <c r="A51" s="35" t="str">
        <f t="shared" si="1"/>
        <v/>
      </c>
      <c r="B51" s="22" t="str">
        <f t="shared" si="2"/>
        <v/>
      </c>
      <c r="C51" s="14" t="str">
        <f>IF($A51&lt;&gt;"",MINIFS(Merchant!$A:$A,Merchant!$B:$B,$G$2),)</f>
        <v/>
      </c>
      <c r="D51" s="14" t="str">
        <f t="shared" si="3"/>
        <v/>
      </c>
      <c r="E51" s="14" t="str">
        <f t="shared" si="4"/>
        <v/>
      </c>
      <c r="F51" s="6" t="str">
        <f>IF($A51&lt;&gt;"",MAXIFS(#REF!,Token!$A:$A,$D51),)</f>
        <v/>
      </c>
    </row>
    <row r="52">
      <c r="A52" s="35" t="str">
        <f t="shared" si="1"/>
        <v/>
      </c>
      <c r="B52" s="22" t="str">
        <f t="shared" si="2"/>
        <v/>
      </c>
      <c r="C52" s="14" t="str">
        <f>IF($A52&lt;&gt;"",MINIFS(Merchant!$A:$A,Merchant!$B:$B,$G$2),)</f>
        <v/>
      </c>
      <c r="D52" s="14" t="str">
        <f t="shared" si="3"/>
        <v/>
      </c>
      <c r="E52" s="14" t="str">
        <f t="shared" si="4"/>
        <v/>
      </c>
      <c r="F52" s="6" t="str">
        <f>IF($A52&lt;&gt;"",MAXIFS(#REF!,Token!$A:$A,$D52),)</f>
        <v/>
      </c>
      <c r="H52" s="5" t="str">
        <f>IFERROR(__xludf.DUMMYFUNCTION("IF(AND($G$11,INDEX(I:I,ROW()-1)&lt;&gt;""""),ImportJSON(""https://public-api.solscan.io/account/splTransfers?account=""&amp;$G$2&amp;""&amp;fromTime=""&amp;TO_TEXT($G$3)&amp;""&amp;toTime=""&amp;TO_TEXT($G$4)&amp;""&amp;offset=""&amp;ROW()-2&amp;""&amp;limit=50""&amp;$G$7,TEXTJOIN("","",1,$H$1:$L$1),""noHeaders"&amp;"""),)"),"")</f>
        <v/>
      </c>
    </row>
    <row r="53">
      <c r="A53" s="35" t="str">
        <f t="shared" si="1"/>
        <v/>
      </c>
      <c r="B53" s="22" t="str">
        <f t="shared" si="2"/>
        <v/>
      </c>
      <c r="C53" s="14" t="str">
        <f>IF($A53&lt;&gt;"",MINIFS(Merchant!$A:$A,Merchant!$B:$B,$G$2),)</f>
        <v/>
      </c>
      <c r="D53" s="14" t="str">
        <f t="shared" si="3"/>
        <v/>
      </c>
      <c r="E53" s="14" t="str">
        <f t="shared" si="4"/>
        <v/>
      </c>
      <c r="F53" s="6" t="str">
        <f>IF($A53&lt;&gt;"",MAXIFS(#REF!,Token!$A:$A,$D53),)</f>
        <v/>
      </c>
    </row>
    <row r="54">
      <c r="A54" s="35" t="str">
        <f t="shared" si="1"/>
        <v/>
      </c>
      <c r="B54" s="22" t="str">
        <f t="shared" si="2"/>
        <v/>
      </c>
      <c r="C54" s="14" t="str">
        <f>IF($A54&lt;&gt;"",MINIFS(Merchant!$A:$A,Merchant!$B:$B,$G$2),)</f>
        <v/>
      </c>
      <c r="D54" s="14" t="str">
        <f t="shared" si="3"/>
        <v/>
      </c>
      <c r="E54" s="14" t="str">
        <f t="shared" si="4"/>
        <v/>
      </c>
      <c r="F54" s="6" t="str">
        <f>IF($A54&lt;&gt;"",MAXIFS(#REF!,Token!$A:$A,$D54),)</f>
        <v/>
      </c>
    </row>
    <row r="55">
      <c r="A55" s="35" t="str">
        <f t="shared" si="1"/>
        <v/>
      </c>
      <c r="B55" s="22" t="str">
        <f t="shared" si="2"/>
        <v/>
      </c>
      <c r="C55" s="14" t="str">
        <f>IF($A55&lt;&gt;"",MINIFS(Merchant!$A:$A,Merchant!$B:$B,$G$2),)</f>
        <v/>
      </c>
      <c r="D55" s="14" t="str">
        <f t="shared" si="3"/>
        <v/>
      </c>
      <c r="E55" s="14" t="str">
        <f t="shared" si="4"/>
        <v/>
      </c>
      <c r="F55" s="6" t="str">
        <f>IF($A55&lt;&gt;"",MAXIFS(#REF!,Token!$A:$A,$D55),)</f>
        <v/>
      </c>
    </row>
    <row r="56">
      <c r="A56" s="35" t="str">
        <f t="shared" si="1"/>
        <v/>
      </c>
      <c r="B56" s="22" t="str">
        <f t="shared" si="2"/>
        <v/>
      </c>
      <c r="C56" s="14" t="str">
        <f>IF($A56&lt;&gt;"",MINIFS(Merchant!$A:$A,Merchant!$B:$B,$G$2),)</f>
        <v/>
      </c>
      <c r="D56" s="14" t="str">
        <f t="shared" si="3"/>
        <v/>
      </c>
      <c r="E56" s="14" t="str">
        <f t="shared" si="4"/>
        <v/>
      </c>
      <c r="F56" s="6" t="str">
        <f>IF($A56&lt;&gt;"",MAXIFS(#REF!,Token!$A:$A,$D56),)</f>
        <v/>
      </c>
    </row>
    <row r="57">
      <c r="A57" s="35" t="str">
        <f t="shared" si="1"/>
        <v/>
      </c>
      <c r="B57" s="22" t="str">
        <f t="shared" si="2"/>
        <v/>
      </c>
      <c r="C57" s="14" t="str">
        <f>IF($A57&lt;&gt;"",MINIFS(Merchant!$A:$A,Merchant!$B:$B,$G$2),)</f>
        <v/>
      </c>
      <c r="D57" s="14" t="str">
        <f t="shared" si="3"/>
        <v/>
      </c>
      <c r="E57" s="14" t="str">
        <f t="shared" si="4"/>
        <v/>
      </c>
      <c r="F57" s="6" t="str">
        <f>IF($A57&lt;&gt;"",MAXIFS(#REF!,Token!$A:$A,$D57),)</f>
        <v/>
      </c>
    </row>
    <row r="58">
      <c r="A58" s="35" t="str">
        <f t="shared" si="1"/>
        <v/>
      </c>
      <c r="B58" s="22" t="str">
        <f t="shared" si="2"/>
        <v/>
      </c>
      <c r="C58" s="14" t="str">
        <f>IF($A58&lt;&gt;"",MINIFS(Merchant!$A:$A,Merchant!$B:$B,$G$2),)</f>
        <v/>
      </c>
      <c r="D58" s="14" t="str">
        <f t="shared" si="3"/>
        <v/>
      </c>
      <c r="E58" s="14" t="str">
        <f t="shared" si="4"/>
        <v/>
      </c>
      <c r="F58" s="6" t="str">
        <f>IF($A58&lt;&gt;"",MAXIFS(#REF!,Token!$A:$A,$D58),)</f>
        <v/>
      </c>
    </row>
    <row r="59">
      <c r="A59" s="35" t="str">
        <f t="shared" si="1"/>
        <v/>
      </c>
      <c r="B59" s="22" t="str">
        <f t="shared" si="2"/>
        <v/>
      </c>
      <c r="C59" s="14" t="str">
        <f>IF($A59&lt;&gt;"",MINIFS(Merchant!$A:$A,Merchant!$B:$B,$G$2),)</f>
        <v/>
      </c>
      <c r="D59" s="14" t="str">
        <f t="shared" si="3"/>
        <v/>
      </c>
      <c r="E59" s="14" t="str">
        <f t="shared" si="4"/>
        <v/>
      </c>
      <c r="F59" s="6" t="str">
        <f>IF($A59&lt;&gt;"",MAXIFS(#REF!,Token!$A:$A,$D59),)</f>
        <v/>
      </c>
    </row>
    <row r="60">
      <c r="A60" s="35" t="str">
        <f t="shared" si="1"/>
        <v/>
      </c>
      <c r="B60" s="22" t="str">
        <f t="shared" si="2"/>
        <v/>
      </c>
      <c r="C60" s="14" t="str">
        <f>IF($A60&lt;&gt;"",MINIFS(Merchant!$A:$A,Merchant!$B:$B,$G$2),)</f>
        <v/>
      </c>
      <c r="D60" s="14" t="str">
        <f t="shared" si="3"/>
        <v/>
      </c>
      <c r="E60" s="14" t="str">
        <f t="shared" si="4"/>
        <v/>
      </c>
      <c r="F60" s="6" t="str">
        <f>IF($A60&lt;&gt;"",MAXIFS(#REF!,Token!$A:$A,$D60),)</f>
        <v/>
      </c>
    </row>
    <row r="61">
      <c r="A61" s="35" t="str">
        <f t="shared" si="1"/>
        <v/>
      </c>
      <c r="B61" s="22" t="str">
        <f t="shared" si="2"/>
        <v/>
      </c>
      <c r="C61" s="14" t="str">
        <f>IF($A61&lt;&gt;"",MINIFS(Merchant!$A:$A,Merchant!$B:$B,$G$2),)</f>
        <v/>
      </c>
      <c r="D61" s="14" t="str">
        <f t="shared" si="3"/>
        <v/>
      </c>
      <c r="E61" s="14" t="str">
        <f t="shared" si="4"/>
        <v/>
      </c>
      <c r="F61" s="6" t="str">
        <f>IF($A61&lt;&gt;"",MAXIFS(#REF!,Token!$A:$A,$D61),)</f>
        <v/>
      </c>
    </row>
    <row r="62">
      <c r="A62" s="35" t="str">
        <f t="shared" si="1"/>
        <v/>
      </c>
      <c r="B62" s="22" t="str">
        <f t="shared" si="2"/>
        <v/>
      </c>
      <c r="C62" s="14" t="str">
        <f>IF($A62&lt;&gt;"",MINIFS(Merchant!$A:$A,Merchant!$B:$B,$G$2),)</f>
        <v/>
      </c>
      <c r="D62" s="14" t="str">
        <f t="shared" si="3"/>
        <v/>
      </c>
      <c r="E62" s="14" t="str">
        <f t="shared" si="4"/>
        <v/>
      </c>
      <c r="F62" s="6" t="str">
        <f>IF($A62&lt;&gt;"",MAXIFS(#REF!,Token!$A:$A,$D62),)</f>
        <v/>
      </c>
    </row>
    <row r="63">
      <c r="A63" s="35" t="str">
        <f t="shared" si="1"/>
        <v/>
      </c>
      <c r="B63" s="22" t="str">
        <f t="shared" si="2"/>
        <v/>
      </c>
      <c r="C63" s="14" t="str">
        <f>IF($A63&lt;&gt;"",MINIFS(Merchant!$A:$A,Merchant!$B:$B,$G$2),)</f>
        <v/>
      </c>
      <c r="D63" s="14" t="str">
        <f t="shared" si="3"/>
        <v/>
      </c>
      <c r="E63" s="14" t="str">
        <f t="shared" si="4"/>
        <v/>
      </c>
      <c r="F63" s="6" t="str">
        <f>IF($A63&lt;&gt;"",MAXIFS(#REF!,Token!$A:$A,$D63),)</f>
        <v/>
      </c>
    </row>
    <row r="64">
      <c r="A64" s="35" t="str">
        <f t="shared" si="1"/>
        <v/>
      </c>
      <c r="B64" s="22" t="str">
        <f t="shared" si="2"/>
        <v/>
      </c>
      <c r="C64" s="14" t="str">
        <f>IF($A64&lt;&gt;"",MINIFS(Merchant!$A:$A,Merchant!$B:$B,$G$2),)</f>
        <v/>
      </c>
      <c r="D64" s="14" t="str">
        <f t="shared" si="3"/>
        <v/>
      </c>
      <c r="E64" s="14" t="str">
        <f t="shared" si="4"/>
        <v/>
      </c>
      <c r="F64" s="6" t="str">
        <f>IF($A64&lt;&gt;"",MAXIFS(#REF!,Token!$A:$A,$D64),)</f>
        <v/>
      </c>
    </row>
    <row r="65">
      <c r="A65" s="35" t="str">
        <f t="shared" si="1"/>
        <v/>
      </c>
      <c r="B65" s="22" t="str">
        <f t="shared" si="2"/>
        <v/>
      </c>
      <c r="C65" s="14" t="str">
        <f>IF($A65&lt;&gt;"",MINIFS(Merchant!$A:$A,Merchant!$B:$B,$G$2),)</f>
        <v/>
      </c>
      <c r="D65" s="14" t="str">
        <f t="shared" si="3"/>
        <v/>
      </c>
      <c r="E65" s="14" t="str">
        <f t="shared" si="4"/>
        <v/>
      </c>
      <c r="F65" s="6" t="str">
        <f>IF($A65&lt;&gt;"",MAXIFS(#REF!,Token!$A:$A,$D65),)</f>
        <v/>
      </c>
    </row>
    <row r="66">
      <c r="A66" s="35" t="str">
        <f t="shared" si="1"/>
        <v/>
      </c>
      <c r="B66" s="22" t="str">
        <f t="shared" si="2"/>
        <v/>
      </c>
      <c r="C66" s="14" t="str">
        <f>IF($A66&lt;&gt;"",MINIFS(Merchant!$A:$A,Merchant!$B:$B,$G$2),)</f>
        <v/>
      </c>
      <c r="D66" s="14" t="str">
        <f t="shared" si="3"/>
        <v/>
      </c>
      <c r="E66" s="14" t="str">
        <f t="shared" si="4"/>
        <v/>
      </c>
      <c r="F66" s="6" t="str">
        <f>IF($A66&lt;&gt;"",MAXIFS(#REF!,Token!$A:$A,$D66),)</f>
        <v/>
      </c>
    </row>
    <row r="67">
      <c r="A67" s="35" t="str">
        <f t="shared" si="1"/>
        <v/>
      </c>
      <c r="B67" s="22" t="str">
        <f t="shared" si="2"/>
        <v/>
      </c>
      <c r="C67" s="14" t="str">
        <f>IF($A67&lt;&gt;"",MINIFS(Merchant!$A:$A,Merchant!$B:$B,$G$2),)</f>
        <v/>
      </c>
      <c r="D67" s="14" t="str">
        <f t="shared" si="3"/>
        <v/>
      </c>
      <c r="E67" s="14" t="str">
        <f t="shared" si="4"/>
        <v/>
      </c>
      <c r="F67" s="6" t="str">
        <f>IF($A67&lt;&gt;"",MAXIFS(#REF!,Token!$A:$A,$D67),)</f>
        <v/>
      </c>
    </row>
    <row r="68">
      <c r="A68" s="35" t="str">
        <f t="shared" si="1"/>
        <v/>
      </c>
      <c r="B68" s="22" t="str">
        <f t="shared" si="2"/>
        <v/>
      </c>
      <c r="C68" s="14" t="str">
        <f>IF($A68&lt;&gt;"",MINIFS(Merchant!$A:$A,Merchant!$B:$B,$G$2),)</f>
        <v/>
      </c>
      <c r="D68" s="14" t="str">
        <f t="shared" si="3"/>
        <v/>
      </c>
      <c r="E68" s="14" t="str">
        <f t="shared" si="4"/>
        <v/>
      </c>
      <c r="F68" s="6" t="str">
        <f>IF($A68&lt;&gt;"",MAXIFS(#REF!,Token!$A:$A,$D68),)</f>
        <v/>
      </c>
    </row>
    <row r="69">
      <c r="A69" s="35" t="str">
        <f t="shared" si="1"/>
        <v/>
      </c>
      <c r="B69" s="22" t="str">
        <f t="shared" si="2"/>
        <v/>
      </c>
      <c r="C69" s="14" t="str">
        <f>IF($A69&lt;&gt;"",MINIFS(Merchant!$A:$A,Merchant!$B:$B,$G$2),)</f>
        <v/>
      </c>
      <c r="D69" s="14" t="str">
        <f t="shared" si="3"/>
        <v/>
      </c>
      <c r="E69" s="14" t="str">
        <f t="shared" si="4"/>
        <v/>
      </c>
      <c r="F69" s="6" t="str">
        <f>IF($A69&lt;&gt;"",MAXIFS(#REF!,Token!$A:$A,$D69),)</f>
        <v/>
      </c>
    </row>
    <row r="70">
      <c r="A70" s="35" t="str">
        <f t="shared" si="1"/>
        <v/>
      </c>
      <c r="B70" s="22" t="str">
        <f t="shared" si="2"/>
        <v/>
      </c>
      <c r="C70" s="14" t="str">
        <f>IF($A70&lt;&gt;"",MINIFS(Merchant!$A:$A,Merchant!$B:$B,$G$2),)</f>
        <v/>
      </c>
      <c r="D70" s="14" t="str">
        <f t="shared" si="3"/>
        <v/>
      </c>
      <c r="E70" s="14" t="str">
        <f t="shared" si="4"/>
        <v/>
      </c>
      <c r="F70" s="6" t="str">
        <f>IF($A70&lt;&gt;"",MAXIFS(#REF!,Token!$A:$A,$D70),)</f>
        <v/>
      </c>
    </row>
    <row r="71">
      <c r="A71" s="35" t="str">
        <f t="shared" si="1"/>
        <v/>
      </c>
      <c r="B71" s="22" t="str">
        <f t="shared" si="2"/>
        <v/>
      </c>
      <c r="C71" s="14" t="str">
        <f>IF($A71&lt;&gt;"",MINIFS(Merchant!$A:$A,Merchant!$B:$B,$G$2),)</f>
        <v/>
      </c>
      <c r="D71" s="14" t="str">
        <f t="shared" si="3"/>
        <v/>
      </c>
      <c r="E71" s="14" t="str">
        <f t="shared" si="4"/>
        <v/>
      </c>
      <c r="F71" s="6" t="str">
        <f>IF($A71&lt;&gt;"",MAXIFS(#REF!,Token!$A:$A,$D71),)</f>
        <v/>
      </c>
    </row>
    <row r="72">
      <c r="A72" s="35" t="str">
        <f t="shared" si="1"/>
        <v/>
      </c>
      <c r="B72" s="22" t="str">
        <f t="shared" si="2"/>
        <v/>
      </c>
      <c r="C72" s="14" t="str">
        <f>IF($A72&lt;&gt;"",MINIFS(Merchant!$A:$A,Merchant!$B:$B,$G$2),)</f>
        <v/>
      </c>
      <c r="D72" s="14" t="str">
        <f t="shared" si="3"/>
        <v/>
      </c>
      <c r="E72" s="14" t="str">
        <f t="shared" si="4"/>
        <v/>
      </c>
      <c r="F72" s="6" t="str">
        <f>IF($A72&lt;&gt;"",MAXIFS(#REF!,Token!$A:$A,$D72),)</f>
        <v/>
      </c>
    </row>
    <row r="73">
      <c r="A73" s="35" t="str">
        <f t="shared" si="1"/>
        <v/>
      </c>
      <c r="B73" s="22" t="str">
        <f t="shared" si="2"/>
        <v/>
      </c>
      <c r="C73" s="14" t="str">
        <f>IF($A73&lt;&gt;"",MINIFS(Merchant!$A:$A,Merchant!$B:$B,$G$2),)</f>
        <v/>
      </c>
      <c r="D73" s="14" t="str">
        <f t="shared" si="3"/>
        <v/>
      </c>
      <c r="E73" s="14" t="str">
        <f t="shared" si="4"/>
        <v/>
      </c>
      <c r="F73" s="6" t="str">
        <f>IF($A73&lt;&gt;"",MAXIFS(#REF!,Token!$A:$A,$D73),)</f>
        <v/>
      </c>
    </row>
    <row r="74">
      <c r="A74" s="35" t="str">
        <f t="shared" si="1"/>
        <v/>
      </c>
      <c r="B74" s="22" t="str">
        <f t="shared" si="2"/>
        <v/>
      </c>
      <c r="C74" s="14" t="str">
        <f>IF($A74&lt;&gt;"",MINIFS(Merchant!$A:$A,Merchant!$B:$B,$G$2),)</f>
        <v/>
      </c>
      <c r="D74" s="14" t="str">
        <f t="shared" si="3"/>
        <v/>
      </c>
      <c r="E74" s="14" t="str">
        <f t="shared" si="4"/>
        <v/>
      </c>
      <c r="F74" s="6" t="str">
        <f>IF($A74&lt;&gt;"",MAXIFS(#REF!,Token!$A:$A,$D74),)</f>
        <v/>
      </c>
    </row>
    <row r="75">
      <c r="A75" s="35" t="str">
        <f t="shared" si="1"/>
        <v/>
      </c>
      <c r="B75" s="22" t="str">
        <f t="shared" si="2"/>
        <v/>
      </c>
      <c r="C75" s="14" t="str">
        <f>IF($A75&lt;&gt;"",MINIFS(Merchant!$A:$A,Merchant!$B:$B,$G$2),)</f>
        <v/>
      </c>
      <c r="D75" s="14" t="str">
        <f t="shared" si="3"/>
        <v/>
      </c>
      <c r="E75" s="14" t="str">
        <f t="shared" si="4"/>
        <v/>
      </c>
      <c r="F75" s="6" t="str">
        <f>IF($A75&lt;&gt;"",MAXIFS(#REF!,Token!$A:$A,$D75),)</f>
        <v/>
      </c>
    </row>
    <row r="76">
      <c r="A76" s="35" t="str">
        <f t="shared" si="1"/>
        <v/>
      </c>
      <c r="B76" s="22" t="str">
        <f t="shared" si="2"/>
        <v/>
      </c>
      <c r="C76" s="14" t="str">
        <f>IF($A76&lt;&gt;"",MINIFS(Merchant!$A:$A,Merchant!$B:$B,$G$2),)</f>
        <v/>
      </c>
      <c r="D76" s="14" t="str">
        <f t="shared" si="3"/>
        <v/>
      </c>
      <c r="E76" s="14" t="str">
        <f t="shared" si="4"/>
        <v/>
      </c>
      <c r="F76" s="6" t="str">
        <f>IF($A76&lt;&gt;"",MAXIFS(#REF!,Token!$A:$A,$D76),)</f>
        <v/>
      </c>
    </row>
    <row r="77">
      <c r="A77" s="35" t="str">
        <f t="shared" si="1"/>
        <v/>
      </c>
      <c r="B77" s="22" t="str">
        <f t="shared" si="2"/>
        <v/>
      </c>
      <c r="C77" s="14" t="str">
        <f>IF($A77&lt;&gt;"",MINIFS(Merchant!$A:$A,Merchant!$B:$B,$G$2),)</f>
        <v/>
      </c>
      <c r="D77" s="14" t="str">
        <f t="shared" si="3"/>
        <v/>
      </c>
      <c r="E77" s="14" t="str">
        <f t="shared" si="4"/>
        <v/>
      </c>
      <c r="F77" s="6" t="str">
        <f>IF($A77&lt;&gt;"",MAXIFS(#REF!,Token!$A:$A,$D77),)</f>
        <v/>
      </c>
    </row>
    <row r="78">
      <c r="A78" s="35" t="str">
        <f t="shared" si="1"/>
        <v/>
      </c>
      <c r="B78" s="22" t="str">
        <f t="shared" si="2"/>
        <v/>
      </c>
      <c r="C78" s="14" t="str">
        <f>IF($A78&lt;&gt;"",MINIFS(Merchant!$A:$A,Merchant!$B:$B,$G$2),)</f>
        <v/>
      </c>
      <c r="D78" s="14" t="str">
        <f t="shared" si="3"/>
        <v/>
      </c>
      <c r="E78" s="14" t="str">
        <f t="shared" si="4"/>
        <v/>
      </c>
      <c r="F78" s="6" t="str">
        <f>IF($A78&lt;&gt;"",MAXIFS(#REF!,Token!$A:$A,$D78),)</f>
        <v/>
      </c>
    </row>
    <row r="79">
      <c r="A79" s="35" t="str">
        <f t="shared" si="1"/>
        <v/>
      </c>
      <c r="B79" s="22" t="str">
        <f t="shared" si="2"/>
        <v/>
      </c>
      <c r="C79" s="14" t="str">
        <f>IF($A79&lt;&gt;"",MINIFS(Merchant!$A:$A,Merchant!$B:$B,$G$2),)</f>
        <v/>
      </c>
      <c r="D79" s="14" t="str">
        <f t="shared" si="3"/>
        <v/>
      </c>
      <c r="E79" s="14" t="str">
        <f t="shared" si="4"/>
        <v/>
      </c>
      <c r="F79" s="6" t="str">
        <f>IF($A79&lt;&gt;"",MAXIFS(#REF!,Token!$A:$A,$D79),)</f>
        <v/>
      </c>
    </row>
    <row r="80">
      <c r="A80" s="35" t="str">
        <f t="shared" si="1"/>
        <v/>
      </c>
      <c r="B80" s="22" t="str">
        <f t="shared" si="2"/>
        <v/>
      </c>
      <c r="C80" s="14" t="str">
        <f>IF($A80&lt;&gt;"",MINIFS(Merchant!$A:$A,Merchant!$B:$B,$G$2),)</f>
        <v/>
      </c>
      <c r="D80" s="14" t="str">
        <f t="shared" si="3"/>
        <v/>
      </c>
      <c r="E80" s="14" t="str">
        <f t="shared" si="4"/>
        <v/>
      </c>
      <c r="F80" s="6" t="str">
        <f>IF($A80&lt;&gt;"",MAXIFS(#REF!,Token!$A:$A,$D80),)</f>
        <v/>
      </c>
    </row>
    <row r="81">
      <c r="A81" s="35" t="str">
        <f t="shared" si="1"/>
        <v/>
      </c>
      <c r="B81" s="22" t="str">
        <f t="shared" si="2"/>
        <v/>
      </c>
      <c r="C81" s="14" t="str">
        <f>IF($A81&lt;&gt;"",MINIFS(Merchant!$A:$A,Merchant!$B:$B,$G$2),)</f>
        <v/>
      </c>
      <c r="D81" s="14" t="str">
        <f t="shared" si="3"/>
        <v/>
      </c>
      <c r="E81" s="14" t="str">
        <f t="shared" si="4"/>
        <v/>
      </c>
      <c r="F81" s="6" t="str">
        <f>IF($A81&lt;&gt;"",MAXIFS(#REF!,Token!$A:$A,$D81),)</f>
        <v/>
      </c>
    </row>
    <row r="82">
      <c r="A82" s="35" t="str">
        <f t="shared" si="1"/>
        <v/>
      </c>
      <c r="B82" s="22" t="str">
        <f t="shared" si="2"/>
        <v/>
      </c>
      <c r="C82" s="14" t="str">
        <f>IF($A82&lt;&gt;"",MINIFS(Merchant!$A:$A,Merchant!$B:$B,$G$2),)</f>
        <v/>
      </c>
      <c r="D82" s="14" t="str">
        <f t="shared" si="3"/>
        <v/>
      </c>
      <c r="E82" s="14" t="str">
        <f t="shared" si="4"/>
        <v/>
      </c>
      <c r="F82" s="6" t="str">
        <f>IF($A82&lt;&gt;"",MAXIFS(#REF!,Token!$A:$A,$D82),)</f>
        <v/>
      </c>
    </row>
    <row r="83">
      <c r="A83" s="35" t="str">
        <f t="shared" si="1"/>
        <v/>
      </c>
      <c r="B83" s="22" t="str">
        <f t="shared" si="2"/>
        <v/>
      </c>
      <c r="C83" s="14" t="str">
        <f>IF($A83&lt;&gt;"",MINIFS(Merchant!$A:$A,Merchant!$B:$B,$G$2),)</f>
        <v/>
      </c>
      <c r="D83" s="14" t="str">
        <f t="shared" si="3"/>
        <v/>
      </c>
      <c r="E83" s="14" t="str">
        <f t="shared" si="4"/>
        <v/>
      </c>
      <c r="F83" s="6" t="str">
        <f>IF($A83&lt;&gt;"",MAXIFS(#REF!,Token!$A:$A,$D83),)</f>
        <v/>
      </c>
    </row>
    <row r="84">
      <c r="A84" s="35" t="str">
        <f t="shared" si="1"/>
        <v/>
      </c>
      <c r="B84" s="22" t="str">
        <f t="shared" si="2"/>
        <v/>
      </c>
      <c r="C84" s="14" t="str">
        <f>IF($A84&lt;&gt;"",MINIFS(Merchant!$A:$A,Merchant!$B:$B,$G$2),)</f>
        <v/>
      </c>
      <c r="D84" s="14" t="str">
        <f t="shared" si="3"/>
        <v/>
      </c>
      <c r="E84" s="14" t="str">
        <f t="shared" si="4"/>
        <v/>
      </c>
      <c r="F84" s="6" t="str">
        <f>IF($A84&lt;&gt;"",MAXIFS(#REF!,Token!$A:$A,$D84),)</f>
        <v/>
      </c>
    </row>
    <row r="85">
      <c r="A85" s="35" t="str">
        <f t="shared" si="1"/>
        <v/>
      </c>
      <c r="B85" s="22" t="str">
        <f t="shared" si="2"/>
        <v/>
      </c>
      <c r="C85" s="14" t="str">
        <f>IF($A85&lt;&gt;"",MINIFS(Merchant!$A:$A,Merchant!$B:$B,$G$2),)</f>
        <v/>
      </c>
      <c r="D85" s="14" t="str">
        <f t="shared" si="3"/>
        <v/>
      </c>
      <c r="E85" s="14" t="str">
        <f t="shared" si="4"/>
        <v/>
      </c>
      <c r="F85" s="6" t="str">
        <f>IF($A85&lt;&gt;"",MAXIFS(#REF!,Token!$A:$A,$D85),)</f>
        <v/>
      </c>
    </row>
    <row r="86">
      <c r="A86" s="35" t="str">
        <f t="shared" si="1"/>
        <v/>
      </c>
      <c r="B86" s="22" t="str">
        <f t="shared" si="2"/>
        <v/>
      </c>
      <c r="C86" s="14" t="str">
        <f>IF($A86&lt;&gt;"",MINIFS(Merchant!$A:$A,Merchant!$B:$B,$G$2),)</f>
        <v/>
      </c>
      <c r="D86" s="14" t="str">
        <f t="shared" si="3"/>
        <v/>
      </c>
      <c r="E86" s="14" t="str">
        <f t="shared" si="4"/>
        <v/>
      </c>
      <c r="F86" s="6" t="str">
        <f>IF($A86&lt;&gt;"",MAXIFS(#REF!,Token!$A:$A,$D86),)</f>
        <v/>
      </c>
    </row>
    <row r="87">
      <c r="A87" s="35" t="str">
        <f t="shared" si="1"/>
        <v/>
      </c>
      <c r="B87" s="22" t="str">
        <f t="shared" si="2"/>
        <v/>
      </c>
      <c r="C87" s="14" t="str">
        <f>IF($A87&lt;&gt;"",MINIFS(Merchant!$A:$A,Merchant!$B:$B,$G$2),)</f>
        <v/>
      </c>
      <c r="D87" s="14" t="str">
        <f t="shared" si="3"/>
        <v/>
      </c>
      <c r="E87" s="14" t="str">
        <f t="shared" si="4"/>
        <v/>
      </c>
      <c r="F87" s="6" t="str">
        <f>IF($A87&lt;&gt;"",MAXIFS(#REF!,Token!$A:$A,$D87),)</f>
        <v/>
      </c>
    </row>
    <row r="88">
      <c r="A88" s="35" t="str">
        <f t="shared" si="1"/>
        <v/>
      </c>
      <c r="B88" s="22" t="str">
        <f t="shared" si="2"/>
        <v/>
      </c>
      <c r="C88" s="14" t="str">
        <f>IF($A88&lt;&gt;"",MINIFS(Merchant!$A:$A,Merchant!$B:$B,$G$2),)</f>
        <v/>
      </c>
      <c r="D88" s="14" t="str">
        <f t="shared" si="3"/>
        <v/>
      </c>
      <c r="E88" s="14" t="str">
        <f t="shared" si="4"/>
        <v/>
      </c>
      <c r="F88" s="6" t="str">
        <f>IF($A88&lt;&gt;"",MAXIFS(#REF!,Token!$A:$A,$D88),)</f>
        <v/>
      </c>
    </row>
    <row r="89">
      <c r="A89" s="35" t="str">
        <f t="shared" si="1"/>
        <v/>
      </c>
      <c r="B89" s="22" t="str">
        <f t="shared" si="2"/>
        <v/>
      </c>
      <c r="C89" s="14" t="str">
        <f>IF($A89&lt;&gt;"",MINIFS(Merchant!$A:$A,Merchant!$B:$B,$G$2),)</f>
        <v/>
      </c>
      <c r="D89" s="14" t="str">
        <f t="shared" si="3"/>
        <v/>
      </c>
      <c r="E89" s="14" t="str">
        <f t="shared" si="4"/>
        <v/>
      </c>
      <c r="F89" s="6" t="str">
        <f>IF($A89&lt;&gt;"",MAXIFS(#REF!,Token!$A:$A,$D89),)</f>
        <v/>
      </c>
    </row>
    <row r="90">
      <c r="A90" s="35" t="str">
        <f t="shared" si="1"/>
        <v/>
      </c>
      <c r="B90" s="22" t="str">
        <f t="shared" si="2"/>
        <v/>
      </c>
      <c r="C90" s="14" t="str">
        <f>IF($A90&lt;&gt;"",MINIFS(Merchant!$A:$A,Merchant!$B:$B,$G$2),)</f>
        <v/>
      </c>
      <c r="D90" s="14" t="str">
        <f t="shared" si="3"/>
        <v/>
      </c>
      <c r="E90" s="14" t="str">
        <f t="shared" si="4"/>
        <v/>
      </c>
      <c r="F90" s="6" t="str">
        <f>IF($A90&lt;&gt;"",MAXIFS(#REF!,Token!$A:$A,$D90),)</f>
        <v/>
      </c>
    </row>
    <row r="91">
      <c r="A91" s="35" t="str">
        <f t="shared" si="1"/>
        <v/>
      </c>
      <c r="B91" s="22" t="str">
        <f t="shared" si="2"/>
        <v/>
      </c>
      <c r="C91" s="14" t="str">
        <f>IF($A91&lt;&gt;"",MINIFS(Merchant!$A:$A,Merchant!$B:$B,$G$2),)</f>
        <v/>
      </c>
      <c r="D91" s="14" t="str">
        <f t="shared" si="3"/>
        <v/>
      </c>
      <c r="E91" s="14" t="str">
        <f t="shared" si="4"/>
        <v/>
      </c>
      <c r="F91" s="6" t="str">
        <f>IF($A91&lt;&gt;"",MAXIFS(#REF!,Token!$A:$A,$D91),)</f>
        <v/>
      </c>
    </row>
    <row r="92">
      <c r="A92" s="35" t="str">
        <f t="shared" si="1"/>
        <v/>
      </c>
      <c r="B92" s="22" t="str">
        <f t="shared" si="2"/>
        <v/>
      </c>
      <c r="C92" s="14" t="str">
        <f>IF($A92&lt;&gt;"",MINIFS(Merchant!$A:$A,Merchant!$B:$B,$G$2),)</f>
        <v/>
      </c>
      <c r="D92" s="14" t="str">
        <f t="shared" si="3"/>
        <v/>
      </c>
      <c r="E92" s="14" t="str">
        <f t="shared" si="4"/>
        <v/>
      </c>
      <c r="F92" s="6" t="str">
        <f>IF($A92&lt;&gt;"",MAXIFS(#REF!,Token!$A:$A,$D92),)</f>
        <v/>
      </c>
    </row>
    <row r="93">
      <c r="A93" s="35" t="str">
        <f t="shared" si="1"/>
        <v/>
      </c>
      <c r="B93" s="22" t="str">
        <f t="shared" si="2"/>
        <v/>
      </c>
      <c r="C93" s="14" t="str">
        <f>IF($A93&lt;&gt;"",MINIFS(Merchant!$A:$A,Merchant!$B:$B,$G$2),)</f>
        <v/>
      </c>
      <c r="D93" s="14" t="str">
        <f t="shared" si="3"/>
        <v/>
      </c>
      <c r="E93" s="14" t="str">
        <f t="shared" si="4"/>
        <v/>
      </c>
      <c r="F93" s="6" t="str">
        <f>IF($A93&lt;&gt;"",MAXIFS(#REF!,Token!$A:$A,$D93),)</f>
        <v/>
      </c>
    </row>
    <row r="94">
      <c r="A94" s="35" t="str">
        <f t="shared" si="1"/>
        <v/>
      </c>
      <c r="B94" s="22" t="str">
        <f t="shared" si="2"/>
        <v/>
      </c>
      <c r="C94" s="14" t="str">
        <f>IF($A94&lt;&gt;"",MINIFS(Merchant!$A:$A,Merchant!$B:$B,$G$2),)</f>
        <v/>
      </c>
      <c r="D94" s="14" t="str">
        <f t="shared" si="3"/>
        <v/>
      </c>
      <c r="E94" s="14" t="str">
        <f t="shared" si="4"/>
        <v/>
      </c>
      <c r="F94" s="6" t="str">
        <f>IF($A94&lt;&gt;"",MAXIFS(#REF!,Token!$A:$A,$D94),)</f>
        <v/>
      </c>
    </row>
    <row r="95">
      <c r="A95" s="35" t="str">
        <f t="shared" si="1"/>
        <v/>
      </c>
      <c r="B95" s="22" t="str">
        <f t="shared" si="2"/>
        <v/>
      </c>
      <c r="C95" s="14" t="str">
        <f>IF($A95&lt;&gt;"",MINIFS(Merchant!$A:$A,Merchant!$B:$B,$G$2),)</f>
        <v/>
      </c>
      <c r="D95" s="14" t="str">
        <f t="shared" si="3"/>
        <v/>
      </c>
      <c r="E95" s="14" t="str">
        <f t="shared" si="4"/>
        <v/>
      </c>
      <c r="F95" s="6" t="str">
        <f>IF($A95&lt;&gt;"",MAXIFS(#REF!,Token!$A:$A,$D95),)</f>
        <v/>
      </c>
    </row>
    <row r="96">
      <c r="A96" s="35" t="str">
        <f t="shared" si="1"/>
        <v/>
      </c>
      <c r="B96" s="22" t="str">
        <f t="shared" si="2"/>
        <v/>
      </c>
      <c r="C96" s="14" t="str">
        <f>IF($A96&lt;&gt;"",MINIFS(Merchant!$A:$A,Merchant!$B:$B,$G$2),)</f>
        <v/>
      </c>
      <c r="D96" s="14" t="str">
        <f t="shared" si="3"/>
        <v/>
      </c>
      <c r="E96" s="14" t="str">
        <f t="shared" si="4"/>
        <v/>
      </c>
      <c r="F96" s="6" t="str">
        <f>IF($A96&lt;&gt;"",MAXIFS(#REF!,Token!$A:$A,$D96),)</f>
        <v/>
      </c>
    </row>
    <row r="97">
      <c r="A97" s="35" t="str">
        <f t="shared" si="1"/>
        <v/>
      </c>
      <c r="B97" s="22" t="str">
        <f t="shared" si="2"/>
        <v/>
      </c>
      <c r="C97" s="14" t="str">
        <f>IF($A97&lt;&gt;"",MINIFS(Merchant!$A:$A,Merchant!$B:$B,$G$2),)</f>
        <v/>
      </c>
      <c r="D97" s="14" t="str">
        <f t="shared" si="3"/>
        <v/>
      </c>
      <c r="E97" s="14" t="str">
        <f t="shared" si="4"/>
        <v/>
      </c>
      <c r="F97" s="6" t="str">
        <f>IF($A97&lt;&gt;"",MAXIFS(#REF!,Token!$A:$A,$D97),)</f>
        <v/>
      </c>
    </row>
    <row r="98">
      <c r="A98" s="35" t="str">
        <f t="shared" si="1"/>
        <v/>
      </c>
      <c r="B98" s="22" t="str">
        <f t="shared" si="2"/>
        <v/>
      </c>
      <c r="C98" s="14" t="str">
        <f>IF($A98&lt;&gt;"",MINIFS(Merchant!$A:$A,Merchant!$B:$B,$G$2),)</f>
        <v/>
      </c>
      <c r="D98" s="14" t="str">
        <f t="shared" si="3"/>
        <v/>
      </c>
      <c r="E98" s="14" t="str">
        <f t="shared" si="4"/>
        <v/>
      </c>
      <c r="F98" s="6" t="str">
        <f>IF($A98&lt;&gt;"",MAXIFS(#REF!,Token!$A:$A,$D98),)</f>
        <v/>
      </c>
    </row>
    <row r="99">
      <c r="A99" s="35" t="str">
        <f t="shared" si="1"/>
        <v/>
      </c>
      <c r="B99" s="22" t="str">
        <f t="shared" si="2"/>
        <v/>
      </c>
      <c r="C99" s="14" t="str">
        <f>IF($A99&lt;&gt;"",MINIFS(Merchant!$A:$A,Merchant!$B:$B,$G$2),)</f>
        <v/>
      </c>
      <c r="D99" s="14" t="str">
        <f t="shared" si="3"/>
        <v/>
      </c>
      <c r="E99" s="14" t="str">
        <f t="shared" si="4"/>
        <v/>
      </c>
      <c r="F99" s="6" t="str">
        <f>IF($A99&lt;&gt;"",MAXIFS(#REF!,Token!$A:$A,$D99),)</f>
        <v/>
      </c>
    </row>
    <row r="100">
      <c r="A100" s="35" t="str">
        <f t="shared" si="1"/>
        <v/>
      </c>
      <c r="B100" s="22" t="str">
        <f t="shared" si="2"/>
        <v/>
      </c>
      <c r="C100" s="14" t="str">
        <f>IF($A100&lt;&gt;"",MINIFS(Merchant!$A:$A,Merchant!$B:$B,$G$2),)</f>
        <v/>
      </c>
      <c r="D100" s="14" t="str">
        <f t="shared" si="3"/>
        <v/>
      </c>
      <c r="E100" s="14" t="str">
        <f t="shared" si="4"/>
        <v/>
      </c>
      <c r="F100" s="6" t="str">
        <f>IF($A100&lt;&gt;"",MAXIFS(#REF!,Token!$A:$A,$D100),)</f>
        <v/>
      </c>
    </row>
    <row r="101">
      <c r="A101" s="35" t="str">
        <f t="shared" si="1"/>
        <v/>
      </c>
      <c r="B101" s="22" t="str">
        <f t="shared" si="2"/>
        <v/>
      </c>
      <c r="C101" s="14" t="str">
        <f>IF($A101&lt;&gt;"",MINIFS(Merchant!$A:$A,Merchant!$B:$B,$G$2),)</f>
        <v/>
      </c>
      <c r="D101" s="14" t="str">
        <f t="shared" si="3"/>
        <v/>
      </c>
      <c r="E101" s="14" t="str">
        <f t="shared" si="4"/>
        <v/>
      </c>
      <c r="F101" s="6" t="str">
        <f>IF($A101&lt;&gt;"",MAXIFS(#REF!,Token!$A:$A,$D101),)</f>
        <v/>
      </c>
    </row>
    <row r="102">
      <c r="A102" s="35" t="str">
        <f t="shared" si="1"/>
        <v/>
      </c>
      <c r="B102" s="22" t="str">
        <f t="shared" si="2"/>
        <v/>
      </c>
      <c r="C102" s="14" t="str">
        <f>IF($A102&lt;&gt;"",MINIFS(Merchant!$A:$A,Merchant!$B:$B,$G$2),)</f>
        <v/>
      </c>
      <c r="D102" s="14" t="str">
        <f t="shared" si="3"/>
        <v/>
      </c>
      <c r="E102" s="14" t="str">
        <f t="shared" si="4"/>
        <v/>
      </c>
      <c r="F102" s="6" t="str">
        <f>IF($A102&lt;&gt;"",MAXIFS(#REF!,Token!$A:$A,$D102),)</f>
        <v/>
      </c>
    </row>
    <row r="103">
      <c r="A103" s="35" t="str">
        <f t="shared" si="1"/>
        <v/>
      </c>
      <c r="B103" s="22" t="str">
        <f t="shared" si="2"/>
        <v/>
      </c>
      <c r="C103" s="14" t="str">
        <f>IF($A103&lt;&gt;"",MINIFS(Merchant!$A:$A,Merchant!$B:$B,$G$2),)</f>
        <v/>
      </c>
      <c r="D103" s="14" t="str">
        <f t="shared" si="3"/>
        <v/>
      </c>
      <c r="E103" s="14" t="str">
        <f t="shared" si="4"/>
        <v/>
      </c>
      <c r="F103" s="6" t="str">
        <f>IF($A103&lt;&gt;"",MAXIFS(#REF!,Token!$A:$A,$D103),)</f>
        <v/>
      </c>
    </row>
    <row r="104">
      <c r="A104" s="35" t="str">
        <f t="shared" si="1"/>
        <v/>
      </c>
      <c r="B104" s="22" t="str">
        <f t="shared" si="2"/>
        <v/>
      </c>
      <c r="C104" s="14" t="str">
        <f>IF($A104&lt;&gt;"",MINIFS(Merchant!$A:$A,Merchant!$B:$B,$G$2),)</f>
        <v/>
      </c>
      <c r="D104" s="14" t="str">
        <f t="shared" si="3"/>
        <v/>
      </c>
      <c r="E104" s="14" t="str">
        <f t="shared" si="4"/>
        <v/>
      </c>
      <c r="F104" s="6" t="str">
        <f>IF($A104&lt;&gt;"",MAXIFS(#REF!,Token!$A:$A,$D104),)</f>
        <v/>
      </c>
    </row>
    <row r="105">
      <c r="A105" s="35" t="str">
        <f t="shared" si="1"/>
        <v/>
      </c>
      <c r="B105" s="22" t="str">
        <f t="shared" si="2"/>
        <v/>
      </c>
      <c r="C105" s="14" t="str">
        <f>IF($A105&lt;&gt;"",MINIFS(Merchant!$A:$A,Merchant!$B:$B,$G$2),)</f>
        <v/>
      </c>
      <c r="D105" s="14" t="str">
        <f t="shared" si="3"/>
        <v/>
      </c>
      <c r="E105" s="14" t="str">
        <f t="shared" si="4"/>
        <v/>
      </c>
      <c r="F105" s="6" t="str">
        <f>IF($A105&lt;&gt;"",MAXIFS(#REF!,Token!$A:$A,$D105),)</f>
        <v/>
      </c>
    </row>
    <row r="106">
      <c r="A106" s="35" t="str">
        <f t="shared" si="1"/>
        <v/>
      </c>
      <c r="B106" s="22" t="str">
        <f t="shared" si="2"/>
        <v/>
      </c>
      <c r="C106" s="14" t="str">
        <f>IF($A106&lt;&gt;"",MINIFS(Merchant!$A:$A,Merchant!$B:$B,$G$2),)</f>
        <v/>
      </c>
      <c r="D106" s="14" t="str">
        <f t="shared" si="3"/>
        <v/>
      </c>
      <c r="E106" s="14" t="str">
        <f t="shared" si="4"/>
        <v/>
      </c>
      <c r="F106" s="6" t="str">
        <f>IF($A106&lt;&gt;"",MAXIFS(#REF!,Token!$A:$A,$D106),)</f>
        <v/>
      </c>
    </row>
    <row r="107">
      <c r="A107" s="35" t="str">
        <f t="shared" si="1"/>
        <v/>
      </c>
      <c r="B107" s="22" t="str">
        <f t="shared" si="2"/>
        <v/>
      </c>
      <c r="C107" s="14" t="str">
        <f>IF($A107&lt;&gt;"",MINIFS(Merchant!$A:$A,Merchant!$B:$B,$G$2),)</f>
        <v/>
      </c>
      <c r="D107" s="14" t="str">
        <f t="shared" si="3"/>
        <v/>
      </c>
      <c r="E107" s="14" t="str">
        <f t="shared" si="4"/>
        <v/>
      </c>
      <c r="F107" s="6" t="str">
        <f>IF($A107&lt;&gt;"",MAXIFS(#REF!,Token!$A:$A,$D107),)</f>
        <v/>
      </c>
    </row>
    <row r="108">
      <c r="A108" s="35" t="str">
        <f t="shared" si="1"/>
        <v/>
      </c>
      <c r="B108" s="22" t="str">
        <f t="shared" si="2"/>
        <v/>
      </c>
      <c r="C108" s="14" t="str">
        <f>IF($A108&lt;&gt;"",MINIFS(Merchant!$A:$A,Merchant!$B:$B,$G$2),)</f>
        <v/>
      </c>
      <c r="D108" s="14" t="str">
        <f t="shared" si="3"/>
        <v/>
      </c>
      <c r="E108" s="14" t="str">
        <f t="shared" si="4"/>
        <v/>
      </c>
      <c r="F108" s="6" t="str">
        <f>IF($A108&lt;&gt;"",MAXIFS(#REF!,Token!$A:$A,$D108),)</f>
        <v/>
      </c>
    </row>
    <row r="109">
      <c r="A109" s="35" t="str">
        <f t="shared" si="1"/>
        <v/>
      </c>
      <c r="B109" s="22" t="str">
        <f t="shared" si="2"/>
        <v/>
      </c>
      <c r="C109" s="14" t="str">
        <f>IF($A109&lt;&gt;"",MINIFS(Merchant!$A:$A,Merchant!$B:$B,$G$2),)</f>
        <v/>
      </c>
      <c r="D109" s="14" t="str">
        <f t="shared" si="3"/>
        <v/>
      </c>
      <c r="E109" s="14" t="str">
        <f t="shared" si="4"/>
        <v/>
      </c>
      <c r="F109" s="6" t="str">
        <f>IF($A109&lt;&gt;"",MAXIFS(#REF!,Token!$A:$A,$D109),)</f>
        <v/>
      </c>
    </row>
    <row r="110">
      <c r="A110" s="35" t="str">
        <f t="shared" si="1"/>
        <v/>
      </c>
      <c r="B110" s="22" t="str">
        <f t="shared" si="2"/>
        <v/>
      </c>
      <c r="C110" s="14" t="str">
        <f>IF($A110&lt;&gt;"",MINIFS(Merchant!$A:$A,Merchant!$B:$B,$G$2),)</f>
        <v/>
      </c>
      <c r="D110" s="14" t="str">
        <f t="shared" si="3"/>
        <v/>
      </c>
      <c r="E110" s="14" t="str">
        <f t="shared" si="4"/>
        <v/>
      </c>
      <c r="F110" s="6" t="str">
        <f>IF($A110&lt;&gt;"",MAXIFS(#REF!,Token!$A:$A,$D110),)</f>
        <v/>
      </c>
    </row>
    <row r="111">
      <c r="A111" s="35" t="str">
        <f t="shared" si="1"/>
        <v/>
      </c>
      <c r="B111" s="22" t="str">
        <f t="shared" si="2"/>
        <v/>
      </c>
      <c r="C111" s="14" t="str">
        <f>IF($A111&lt;&gt;"",MINIFS(Merchant!$A:$A,Merchant!$B:$B,$G$2),)</f>
        <v/>
      </c>
      <c r="D111" s="14" t="str">
        <f t="shared" si="3"/>
        <v/>
      </c>
      <c r="E111" s="14" t="str">
        <f t="shared" si="4"/>
        <v/>
      </c>
      <c r="F111" s="6" t="str">
        <f>IF($A111&lt;&gt;"",MAXIFS(#REF!,Token!$A:$A,$D111),)</f>
        <v/>
      </c>
    </row>
    <row r="112">
      <c r="A112" s="35" t="str">
        <f t="shared" si="1"/>
        <v/>
      </c>
      <c r="B112" s="22" t="str">
        <f t="shared" si="2"/>
        <v/>
      </c>
      <c r="C112" s="14" t="str">
        <f>IF($A112&lt;&gt;"",MINIFS(Merchant!$A:$A,Merchant!$B:$B,$G$2),)</f>
        <v/>
      </c>
      <c r="D112" s="14" t="str">
        <f t="shared" si="3"/>
        <v/>
      </c>
      <c r="E112" s="14" t="str">
        <f t="shared" si="4"/>
        <v/>
      </c>
      <c r="F112" s="6" t="str">
        <f>IF($A112&lt;&gt;"",MAXIFS(#REF!,Token!$A:$A,$D112),)</f>
        <v/>
      </c>
    </row>
    <row r="113">
      <c r="A113" s="35" t="str">
        <f t="shared" si="1"/>
        <v/>
      </c>
      <c r="B113" s="22" t="str">
        <f t="shared" si="2"/>
        <v/>
      </c>
      <c r="C113" s="14" t="str">
        <f>IF($A113&lt;&gt;"",MINIFS(Merchant!$A:$A,Merchant!$B:$B,$G$2),)</f>
        <v/>
      </c>
      <c r="D113" s="14" t="str">
        <f t="shared" si="3"/>
        <v/>
      </c>
      <c r="E113" s="14" t="str">
        <f t="shared" si="4"/>
        <v/>
      </c>
      <c r="F113" s="6" t="str">
        <f>IF($A113&lt;&gt;"",MAXIFS(#REF!,Token!$A:$A,$D113),)</f>
        <v/>
      </c>
    </row>
    <row r="114">
      <c r="A114" s="35" t="str">
        <f t="shared" si="1"/>
        <v/>
      </c>
      <c r="B114" s="22" t="str">
        <f t="shared" si="2"/>
        <v/>
      </c>
      <c r="C114" s="14" t="str">
        <f>IF($A114&lt;&gt;"",MINIFS(Merchant!$A:$A,Merchant!$B:$B,$G$2),)</f>
        <v/>
      </c>
      <c r="D114" s="14" t="str">
        <f t="shared" si="3"/>
        <v/>
      </c>
      <c r="E114" s="14" t="str">
        <f t="shared" si="4"/>
        <v/>
      </c>
      <c r="F114" s="6" t="str">
        <f>IF($A114&lt;&gt;"",MAXIFS(#REF!,Token!$A:$A,$D114),)</f>
        <v/>
      </c>
    </row>
    <row r="115">
      <c r="A115" s="35" t="str">
        <f t="shared" si="1"/>
        <v/>
      </c>
      <c r="B115" s="22" t="str">
        <f t="shared" si="2"/>
        <v/>
      </c>
      <c r="C115" s="14" t="str">
        <f>IF($A115&lt;&gt;"",MINIFS(Merchant!$A:$A,Merchant!$B:$B,$G$2),)</f>
        <v/>
      </c>
      <c r="D115" s="14" t="str">
        <f t="shared" si="3"/>
        <v/>
      </c>
      <c r="E115" s="14" t="str">
        <f t="shared" si="4"/>
        <v/>
      </c>
      <c r="F115" s="6" t="str">
        <f>IF($A115&lt;&gt;"",MAXIFS(#REF!,Token!$A:$A,$D115),)</f>
        <v/>
      </c>
    </row>
    <row r="116">
      <c r="A116" s="35" t="str">
        <f t="shared" si="1"/>
        <v/>
      </c>
      <c r="B116" s="22" t="str">
        <f t="shared" si="2"/>
        <v/>
      </c>
      <c r="C116" s="14" t="str">
        <f>IF($A116&lt;&gt;"",MINIFS(Merchant!$A:$A,Merchant!$B:$B,$G$2),)</f>
        <v/>
      </c>
      <c r="D116" s="14" t="str">
        <f t="shared" si="3"/>
        <v/>
      </c>
      <c r="E116" s="14" t="str">
        <f t="shared" si="4"/>
        <v/>
      </c>
      <c r="F116" s="6" t="str">
        <f>IF($A116&lt;&gt;"",MAXIFS(#REF!,Token!$A:$A,$D116),)</f>
        <v/>
      </c>
    </row>
    <row r="117">
      <c r="A117" s="35" t="str">
        <f t="shared" si="1"/>
        <v/>
      </c>
      <c r="B117" s="22" t="str">
        <f t="shared" si="2"/>
        <v/>
      </c>
      <c r="C117" s="14" t="str">
        <f>IF($A117&lt;&gt;"",MINIFS(Merchant!$A:$A,Merchant!$B:$B,$G$2),)</f>
        <v/>
      </c>
      <c r="D117" s="14" t="str">
        <f t="shared" si="3"/>
        <v/>
      </c>
      <c r="E117" s="14" t="str">
        <f t="shared" si="4"/>
        <v/>
      </c>
      <c r="F117" s="6" t="str">
        <f>IF($A117&lt;&gt;"",MAXIFS(#REF!,Token!$A:$A,$D117),)</f>
        <v/>
      </c>
    </row>
    <row r="118">
      <c r="A118" s="35" t="str">
        <f t="shared" si="1"/>
        <v/>
      </c>
      <c r="B118" s="22" t="str">
        <f t="shared" si="2"/>
        <v/>
      </c>
      <c r="C118" s="14" t="str">
        <f>IF($A118&lt;&gt;"",MINIFS(Merchant!$A:$A,Merchant!$B:$B,$G$2),)</f>
        <v/>
      </c>
      <c r="D118" s="14" t="str">
        <f t="shared" si="3"/>
        <v/>
      </c>
      <c r="E118" s="14" t="str">
        <f t="shared" si="4"/>
        <v/>
      </c>
      <c r="F118" s="6" t="str">
        <f>IF($A118&lt;&gt;"",MAXIFS(#REF!,Token!$A:$A,$D118),)</f>
        <v/>
      </c>
    </row>
    <row r="119">
      <c r="A119" s="35" t="str">
        <f t="shared" si="1"/>
        <v/>
      </c>
      <c r="B119" s="22" t="str">
        <f t="shared" si="2"/>
        <v/>
      </c>
      <c r="C119" s="14" t="str">
        <f>IF($A119&lt;&gt;"",MINIFS(Merchant!$A:$A,Merchant!$B:$B,$G$2),)</f>
        <v/>
      </c>
      <c r="D119" s="14" t="str">
        <f t="shared" si="3"/>
        <v/>
      </c>
      <c r="E119" s="14" t="str">
        <f t="shared" si="4"/>
        <v/>
      </c>
      <c r="F119" s="6" t="str">
        <f>IF($A119&lt;&gt;"",MAXIFS(#REF!,Token!$A:$A,$D119),)</f>
        <v/>
      </c>
    </row>
    <row r="120">
      <c r="A120" s="35" t="str">
        <f t="shared" si="1"/>
        <v/>
      </c>
      <c r="B120" s="22" t="str">
        <f t="shared" si="2"/>
        <v/>
      </c>
      <c r="C120" s="14" t="str">
        <f>IF($A120&lt;&gt;"",MINIFS(Merchant!$A:$A,Merchant!$B:$B,$G$2),)</f>
        <v/>
      </c>
      <c r="D120" s="14" t="str">
        <f t="shared" si="3"/>
        <v/>
      </c>
      <c r="E120" s="14" t="str">
        <f t="shared" si="4"/>
        <v/>
      </c>
      <c r="F120" s="6" t="str">
        <f>IF($A120&lt;&gt;"",MAXIFS(#REF!,Token!$A:$A,$D120),)</f>
        <v/>
      </c>
    </row>
    <row r="121">
      <c r="A121" s="35" t="str">
        <f t="shared" si="1"/>
        <v/>
      </c>
      <c r="B121" s="22" t="str">
        <f t="shared" si="2"/>
        <v/>
      </c>
      <c r="C121" s="14" t="str">
        <f>IF($A121&lt;&gt;"",MINIFS(Merchant!$A:$A,Merchant!$B:$B,$G$2),)</f>
        <v/>
      </c>
      <c r="D121" s="14" t="str">
        <f t="shared" si="3"/>
        <v/>
      </c>
      <c r="E121" s="14" t="str">
        <f t="shared" si="4"/>
        <v/>
      </c>
      <c r="F121" s="6" t="str">
        <f>IF($A121&lt;&gt;"",MAXIFS(#REF!,Token!$A:$A,$D121),)</f>
        <v/>
      </c>
    </row>
    <row r="122">
      <c r="A122" s="35" t="str">
        <f t="shared" si="1"/>
        <v/>
      </c>
      <c r="B122" s="22" t="str">
        <f t="shared" si="2"/>
        <v/>
      </c>
      <c r="C122" s="14" t="str">
        <f>IF($A122&lt;&gt;"",MINIFS(Merchant!$A:$A,Merchant!$B:$B,$G$2),)</f>
        <v/>
      </c>
      <c r="D122" s="14" t="str">
        <f t="shared" si="3"/>
        <v/>
      </c>
      <c r="E122" s="14" t="str">
        <f t="shared" si="4"/>
        <v/>
      </c>
      <c r="F122" s="6" t="str">
        <f>IF($A122&lt;&gt;"",MAXIFS(#REF!,Token!$A:$A,$D122),)</f>
        <v/>
      </c>
    </row>
    <row r="123">
      <c r="A123" s="35" t="str">
        <f t="shared" si="1"/>
        <v/>
      </c>
      <c r="B123" s="22" t="str">
        <f t="shared" si="2"/>
        <v/>
      </c>
      <c r="C123" s="14" t="str">
        <f>IF($A123&lt;&gt;"",MINIFS(Merchant!$A:$A,Merchant!$B:$B,$G$2),)</f>
        <v/>
      </c>
      <c r="D123" s="14" t="str">
        <f t="shared" si="3"/>
        <v/>
      </c>
      <c r="E123" s="14" t="str">
        <f t="shared" si="4"/>
        <v/>
      </c>
      <c r="F123" s="6" t="str">
        <f>IF($A123&lt;&gt;"",MAXIFS(#REF!,Token!$A:$A,$D123),)</f>
        <v/>
      </c>
    </row>
    <row r="124">
      <c r="A124" s="35" t="str">
        <f t="shared" si="1"/>
        <v/>
      </c>
      <c r="B124" s="22" t="str">
        <f t="shared" si="2"/>
        <v/>
      </c>
      <c r="C124" s="14" t="str">
        <f>IF($A124&lt;&gt;"",MINIFS(Merchant!$A:$A,Merchant!$B:$B,$G$2),)</f>
        <v/>
      </c>
      <c r="D124" s="14" t="str">
        <f t="shared" si="3"/>
        <v/>
      </c>
      <c r="E124" s="14" t="str">
        <f t="shared" si="4"/>
        <v/>
      </c>
      <c r="F124" s="6" t="str">
        <f>IF($A124&lt;&gt;"",MAXIFS(#REF!,Token!$A:$A,$D124),)</f>
        <v/>
      </c>
    </row>
    <row r="125">
      <c r="A125" s="35" t="str">
        <f t="shared" si="1"/>
        <v/>
      </c>
      <c r="B125" s="22" t="str">
        <f t="shared" si="2"/>
        <v/>
      </c>
      <c r="C125" s="14" t="str">
        <f>IF($A125&lt;&gt;"",MINIFS(Merchant!$A:$A,Merchant!$B:$B,$G$2),)</f>
        <v/>
      </c>
      <c r="D125" s="14" t="str">
        <f t="shared" si="3"/>
        <v/>
      </c>
      <c r="E125" s="14" t="str">
        <f t="shared" si="4"/>
        <v/>
      </c>
      <c r="F125" s="6" t="str">
        <f>IF($A125&lt;&gt;"",MAXIFS(#REF!,Token!$A:$A,$D125),)</f>
        <v/>
      </c>
    </row>
    <row r="126">
      <c r="A126" s="35" t="str">
        <f t="shared" si="1"/>
        <v/>
      </c>
      <c r="B126" s="22" t="str">
        <f t="shared" si="2"/>
        <v/>
      </c>
      <c r="C126" s="14" t="str">
        <f>IF($A126&lt;&gt;"",MINIFS(Merchant!$A:$A,Merchant!$B:$B,$G$2),)</f>
        <v/>
      </c>
      <c r="D126" s="14" t="str">
        <f t="shared" si="3"/>
        <v/>
      </c>
      <c r="E126" s="14" t="str">
        <f t="shared" si="4"/>
        <v/>
      </c>
      <c r="F126" s="6" t="str">
        <f>IF($A126&lt;&gt;"",MAXIFS(#REF!,Token!$A:$A,$D126),)</f>
        <v/>
      </c>
    </row>
    <row r="127">
      <c r="A127" s="35" t="str">
        <f t="shared" si="1"/>
        <v/>
      </c>
      <c r="B127" s="22" t="str">
        <f t="shared" si="2"/>
        <v/>
      </c>
      <c r="C127" s="14" t="str">
        <f>IF($A127&lt;&gt;"",MINIFS(Merchant!$A:$A,Merchant!$B:$B,$G$2),)</f>
        <v/>
      </c>
      <c r="D127" s="14" t="str">
        <f t="shared" si="3"/>
        <v/>
      </c>
      <c r="E127" s="14" t="str">
        <f t="shared" si="4"/>
        <v/>
      </c>
      <c r="F127" s="6" t="str">
        <f>IF($A127&lt;&gt;"",MAXIFS(#REF!,Token!$A:$A,$D127),)</f>
        <v/>
      </c>
    </row>
    <row r="128">
      <c r="A128" s="35" t="str">
        <f t="shared" si="1"/>
        <v/>
      </c>
      <c r="B128" s="22" t="str">
        <f t="shared" si="2"/>
        <v/>
      </c>
      <c r="C128" s="14" t="str">
        <f>IF($A128&lt;&gt;"",MINIFS(Merchant!$A:$A,Merchant!$B:$B,$G$2),)</f>
        <v/>
      </c>
      <c r="D128" s="14" t="str">
        <f t="shared" si="3"/>
        <v/>
      </c>
      <c r="E128" s="14" t="str">
        <f t="shared" si="4"/>
        <v/>
      </c>
      <c r="F128" s="6" t="str">
        <f>IF($A128&lt;&gt;"",MAXIFS(#REF!,Token!$A:$A,$D128),)</f>
        <v/>
      </c>
    </row>
    <row r="129">
      <c r="A129" s="35" t="str">
        <f t="shared" si="1"/>
        <v/>
      </c>
      <c r="B129" s="22" t="str">
        <f t="shared" si="2"/>
        <v/>
      </c>
      <c r="C129" s="14" t="str">
        <f>IF($A129&lt;&gt;"",MINIFS(Merchant!$A:$A,Merchant!$B:$B,$G$2),)</f>
        <v/>
      </c>
      <c r="D129" s="14" t="str">
        <f t="shared" si="3"/>
        <v/>
      </c>
      <c r="E129" s="14" t="str">
        <f t="shared" si="4"/>
        <v/>
      </c>
      <c r="F129" s="6" t="str">
        <f>IF($A129&lt;&gt;"",MAXIFS(#REF!,Token!$A:$A,$D129),)</f>
        <v/>
      </c>
    </row>
    <row r="130">
      <c r="A130" s="35" t="str">
        <f t="shared" si="1"/>
        <v/>
      </c>
      <c r="B130" s="22" t="str">
        <f t="shared" si="2"/>
        <v/>
      </c>
      <c r="C130" s="14" t="str">
        <f>IF($A130&lt;&gt;"",MINIFS(Merchant!$A:$A,Merchant!$B:$B,$G$2),)</f>
        <v/>
      </c>
      <c r="D130" s="14" t="str">
        <f t="shared" si="3"/>
        <v/>
      </c>
      <c r="E130" s="14" t="str">
        <f t="shared" si="4"/>
        <v/>
      </c>
      <c r="F130" s="6" t="str">
        <f>IF($A130&lt;&gt;"",MAXIFS(#REF!,Token!$A:$A,$D130),)</f>
        <v/>
      </c>
    </row>
    <row r="131">
      <c r="A131" s="35" t="str">
        <f t="shared" si="1"/>
        <v/>
      </c>
      <c r="B131" s="22" t="str">
        <f t="shared" si="2"/>
        <v/>
      </c>
      <c r="C131" s="14" t="str">
        <f>IF($A131&lt;&gt;"",MINIFS(Merchant!$A:$A,Merchant!$B:$B,$G$2),)</f>
        <v/>
      </c>
      <c r="D131" s="14" t="str">
        <f t="shared" si="3"/>
        <v/>
      </c>
      <c r="E131" s="14" t="str">
        <f t="shared" si="4"/>
        <v/>
      </c>
      <c r="F131" s="6" t="str">
        <f>IF($A131&lt;&gt;"",MAXIFS(#REF!,Token!$A:$A,$D131),)</f>
        <v/>
      </c>
    </row>
    <row r="132">
      <c r="A132" s="35" t="str">
        <f t="shared" si="1"/>
        <v/>
      </c>
      <c r="B132" s="22" t="str">
        <f t="shared" si="2"/>
        <v/>
      </c>
      <c r="C132" s="14" t="str">
        <f>IF($A132&lt;&gt;"",MINIFS(Merchant!$A:$A,Merchant!$B:$B,$G$2),)</f>
        <v/>
      </c>
      <c r="D132" s="14" t="str">
        <f t="shared" si="3"/>
        <v/>
      </c>
      <c r="E132" s="14" t="str">
        <f t="shared" si="4"/>
        <v/>
      </c>
      <c r="F132" s="6" t="str">
        <f>IF($A132&lt;&gt;"",MAXIFS(#REF!,Token!$A:$A,$D132),)</f>
        <v/>
      </c>
    </row>
    <row r="133">
      <c r="A133" s="35" t="str">
        <f t="shared" si="1"/>
        <v/>
      </c>
      <c r="B133" s="22" t="str">
        <f t="shared" si="2"/>
        <v/>
      </c>
      <c r="C133" s="14" t="str">
        <f>IF($A133&lt;&gt;"",MINIFS(Merchant!$A:$A,Merchant!$B:$B,$G$2),)</f>
        <v/>
      </c>
      <c r="D133" s="14" t="str">
        <f t="shared" si="3"/>
        <v/>
      </c>
      <c r="E133" s="14" t="str">
        <f t="shared" si="4"/>
        <v/>
      </c>
      <c r="F133" s="6" t="str">
        <f>IF($A133&lt;&gt;"",MAXIFS(#REF!,Token!$A:$A,$D133),)</f>
        <v/>
      </c>
    </row>
    <row r="134">
      <c r="A134" s="35" t="str">
        <f t="shared" si="1"/>
        <v/>
      </c>
      <c r="B134" s="22" t="str">
        <f t="shared" si="2"/>
        <v/>
      </c>
      <c r="C134" s="14" t="str">
        <f>IF($A134&lt;&gt;"",MINIFS(Merchant!$A:$A,Merchant!$B:$B,$G$2),)</f>
        <v/>
      </c>
      <c r="D134" s="14" t="str">
        <f t="shared" si="3"/>
        <v/>
      </c>
      <c r="E134" s="14" t="str">
        <f t="shared" si="4"/>
        <v/>
      </c>
      <c r="F134" s="6" t="str">
        <f>IF($A134&lt;&gt;"",MAXIFS(#REF!,Token!$A:$A,$D134),)</f>
        <v/>
      </c>
    </row>
    <row r="135">
      <c r="A135" s="35" t="str">
        <f t="shared" si="1"/>
        <v/>
      </c>
      <c r="B135" s="22" t="str">
        <f t="shared" si="2"/>
        <v/>
      </c>
      <c r="C135" s="14" t="str">
        <f>IF($A135&lt;&gt;"",MINIFS(Merchant!$A:$A,Merchant!$B:$B,$G$2),)</f>
        <v/>
      </c>
      <c r="D135" s="14" t="str">
        <f t="shared" si="3"/>
        <v/>
      </c>
      <c r="E135" s="14" t="str">
        <f t="shared" si="4"/>
        <v/>
      </c>
      <c r="F135" s="6" t="str">
        <f>IF($A135&lt;&gt;"",MAXIFS(#REF!,Token!$A:$A,$D135),)</f>
        <v/>
      </c>
    </row>
    <row r="136">
      <c r="A136" s="35" t="str">
        <f t="shared" si="1"/>
        <v/>
      </c>
      <c r="B136" s="22" t="str">
        <f t="shared" si="2"/>
        <v/>
      </c>
      <c r="C136" s="14" t="str">
        <f>IF($A136&lt;&gt;"",MINIFS(Merchant!$A:$A,Merchant!$B:$B,$G$2),)</f>
        <v/>
      </c>
      <c r="D136" s="14" t="str">
        <f t="shared" si="3"/>
        <v/>
      </c>
      <c r="E136" s="14" t="str">
        <f t="shared" si="4"/>
        <v/>
      </c>
      <c r="F136" s="6" t="str">
        <f>IF($A136&lt;&gt;"",MAXIFS(#REF!,Token!$A:$A,$D136),)</f>
        <v/>
      </c>
    </row>
    <row r="137">
      <c r="A137" s="35" t="str">
        <f t="shared" si="1"/>
        <v/>
      </c>
      <c r="B137" s="22" t="str">
        <f t="shared" si="2"/>
        <v/>
      </c>
      <c r="C137" s="14" t="str">
        <f>IF($A137&lt;&gt;"",MINIFS(Merchant!$A:$A,Merchant!$B:$B,$G$2),)</f>
        <v/>
      </c>
      <c r="D137" s="14" t="str">
        <f t="shared" si="3"/>
        <v/>
      </c>
      <c r="E137" s="14" t="str">
        <f t="shared" si="4"/>
        <v/>
      </c>
      <c r="F137" s="6" t="str">
        <f>IF($A137&lt;&gt;"",MAXIFS(#REF!,Token!$A:$A,$D137),)</f>
        <v/>
      </c>
    </row>
    <row r="138">
      <c r="A138" s="35" t="str">
        <f t="shared" si="1"/>
        <v/>
      </c>
      <c r="B138" s="22" t="str">
        <f t="shared" si="2"/>
        <v/>
      </c>
      <c r="C138" s="14" t="str">
        <f>IF($A138&lt;&gt;"",MINIFS(Merchant!$A:$A,Merchant!$B:$B,$G$2),)</f>
        <v/>
      </c>
      <c r="D138" s="14" t="str">
        <f t="shared" si="3"/>
        <v/>
      </c>
      <c r="E138" s="14" t="str">
        <f t="shared" si="4"/>
        <v/>
      </c>
      <c r="F138" s="6" t="str">
        <f>IF($A138&lt;&gt;"",MAXIFS(#REF!,Token!$A:$A,$D138),)</f>
        <v/>
      </c>
    </row>
    <row r="139">
      <c r="A139" s="35" t="str">
        <f t="shared" si="1"/>
        <v/>
      </c>
      <c r="B139" s="22" t="str">
        <f t="shared" si="2"/>
        <v/>
      </c>
      <c r="C139" s="14" t="str">
        <f>IF($A139&lt;&gt;"",MINIFS(Merchant!$A:$A,Merchant!$B:$B,$G$2),)</f>
        <v/>
      </c>
      <c r="D139" s="14" t="str">
        <f t="shared" si="3"/>
        <v/>
      </c>
      <c r="E139" s="14" t="str">
        <f t="shared" si="4"/>
        <v/>
      </c>
      <c r="F139" s="6" t="str">
        <f>IF($A139&lt;&gt;"",MAXIFS(#REF!,Token!$A:$A,$D139),)</f>
        <v/>
      </c>
    </row>
    <row r="140">
      <c r="A140" s="35" t="str">
        <f t="shared" si="1"/>
        <v/>
      </c>
      <c r="B140" s="22" t="str">
        <f t="shared" si="2"/>
        <v/>
      </c>
      <c r="C140" s="14" t="str">
        <f>IF($A140&lt;&gt;"",MINIFS(Merchant!$A:$A,Merchant!$B:$B,$G$2),)</f>
        <v/>
      </c>
      <c r="D140" s="14" t="str">
        <f t="shared" si="3"/>
        <v/>
      </c>
      <c r="E140" s="14" t="str">
        <f t="shared" si="4"/>
        <v/>
      </c>
      <c r="F140" s="6" t="str">
        <f>IF($A140&lt;&gt;"",MAXIFS(#REF!,Token!$A:$A,$D140),)</f>
        <v/>
      </c>
    </row>
    <row r="141">
      <c r="A141" s="35" t="str">
        <f t="shared" si="1"/>
        <v/>
      </c>
      <c r="B141" s="22" t="str">
        <f t="shared" si="2"/>
        <v/>
      </c>
      <c r="C141" s="14" t="str">
        <f>IF($A141&lt;&gt;"",MINIFS(Merchant!$A:$A,Merchant!$B:$B,$G$2),)</f>
        <v/>
      </c>
      <c r="D141" s="14" t="str">
        <f t="shared" si="3"/>
        <v/>
      </c>
      <c r="E141" s="14" t="str">
        <f t="shared" si="4"/>
        <v/>
      </c>
      <c r="F141" s="6" t="str">
        <f>IF($A141&lt;&gt;"",MAXIFS(#REF!,Token!$A:$A,$D141),)</f>
        <v/>
      </c>
    </row>
    <row r="142">
      <c r="A142" s="35" t="str">
        <f t="shared" si="1"/>
        <v/>
      </c>
      <c r="B142" s="22" t="str">
        <f t="shared" si="2"/>
        <v/>
      </c>
      <c r="C142" s="14" t="str">
        <f>IF($A142&lt;&gt;"",MINIFS(Merchant!$A:$A,Merchant!$B:$B,$G$2),)</f>
        <v/>
      </c>
      <c r="D142" s="14" t="str">
        <f t="shared" si="3"/>
        <v/>
      </c>
      <c r="E142" s="14" t="str">
        <f t="shared" si="4"/>
        <v/>
      </c>
      <c r="F142" s="6" t="str">
        <f>IF($A142&lt;&gt;"",MAXIFS(#REF!,Token!$A:$A,$D142),)</f>
        <v/>
      </c>
    </row>
    <row r="143">
      <c r="A143" s="35" t="str">
        <f t="shared" si="1"/>
        <v/>
      </c>
      <c r="B143" s="22" t="str">
        <f t="shared" si="2"/>
        <v/>
      </c>
      <c r="C143" s="14" t="str">
        <f>IF($A143&lt;&gt;"",MINIFS(Merchant!$A:$A,Merchant!$B:$B,$G$2),)</f>
        <v/>
      </c>
      <c r="D143" s="14" t="str">
        <f t="shared" si="3"/>
        <v/>
      </c>
      <c r="E143" s="14" t="str">
        <f t="shared" si="4"/>
        <v/>
      </c>
      <c r="F143" s="6" t="str">
        <f>IF($A143&lt;&gt;"",MAXIFS(#REF!,Token!$A:$A,$D143),)</f>
        <v/>
      </c>
    </row>
    <row r="144">
      <c r="A144" s="35" t="str">
        <f t="shared" si="1"/>
        <v/>
      </c>
      <c r="B144" s="22" t="str">
        <f t="shared" si="2"/>
        <v/>
      </c>
      <c r="C144" s="14" t="str">
        <f>IF($A144&lt;&gt;"",MINIFS(Merchant!$A:$A,Merchant!$B:$B,$G$2),)</f>
        <v/>
      </c>
      <c r="D144" s="14" t="str">
        <f t="shared" si="3"/>
        <v/>
      </c>
      <c r="E144" s="14" t="str">
        <f t="shared" si="4"/>
        <v/>
      </c>
      <c r="F144" s="6" t="str">
        <f>IF($A144&lt;&gt;"",MAXIFS(#REF!,Token!$A:$A,$D144),)</f>
        <v/>
      </c>
    </row>
    <row r="145">
      <c r="A145" s="35" t="str">
        <f t="shared" si="1"/>
        <v/>
      </c>
      <c r="B145" s="22" t="str">
        <f t="shared" si="2"/>
        <v/>
      </c>
      <c r="C145" s="14" t="str">
        <f>IF($A145&lt;&gt;"",MINIFS(Merchant!$A:$A,Merchant!$B:$B,$G$2),)</f>
        <v/>
      </c>
      <c r="D145" s="14" t="str">
        <f t="shared" si="3"/>
        <v/>
      </c>
      <c r="E145" s="14" t="str">
        <f t="shared" si="4"/>
        <v/>
      </c>
      <c r="F145" s="6" t="str">
        <f>IF($A145&lt;&gt;"",MAXIFS(#REF!,Token!$A:$A,$D145),)</f>
        <v/>
      </c>
    </row>
    <row r="146">
      <c r="A146" s="35" t="str">
        <f t="shared" si="1"/>
        <v/>
      </c>
      <c r="B146" s="22" t="str">
        <f t="shared" si="2"/>
        <v/>
      </c>
      <c r="C146" s="14" t="str">
        <f>IF($A146&lt;&gt;"",MINIFS(Merchant!$A:$A,Merchant!$B:$B,$G$2),)</f>
        <v/>
      </c>
      <c r="D146" s="14" t="str">
        <f t="shared" si="3"/>
        <v/>
      </c>
      <c r="E146" s="14" t="str">
        <f t="shared" si="4"/>
        <v/>
      </c>
      <c r="F146" s="6" t="str">
        <f>IF($A146&lt;&gt;"",MAXIFS(#REF!,Token!$A:$A,$D146),)</f>
        <v/>
      </c>
    </row>
    <row r="147">
      <c r="A147" s="35" t="str">
        <f t="shared" si="1"/>
        <v/>
      </c>
      <c r="B147" s="22" t="str">
        <f t="shared" si="2"/>
        <v/>
      </c>
      <c r="C147" s="14" t="str">
        <f>IF($A147&lt;&gt;"",MINIFS(Merchant!$A:$A,Merchant!$B:$B,$G$2),)</f>
        <v/>
      </c>
      <c r="D147" s="14" t="str">
        <f t="shared" si="3"/>
        <v/>
      </c>
      <c r="E147" s="14" t="str">
        <f t="shared" si="4"/>
        <v/>
      </c>
      <c r="F147" s="6" t="str">
        <f>IF($A147&lt;&gt;"",MAXIFS(#REF!,Token!$A:$A,$D147),)</f>
        <v/>
      </c>
    </row>
    <row r="148">
      <c r="A148" s="35" t="str">
        <f t="shared" si="1"/>
        <v/>
      </c>
      <c r="B148" s="22" t="str">
        <f t="shared" si="2"/>
        <v/>
      </c>
      <c r="C148" s="14" t="str">
        <f>IF($A148&lt;&gt;"",MINIFS(Merchant!$A:$A,Merchant!$B:$B,$G$2),)</f>
        <v/>
      </c>
      <c r="D148" s="14" t="str">
        <f t="shared" si="3"/>
        <v/>
      </c>
      <c r="E148" s="14" t="str">
        <f t="shared" si="4"/>
        <v/>
      </c>
      <c r="F148" s="6" t="str">
        <f>IF($A148&lt;&gt;"",MAXIFS(#REF!,Token!$A:$A,$D148),)</f>
        <v/>
      </c>
    </row>
    <row r="149">
      <c r="A149" s="35" t="str">
        <f t="shared" si="1"/>
        <v/>
      </c>
      <c r="B149" s="22" t="str">
        <f t="shared" si="2"/>
        <v/>
      </c>
      <c r="C149" s="14" t="str">
        <f>IF($A149&lt;&gt;"",MINIFS(Merchant!$A:$A,Merchant!$B:$B,$G$2),)</f>
        <v/>
      </c>
      <c r="D149" s="14" t="str">
        <f t="shared" si="3"/>
        <v/>
      </c>
      <c r="E149" s="14" t="str">
        <f t="shared" si="4"/>
        <v/>
      </c>
      <c r="F149" s="6" t="str">
        <f>IF($A149&lt;&gt;"",MAXIFS(#REF!,Token!$A:$A,$D149),)</f>
        <v/>
      </c>
    </row>
    <row r="150">
      <c r="A150" s="35" t="str">
        <f t="shared" si="1"/>
        <v/>
      </c>
      <c r="B150" s="22" t="str">
        <f t="shared" si="2"/>
        <v/>
      </c>
      <c r="C150" s="14" t="str">
        <f>IF($A150&lt;&gt;"",MINIFS(Merchant!$A:$A,Merchant!$B:$B,$G$2),)</f>
        <v/>
      </c>
      <c r="D150" s="14" t="str">
        <f t="shared" si="3"/>
        <v/>
      </c>
      <c r="E150" s="14" t="str">
        <f t="shared" si="4"/>
        <v/>
      </c>
      <c r="F150" s="6" t="str">
        <f>IF($A150&lt;&gt;"",MAXIFS(#REF!,Token!$A:$A,$D150),)</f>
        <v/>
      </c>
    </row>
    <row r="151">
      <c r="A151" s="35" t="str">
        <f t="shared" si="1"/>
        <v/>
      </c>
      <c r="B151" s="22" t="str">
        <f t="shared" si="2"/>
        <v/>
      </c>
      <c r="C151" s="14" t="str">
        <f>IF($A151&lt;&gt;"",MINIFS(Merchant!$A:$A,Merchant!$B:$B,$G$2),)</f>
        <v/>
      </c>
      <c r="D151" s="14" t="str">
        <f t="shared" si="3"/>
        <v/>
      </c>
      <c r="E151" s="14" t="str">
        <f t="shared" si="4"/>
        <v/>
      </c>
      <c r="F151" s="6" t="str">
        <f>IF($A151&lt;&gt;"",MAXIFS(#REF!,Token!$A:$A,$D151),)</f>
        <v/>
      </c>
    </row>
    <row r="152">
      <c r="A152" s="35" t="str">
        <f t="shared" si="1"/>
        <v/>
      </c>
      <c r="B152" s="22" t="str">
        <f t="shared" si="2"/>
        <v/>
      </c>
      <c r="C152" s="14" t="str">
        <f>IF($A152&lt;&gt;"",MINIFS(Merchant!$A:$A,Merchant!$B:$B,$G$2),)</f>
        <v/>
      </c>
      <c r="D152" s="14" t="str">
        <f t="shared" si="3"/>
        <v/>
      </c>
      <c r="E152" s="14" t="str">
        <f t="shared" si="4"/>
        <v/>
      </c>
      <c r="F152" s="6" t="str">
        <f>IF($A152&lt;&gt;"",MAXIFS(#REF!,Token!$A:$A,$D152),)</f>
        <v/>
      </c>
    </row>
    <row r="153">
      <c r="A153" s="35" t="str">
        <f t="shared" si="1"/>
        <v/>
      </c>
      <c r="B153" s="22" t="str">
        <f t="shared" si="2"/>
        <v/>
      </c>
      <c r="C153" s="14" t="str">
        <f>IF($A153&lt;&gt;"",MINIFS(Merchant!$A:$A,Merchant!$B:$B,$G$2),)</f>
        <v/>
      </c>
      <c r="D153" s="14" t="str">
        <f t="shared" si="3"/>
        <v/>
      </c>
      <c r="E153" s="14" t="str">
        <f t="shared" si="4"/>
        <v/>
      </c>
      <c r="F153" s="6" t="str">
        <f>IF($A153&lt;&gt;"",MAXIFS(#REF!,Token!$A:$A,$D153),)</f>
        <v/>
      </c>
    </row>
    <row r="154">
      <c r="A154" s="35" t="str">
        <f t="shared" si="1"/>
        <v/>
      </c>
      <c r="B154" s="22" t="str">
        <f t="shared" si="2"/>
        <v/>
      </c>
      <c r="C154" s="14" t="str">
        <f>IF($A154&lt;&gt;"",MINIFS(Merchant!$A:$A,Merchant!$B:$B,$G$2),)</f>
        <v/>
      </c>
      <c r="D154" s="14" t="str">
        <f t="shared" si="3"/>
        <v/>
      </c>
      <c r="E154" s="14" t="str">
        <f t="shared" si="4"/>
        <v/>
      </c>
      <c r="F154" s="6" t="str">
        <f>IF($A154&lt;&gt;"",MAXIFS(#REF!,Token!$A:$A,$D154),)</f>
        <v/>
      </c>
    </row>
    <row r="155">
      <c r="A155" s="35" t="str">
        <f t="shared" si="1"/>
        <v/>
      </c>
      <c r="B155" s="22" t="str">
        <f t="shared" si="2"/>
        <v/>
      </c>
      <c r="C155" s="14" t="str">
        <f>IF($A155&lt;&gt;"",MINIFS(Merchant!$A:$A,Merchant!$B:$B,$G$2),)</f>
        <v/>
      </c>
      <c r="D155" s="14" t="str">
        <f t="shared" si="3"/>
        <v/>
      </c>
      <c r="E155" s="14" t="str">
        <f t="shared" si="4"/>
        <v/>
      </c>
      <c r="F155" s="6" t="str">
        <f>IF($A155&lt;&gt;"",MAXIFS(#REF!,Token!$A:$A,$D155),)</f>
        <v/>
      </c>
    </row>
    <row r="156">
      <c r="A156" s="35" t="str">
        <f t="shared" si="1"/>
        <v/>
      </c>
      <c r="B156" s="22" t="str">
        <f t="shared" si="2"/>
        <v/>
      </c>
      <c r="C156" s="14" t="str">
        <f>IF($A156&lt;&gt;"",MINIFS(Merchant!$A:$A,Merchant!$B:$B,$G$2),)</f>
        <v/>
      </c>
      <c r="D156" s="14" t="str">
        <f t="shared" si="3"/>
        <v/>
      </c>
      <c r="E156" s="14" t="str">
        <f t="shared" si="4"/>
        <v/>
      </c>
      <c r="F156" s="6" t="str">
        <f>IF($A156&lt;&gt;"",MAXIFS(#REF!,Token!$A:$A,$D156),)</f>
        <v/>
      </c>
    </row>
    <row r="157">
      <c r="A157" s="35" t="str">
        <f t="shared" si="1"/>
        <v/>
      </c>
      <c r="B157" s="22" t="str">
        <f t="shared" si="2"/>
        <v/>
      </c>
      <c r="C157" s="14" t="str">
        <f>IF($A157&lt;&gt;"",MINIFS(Merchant!$A:$A,Merchant!$B:$B,$G$2),)</f>
        <v/>
      </c>
      <c r="D157" s="14" t="str">
        <f t="shared" si="3"/>
        <v/>
      </c>
      <c r="E157" s="14" t="str">
        <f t="shared" si="4"/>
        <v/>
      </c>
      <c r="F157" s="6" t="str">
        <f>IF($A157&lt;&gt;"",MAXIFS(#REF!,Token!$A:$A,$D157),)</f>
        <v/>
      </c>
    </row>
    <row r="158">
      <c r="A158" s="35" t="str">
        <f t="shared" si="1"/>
        <v/>
      </c>
      <c r="B158" s="22" t="str">
        <f t="shared" si="2"/>
        <v/>
      </c>
      <c r="C158" s="14" t="str">
        <f>IF($A158&lt;&gt;"",MINIFS(Merchant!$A:$A,Merchant!$B:$B,$G$2),)</f>
        <v/>
      </c>
      <c r="D158" s="14" t="str">
        <f t="shared" si="3"/>
        <v/>
      </c>
      <c r="E158" s="14" t="str">
        <f t="shared" si="4"/>
        <v/>
      </c>
      <c r="F158" s="6" t="str">
        <f>IF($A158&lt;&gt;"",MAXIFS(#REF!,Token!$A:$A,$D158),)</f>
        <v/>
      </c>
    </row>
    <row r="159">
      <c r="A159" s="35" t="str">
        <f t="shared" si="1"/>
        <v/>
      </c>
      <c r="B159" s="22" t="str">
        <f t="shared" si="2"/>
        <v/>
      </c>
      <c r="C159" s="14" t="str">
        <f>IF($A159&lt;&gt;"",MINIFS(Merchant!$A:$A,Merchant!$B:$B,$G$2),)</f>
        <v/>
      </c>
      <c r="D159" s="14" t="str">
        <f t="shared" si="3"/>
        <v/>
      </c>
      <c r="E159" s="14" t="str">
        <f t="shared" si="4"/>
        <v/>
      </c>
      <c r="F159" s="6" t="str">
        <f>IF($A159&lt;&gt;"",MAXIFS(#REF!,Token!$A:$A,$D159),)</f>
        <v/>
      </c>
    </row>
    <row r="160">
      <c r="A160" s="35" t="str">
        <f t="shared" si="1"/>
        <v/>
      </c>
      <c r="B160" s="22" t="str">
        <f t="shared" si="2"/>
        <v/>
      </c>
      <c r="C160" s="14" t="str">
        <f>IF($A160&lt;&gt;"",MINIFS(Merchant!$A:$A,Merchant!$B:$B,$G$2),)</f>
        <v/>
      </c>
      <c r="D160" s="14" t="str">
        <f t="shared" si="3"/>
        <v/>
      </c>
      <c r="E160" s="14" t="str">
        <f t="shared" si="4"/>
        <v/>
      </c>
      <c r="F160" s="6" t="str">
        <f>IF($A160&lt;&gt;"",MAXIFS(#REF!,Token!$A:$A,$D160),)</f>
        <v/>
      </c>
    </row>
    <row r="161">
      <c r="A161" s="35" t="str">
        <f t="shared" si="1"/>
        <v/>
      </c>
      <c r="B161" s="22" t="str">
        <f t="shared" si="2"/>
        <v/>
      </c>
      <c r="C161" s="14" t="str">
        <f>IF($A161&lt;&gt;"",MINIFS(Merchant!$A:$A,Merchant!$B:$B,$G$2),)</f>
        <v/>
      </c>
      <c r="D161" s="14" t="str">
        <f t="shared" si="3"/>
        <v/>
      </c>
      <c r="E161" s="14" t="str">
        <f t="shared" si="4"/>
        <v/>
      </c>
      <c r="F161" s="6" t="str">
        <f>IF($A161&lt;&gt;"",MAXIFS(#REF!,Token!$A:$A,$D161),)</f>
        <v/>
      </c>
    </row>
    <row r="162">
      <c r="A162" s="35" t="str">
        <f t="shared" si="1"/>
        <v/>
      </c>
      <c r="B162" s="22" t="str">
        <f t="shared" si="2"/>
        <v/>
      </c>
      <c r="C162" s="14" t="str">
        <f>IF($A162&lt;&gt;"",MINIFS(Merchant!$A:$A,Merchant!$B:$B,$G$2),)</f>
        <v/>
      </c>
      <c r="D162" s="14" t="str">
        <f t="shared" si="3"/>
        <v/>
      </c>
      <c r="E162" s="14" t="str">
        <f t="shared" si="4"/>
        <v/>
      </c>
      <c r="F162" s="6" t="str">
        <f>IF($A162&lt;&gt;"",MAXIFS(#REF!,Token!$A:$A,$D162),)</f>
        <v/>
      </c>
    </row>
    <row r="163">
      <c r="A163" s="35" t="str">
        <f t="shared" si="1"/>
        <v/>
      </c>
      <c r="B163" s="22" t="str">
        <f t="shared" si="2"/>
        <v/>
      </c>
      <c r="C163" s="14" t="str">
        <f>IF($A163&lt;&gt;"",MINIFS(Merchant!$A:$A,Merchant!$B:$B,$G$2),)</f>
        <v/>
      </c>
      <c r="D163" s="14" t="str">
        <f t="shared" si="3"/>
        <v/>
      </c>
      <c r="E163" s="14" t="str">
        <f t="shared" si="4"/>
        <v/>
      </c>
      <c r="F163" s="6" t="str">
        <f>IF($A163&lt;&gt;"",MAXIFS(#REF!,Token!$A:$A,$D163),)</f>
        <v/>
      </c>
    </row>
    <row r="164">
      <c r="A164" s="35" t="str">
        <f t="shared" si="1"/>
        <v/>
      </c>
      <c r="B164" s="22" t="str">
        <f t="shared" si="2"/>
        <v/>
      </c>
      <c r="C164" s="14" t="str">
        <f>IF($A164&lt;&gt;"",MINIFS(Merchant!$A:$A,Merchant!$B:$B,$G$2),)</f>
        <v/>
      </c>
      <c r="D164" s="14" t="str">
        <f t="shared" si="3"/>
        <v/>
      </c>
      <c r="E164" s="14" t="str">
        <f t="shared" si="4"/>
        <v/>
      </c>
      <c r="F164" s="6" t="str">
        <f>IF($A164&lt;&gt;"",MAXIFS(#REF!,Token!$A:$A,$D164),)</f>
        <v/>
      </c>
    </row>
    <row r="165">
      <c r="A165" s="35" t="str">
        <f t="shared" si="1"/>
        <v/>
      </c>
      <c r="B165" s="22" t="str">
        <f t="shared" si="2"/>
        <v/>
      </c>
      <c r="C165" s="14" t="str">
        <f>IF($A165&lt;&gt;"",MINIFS(Merchant!$A:$A,Merchant!$B:$B,$G$2),)</f>
        <v/>
      </c>
      <c r="D165" s="14" t="str">
        <f t="shared" si="3"/>
        <v/>
      </c>
      <c r="E165" s="14" t="str">
        <f t="shared" si="4"/>
        <v/>
      </c>
      <c r="F165" s="6" t="str">
        <f>IF($A165&lt;&gt;"",MAXIFS(#REF!,Token!$A:$A,$D165),)</f>
        <v/>
      </c>
    </row>
    <row r="166">
      <c r="A166" s="35" t="str">
        <f t="shared" si="1"/>
        <v/>
      </c>
      <c r="B166" s="22" t="str">
        <f t="shared" si="2"/>
        <v/>
      </c>
      <c r="C166" s="14" t="str">
        <f>IF($A166&lt;&gt;"",MINIFS(Merchant!$A:$A,Merchant!$B:$B,$G$2),)</f>
        <v/>
      </c>
      <c r="D166" s="14" t="str">
        <f t="shared" si="3"/>
        <v/>
      </c>
      <c r="E166" s="14" t="str">
        <f t="shared" si="4"/>
        <v/>
      </c>
      <c r="F166" s="6" t="str">
        <f>IF($A166&lt;&gt;"",MAXIFS(#REF!,Token!$A:$A,$D166),)</f>
        <v/>
      </c>
    </row>
    <row r="167">
      <c r="A167" s="35" t="str">
        <f t="shared" si="1"/>
        <v/>
      </c>
      <c r="B167" s="22" t="str">
        <f t="shared" si="2"/>
        <v/>
      </c>
      <c r="C167" s="14" t="str">
        <f>IF($A167&lt;&gt;"",MINIFS(Merchant!$A:$A,Merchant!$B:$B,$G$2),)</f>
        <v/>
      </c>
      <c r="D167" s="14" t="str">
        <f t="shared" si="3"/>
        <v/>
      </c>
      <c r="E167" s="14" t="str">
        <f t="shared" si="4"/>
        <v/>
      </c>
      <c r="F167" s="6" t="str">
        <f>IF($A167&lt;&gt;"",MAXIFS(#REF!,Token!$A:$A,$D167),)</f>
        <v/>
      </c>
    </row>
    <row r="168">
      <c r="A168" s="35" t="str">
        <f t="shared" si="1"/>
        <v/>
      </c>
      <c r="B168" s="22" t="str">
        <f t="shared" si="2"/>
        <v/>
      </c>
      <c r="C168" s="14" t="str">
        <f>IF($A168&lt;&gt;"",MINIFS(Merchant!$A:$A,Merchant!$B:$B,$G$2),)</f>
        <v/>
      </c>
      <c r="D168" s="14" t="str">
        <f t="shared" si="3"/>
        <v/>
      </c>
      <c r="E168" s="14" t="str">
        <f t="shared" si="4"/>
        <v/>
      </c>
      <c r="F168" s="6" t="str">
        <f>IF($A168&lt;&gt;"",MAXIFS(#REF!,Token!$A:$A,$D168),)</f>
        <v/>
      </c>
    </row>
    <row r="169">
      <c r="A169" s="35" t="str">
        <f t="shared" si="1"/>
        <v/>
      </c>
      <c r="B169" s="22" t="str">
        <f t="shared" si="2"/>
        <v/>
      </c>
      <c r="C169" s="14" t="str">
        <f>IF($A169&lt;&gt;"",MINIFS(Merchant!$A:$A,Merchant!$B:$B,$G$2),)</f>
        <v/>
      </c>
      <c r="D169" s="14" t="str">
        <f t="shared" si="3"/>
        <v/>
      </c>
      <c r="E169" s="14" t="str">
        <f t="shared" si="4"/>
        <v/>
      </c>
      <c r="F169" s="6" t="str">
        <f>IF($A169&lt;&gt;"",MAXIFS(#REF!,Token!$A:$A,$D169),)</f>
        <v/>
      </c>
    </row>
    <row r="170">
      <c r="A170" s="35" t="str">
        <f t="shared" si="1"/>
        <v/>
      </c>
      <c r="B170" s="22" t="str">
        <f t="shared" si="2"/>
        <v/>
      </c>
      <c r="C170" s="14" t="str">
        <f>IF($A170&lt;&gt;"",MINIFS(Merchant!$A:$A,Merchant!$B:$B,$G$2),)</f>
        <v/>
      </c>
      <c r="D170" s="14" t="str">
        <f t="shared" si="3"/>
        <v/>
      </c>
      <c r="E170" s="14" t="str">
        <f t="shared" si="4"/>
        <v/>
      </c>
      <c r="F170" s="6" t="str">
        <f>IF($A170&lt;&gt;"",MAXIFS(#REF!,Token!$A:$A,$D170),)</f>
        <v/>
      </c>
    </row>
    <row r="171">
      <c r="A171" s="35" t="str">
        <f t="shared" si="1"/>
        <v/>
      </c>
      <c r="B171" s="22" t="str">
        <f t="shared" si="2"/>
        <v/>
      </c>
      <c r="C171" s="14" t="str">
        <f>IF($A171&lt;&gt;"",MINIFS(Merchant!$A:$A,Merchant!$B:$B,$G$2),)</f>
        <v/>
      </c>
      <c r="D171" s="14" t="str">
        <f t="shared" si="3"/>
        <v/>
      </c>
      <c r="E171" s="14" t="str">
        <f t="shared" si="4"/>
        <v/>
      </c>
      <c r="F171" s="6" t="str">
        <f>IF($A171&lt;&gt;"",MAXIFS(#REF!,Token!$A:$A,$D171),)</f>
        <v/>
      </c>
    </row>
    <row r="172">
      <c r="A172" s="35" t="str">
        <f t="shared" si="1"/>
        <v/>
      </c>
      <c r="B172" s="22" t="str">
        <f t="shared" si="2"/>
        <v/>
      </c>
      <c r="C172" s="14" t="str">
        <f>IF($A172&lt;&gt;"",MINIFS(Merchant!$A:$A,Merchant!$B:$B,$G$2),)</f>
        <v/>
      </c>
      <c r="D172" s="14" t="str">
        <f t="shared" si="3"/>
        <v/>
      </c>
      <c r="E172" s="14" t="str">
        <f t="shared" si="4"/>
        <v/>
      </c>
      <c r="F172" s="6" t="str">
        <f>IF($A172&lt;&gt;"",MAXIFS(#REF!,Token!$A:$A,$D172),)</f>
        <v/>
      </c>
    </row>
    <row r="173">
      <c r="A173" s="35" t="str">
        <f t="shared" si="1"/>
        <v/>
      </c>
      <c r="B173" s="22" t="str">
        <f t="shared" si="2"/>
        <v/>
      </c>
      <c r="C173" s="14" t="str">
        <f>IF($A173&lt;&gt;"",MINIFS(Merchant!$A:$A,Merchant!$B:$B,$G$2),)</f>
        <v/>
      </c>
      <c r="D173" s="14" t="str">
        <f t="shared" si="3"/>
        <v/>
      </c>
      <c r="E173" s="14" t="str">
        <f t="shared" si="4"/>
        <v/>
      </c>
      <c r="F173" s="6" t="str">
        <f>IF($A173&lt;&gt;"",MAXIFS(#REF!,Token!$A:$A,$D173),)</f>
        <v/>
      </c>
    </row>
    <row r="174">
      <c r="A174" s="35" t="str">
        <f t="shared" si="1"/>
        <v/>
      </c>
      <c r="B174" s="22" t="str">
        <f t="shared" si="2"/>
        <v/>
      </c>
      <c r="C174" s="14" t="str">
        <f>IF($A174&lt;&gt;"",MINIFS(Merchant!$A:$A,Merchant!$B:$B,$G$2),)</f>
        <v/>
      </c>
      <c r="D174" s="14" t="str">
        <f t="shared" si="3"/>
        <v/>
      </c>
      <c r="E174" s="14" t="str">
        <f t="shared" si="4"/>
        <v/>
      </c>
      <c r="F174" s="6" t="str">
        <f>IF($A174&lt;&gt;"",MAXIFS(#REF!,Token!$A:$A,$D174),)</f>
        <v/>
      </c>
    </row>
    <row r="175">
      <c r="A175" s="35" t="str">
        <f t="shared" si="1"/>
        <v/>
      </c>
      <c r="B175" s="22" t="str">
        <f t="shared" si="2"/>
        <v/>
      </c>
      <c r="C175" s="14" t="str">
        <f>IF($A175&lt;&gt;"",MINIFS(Merchant!$A:$A,Merchant!$B:$B,$G$2),)</f>
        <v/>
      </c>
      <c r="D175" s="14" t="str">
        <f t="shared" si="3"/>
        <v/>
      </c>
      <c r="E175" s="14" t="str">
        <f t="shared" si="4"/>
        <v/>
      </c>
      <c r="F175" s="6" t="str">
        <f>IF($A175&lt;&gt;"",MAXIFS(#REF!,Token!$A:$A,$D175),)</f>
        <v/>
      </c>
    </row>
    <row r="176">
      <c r="A176" s="35" t="str">
        <f t="shared" si="1"/>
        <v/>
      </c>
      <c r="B176" s="22" t="str">
        <f t="shared" si="2"/>
        <v/>
      </c>
      <c r="C176" s="14" t="str">
        <f>IF($A176&lt;&gt;"",MINIFS(Merchant!$A:$A,Merchant!$B:$B,$G$2),)</f>
        <v/>
      </c>
      <c r="D176" s="14" t="str">
        <f t="shared" si="3"/>
        <v/>
      </c>
      <c r="E176" s="14" t="str">
        <f t="shared" si="4"/>
        <v/>
      </c>
      <c r="F176" s="6" t="str">
        <f>IF($A176&lt;&gt;"",MAXIFS(#REF!,Token!$A:$A,$D176),)</f>
        <v/>
      </c>
    </row>
    <row r="177">
      <c r="A177" s="35" t="str">
        <f t="shared" si="1"/>
        <v/>
      </c>
      <c r="B177" s="22" t="str">
        <f t="shared" si="2"/>
        <v/>
      </c>
      <c r="C177" s="14" t="str">
        <f>IF($A177&lt;&gt;"",MINIFS(Merchant!$A:$A,Merchant!$B:$B,$G$2),)</f>
        <v/>
      </c>
      <c r="D177" s="14" t="str">
        <f t="shared" si="3"/>
        <v/>
      </c>
      <c r="E177" s="14" t="str">
        <f t="shared" si="4"/>
        <v/>
      </c>
      <c r="F177" s="6" t="str">
        <f>IF($A177&lt;&gt;"",MAXIFS(#REF!,Token!$A:$A,$D177),)</f>
        <v/>
      </c>
    </row>
    <row r="178">
      <c r="A178" s="35" t="str">
        <f t="shared" si="1"/>
        <v/>
      </c>
      <c r="B178" s="22" t="str">
        <f t="shared" si="2"/>
        <v/>
      </c>
      <c r="C178" s="14" t="str">
        <f>IF($A178&lt;&gt;"",MINIFS(Merchant!$A:$A,Merchant!$B:$B,$G$2),)</f>
        <v/>
      </c>
      <c r="D178" s="14" t="str">
        <f t="shared" si="3"/>
        <v/>
      </c>
      <c r="E178" s="14" t="str">
        <f t="shared" si="4"/>
        <v/>
      </c>
      <c r="F178" s="6" t="str">
        <f>IF($A178&lt;&gt;"",MAXIFS(#REF!,Token!$A:$A,$D178),)</f>
        <v/>
      </c>
    </row>
    <row r="179">
      <c r="A179" s="35" t="str">
        <f t="shared" si="1"/>
        <v/>
      </c>
      <c r="B179" s="22" t="str">
        <f t="shared" si="2"/>
        <v/>
      </c>
      <c r="C179" s="14" t="str">
        <f>IF($A179&lt;&gt;"",MINIFS(Merchant!$A:$A,Merchant!$B:$B,$G$2),)</f>
        <v/>
      </c>
      <c r="D179" s="14" t="str">
        <f t="shared" si="3"/>
        <v/>
      </c>
      <c r="E179" s="14" t="str">
        <f t="shared" si="4"/>
        <v/>
      </c>
      <c r="F179" s="6" t="str">
        <f>IF($A179&lt;&gt;"",MAXIFS(#REF!,Token!$A:$A,$D179),)</f>
        <v/>
      </c>
    </row>
    <row r="180">
      <c r="A180" s="35" t="str">
        <f t="shared" si="1"/>
        <v/>
      </c>
      <c r="B180" s="22" t="str">
        <f t="shared" si="2"/>
        <v/>
      </c>
      <c r="C180" s="14" t="str">
        <f>IF($A180&lt;&gt;"",MINIFS(Merchant!$A:$A,Merchant!$B:$B,$G$2),)</f>
        <v/>
      </c>
      <c r="D180" s="14" t="str">
        <f t="shared" si="3"/>
        <v/>
      </c>
      <c r="E180" s="14" t="str">
        <f t="shared" si="4"/>
        <v/>
      </c>
      <c r="F180" s="6" t="str">
        <f>IF($A180&lt;&gt;"",MAXIFS(#REF!,Token!$A:$A,$D180),)</f>
        <v/>
      </c>
    </row>
    <row r="181">
      <c r="A181" s="35" t="str">
        <f t="shared" si="1"/>
        <v/>
      </c>
      <c r="B181" s="22" t="str">
        <f t="shared" si="2"/>
        <v/>
      </c>
      <c r="C181" s="14" t="str">
        <f>IF($A181&lt;&gt;"",MINIFS(Merchant!$A:$A,Merchant!$B:$B,$G$2),)</f>
        <v/>
      </c>
      <c r="D181" s="14" t="str">
        <f t="shared" si="3"/>
        <v/>
      </c>
      <c r="E181" s="14" t="str">
        <f t="shared" si="4"/>
        <v/>
      </c>
      <c r="F181" s="6" t="str">
        <f>IF($A181&lt;&gt;"",MAXIFS(#REF!,Token!$A:$A,$D181),)</f>
        <v/>
      </c>
    </row>
    <row r="182">
      <c r="A182" s="35" t="str">
        <f t="shared" si="1"/>
        <v/>
      </c>
      <c r="B182" s="22" t="str">
        <f t="shared" si="2"/>
        <v/>
      </c>
      <c r="C182" s="14" t="str">
        <f>IF($A182&lt;&gt;"",MINIFS(Merchant!$A:$A,Merchant!$B:$B,$G$2),)</f>
        <v/>
      </c>
      <c r="D182" s="14" t="str">
        <f t="shared" si="3"/>
        <v/>
      </c>
      <c r="E182" s="14" t="str">
        <f t="shared" si="4"/>
        <v/>
      </c>
      <c r="F182" s="6" t="str">
        <f>IF($A182&lt;&gt;"",MAXIFS(#REF!,Token!$A:$A,$D182),)</f>
        <v/>
      </c>
    </row>
    <row r="183">
      <c r="A183" s="35" t="str">
        <f t="shared" si="1"/>
        <v/>
      </c>
      <c r="B183" s="22" t="str">
        <f t="shared" si="2"/>
        <v/>
      </c>
      <c r="C183" s="14" t="str">
        <f>IF($A183&lt;&gt;"",MINIFS(Merchant!$A:$A,Merchant!$B:$B,$G$2),)</f>
        <v/>
      </c>
      <c r="D183" s="14" t="str">
        <f t="shared" si="3"/>
        <v/>
      </c>
      <c r="E183" s="14" t="str">
        <f t="shared" si="4"/>
        <v/>
      </c>
      <c r="F183" s="6" t="str">
        <f>IF($A183&lt;&gt;"",MAXIFS(#REF!,Token!$A:$A,$D183),)</f>
        <v/>
      </c>
    </row>
    <row r="184">
      <c r="A184" s="35" t="str">
        <f t="shared" si="1"/>
        <v/>
      </c>
      <c r="B184" s="22" t="str">
        <f t="shared" si="2"/>
        <v/>
      </c>
      <c r="C184" s="14" t="str">
        <f>IF($A184&lt;&gt;"",MINIFS(Merchant!$A:$A,Merchant!$B:$B,$G$2),)</f>
        <v/>
      </c>
      <c r="D184" s="14" t="str">
        <f t="shared" si="3"/>
        <v/>
      </c>
      <c r="E184" s="14" t="str">
        <f t="shared" si="4"/>
        <v/>
      </c>
      <c r="F184" s="6" t="str">
        <f>IF($A184&lt;&gt;"",MAXIFS(#REF!,Token!$A:$A,$D184),)</f>
        <v/>
      </c>
    </row>
    <row r="185">
      <c r="A185" s="35" t="str">
        <f t="shared" si="1"/>
        <v/>
      </c>
      <c r="B185" s="22" t="str">
        <f t="shared" si="2"/>
        <v/>
      </c>
      <c r="C185" s="14" t="str">
        <f>IF($A185&lt;&gt;"",MINIFS(Merchant!$A:$A,Merchant!$B:$B,$G$2),)</f>
        <v/>
      </c>
      <c r="D185" s="14" t="str">
        <f t="shared" si="3"/>
        <v/>
      </c>
      <c r="E185" s="14" t="str">
        <f t="shared" si="4"/>
        <v/>
      </c>
      <c r="F185" s="6" t="str">
        <f>IF($A185&lt;&gt;"",MAXIFS(#REF!,Token!$A:$A,$D185),)</f>
        <v/>
      </c>
    </row>
    <row r="186">
      <c r="A186" s="35" t="str">
        <f t="shared" si="1"/>
        <v/>
      </c>
      <c r="B186" s="22" t="str">
        <f t="shared" si="2"/>
        <v/>
      </c>
      <c r="C186" s="14" t="str">
        <f>IF($A186&lt;&gt;"",MINIFS(Merchant!$A:$A,Merchant!$B:$B,$G$2),)</f>
        <v/>
      </c>
      <c r="D186" s="14" t="str">
        <f t="shared" si="3"/>
        <v/>
      </c>
      <c r="E186" s="14" t="str">
        <f t="shared" si="4"/>
        <v/>
      </c>
      <c r="F186" s="6" t="str">
        <f>IF($A186&lt;&gt;"",MAXIFS(#REF!,Token!$A:$A,$D186),)</f>
        <v/>
      </c>
    </row>
    <row r="187">
      <c r="A187" s="35" t="str">
        <f t="shared" si="1"/>
        <v/>
      </c>
      <c r="B187" s="22" t="str">
        <f t="shared" si="2"/>
        <v/>
      </c>
      <c r="C187" s="14" t="str">
        <f>IF($A187&lt;&gt;"",MINIFS(Merchant!$A:$A,Merchant!$B:$B,$G$2),)</f>
        <v/>
      </c>
      <c r="D187" s="14" t="str">
        <f t="shared" si="3"/>
        <v/>
      </c>
      <c r="E187" s="14" t="str">
        <f t="shared" si="4"/>
        <v/>
      </c>
      <c r="F187" s="6" t="str">
        <f>IF($A187&lt;&gt;"",MAXIFS(#REF!,Token!$A:$A,$D187),)</f>
        <v/>
      </c>
    </row>
    <row r="188">
      <c r="A188" s="35" t="str">
        <f t="shared" si="1"/>
        <v/>
      </c>
      <c r="B188" s="22" t="str">
        <f t="shared" si="2"/>
        <v/>
      </c>
      <c r="C188" s="14" t="str">
        <f>IF($A188&lt;&gt;"",MINIFS(Merchant!$A:$A,Merchant!$B:$B,$G$2),)</f>
        <v/>
      </c>
      <c r="D188" s="14" t="str">
        <f t="shared" si="3"/>
        <v/>
      </c>
      <c r="E188" s="14" t="str">
        <f t="shared" si="4"/>
        <v/>
      </c>
      <c r="F188" s="6" t="str">
        <f>IF($A188&lt;&gt;"",MAXIFS(#REF!,Token!$A:$A,$D188),)</f>
        <v/>
      </c>
    </row>
    <row r="189">
      <c r="A189" s="35" t="str">
        <f t="shared" si="1"/>
        <v/>
      </c>
      <c r="B189" s="22" t="str">
        <f t="shared" si="2"/>
        <v/>
      </c>
      <c r="C189" s="14" t="str">
        <f>IF($A189&lt;&gt;"",MINIFS(Merchant!$A:$A,Merchant!$B:$B,$G$2),)</f>
        <v/>
      </c>
      <c r="D189" s="14" t="str">
        <f t="shared" si="3"/>
        <v/>
      </c>
      <c r="E189" s="14" t="str">
        <f t="shared" si="4"/>
        <v/>
      </c>
      <c r="F189" s="6" t="str">
        <f>IF($A189&lt;&gt;"",MAXIFS(#REF!,Token!$A:$A,$D189),)</f>
        <v/>
      </c>
    </row>
    <row r="190">
      <c r="A190" s="35" t="str">
        <f t="shared" si="1"/>
        <v/>
      </c>
      <c r="B190" s="22" t="str">
        <f t="shared" si="2"/>
        <v/>
      </c>
      <c r="C190" s="14" t="str">
        <f>IF($A190&lt;&gt;"",MINIFS(Merchant!$A:$A,Merchant!$B:$B,$G$2),)</f>
        <v/>
      </c>
      <c r="D190" s="14" t="str">
        <f t="shared" si="3"/>
        <v/>
      </c>
      <c r="E190" s="14" t="str">
        <f t="shared" si="4"/>
        <v/>
      </c>
      <c r="F190" s="6" t="str">
        <f>IF($A190&lt;&gt;"",MAXIFS(#REF!,Token!$A:$A,$D190),)</f>
        <v/>
      </c>
    </row>
    <row r="191">
      <c r="A191" s="35" t="str">
        <f t="shared" si="1"/>
        <v/>
      </c>
      <c r="B191" s="22" t="str">
        <f t="shared" si="2"/>
        <v/>
      </c>
      <c r="C191" s="14" t="str">
        <f>IF($A191&lt;&gt;"",MINIFS(Merchant!$A:$A,Merchant!$B:$B,$G$2),)</f>
        <v/>
      </c>
      <c r="D191" s="14" t="str">
        <f t="shared" si="3"/>
        <v/>
      </c>
      <c r="E191" s="14" t="str">
        <f t="shared" si="4"/>
        <v/>
      </c>
      <c r="F191" s="6" t="str">
        <f>IF($A191&lt;&gt;"",MAXIFS(#REF!,Token!$A:$A,$D191),)</f>
        <v/>
      </c>
    </row>
    <row r="192">
      <c r="A192" s="35" t="str">
        <f t="shared" si="1"/>
        <v/>
      </c>
      <c r="B192" s="22" t="str">
        <f t="shared" si="2"/>
        <v/>
      </c>
      <c r="C192" s="14" t="str">
        <f>IF($A192&lt;&gt;"",MINIFS(Merchant!$A:$A,Merchant!$B:$B,$G$2),)</f>
        <v/>
      </c>
      <c r="D192" s="14" t="str">
        <f t="shared" si="3"/>
        <v/>
      </c>
      <c r="E192" s="14" t="str">
        <f t="shared" si="4"/>
        <v/>
      </c>
      <c r="F192" s="6" t="str">
        <f>IF($A192&lt;&gt;"",MAXIFS(#REF!,Token!$A:$A,$D192),)</f>
        <v/>
      </c>
    </row>
    <row r="193">
      <c r="A193" s="35" t="str">
        <f t="shared" si="1"/>
        <v/>
      </c>
      <c r="B193" s="22" t="str">
        <f t="shared" si="2"/>
        <v/>
      </c>
      <c r="C193" s="14" t="str">
        <f>IF($A193&lt;&gt;"",MINIFS(Merchant!$A:$A,Merchant!$B:$B,$G$2),)</f>
        <v/>
      </c>
      <c r="D193" s="14" t="str">
        <f t="shared" si="3"/>
        <v/>
      </c>
      <c r="E193" s="14" t="str">
        <f t="shared" si="4"/>
        <v/>
      </c>
      <c r="F193" s="6" t="str">
        <f>IF($A193&lt;&gt;"",MAXIFS(#REF!,Token!$A:$A,$D193),)</f>
        <v/>
      </c>
    </row>
    <row r="194">
      <c r="A194" s="35" t="str">
        <f t="shared" si="1"/>
        <v/>
      </c>
      <c r="B194" s="22" t="str">
        <f t="shared" si="2"/>
        <v/>
      </c>
      <c r="C194" s="14" t="str">
        <f>IF($A194&lt;&gt;"",MINIFS(Merchant!$A:$A,Merchant!$B:$B,$G$2),)</f>
        <v/>
      </c>
      <c r="D194" s="14" t="str">
        <f t="shared" si="3"/>
        <v/>
      </c>
      <c r="E194" s="14" t="str">
        <f t="shared" si="4"/>
        <v/>
      </c>
      <c r="F194" s="6" t="str">
        <f>IF($A194&lt;&gt;"",MAXIFS(#REF!,Token!$A:$A,$D194),)</f>
        <v/>
      </c>
    </row>
    <row r="195">
      <c r="A195" s="35" t="str">
        <f t="shared" si="1"/>
        <v/>
      </c>
      <c r="B195" s="22" t="str">
        <f t="shared" si="2"/>
        <v/>
      </c>
      <c r="C195" s="14" t="str">
        <f>IF($A195&lt;&gt;"",MINIFS(Merchant!$A:$A,Merchant!$B:$B,$G$2),)</f>
        <v/>
      </c>
      <c r="D195" s="14" t="str">
        <f t="shared" si="3"/>
        <v/>
      </c>
      <c r="E195" s="14" t="str">
        <f t="shared" si="4"/>
        <v/>
      </c>
      <c r="F195" s="6" t="str">
        <f>IF($A195&lt;&gt;"",MAXIFS(#REF!,Token!$A:$A,$D195),)</f>
        <v/>
      </c>
    </row>
    <row r="196">
      <c r="A196" s="35" t="str">
        <f t="shared" si="1"/>
        <v/>
      </c>
      <c r="B196" s="22" t="str">
        <f t="shared" si="2"/>
        <v/>
      </c>
      <c r="C196" s="14" t="str">
        <f>IF($A196&lt;&gt;"",MINIFS(Merchant!$A:$A,Merchant!$B:$B,$G$2),)</f>
        <v/>
      </c>
      <c r="D196" s="14" t="str">
        <f t="shared" si="3"/>
        <v/>
      </c>
      <c r="E196" s="14" t="str">
        <f t="shared" si="4"/>
        <v/>
      </c>
      <c r="F196" s="6" t="str">
        <f>IF($A196&lt;&gt;"",MAXIFS(#REF!,Token!$A:$A,$D196),)</f>
        <v/>
      </c>
    </row>
    <row r="197">
      <c r="A197" s="35" t="str">
        <f t="shared" si="1"/>
        <v/>
      </c>
      <c r="B197" s="22" t="str">
        <f t="shared" si="2"/>
        <v/>
      </c>
      <c r="C197" s="14" t="str">
        <f>IF($A197&lt;&gt;"",MINIFS(Merchant!$A:$A,Merchant!$B:$B,$G$2),)</f>
        <v/>
      </c>
      <c r="D197" s="14" t="str">
        <f t="shared" si="3"/>
        <v/>
      </c>
      <c r="E197" s="14" t="str">
        <f t="shared" si="4"/>
        <v/>
      </c>
      <c r="F197" s="6" t="str">
        <f>IF($A197&lt;&gt;"",MAXIFS(#REF!,Token!$A:$A,$D197),)</f>
        <v/>
      </c>
    </row>
    <row r="198">
      <c r="A198" s="35" t="str">
        <f t="shared" si="1"/>
        <v/>
      </c>
      <c r="B198" s="22" t="str">
        <f t="shared" si="2"/>
        <v/>
      </c>
      <c r="C198" s="14" t="str">
        <f>IF($A198&lt;&gt;"",MINIFS(Merchant!$A:$A,Merchant!$B:$B,$G$2),)</f>
        <v/>
      </c>
      <c r="D198" s="14" t="str">
        <f t="shared" si="3"/>
        <v/>
      </c>
      <c r="E198" s="14" t="str">
        <f t="shared" si="4"/>
        <v/>
      </c>
      <c r="F198" s="6" t="str">
        <f>IF($A198&lt;&gt;"",MAXIFS(#REF!,Token!$A:$A,$D198),)</f>
        <v/>
      </c>
    </row>
    <row r="199">
      <c r="A199" s="35" t="str">
        <f t="shared" si="1"/>
        <v/>
      </c>
      <c r="B199" s="22" t="str">
        <f t="shared" si="2"/>
        <v/>
      </c>
      <c r="C199" s="14" t="str">
        <f>IF($A199&lt;&gt;"",MINIFS(Merchant!$A:$A,Merchant!$B:$B,$G$2),)</f>
        <v/>
      </c>
      <c r="D199" s="14" t="str">
        <f t="shared" si="3"/>
        <v/>
      </c>
      <c r="E199" s="14" t="str">
        <f t="shared" si="4"/>
        <v/>
      </c>
      <c r="F199" s="6" t="str">
        <f>IF($A199&lt;&gt;"",MAXIFS(#REF!,Token!$A:$A,$D199),)</f>
        <v/>
      </c>
    </row>
    <row r="200">
      <c r="A200" s="35" t="str">
        <f t="shared" si="1"/>
        <v/>
      </c>
      <c r="B200" s="22" t="str">
        <f t="shared" si="2"/>
        <v/>
      </c>
      <c r="C200" s="14" t="str">
        <f>IF($A200&lt;&gt;"",MINIFS(Merchant!$A:$A,Merchant!$B:$B,$G$2),)</f>
        <v/>
      </c>
      <c r="D200" s="14" t="str">
        <f t="shared" si="3"/>
        <v/>
      </c>
      <c r="E200" s="14" t="str">
        <f t="shared" si="4"/>
        <v/>
      </c>
      <c r="F200" s="6" t="str">
        <f>IF($A200&lt;&gt;"",MAXIFS(#REF!,Token!$A:$A,$D200),)</f>
        <v/>
      </c>
    </row>
    <row r="201">
      <c r="A201" s="35" t="str">
        <f t="shared" si="1"/>
        <v/>
      </c>
      <c r="B201" s="22" t="str">
        <f t="shared" si="2"/>
        <v/>
      </c>
      <c r="C201" s="14" t="str">
        <f>IF($A201&lt;&gt;"",MINIFS(Merchant!$A:$A,Merchant!$B:$B,$G$2),)</f>
        <v/>
      </c>
      <c r="D201" s="14" t="str">
        <f t="shared" si="3"/>
        <v/>
      </c>
      <c r="E201" s="14" t="str">
        <f t="shared" si="4"/>
        <v/>
      </c>
      <c r="F201" s="6" t="str">
        <f>IF($A201&lt;&gt;"",MAXIFS(#REF!,Token!$A:$A,$D201),)</f>
        <v/>
      </c>
    </row>
    <row r="202">
      <c r="A202" s="35" t="str">
        <f t="shared" si="1"/>
        <v/>
      </c>
      <c r="B202" s="22" t="str">
        <f t="shared" si="2"/>
        <v/>
      </c>
      <c r="C202" s="14" t="str">
        <f>IF($A202&lt;&gt;"",MINIFS(Merchant!$A:$A,Merchant!$B:$B,$G$2),)</f>
        <v/>
      </c>
      <c r="D202" s="14" t="str">
        <f t="shared" si="3"/>
        <v/>
      </c>
      <c r="E202" s="14" t="str">
        <f t="shared" si="4"/>
        <v/>
      </c>
      <c r="F202" s="6" t="str">
        <f>IF($A202&lt;&gt;"",MAXIFS(#REF!,Token!$A:$A,$D202),)</f>
        <v/>
      </c>
    </row>
    <row r="203">
      <c r="A203" s="35" t="str">
        <f t="shared" si="1"/>
        <v/>
      </c>
      <c r="B203" s="22" t="str">
        <f t="shared" si="2"/>
        <v/>
      </c>
      <c r="C203" s="14" t="str">
        <f>IF($A203&lt;&gt;"",MINIFS(Merchant!$A:$A,Merchant!$B:$B,$G$2),)</f>
        <v/>
      </c>
      <c r="D203" s="14" t="str">
        <f t="shared" si="3"/>
        <v/>
      </c>
      <c r="E203" s="14" t="str">
        <f t="shared" si="4"/>
        <v/>
      </c>
      <c r="F203" s="6" t="str">
        <f>IF($A203&lt;&gt;"",MAXIFS(#REF!,Token!$A:$A,$D203),)</f>
        <v/>
      </c>
    </row>
    <row r="204">
      <c r="A204" s="35" t="str">
        <f t="shared" si="1"/>
        <v/>
      </c>
      <c r="B204" s="22" t="str">
        <f t="shared" si="2"/>
        <v/>
      </c>
      <c r="C204" s="14" t="str">
        <f>IF($A204&lt;&gt;"",MINIFS(Merchant!$A:$A,Merchant!$B:$B,$G$2),)</f>
        <v/>
      </c>
      <c r="D204" s="14" t="str">
        <f t="shared" si="3"/>
        <v/>
      </c>
      <c r="E204" s="14" t="str">
        <f t="shared" si="4"/>
        <v/>
      </c>
      <c r="F204" s="6" t="str">
        <f>IF($A204&lt;&gt;"",MAXIFS(#REF!,Token!$A:$A,$D204),)</f>
        <v/>
      </c>
    </row>
    <row r="205">
      <c r="A205" s="35" t="str">
        <f t="shared" si="1"/>
        <v/>
      </c>
      <c r="B205" s="22" t="str">
        <f t="shared" si="2"/>
        <v/>
      </c>
      <c r="C205" s="14" t="str">
        <f>IF($A205&lt;&gt;"",MINIFS(Merchant!$A:$A,Merchant!$B:$B,$G$2),)</f>
        <v/>
      </c>
      <c r="D205" s="14" t="str">
        <f t="shared" si="3"/>
        <v/>
      </c>
      <c r="E205" s="14" t="str">
        <f t="shared" si="4"/>
        <v/>
      </c>
      <c r="F205" s="6" t="str">
        <f>IF($A205&lt;&gt;"",MAXIFS(#REF!,Token!$A:$A,$D205),)</f>
        <v/>
      </c>
    </row>
    <row r="206">
      <c r="A206" s="35" t="str">
        <f t="shared" si="1"/>
        <v/>
      </c>
      <c r="B206" s="22" t="str">
        <f t="shared" si="2"/>
        <v/>
      </c>
      <c r="C206" s="14" t="str">
        <f>IF($A206&lt;&gt;"",MINIFS(Merchant!$A:$A,Merchant!$B:$B,$G$2),)</f>
        <v/>
      </c>
      <c r="D206" s="14" t="str">
        <f t="shared" si="3"/>
        <v/>
      </c>
      <c r="E206" s="14" t="str">
        <f t="shared" si="4"/>
        <v/>
      </c>
      <c r="F206" s="6" t="str">
        <f>IF($A206&lt;&gt;"",MAXIFS(#REF!,Token!$A:$A,$D206),)</f>
        <v/>
      </c>
    </row>
    <row r="207">
      <c r="A207" s="35" t="str">
        <f t="shared" si="1"/>
        <v/>
      </c>
      <c r="B207" s="22" t="str">
        <f t="shared" si="2"/>
        <v/>
      </c>
      <c r="C207" s="14" t="str">
        <f>IF($A207&lt;&gt;"",MINIFS(Merchant!$A:$A,Merchant!$B:$B,$G$2),)</f>
        <v/>
      </c>
      <c r="D207" s="14" t="str">
        <f t="shared" si="3"/>
        <v/>
      </c>
      <c r="E207" s="14" t="str">
        <f t="shared" si="4"/>
        <v/>
      </c>
      <c r="F207" s="6" t="str">
        <f>IF($A207&lt;&gt;"",MAXIFS(#REF!,Token!$A:$A,$D207),)</f>
        <v/>
      </c>
    </row>
    <row r="208">
      <c r="A208" s="35" t="str">
        <f t="shared" si="1"/>
        <v/>
      </c>
      <c r="B208" s="22" t="str">
        <f t="shared" si="2"/>
        <v/>
      </c>
      <c r="C208" s="14" t="str">
        <f>IF($A208&lt;&gt;"",MINIFS(Merchant!$A:$A,Merchant!$B:$B,$G$2),)</f>
        <v/>
      </c>
      <c r="D208" s="14" t="str">
        <f t="shared" si="3"/>
        <v/>
      </c>
      <c r="E208" s="14" t="str">
        <f t="shared" si="4"/>
        <v/>
      </c>
      <c r="F208" s="6" t="str">
        <f>IF($A208&lt;&gt;"",MAXIFS(#REF!,Token!$A:$A,$D208),)</f>
        <v/>
      </c>
    </row>
    <row r="209">
      <c r="A209" s="35" t="str">
        <f t="shared" si="1"/>
        <v/>
      </c>
      <c r="B209" s="22" t="str">
        <f t="shared" si="2"/>
        <v/>
      </c>
      <c r="C209" s="14" t="str">
        <f>IF($A209&lt;&gt;"",MINIFS(Merchant!$A:$A,Merchant!$B:$B,$G$2),)</f>
        <v/>
      </c>
      <c r="D209" s="14" t="str">
        <f t="shared" si="3"/>
        <v/>
      </c>
      <c r="E209" s="14" t="str">
        <f t="shared" si="4"/>
        <v/>
      </c>
      <c r="F209" s="6" t="str">
        <f>IF($A209&lt;&gt;"",MAXIFS(#REF!,Token!$A:$A,$D209),)</f>
        <v/>
      </c>
    </row>
    <row r="210">
      <c r="A210" s="35" t="str">
        <f t="shared" si="1"/>
        <v/>
      </c>
      <c r="B210" s="22" t="str">
        <f t="shared" si="2"/>
        <v/>
      </c>
      <c r="C210" s="14" t="str">
        <f>IF($A210&lt;&gt;"",MINIFS(Merchant!$A:$A,Merchant!$B:$B,$G$2),)</f>
        <v/>
      </c>
      <c r="D210" s="14" t="str">
        <f t="shared" si="3"/>
        <v/>
      </c>
      <c r="E210" s="14" t="str">
        <f t="shared" si="4"/>
        <v/>
      </c>
      <c r="F210" s="6" t="str">
        <f>IF($A210&lt;&gt;"",MAXIFS(#REF!,Token!$A:$A,$D210),)</f>
        <v/>
      </c>
    </row>
    <row r="211">
      <c r="A211" s="35" t="str">
        <f t="shared" si="1"/>
        <v/>
      </c>
      <c r="B211" s="22" t="str">
        <f t="shared" si="2"/>
        <v/>
      </c>
      <c r="C211" s="14" t="str">
        <f>IF($A211&lt;&gt;"",MINIFS(Merchant!$A:$A,Merchant!$B:$B,$G$2),)</f>
        <v/>
      </c>
      <c r="D211" s="14" t="str">
        <f t="shared" si="3"/>
        <v/>
      </c>
      <c r="E211" s="14" t="str">
        <f t="shared" si="4"/>
        <v/>
      </c>
      <c r="F211" s="6" t="str">
        <f>IF($A211&lt;&gt;"",MAXIFS(#REF!,Token!$A:$A,$D211),)</f>
        <v/>
      </c>
    </row>
    <row r="212">
      <c r="A212" s="35" t="str">
        <f t="shared" si="1"/>
        <v/>
      </c>
      <c r="B212" s="22" t="str">
        <f t="shared" si="2"/>
        <v/>
      </c>
      <c r="C212" s="14" t="str">
        <f>IF($A212&lt;&gt;"",MINIFS(Merchant!$A:$A,Merchant!$B:$B,$G$2),)</f>
        <v/>
      </c>
      <c r="D212" s="14" t="str">
        <f t="shared" si="3"/>
        <v/>
      </c>
      <c r="E212" s="14" t="str">
        <f t="shared" si="4"/>
        <v/>
      </c>
      <c r="F212" s="6" t="str">
        <f>IF($A212&lt;&gt;"",MAXIFS(#REF!,Token!$A:$A,$D212),)</f>
        <v/>
      </c>
    </row>
    <row r="213">
      <c r="A213" s="35" t="str">
        <f t="shared" si="1"/>
        <v/>
      </c>
      <c r="B213" s="22" t="str">
        <f t="shared" si="2"/>
        <v/>
      </c>
      <c r="C213" s="14" t="str">
        <f>IF($A213&lt;&gt;"",MINIFS(Merchant!$A:$A,Merchant!$B:$B,$G$2),)</f>
        <v/>
      </c>
      <c r="D213" s="14" t="str">
        <f t="shared" si="3"/>
        <v/>
      </c>
      <c r="E213" s="14" t="str">
        <f t="shared" si="4"/>
        <v/>
      </c>
      <c r="F213" s="6" t="str">
        <f>IF($A213&lt;&gt;"",MAXIFS(#REF!,Token!$A:$A,$D213),)</f>
        <v/>
      </c>
    </row>
    <row r="214">
      <c r="A214" s="35" t="str">
        <f t="shared" si="1"/>
        <v/>
      </c>
      <c r="B214" s="22" t="str">
        <f t="shared" si="2"/>
        <v/>
      </c>
      <c r="C214" s="14" t="str">
        <f>IF($A214&lt;&gt;"",MINIFS(Merchant!$A:$A,Merchant!$B:$B,$G$2),)</f>
        <v/>
      </c>
      <c r="D214" s="14" t="str">
        <f t="shared" si="3"/>
        <v/>
      </c>
      <c r="E214" s="14" t="str">
        <f t="shared" si="4"/>
        <v/>
      </c>
      <c r="F214" s="6" t="str">
        <f>IF($A214&lt;&gt;"",MAXIFS(#REF!,Token!$A:$A,$D214),)</f>
        <v/>
      </c>
    </row>
    <row r="215">
      <c r="A215" s="35" t="str">
        <f t="shared" si="1"/>
        <v/>
      </c>
      <c r="B215" s="22" t="str">
        <f t="shared" si="2"/>
        <v/>
      </c>
      <c r="C215" s="14" t="str">
        <f>IF($A215&lt;&gt;"",MINIFS(Merchant!$A:$A,Merchant!$B:$B,$G$2),)</f>
        <v/>
      </c>
      <c r="D215" s="14" t="str">
        <f t="shared" si="3"/>
        <v/>
      </c>
      <c r="E215" s="14" t="str">
        <f t="shared" si="4"/>
        <v/>
      </c>
      <c r="F215" s="6" t="str">
        <f>IF($A215&lt;&gt;"",MAXIFS(#REF!,Token!$A:$A,$D215),)</f>
        <v/>
      </c>
    </row>
    <row r="216">
      <c r="A216" s="35" t="str">
        <f t="shared" si="1"/>
        <v/>
      </c>
      <c r="B216" s="22" t="str">
        <f t="shared" si="2"/>
        <v/>
      </c>
      <c r="C216" s="14" t="str">
        <f>IF($A216&lt;&gt;"",MINIFS(Merchant!$A:$A,Merchant!$B:$B,$G$2),)</f>
        <v/>
      </c>
      <c r="D216" s="14" t="str">
        <f t="shared" si="3"/>
        <v/>
      </c>
      <c r="E216" s="14" t="str">
        <f t="shared" si="4"/>
        <v/>
      </c>
      <c r="F216" s="6" t="str">
        <f>IF($A216&lt;&gt;"",MAXIFS(#REF!,Token!$A:$A,$D216),)</f>
        <v/>
      </c>
    </row>
    <row r="217">
      <c r="A217" s="35" t="str">
        <f t="shared" si="1"/>
        <v/>
      </c>
      <c r="B217" s="22" t="str">
        <f t="shared" si="2"/>
        <v/>
      </c>
      <c r="C217" s="14" t="str">
        <f>IF($A217&lt;&gt;"",MINIFS(Merchant!$A:$A,Merchant!$B:$B,$G$2),)</f>
        <v/>
      </c>
      <c r="D217" s="14" t="str">
        <f t="shared" si="3"/>
        <v/>
      </c>
      <c r="E217" s="14" t="str">
        <f t="shared" si="4"/>
        <v/>
      </c>
      <c r="F217" s="6" t="str">
        <f>IF($A217&lt;&gt;"",MAXIFS(#REF!,Token!$A:$A,$D217),)</f>
        <v/>
      </c>
    </row>
    <row r="218">
      <c r="A218" s="35" t="str">
        <f t="shared" si="1"/>
        <v/>
      </c>
      <c r="B218" s="22" t="str">
        <f t="shared" si="2"/>
        <v/>
      </c>
      <c r="C218" s="14" t="str">
        <f>IF($A218&lt;&gt;"",MINIFS(Merchant!$A:$A,Merchant!$B:$B,$G$2),)</f>
        <v/>
      </c>
      <c r="D218" s="14" t="str">
        <f t="shared" si="3"/>
        <v/>
      </c>
      <c r="E218" s="14" t="str">
        <f t="shared" si="4"/>
        <v/>
      </c>
      <c r="F218" s="6" t="str">
        <f>IF($A218&lt;&gt;"",MAXIFS(#REF!,Token!$A:$A,$D218),)</f>
        <v/>
      </c>
    </row>
    <row r="219">
      <c r="A219" s="35" t="str">
        <f t="shared" si="1"/>
        <v/>
      </c>
      <c r="B219" s="22" t="str">
        <f t="shared" si="2"/>
        <v/>
      </c>
      <c r="C219" s="14" t="str">
        <f>IF($A219&lt;&gt;"",MINIFS(Merchant!$A:$A,Merchant!$B:$B,$G$2),)</f>
        <v/>
      </c>
      <c r="D219" s="14" t="str">
        <f t="shared" si="3"/>
        <v/>
      </c>
      <c r="E219" s="14" t="str">
        <f t="shared" si="4"/>
        <v/>
      </c>
      <c r="F219" s="6" t="str">
        <f>IF($A219&lt;&gt;"",MAXIFS(#REF!,Token!$A:$A,$D219),)</f>
        <v/>
      </c>
    </row>
    <row r="220">
      <c r="A220" s="35" t="str">
        <f t="shared" si="1"/>
        <v/>
      </c>
      <c r="B220" s="22" t="str">
        <f t="shared" si="2"/>
        <v/>
      </c>
      <c r="C220" s="14" t="str">
        <f>IF($A220&lt;&gt;"",MINIFS(Merchant!$A:$A,Merchant!$B:$B,$G$2),)</f>
        <v/>
      </c>
      <c r="D220" s="14" t="str">
        <f t="shared" si="3"/>
        <v/>
      </c>
      <c r="E220" s="14" t="str">
        <f t="shared" si="4"/>
        <v/>
      </c>
      <c r="F220" s="6" t="str">
        <f>IF($A220&lt;&gt;"",MAXIFS(#REF!,Token!$A:$A,$D220),)</f>
        <v/>
      </c>
    </row>
    <row r="221">
      <c r="A221" s="35" t="str">
        <f t="shared" si="1"/>
        <v/>
      </c>
      <c r="B221" s="22" t="str">
        <f t="shared" si="2"/>
        <v/>
      </c>
      <c r="C221" s="14" t="str">
        <f>IF($A221&lt;&gt;"",MINIFS(Merchant!$A:$A,Merchant!$B:$B,$G$2),)</f>
        <v/>
      </c>
      <c r="D221" s="14" t="str">
        <f t="shared" si="3"/>
        <v/>
      </c>
      <c r="E221" s="14" t="str">
        <f t="shared" si="4"/>
        <v/>
      </c>
      <c r="F221" s="6" t="str">
        <f>IF($A221&lt;&gt;"",MAXIFS(#REF!,Token!$A:$A,$D221),)</f>
        <v/>
      </c>
    </row>
    <row r="222">
      <c r="A222" s="35" t="str">
        <f t="shared" si="1"/>
        <v/>
      </c>
      <c r="B222" s="22" t="str">
        <f t="shared" si="2"/>
        <v/>
      </c>
      <c r="C222" s="14" t="str">
        <f>IF($A222&lt;&gt;"",MINIFS(Merchant!$A:$A,Merchant!$B:$B,$G$2),)</f>
        <v/>
      </c>
      <c r="D222" s="14" t="str">
        <f t="shared" si="3"/>
        <v/>
      </c>
      <c r="E222" s="14" t="str">
        <f t="shared" si="4"/>
        <v/>
      </c>
      <c r="F222" s="6" t="str">
        <f>IF($A222&lt;&gt;"",MAXIFS(#REF!,Token!$A:$A,$D222),)</f>
        <v/>
      </c>
    </row>
    <row r="223">
      <c r="A223" s="35" t="str">
        <f t="shared" si="1"/>
        <v/>
      </c>
      <c r="B223" s="22" t="str">
        <f t="shared" si="2"/>
        <v/>
      </c>
      <c r="C223" s="14" t="str">
        <f>IF($A223&lt;&gt;"",MINIFS(Merchant!$A:$A,Merchant!$B:$B,$G$2),)</f>
        <v/>
      </c>
      <c r="D223" s="14" t="str">
        <f t="shared" si="3"/>
        <v/>
      </c>
      <c r="E223" s="14" t="str">
        <f t="shared" si="4"/>
        <v/>
      </c>
      <c r="F223" s="6" t="str">
        <f>IF($A223&lt;&gt;"",MAXIFS(#REF!,Token!$A:$A,$D223),)</f>
        <v/>
      </c>
    </row>
    <row r="224">
      <c r="A224" s="35" t="str">
        <f t="shared" si="1"/>
        <v/>
      </c>
      <c r="B224" s="22" t="str">
        <f t="shared" si="2"/>
        <v/>
      </c>
      <c r="C224" s="14" t="str">
        <f>IF($A224&lt;&gt;"",MINIFS(Merchant!$A:$A,Merchant!$B:$B,$G$2),)</f>
        <v/>
      </c>
      <c r="D224" s="14" t="str">
        <f t="shared" si="3"/>
        <v/>
      </c>
      <c r="E224" s="14" t="str">
        <f t="shared" si="4"/>
        <v/>
      </c>
      <c r="F224" s="6" t="str">
        <f>IF($A224&lt;&gt;"",MAXIFS(#REF!,Token!$A:$A,$D224),)</f>
        <v/>
      </c>
    </row>
    <row r="225">
      <c r="A225" s="35" t="str">
        <f t="shared" si="1"/>
        <v/>
      </c>
      <c r="B225" s="22" t="str">
        <f t="shared" si="2"/>
        <v/>
      </c>
      <c r="C225" s="14" t="str">
        <f>IF($A225&lt;&gt;"",MINIFS(Merchant!$A:$A,Merchant!$B:$B,$G$2),)</f>
        <v/>
      </c>
      <c r="D225" s="14" t="str">
        <f t="shared" si="3"/>
        <v/>
      </c>
      <c r="E225" s="14" t="str">
        <f t="shared" si="4"/>
        <v/>
      </c>
      <c r="F225" s="6" t="str">
        <f>IF($A225&lt;&gt;"",MAXIFS(#REF!,Token!$A:$A,$D225),)</f>
        <v/>
      </c>
    </row>
    <row r="226">
      <c r="A226" s="35" t="str">
        <f t="shared" si="1"/>
        <v/>
      </c>
      <c r="B226" s="22" t="str">
        <f t="shared" si="2"/>
        <v/>
      </c>
      <c r="C226" s="14" t="str">
        <f>IF($A226&lt;&gt;"",MINIFS(Merchant!$A:$A,Merchant!$B:$B,$G$2),)</f>
        <v/>
      </c>
      <c r="D226" s="14" t="str">
        <f t="shared" si="3"/>
        <v/>
      </c>
      <c r="E226" s="14" t="str">
        <f t="shared" si="4"/>
        <v/>
      </c>
      <c r="F226" s="6" t="str">
        <f>IF($A226&lt;&gt;"",MAXIFS(#REF!,Token!$A:$A,$D226),)</f>
        <v/>
      </c>
    </row>
    <row r="227">
      <c r="A227" s="35" t="str">
        <f t="shared" si="1"/>
        <v/>
      </c>
      <c r="B227" s="22" t="str">
        <f t="shared" si="2"/>
        <v/>
      </c>
      <c r="C227" s="14" t="str">
        <f>IF($A227&lt;&gt;"",MINIFS(Merchant!$A:$A,Merchant!$B:$B,$G$2),)</f>
        <v/>
      </c>
      <c r="D227" s="14" t="str">
        <f t="shared" si="3"/>
        <v/>
      </c>
      <c r="E227" s="14" t="str">
        <f t="shared" si="4"/>
        <v/>
      </c>
      <c r="F227" s="6" t="str">
        <f>IF($A227&lt;&gt;"",MAXIFS(#REF!,Token!$A:$A,$D227),)</f>
        <v/>
      </c>
    </row>
    <row r="228">
      <c r="A228" s="35" t="str">
        <f t="shared" si="1"/>
        <v/>
      </c>
      <c r="B228" s="22" t="str">
        <f t="shared" si="2"/>
        <v/>
      </c>
      <c r="C228" s="14" t="str">
        <f>IF($A228&lt;&gt;"",MINIFS(Merchant!$A:$A,Merchant!$B:$B,$G$2),)</f>
        <v/>
      </c>
      <c r="D228" s="14" t="str">
        <f t="shared" si="3"/>
        <v/>
      </c>
      <c r="E228" s="14" t="str">
        <f t="shared" si="4"/>
        <v/>
      </c>
      <c r="F228" s="6" t="str">
        <f>IF($A228&lt;&gt;"",MAXIFS(#REF!,Token!$A:$A,$D228),)</f>
        <v/>
      </c>
    </row>
    <row r="229">
      <c r="A229" s="35" t="str">
        <f t="shared" si="1"/>
        <v/>
      </c>
      <c r="B229" s="22" t="str">
        <f t="shared" si="2"/>
        <v/>
      </c>
      <c r="C229" s="14" t="str">
        <f>IF($A229&lt;&gt;"",MINIFS(Merchant!$A:$A,Merchant!$B:$B,$G$2),)</f>
        <v/>
      </c>
      <c r="D229" s="14" t="str">
        <f t="shared" si="3"/>
        <v/>
      </c>
      <c r="E229" s="14" t="str">
        <f t="shared" si="4"/>
        <v/>
      </c>
      <c r="F229" s="6" t="str">
        <f>IF($A229&lt;&gt;"",MAXIFS(#REF!,Token!$A:$A,$D229),)</f>
        <v/>
      </c>
    </row>
    <row r="230">
      <c r="A230" s="35" t="str">
        <f t="shared" si="1"/>
        <v/>
      </c>
      <c r="B230" s="22" t="str">
        <f t="shared" si="2"/>
        <v/>
      </c>
      <c r="C230" s="14" t="str">
        <f>IF($A230&lt;&gt;"",MINIFS(Merchant!$A:$A,Merchant!$B:$B,$G$2),)</f>
        <v/>
      </c>
      <c r="D230" s="14" t="str">
        <f t="shared" si="3"/>
        <v/>
      </c>
      <c r="E230" s="14" t="str">
        <f t="shared" si="4"/>
        <v/>
      </c>
      <c r="F230" s="6" t="str">
        <f>IF($A230&lt;&gt;"",MAXIFS(#REF!,Token!$A:$A,$D230),)</f>
        <v/>
      </c>
    </row>
    <row r="231">
      <c r="A231" s="35" t="str">
        <f t="shared" si="1"/>
        <v/>
      </c>
      <c r="B231" s="22" t="str">
        <f t="shared" si="2"/>
        <v/>
      </c>
      <c r="C231" s="14" t="str">
        <f>IF($A231&lt;&gt;"",MINIFS(Merchant!$A:$A,Merchant!$B:$B,$G$2),)</f>
        <v/>
      </c>
      <c r="D231" s="14" t="str">
        <f t="shared" si="3"/>
        <v/>
      </c>
      <c r="E231" s="14" t="str">
        <f t="shared" si="4"/>
        <v/>
      </c>
      <c r="F231" s="6" t="str">
        <f>IF($A231&lt;&gt;"",MAXIFS(#REF!,Token!$A:$A,$D231),)</f>
        <v/>
      </c>
    </row>
    <row r="232">
      <c r="A232" s="35" t="str">
        <f t="shared" si="1"/>
        <v/>
      </c>
      <c r="B232" s="22" t="str">
        <f t="shared" si="2"/>
        <v/>
      </c>
      <c r="C232" s="14" t="str">
        <f>IF($A232&lt;&gt;"",MINIFS(Merchant!$A:$A,Merchant!$B:$B,$G$2),)</f>
        <v/>
      </c>
      <c r="D232" s="14" t="str">
        <f t="shared" si="3"/>
        <v/>
      </c>
      <c r="E232" s="14" t="str">
        <f t="shared" si="4"/>
        <v/>
      </c>
      <c r="F232" s="6" t="str">
        <f>IF($A232&lt;&gt;"",MAXIFS(#REF!,Token!$A:$A,$D232),)</f>
        <v/>
      </c>
    </row>
    <row r="233">
      <c r="A233" s="35" t="str">
        <f t="shared" si="1"/>
        <v/>
      </c>
      <c r="B233" s="22" t="str">
        <f t="shared" si="2"/>
        <v/>
      </c>
      <c r="C233" s="14" t="str">
        <f>IF($A233&lt;&gt;"",MINIFS(Merchant!$A:$A,Merchant!$B:$B,$G$2),)</f>
        <v/>
      </c>
      <c r="D233" s="14" t="str">
        <f t="shared" si="3"/>
        <v/>
      </c>
      <c r="E233" s="14" t="str">
        <f t="shared" si="4"/>
        <v/>
      </c>
      <c r="F233" s="6" t="str">
        <f>IF($A233&lt;&gt;"",MAXIFS(#REF!,Token!$A:$A,$D233),)</f>
        <v/>
      </c>
    </row>
    <row r="234">
      <c r="A234" s="35" t="str">
        <f t="shared" si="1"/>
        <v/>
      </c>
      <c r="B234" s="22" t="str">
        <f t="shared" si="2"/>
        <v/>
      </c>
      <c r="C234" s="14" t="str">
        <f>IF($A234&lt;&gt;"",MINIFS(Merchant!$A:$A,Merchant!$B:$B,$G$2),)</f>
        <v/>
      </c>
      <c r="D234" s="14" t="str">
        <f t="shared" si="3"/>
        <v/>
      </c>
      <c r="E234" s="14" t="str">
        <f t="shared" si="4"/>
        <v/>
      </c>
      <c r="F234" s="6" t="str">
        <f>IF($A234&lt;&gt;"",MAXIFS(#REF!,Token!$A:$A,$D234),)</f>
        <v/>
      </c>
    </row>
    <row r="235">
      <c r="A235" s="35" t="str">
        <f t="shared" si="1"/>
        <v/>
      </c>
      <c r="B235" s="22" t="str">
        <f t="shared" si="2"/>
        <v/>
      </c>
      <c r="C235" s="14" t="str">
        <f>IF($A235&lt;&gt;"",MINIFS(Merchant!$A:$A,Merchant!$B:$B,$G$2),)</f>
        <v/>
      </c>
      <c r="D235" s="14" t="str">
        <f t="shared" si="3"/>
        <v/>
      </c>
      <c r="E235" s="14" t="str">
        <f t="shared" si="4"/>
        <v/>
      </c>
      <c r="F235" s="6" t="str">
        <f>IF($A235&lt;&gt;"",MAXIFS(#REF!,Token!$A:$A,$D235),)</f>
        <v/>
      </c>
    </row>
    <row r="236">
      <c r="A236" s="35" t="str">
        <f t="shared" si="1"/>
        <v/>
      </c>
      <c r="B236" s="22" t="str">
        <f t="shared" si="2"/>
        <v/>
      </c>
      <c r="C236" s="14" t="str">
        <f>IF($A236&lt;&gt;"",MINIFS(Merchant!$A:$A,Merchant!$B:$B,$G$2),)</f>
        <v/>
      </c>
      <c r="D236" s="14" t="str">
        <f t="shared" si="3"/>
        <v/>
      </c>
      <c r="E236" s="14" t="str">
        <f t="shared" si="4"/>
        <v/>
      </c>
      <c r="F236" s="6" t="str">
        <f>IF($A236&lt;&gt;"",MAXIFS(#REF!,Token!$A:$A,$D236),)</f>
        <v/>
      </c>
    </row>
    <row r="237">
      <c r="A237" s="35" t="str">
        <f t="shared" si="1"/>
        <v/>
      </c>
      <c r="B237" s="22" t="str">
        <f t="shared" si="2"/>
        <v/>
      </c>
      <c r="C237" s="14" t="str">
        <f>IF($A237&lt;&gt;"",MINIFS(Merchant!$A:$A,Merchant!$B:$B,$G$2),)</f>
        <v/>
      </c>
      <c r="D237" s="14" t="str">
        <f t="shared" si="3"/>
        <v/>
      </c>
      <c r="E237" s="14" t="str">
        <f t="shared" si="4"/>
        <v/>
      </c>
      <c r="F237" s="6" t="str">
        <f>IF($A237&lt;&gt;"",MAXIFS(#REF!,Token!$A:$A,$D237),)</f>
        <v/>
      </c>
    </row>
    <row r="238">
      <c r="A238" s="35" t="str">
        <f t="shared" si="1"/>
        <v/>
      </c>
      <c r="B238" s="22" t="str">
        <f t="shared" si="2"/>
        <v/>
      </c>
      <c r="C238" s="14" t="str">
        <f>IF($A238&lt;&gt;"",MINIFS(Merchant!$A:$A,Merchant!$B:$B,$G$2),)</f>
        <v/>
      </c>
      <c r="D238" s="14" t="str">
        <f t="shared" si="3"/>
        <v/>
      </c>
      <c r="E238" s="14" t="str">
        <f t="shared" si="4"/>
        <v/>
      </c>
      <c r="F238" s="6" t="str">
        <f>IF($A238&lt;&gt;"",MAXIFS(#REF!,Token!$A:$A,$D238),)</f>
        <v/>
      </c>
    </row>
    <row r="239">
      <c r="A239" s="35" t="str">
        <f t="shared" si="1"/>
        <v/>
      </c>
      <c r="B239" s="22" t="str">
        <f t="shared" si="2"/>
        <v/>
      </c>
      <c r="C239" s="14" t="str">
        <f>IF($A239&lt;&gt;"",MINIFS(Merchant!$A:$A,Merchant!$B:$B,$G$2),)</f>
        <v/>
      </c>
      <c r="D239" s="14" t="str">
        <f t="shared" si="3"/>
        <v/>
      </c>
      <c r="E239" s="14" t="str">
        <f t="shared" si="4"/>
        <v/>
      </c>
      <c r="F239" s="6" t="str">
        <f>IF($A239&lt;&gt;"",MAXIFS(#REF!,Token!$A:$A,$D239),)</f>
        <v/>
      </c>
    </row>
    <row r="240">
      <c r="A240" s="35" t="str">
        <f t="shared" si="1"/>
        <v/>
      </c>
      <c r="B240" s="22" t="str">
        <f t="shared" si="2"/>
        <v/>
      </c>
      <c r="C240" s="14" t="str">
        <f>IF($A240&lt;&gt;"",MINIFS(Merchant!$A:$A,Merchant!$B:$B,$G$2),)</f>
        <v/>
      </c>
      <c r="D240" s="14" t="str">
        <f t="shared" si="3"/>
        <v/>
      </c>
      <c r="E240" s="14" t="str">
        <f t="shared" si="4"/>
        <v/>
      </c>
      <c r="F240" s="6" t="str">
        <f>IF($A240&lt;&gt;"",MAXIFS(#REF!,Token!$A:$A,$D240),)</f>
        <v/>
      </c>
    </row>
    <row r="241">
      <c r="A241" s="35" t="str">
        <f t="shared" si="1"/>
        <v/>
      </c>
      <c r="B241" s="22" t="str">
        <f t="shared" si="2"/>
        <v/>
      </c>
      <c r="C241" s="14" t="str">
        <f>IF($A241&lt;&gt;"",MINIFS(Merchant!$A:$A,Merchant!$B:$B,$G$2),)</f>
        <v/>
      </c>
      <c r="D241" s="14" t="str">
        <f t="shared" si="3"/>
        <v/>
      </c>
      <c r="E241" s="14" t="str">
        <f t="shared" si="4"/>
        <v/>
      </c>
      <c r="F241" s="6" t="str">
        <f>IF($A241&lt;&gt;"",MAXIFS(#REF!,Token!$A:$A,$D241),)</f>
        <v/>
      </c>
    </row>
    <row r="242">
      <c r="A242" s="35" t="str">
        <f t="shared" si="1"/>
        <v/>
      </c>
      <c r="B242" s="22" t="str">
        <f t="shared" si="2"/>
        <v/>
      </c>
      <c r="C242" s="14" t="str">
        <f>IF($A242&lt;&gt;"",MINIFS(Merchant!$A:$A,Merchant!$B:$B,$G$2),)</f>
        <v/>
      </c>
      <c r="D242" s="14" t="str">
        <f t="shared" si="3"/>
        <v/>
      </c>
      <c r="E242" s="14" t="str">
        <f t="shared" si="4"/>
        <v/>
      </c>
      <c r="F242" s="6" t="str">
        <f>IF($A242&lt;&gt;"",MAXIFS(#REF!,Token!$A:$A,$D242),)</f>
        <v/>
      </c>
    </row>
    <row r="243">
      <c r="A243" s="35" t="str">
        <f t="shared" si="1"/>
        <v/>
      </c>
      <c r="B243" s="22" t="str">
        <f t="shared" si="2"/>
        <v/>
      </c>
      <c r="C243" s="14" t="str">
        <f>IF($A243&lt;&gt;"",MINIFS(Merchant!$A:$A,Merchant!$B:$B,$G$2),)</f>
        <v/>
      </c>
      <c r="D243" s="14" t="str">
        <f t="shared" si="3"/>
        <v/>
      </c>
      <c r="E243" s="14" t="str">
        <f t="shared" si="4"/>
        <v/>
      </c>
      <c r="F243" s="6" t="str">
        <f>IF($A243&lt;&gt;"",MAXIFS(#REF!,Token!$A:$A,$D243),)</f>
        <v/>
      </c>
    </row>
    <row r="244">
      <c r="A244" s="35" t="str">
        <f t="shared" si="1"/>
        <v/>
      </c>
      <c r="B244" s="22" t="str">
        <f t="shared" si="2"/>
        <v/>
      </c>
      <c r="C244" s="14" t="str">
        <f>IF($A244&lt;&gt;"",MINIFS(Merchant!$A:$A,Merchant!$B:$B,$G$2),)</f>
        <v/>
      </c>
      <c r="D244" s="14" t="str">
        <f t="shared" si="3"/>
        <v/>
      </c>
      <c r="E244" s="14" t="str">
        <f t="shared" si="4"/>
        <v/>
      </c>
      <c r="F244" s="6" t="str">
        <f>IF($A244&lt;&gt;"",MAXIFS(#REF!,Token!$A:$A,$D244),)</f>
        <v/>
      </c>
    </row>
    <row r="245">
      <c r="A245" s="35" t="str">
        <f t="shared" si="1"/>
        <v/>
      </c>
      <c r="B245" s="22" t="str">
        <f t="shared" si="2"/>
        <v/>
      </c>
      <c r="C245" s="14" t="str">
        <f>IF($A245&lt;&gt;"",MINIFS(Merchant!$A:$A,Merchant!$B:$B,$G$2),)</f>
        <v/>
      </c>
      <c r="D245" s="14" t="str">
        <f t="shared" si="3"/>
        <v/>
      </c>
      <c r="E245" s="14" t="str">
        <f t="shared" si="4"/>
        <v/>
      </c>
      <c r="F245" s="6" t="str">
        <f>IF($A245&lt;&gt;"",MAXIFS(#REF!,Token!$A:$A,$D245),)</f>
        <v/>
      </c>
    </row>
    <row r="246">
      <c r="A246" s="35" t="str">
        <f t="shared" si="1"/>
        <v/>
      </c>
      <c r="B246" s="22" t="str">
        <f t="shared" si="2"/>
        <v/>
      </c>
      <c r="C246" s="14" t="str">
        <f>IF($A246&lt;&gt;"",MINIFS(Merchant!$A:$A,Merchant!$B:$B,$G$2),)</f>
        <v/>
      </c>
      <c r="D246" s="14" t="str">
        <f t="shared" si="3"/>
        <v/>
      </c>
      <c r="E246" s="14" t="str">
        <f t="shared" si="4"/>
        <v/>
      </c>
      <c r="F246" s="6" t="str">
        <f>IF($A246&lt;&gt;"",MAXIFS(#REF!,Token!$A:$A,$D246),)</f>
        <v/>
      </c>
    </row>
    <row r="247">
      <c r="A247" s="35" t="str">
        <f t="shared" si="1"/>
        <v/>
      </c>
      <c r="B247" s="22" t="str">
        <f t="shared" si="2"/>
        <v/>
      </c>
      <c r="C247" s="14" t="str">
        <f>IF($A247&lt;&gt;"",MINIFS(Merchant!$A:$A,Merchant!$B:$B,$G$2),)</f>
        <v/>
      </c>
      <c r="D247" s="14" t="str">
        <f t="shared" si="3"/>
        <v/>
      </c>
      <c r="E247" s="14" t="str">
        <f t="shared" si="4"/>
        <v/>
      </c>
      <c r="F247" s="6" t="str">
        <f>IF($A247&lt;&gt;"",MAXIFS(#REF!,Token!$A:$A,$D247),)</f>
        <v/>
      </c>
    </row>
    <row r="248">
      <c r="A248" s="35" t="str">
        <f t="shared" si="1"/>
        <v/>
      </c>
      <c r="B248" s="22" t="str">
        <f t="shared" si="2"/>
        <v/>
      </c>
      <c r="C248" s="14" t="str">
        <f>IF($A248&lt;&gt;"",MINIFS(Merchant!$A:$A,Merchant!$B:$B,$G$2),)</f>
        <v/>
      </c>
      <c r="D248" s="14" t="str">
        <f t="shared" si="3"/>
        <v/>
      </c>
      <c r="E248" s="14" t="str">
        <f t="shared" si="4"/>
        <v/>
      </c>
      <c r="F248" s="6" t="str">
        <f>IF($A248&lt;&gt;"",MAXIFS(#REF!,Token!$A:$A,$D248),)</f>
        <v/>
      </c>
    </row>
    <row r="249">
      <c r="A249" s="35" t="str">
        <f t="shared" si="1"/>
        <v/>
      </c>
      <c r="B249" s="22" t="str">
        <f t="shared" si="2"/>
        <v/>
      </c>
      <c r="C249" s="14" t="str">
        <f>IF($A249&lt;&gt;"",MINIFS(Merchant!$A:$A,Merchant!$B:$B,$G$2),)</f>
        <v/>
      </c>
      <c r="D249" s="14" t="str">
        <f t="shared" si="3"/>
        <v/>
      </c>
      <c r="E249" s="14" t="str">
        <f t="shared" si="4"/>
        <v/>
      </c>
      <c r="F249" s="6" t="str">
        <f>IF($A249&lt;&gt;"",MAXIFS(#REF!,Token!$A:$A,$D249),)</f>
        <v/>
      </c>
    </row>
    <row r="250">
      <c r="A250" s="35" t="str">
        <f t="shared" si="1"/>
        <v/>
      </c>
      <c r="B250" s="22" t="str">
        <f t="shared" si="2"/>
        <v/>
      </c>
      <c r="C250" s="14" t="str">
        <f>IF($A250&lt;&gt;"",MINIFS(Merchant!$A:$A,Merchant!$B:$B,$G$2),)</f>
        <v/>
      </c>
      <c r="D250" s="14" t="str">
        <f t="shared" si="3"/>
        <v/>
      </c>
      <c r="E250" s="14" t="str">
        <f t="shared" si="4"/>
        <v/>
      </c>
      <c r="F250" s="6" t="str">
        <f>IF($A250&lt;&gt;"",MAXIFS(#REF!,Token!$A:$A,$D250),)</f>
        <v/>
      </c>
    </row>
    <row r="251">
      <c r="A251" s="35" t="str">
        <f t="shared" si="1"/>
        <v/>
      </c>
      <c r="B251" s="22" t="str">
        <f t="shared" si="2"/>
        <v/>
      </c>
      <c r="C251" s="14" t="str">
        <f>IF($A251&lt;&gt;"",MINIFS(Merchant!$A:$A,Merchant!$B:$B,$G$2),)</f>
        <v/>
      </c>
      <c r="D251" s="14" t="str">
        <f t="shared" si="3"/>
        <v/>
      </c>
      <c r="E251" s="14" t="str">
        <f t="shared" si="4"/>
        <v/>
      </c>
      <c r="F251" s="6" t="str">
        <f>IF($A251&lt;&gt;"",MAXIFS(#REF!,Token!$A:$A,$D251),)</f>
        <v/>
      </c>
    </row>
    <row r="252">
      <c r="A252" s="35" t="str">
        <f t="shared" si="1"/>
        <v/>
      </c>
      <c r="B252" s="22" t="str">
        <f t="shared" si="2"/>
        <v/>
      </c>
      <c r="C252" s="14" t="str">
        <f>IF($A252&lt;&gt;"",MINIFS(Merchant!$A:$A,Merchant!$B:$B,$G$2),)</f>
        <v/>
      </c>
      <c r="D252" s="14" t="str">
        <f t="shared" si="3"/>
        <v/>
      </c>
      <c r="E252" s="14" t="str">
        <f t="shared" si="4"/>
        <v/>
      </c>
      <c r="F252" s="6" t="str">
        <f>IF($A252&lt;&gt;"",MAXIFS(#REF!,Token!$A:$A,$D252),)</f>
        <v/>
      </c>
    </row>
    <row r="253">
      <c r="A253" s="35" t="str">
        <f t="shared" si="1"/>
        <v/>
      </c>
      <c r="B253" s="22" t="str">
        <f t="shared" si="2"/>
        <v/>
      </c>
      <c r="C253" s="14" t="str">
        <f>IF($A253&lt;&gt;"",MINIFS(Merchant!$A:$A,Merchant!$B:$B,$G$2),)</f>
        <v/>
      </c>
      <c r="D253" s="14" t="str">
        <f t="shared" si="3"/>
        <v/>
      </c>
      <c r="E253" s="14" t="str">
        <f t="shared" si="4"/>
        <v/>
      </c>
      <c r="F253" s="6" t="str">
        <f>IF($A253&lt;&gt;"",MAXIFS(#REF!,Token!$A:$A,$D253),)</f>
        <v/>
      </c>
    </row>
    <row r="254">
      <c r="A254" s="35" t="str">
        <f t="shared" si="1"/>
        <v/>
      </c>
      <c r="B254" s="22" t="str">
        <f t="shared" si="2"/>
        <v/>
      </c>
      <c r="C254" s="14" t="str">
        <f>IF($A254&lt;&gt;"",MINIFS(Merchant!$A:$A,Merchant!$B:$B,$G$2),)</f>
        <v/>
      </c>
      <c r="D254" s="14" t="str">
        <f t="shared" si="3"/>
        <v/>
      </c>
      <c r="E254" s="14" t="str">
        <f t="shared" si="4"/>
        <v/>
      </c>
      <c r="F254" s="6" t="str">
        <f>IF($A254&lt;&gt;"",MAXIFS(#REF!,Token!$A:$A,$D254),)</f>
        <v/>
      </c>
    </row>
    <row r="255">
      <c r="A255" s="35" t="str">
        <f t="shared" si="1"/>
        <v/>
      </c>
      <c r="B255" s="22" t="str">
        <f t="shared" si="2"/>
        <v/>
      </c>
      <c r="C255" s="14" t="str">
        <f>IF($A255&lt;&gt;"",MINIFS(Merchant!$A:$A,Merchant!$B:$B,$G$2),)</f>
        <v/>
      </c>
      <c r="D255" s="14" t="str">
        <f t="shared" si="3"/>
        <v/>
      </c>
      <c r="E255" s="14" t="str">
        <f t="shared" si="4"/>
        <v/>
      </c>
      <c r="F255" s="6" t="str">
        <f>IF($A255&lt;&gt;"",MAXIFS(#REF!,Token!$A:$A,$D255),)</f>
        <v/>
      </c>
    </row>
    <row r="256">
      <c r="A256" s="35" t="str">
        <f t="shared" si="1"/>
        <v/>
      </c>
      <c r="B256" s="22" t="str">
        <f t="shared" si="2"/>
        <v/>
      </c>
      <c r="C256" s="14" t="str">
        <f>IF($A256&lt;&gt;"",MINIFS(Merchant!$A:$A,Merchant!$B:$B,$G$2),)</f>
        <v/>
      </c>
      <c r="D256" s="14" t="str">
        <f t="shared" si="3"/>
        <v/>
      </c>
      <c r="E256" s="14" t="str">
        <f t="shared" si="4"/>
        <v/>
      </c>
      <c r="F256" s="6" t="str">
        <f>IF($A256&lt;&gt;"",MAXIFS(#REF!,Token!$A:$A,$D256),)</f>
        <v/>
      </c>
    </row>
    <row r="257">
      <c r="A257" s="35" t="str">
        <f t="shared" si="1"/>
        <v/>
      </c>
      <c r="B257" s="22" t="str">
        <f t="shared" si="2"/>
        <v/>
      </c>
      <c r="C257" s="14" t="str">
        <f>IF($A257&lt;&gt;"",MINIFS(Merchant!$A:$A,Merchant!$B:$B,$G$2),)</f>
        <v/>
      </c>
      <c r="D257" s="14" t="str">
        <f t="shared" si="3"/>
        <v/>
      </c>
      <c r="E257" s="14" t="str">
        <f t="shared" si="4"/>
        <v/>
      </c>
      <c r="F257" s="6" t="str">
        <f>IF($A257&lt;&gt;"",MAXIFS(#REF!,Token!$A:$A,$D257),)</f>
        <v/>
      </c>
    </row>
    <row r="258">
      <c r="A258" s="35" t="str">
        <f t="shared" si="1"/>
        <v/>
      </c>
      <c r="B258" s="22" t="str">
        <f t="shared" si="2"/>
        <v/>
      </c>
      <c r="C258" s="14" t="str">
        <f>IF($A258&lt;&gt;"",MINIFS(Merchant!$A:$A,Merchant!$B:$B,$G$2),)</f>
        <v/>
      </c>
      <c r="D258" s="14" t="str">
        <f t="shared" si="3"/>
        <v/>
      </c>
      <c r="E258" s="14" t="str">
        <f t="shared" si="4"/>
        <v/>
      </c>
      <c r="F258" s="6" t="str">
        <f>IF($A258&lt;&gt;"",MAXIFS(#REF!,Token!$A:$A,$D258),)</f>
        <v/>
      </c>
    </row>
    <row r="259">
      <c r="A259" s="35" t="str">
        <f t="shared" si="1"/>
        <v/>
      </c>
      <c r="B259" s="22" t="str">
        <f t="shared" si="2"/>
        <v/>
      </c>
      <c r="C259" s="14" t="str">
        <f>IF($A259&lt;&gt;"",MINIFS(Merchant!$A:$A,Merchant!$B:$B,$G$2),)</f>
        <v/>
      </c>
      <c r="D259" s="14" t="str">
        <f t="shared" si="3"/>
        <v/>
      </c>
      <c r="E259" s="14" t="str">
        <f t="shared" si="4"/>
        <v/>
      </c>
      <c r="F259" s="6" t="str">
        <f>IF($A259&lt;&gt;"",MAXIFS(#REF!,Token!$A:$A,$D259),)</f>
        <v/>
      </c>
    </row>
    <row r="260">
      <c r="A260" s="35" t="str">
        <f t="shared" si="1"/>
        <v/>
      </c>
      <c r="B260" s="22" t="str">
        <f t="shared" si="2"/>
        <v/>
      </c>
      <c r="C260" s="14" t="str">
        <f>IF($A260&lt;&gt;"",MINIFS(Merchant!$A:$A,Merchant!$B:$B,$G$2),)</f>
        <v/>
      </c>
      <c r="D260" s="14" t="str">
        <f t="shared" si="3"/>
        <v/>
      </c>
      <c r="E260" s="14" t="str">
        <f t="shared" si="4"/>
        <v/>
      </c>
      <c r="F260" s="6" t="str">
        <f>IF($A260&lt;&gt;"",MAXIFS(#REF!,Token!$A:$A,$D260),)</f>
        <v/>
      </c>
    </row>
    <row r="261">
      <c r="A261" s="35" t="str">
        <f t="shared" si="1"/>
        <v/>
      </c>
      <c r="B261" s="22" t="str">
        <f t="shared" si="2"/>
        <v/>
      </c>
      <c r="C261" s="14" t="str">
        <f>IF($A261&lt;&gt;"",MINIFS(Merchant!$A:$A,Merchant!$B:$B,$G$2),)</f>
        <v/>
      </c>
      <c r="D261" s="14" t="str">
        <f t="shared" si="3"/>
        <v/>
      </c>
      <c r="E261" s="14" t="str">
        <f t="shared" si="4"/>
        <v/>
      </c>
      <c r="F261" s="6" t="str">
        <f>IF($A261&lt;&gt;"",MAXIFS(#REF!,Token!$A:$A,$D261),)</f>
        <v/>
      </c>
    </row>
    <row r="262">
      <c r="A262" s="35" t="str">
        <f t="shared" si="1"/>
        <v/>
      </c>
      <c r="B262" s="22" t="str">
        <f t="shared" si="2"/>
        <v/>
      </c>
      <c r="C262" s="14" t="str">
        <f>IF($A262&lt;&gt;"",MINIFS(Merchant!$A:$A,Merchant!$B:$B,$G$2),)</f>
        <v/>
      </c>
      <c r="D262" s="14" t="str">
        <f t="shared" si="3"/>
        <v/>
      </c>
      <c r="E262" s="14" t="str">
        <f t="shared" si="4"/>
        <v/>
      </c>
      <c r="F262" s="6" t="str">
        <f>IF($A262&lt;&gt;"",MAXIFS(#REF!,Token!$A:$A,$D262),)</f>
        <v/>
      </c>
    </row>
    <row r="263">
      <c r="A263" s="35" t="str">
        <f t="shared" si="1"/>
        <v/>
      </c>
      <c r="B263" s="22" t="str">
        <f t="shared" si="2"/>
        <v/>
      </c>
      <c r="C263" s="14" t="str">
        <f>IF($A263&lt;&gt;"",MINIFS(Merchant!$A:$A,Merchant!$B:$B,$G$2),)</f>
        <v/>
      </c>
      <c r="D263" s="14" t="str">
        <f t="shared" si="3"/>
        <v/>
      </c>
      <c r="E263" s="14" t="str">
        <f t="shared" si="4"/>
        <v/>
      </c>
      <c r="F263" s="6" t="str">
        <f>IF($A263&lt;&gt;"",MAXIFS(#REF!,Token!$A:$A,$D263),)</f>
        <v/>
      </c>
    </row>
    <row r="264">
      <c r="A264" s="35" t="str">
        <f t="shared" si="1"/>
        <v/>
      </c>
      <c r="B264" s="22" t="str">
        <f t="shared" si="2"/>
        <v/>
      </c>
      <c r="C264" s="14" t="str">
        <f>IF($A264&lt;&gt;"",MINIFS(Merchant!$A:$A,Merchant!$B:$B,$G$2),)</f>
        <v/>
      </c>
      <c r="D264" s="14" t="str">
        <f t="shared" si="3"/>
        <v/>
      </c>
      <c r="E264" s="14" t="str">
        <f t="shared" si="4"/>
        <v/>
      </c>
      <c r="F264" s="6" t="str">
        <f>IF($A264&lt;&gt;"",MAXIFS(#REF!,Token!$A:$A,$D264),)</f>
        <v/>
      </c>
    </row>
    <row r="265">
      <c r="A265" s="35" t="str">
        <f t="shared" si="1"/>
        <v/>
      </c>
      <c r="B265" s="22" t="str">
        <f t="shared" si="2"/>
        <v/>
      </c>
      <c r="C265" s="14" t="str">
        <f>IF($A265&lt;&gt;"",MINIFS(Merchant!$A:$A,Merchant!$B:$B,$G$2),)</f>
        <v/>
      </c>
      <c r="D265" s="14" t="str">
        <f t="shared" si="3"/>
        <v/>
      </c>
      <c r="E265" s="14" t="str">
        <f t="shared" si="4"/>
        <v/>
      </c>
      <c r="F265" s="6" t="str">
        <f>IF($A265&lt;&gt;"",MAXIFS(#REF!,Token!$A:$A,$D265),)</f>
        <v/>
      </c>
    </row>
    <row r="266">
      <c r="A266" s="35" t="str">
        <f t="shared" si="1"/>
        <v/>
      </c>
      <c r="B266" s="22" t="str">
        <f t="shared" si="2"/>
        <v/>
      </c>
      <c r="C266" s="14" t="str">
        <f>IF($A266&lt;&gt;"",MINIFS(Merchant!$A:$A,Merchant!$B:$B,$G$2),)</f>
        <v/>
      </c>
      <c r="D266" s="14" t="str">
        <f t="shared" si="3"/>
        <v/>
      </c>
      <c r="E266" s="14" t="str">
        <f t="shared" si="4"/>
        <v/>
      </c>
      <c r="F266" s="6" t="str">
        <f>IF($A266&lt;&gt;"",MAXIFS(#REF!,Token!$A:$A,$D266),)</f>
        <v/>
      </c>
    </row>
    <row r="267">
      <c r="A267" s="35" t="str">
        <f t="shared" si="1"/>
        <v/>
      </c>
      <c r="B267" s="22" t="str">
        <f t="shared" si="2"/>
        <v/>
      </c>
      <c r="C267" s="14" t="str">
        <f>IF($A267&lt;&gt;"",MINIFS(Merchant!$A:$A,Merchant!$B:$B,$G$2),)</f>
        <v/>
      </c>
      <c r="D267" s="14" t="str">
        <f t="shared" si="3"/>
        <v/>
      </c>
      <c r="E267" s="14" t="str">
        <f t="shared" si="4"/>
        <v/>
      </c>
      <c r="F267" s="6" t="str">
        <f>IF($A267&lt;&gt;"",MAXIFS(#REF!,Token!$A:$A,$D267),)</f>
        <v/>
      </c>
    </row>
    <row r="268">
      <c r="A268" s="35" t="str">
        <f t="shared" si="1"/>
        <v/>
      </c>
      <c r="B268" s="22" t="str">
        <f t="shared" si="2"/>
        <v/>
      </c>
      <c r="C268" s="14" t="str">
        <f>IF($A268&lt;&gt;"",MINIFS(Merchant!$A:$A,Merchant!$B:$B,$G$2),)</f>
        <v/>
      </c>
      <c r="D268" s="14" t="str">
        <f t="shared" si="3"/>
        <v/>
      </c>
      <c r="E268" s="14" t="str">
        <f t="shared" si="4"/>
        <v/>
      </c>
      <c r="F268" s="6" t="str">
        <f>IF($A268&lt;&gt;"",MAXIFS(#REF!,Token!$A:$A,$D268),)</f>
        <v/>
      </c>
    </row>
    <row r="269">
      <c r="A269" s="35" t="str">
        <f t="shared" si="1"/>
        <v/>
      </c>
      <c r="B269" s="22" t="str">
        <f t="shared" si="2"/>
        <v/>
      </c>
      <c r="C269" s="14" t="str">
        <f>IF($A269&lt;&gt;"",MINIFS(Merchant!$A:$A,Merchant!$B:$B,$G$2),)</f>
        <v/>
      </c>
      <c r="D269" s="14" t="str">
        <f t="shared" si="3"/>
        <v/>
      </c>
      <c r="E269" s="14" t="str">
        <f t="shared" si="4"/>
        <v/>
      </c>
      <c r="F269" s="6" t="str">
        <f>IF($A269&lt;&gt;"",MAXIFS(#REF!,Token!$A:$A,$D269),)</f>
        <v/>
      </c>
    </row>
    <row r="270">
      <c r="A270" s="35" t="str">
        <f t="shared" si="1"/>
        <v/>
      </c>
      <c r="B270" s="22" t="str">
        <f t="shared" si="2"/>
        <v/>
      </c>
      <c r="C270" s="14" t="str">
        <f>IF($A270&lt;&gt;"",MINIFS(Merchant!$A:$A,Merchant!$B:$B,$G$2),)</f>
        <v/>
      </c>
      <c r="D270" s="14" t="str">
        <f t="shared" si="3"/>
        <v/>
      </c>
      <c r="E270" s="14" t="str">
        <f t="shared" si="4"/>
        <v/>
      </c>
      <c r="F270" s="6" t="str">
        <f>IF($A270&lt;&gt;"",MAXIFS(#REF!,Token!$A:$A,$D270),)</f>
        <v/>
      </c>
    </row>
    <row r="271">
      <c r="A271" s="35" t="str">
        <f t="shared" si="1"/>
        <v/>
      </c>
      <c r="B271" s="22" t="str">
        <f t="shared" si="2"/>
        <v/>
      </c>
      <c r="C271" s="14" t="str">
        <f>IF($A271&lt;&gt;"",MINIFS(Merchant!$A:$A,Merchant!$B:$B,$G$2),)</f>
        <v/>
      </c>
      <c r="D271" s="14" t="str">
        <f t="shared" si="3"/>
        <v/>
      </c>
      <c r="E271" s="14" t="str">
        <f t="shared" si="4"/>
        <v/>
      </c>
      <c r="F271" s="6" t="str">
        <f>IF($A271&lt;&gt;"",MAXIFS(#REF!,Token!$A:$A,$D271),)</f>
        <v/>
      </c>
    </row>
    <row r="272">
      <c r="A272" s="35" t="str">
        <f t="shared" si="1"/>
        <v/>
      </c>
      <c r="B272" s="22" t="str">
        <f t="shared" si="2"/>
        <v/>
      </c>
      <c r="C272" s="14" t="str">
        <f>IF($A272&lt;&gt;"",MINIFS(Merchant!$A:$A,Merchant!$B:$B,$G$2),)</f>
        <v/>
      </c>
      <c r="D272" s="14" t="str">
        <f t="shared" si="3"/>
        <v/>
      </c>
      <c r="E272" s="14" t="str">
        <f t="shared" si="4"/>
        <v/>
      </c>
      <c r="F272" s="6" t="str">
        <f>IF($A272&lt;&gt;"",MAXIFS(#REF!,Token!$A:$A,$D272),)</f>
        <v/>
      </c>
    </row>
    <row r="273">
      <c r="A273" s="35" t="str">
        <f t="shared" si="1"/>
        <v/>
      </c>
      <c r="B273" s="22" t="str">
        <f t="shared" si="2"/>
        <v/>
      </c>
      <c r="C273" s="14" t="str">
        <f>IF($A273&lt;&gt;"",MINIFS(Merchant!$A:$A,Merchant!$B:$B,$G$2),)</f>
        <v/>
      </c>
      <c r="D273" s="14" t="str">
        <f t="shared" si="3"/>
        <v/>
      </c>
      <c r="E273" s="14" t="str">
        <f t="shared" si="4"/>
        <v/>
      </c>
      <c r="F273" s="6" t="str">
        <f>IF($A273&lt;&gt;"",MAXIFS(#REF!,Token!$A:$A,$D273),)</f>
        <v/>
      </c>
    </row>
    <row r="274">
      <c r="A274" s="35" t="str">
        <f t="shared" si="1"/>
        <v/>
      </c>
      <c r="B274" s="22" t="str">
        <f t="shared" si="2"/>
        <v/>
      </c>
      <c r="C274" s="14" t="str">
        <f>IF($A274&lt;&gt;"",MINIFS(Merchant!$A:$A,Merchant!$B:$B,$G$2),)</f>
        <v/>
      </c>
      <c r="D274" s="14" t="str">
        <f t="shared" si="3"/>
        <v/>
      </c>
      <c r="E274" s="14" t="str">
        <f t="shared" si="4"/>
        <v/>
      </c>
      <c r="F274" s="6" t="str">
        <f>IF($A274&lt;&gt;"",MAXIFS(#REF!,Token!$A:$A,$D274),)</f>
        <v/>
      </c>
    </row>
    <row r="275">
      <c r="A275" s="35" t="str">
        <f t="shared" si="1"/>
        <v/>
      </c>
      <c r="B275" s="22" t="str">
        <f t="shared" si="2"/>
        <v/>
      </c>
      <c r="C275" s="14" t="str">
        <f>IF($A275&lt;&gt;"",MINIFS(Merchant!$A:$A,Merchant!$B:$B,$G$2),)</f>
        <v/>
      </c>
      <c r="D275" s="14" t="str">
        <f t="shared" si="3"/>
        <v/>
      </c>
      <c r="E275" s="14" t="str">
        <f t="shared" si="4"/>
        <v/>
      </c>
      <c r="F275" s="6" t="str">
        <f>IF($A275&lt;&gt;"",MAXIFS(#REF!,Token!$A:$A,$D275),)</f>
        <v/>
      </c>
    </row>
    <row r="276">
      <c r="A276" s="35" t="str">
        <f t="shared" si="1"/>
        <v/>
      </c>
      <c r="B276" s="22" t="str">
        <f t="shared" si="2"/>
        <v/>
      </c>
      <c r="C276" s="14" t="str">
        <f>IF($A276&lt;&gt;"",MINIFS(Merchant!$A:$A,Merchant!$B:$B,$G$2),)</f>
        <v/>
      </c>
      <c r="D276" s="14" t="str">
        <f t="shared" si="3"/>
        <v/>
      </c>
      <c r="E276" s="14" t="str">
        <f t="shared" si="4"/>
        <v/>
      </c>
      <c r="F276" s="6" t="str">
        <f>IF($A276&lt;&gt;"",MAXIFS(#REF!,Token!$A:$A,$D276),)</f>
        <v/>
      </c>
    </row>
    <row r="277">
      <c r="A277" s="35" t="str">
        <f t="shared" si="1"/>
        <v/>
      </c>
      <c r="B277" s="22" t="str">
        <f t="shared" si="2"/>
        <v/>
      </c>
      <c r="C277" s="14" t="str">
        <f>IF($A277&lt;&gt;"",MINIFS(Merchant!$A:$A,Merchant!$B:$B,$G$2),)</f>
        <v/>
      </c>
      <c r="D277" s="14" t="str">
        <f t="shared" si="3"/>
        <v/>
      </c>
      <c r="E277" s="14" t="str">
        <f t="shared" si="4"/>
        <v/>
      </c>
      <c r="F277" s="6" t="str">
        <f>IF($A277&lt;&gt;"",MAXIFS(#REF!,Token!$A:$A,$D277),)</f>
        <v/>
      </c>
    </row>
    <row r="278">
      <c r="A278" s="35" t="str">
        <f t="shared" si="1"/>
        <v/>
      </c>
      <c r="B278" s="22" t="str">
        <f t="shared" si="2"/>
        <v/>
      </c>
      <c r="C278" s="14" t="str">
        <f>IF($A278&lt;&gt;"",MINIFS(Merchant!$A:$A,Merchant!$B:$B,$G$2),)</f>
        <v/>
      </c>
      <c r="D278" s="14" t="str">
        <f t="shared" si="3"/>
        <v/>
      </c>
      <c r="E278" s="14" t="str">
        <f t="shared" si="4"/>
        <v/>
      </c>
      <c r="F278" s="6" t="str">
        <f>IF($A278&lt;&gt;"",MAXIFS(#REF!,Token!$A:$A,$D278),)</f>
        <v/>
      </c>
    </row>
    <row r="279">
      <c r="A279" s="35" t="str">
        <f t="shared" si="1"/>
        <v/>
      </c>
      <c r="B279" s="22" t="str">
        <f t="shared" si="2"/>
        <v/>
      </c>
      <c r="C279" s="14" t="str">
        <f>IF($A279&lt;&gt;"",MINIFS(Merchant!$A:$A,Merchant!$B:$B,$G$2),)</f>
        <v/>
      </c>
      <c r="D279" s="14" t="str">
        <f t="shared" si="3"/>
        <v/>
      </c>
      <c r="E279" s="14" t="str">
        <f t="shared" si="4"/>
        <v/>
      </c>
      <c r="F279" s="6" t="str">
        <f>IF($A279&lt;&gt;"",MAXIFS(#REF!,Token!$A:$A,$D279),)</f>
        <v/>
      </c>
    </row>
    <row r="280">
      <c r="A280" s="35" t="str">
        <f t="shared" si="1"/>
        <v/>
      </c>
      <c r="B280" s="22" t="str">
        <f t="shared" si="2"/>
        <v/>
      </c>
      <c r="C280" s="14" t="str">
        <f>IF($A280&lt;&gt;"",MINIFS(Merchant!$A:$A,Merchant!$B:$B,$G$2),)</f>
        <v/>
      </c>
      <c r="D280" s="14" t="str">
        <f t="shared" si="3"/>
        <v/>
      </c>
      <c r="E280" s="14" t="str">
        <f t="shared" si="4"/>
        <v/>
      </c>
      <c r="F280" s="6" t="str">
        <f>IF($A280&lt;&gt;"",MAXIFS(#REF!,Token!$A:$A,$D280),)</f>
        <v/>
      </c>
    </row>
    <row r="281">
      <c r="A281" s="35" t="str">
        <f t="shared" si="1"/>
        <v/>
      </c>
      <c r="B281" s="22" t="str">
        <f t="shared" si="2"/>
        <v/>
      </c>
      <c r="C281" s="14" t="str">
        <f>IF($A281&lt;&gt;"",MINIFS(Merchant!$A:$A,Merchant!$B:$B,$G$2),)</f>
        <v/>
      </c>
      <c r="D281" s="14" t="str">
        <f t="shared" si="3"/>
        <v/>
      </c>
      <c r="E281" s="14" t="str">
        <f t="shared" si="4"/>
        <v/>
      </c>
      <c r="F281" s="6" t="str">
        <f>IF($A281&lt;&gt;"",MAXIFS(#REF!,Token!$A:$A,$D281),)</f>
        <v/>
      </c>
    </row>
    <row r="282">
      <c r="A282" s="35" t="str">
        <f t="shared" si="1"/>
        <v/>
      </c>
      <c r="B282" s="22" t="str">
        <f t="shared" si="2"/>
        <v/>
      </c>
      <c r="C282" s="14" t="str">
        <f>IF($A282&lt;&gt;"",MINIFS(Merchant!$A:$A,Merchant!$B:$B,$G$2),)</f>
        <v/>
      </c>
      <c r="D282" s="14" t="str">
        <f t="shared" si="3"/>
        <v/>
      </c>
      <c r="E282" s="14" t="str">
        <f t="shared" si="4"/>
        <v/>
      </c>
      <c r="F282" s="6" t="str">
        <f>IF($A282&lt;&gt;"",MAXIFS(#REF!,Token!$A:$A,$D282),)</f>
        <v/>
      </c>
    </row>
    <row r="283">
      <c r="A283" s="35" t="str">
        <f t="shared" si="1"/>
        <v/>
      </c>
      <c r="B283" s="22" t="str">
        <f t="shared" si="2"/>
        <v/>
      </c>
      <c r="C283" s="14" t="str">
        <f>IF($A283&lt;&gt;"",MINIFS(Merchant!$A:$A,Merchant!$B:$B,$G$2),)</f>
        <v/>
      </c>
      <c r="D283" s="14" t="str">
        <f t="shared" si="3"/>
        <v/>
      </c>
      <c r="E283" s="14" t="str">
        <f t="shared" si="4"/>
        <v/>
      </c>
      <c r="F283" s="6" t="str">
        <f>IF($A283&lt;&gt;"",MAXIFS(#REF!,Token!$A:$A,$D283),)</f>
        <v/>
      </c>
    </row>
    <row r="284">
      <c r="A284" s="35" t="str">
        <f t="shared" si="1"/>
        <v/>
      </c>
      <c r="B284" s="22" t="str">
        <f t="shared" si="2"/>
        <v/>
      </c>
      <c r="C284" s="14" t="str">
        <f>IF($A284&lt;&gt;"",MINIFS(Merchant!$A:$A,Merchant!$B:$B,$G$2),)</f>
        <v/>
      </c>
      <c r="D284" s="14" t="str">
        <f t="shared" si="3"/>
        <v/>
      </c>
      <c r="E284" s="14" t="str">
        <f t="shared" si="4"/>
        <v/>
      </c>
      <c r="F284" s="6" t="str">
        <f>IF($A284&lt;&gt;"",MAXIFS(#REF!,Token!$A:$A,$D284),)</f>
        <v/>
      </c>
    </row>
    <row r="285">
      <c r="A285" s="35" t="str">
        <f t="shared" si="1"/>
        <v/>
      </c>
      <c r="B285" s="22" t="str">
        <f t="shared" si="2"/>
        <v/>
      </c>
      <c r="C285" s="14" t="str">
        <f>IF($A285&lt;&gt;"",MINIFS(Merchant!$A:$A,Merchant!$B:$B,$G$2),)</f>
        <v/>
      </c>
      <c r="D285" s="14" t="str">
        <f t="shared" si="3"/>
        <v/>
      </c>
      <c r="E285" s="14" t="str">
        <f t="shared" si="4"/>
        <v/>
      </c>
      <c r="F285" s="6" t="str">
        <f>IF($A285&lt;&gt;"",MAXIFS(#REF!,Token!$A:$A,$D285),)</f>
        <v/>
      </c>
    </row>
    <row r="286">
      <c r="A286" s="35" t="str">
        <f t="shared" si="1"/>
        <v/>
      </c>
      <c r="B286" s="22" t="str">
        <f t="shared" si="2"/>
        <v/>
      </c>
      <c r="C286" s="14" t="str">
        <f>IF($A286&lt;&gt;"",MINIFS(Merchant!$A:$A,Merchant!$B:$B,$G$2),)</f>
        <v/>
      </c>
      <c r="D286" s="14" t="str">
        <f t="shared" si="3"/>
        <v/>
      </c>
      <c r="E286" s="14" t="str">
        <f t="shared" si="4"/>
        <v/>
      </c>
      <c r="F286" s="6" t="str">
        <f>IF($A286&lt;&gt;"",MAXIFS(#REF!,Token!$A:$A,$D286),)</f>
        <v/>
      </c>
    </row>
    <row r="287">
      <c r="A287" s="35" t="str">
        <f t="shared" si="1"/>
        <v/>
      </c>
      <c r="B287" s="22" t="str">
        <f t="shared" si="2"/>
        <v/>
      </c>
      <c r="C287" s="14" t="str">
        <f>IF($A287&lt;&gt;"",MINIFS(Merchant!$A:$A,Merchant!$B:$B,$G$2),)</f>
        <v/>
      </c>
      <c r="D287" s="14" t="str">
        <f t="shared" si="3"/>
        <v/>
      </c>
      <c r="E287" s="14" t="str">
        <f t="shared" si="4"/>
        <v/>
      </c>
      <c r="F287" s="6" t="str">
        <f>IF($A287&lt;&gt;"",MAXIFS(#REF!,Token!$A:$A,$D287),)</f>
        <v/>
      </c>
    </row>
    <row r="288">
      <c r="A288" s="35" t="str">
        <f t="shared" si="1"/>
        <v/>
      </c>
      <c r="B288" s="22" t="str">
        <f t="shared" si="2"/>
        <v/>
      </c>
      <c r="C288" s="14" t="str">
        <f>IF($A288&lt;&gt;"",MINIFS(Merchant!$A:$A,Merchant!$B:$B,$G$2),)</f>
        <v/>
      </c>
      <c r="D288" s="14" t="str">
        <f t="shared" si="3"/>
        <v/>
      </c>
      <c r="E288" s="14" t="str">
        <f t="shared" si="4"/>
        <v/>
      </c>
      <c r="F288" s="6" t="str">
        <f>IF($A288&lt;&gt;"",MAXIFS(#REF!,Token!$A:$A,$D288),)</f>
        <v/>
      </c>
    </row>
    <row r="289">
      <c r="A289" s="35" t="str">
        <f t="shared" si="1"/>
        <v/>
      </c>
      <c r="B289" s="22" t="str">
        <f t="shared" si="2"/>
        <v/>
      </c>
      <c r="C289" s="14" t="str">
        <f>IF($A289&lt;&gt;"",MINIFS(Merchant!$A:$A,Merchant!$B:$B,$G$2),)</f>
        <v/>
      </c>
      <c r="D289" s="14" t="str">
        <f t="shared" si="3"/>
        <v/>
      </c>
      <c r="E289" s="14" t="str">
        <f t="shared" si="4"/>
        <v/>
      </c>
      <c r="F289" s="6" t="str">
        <f>IF($A289&lt;&gt;"",MAXIFS(#REF!,Token!$A:$A,$D289),)</f>
        <v/>
      </c>
    </row>
    <row r="290">
      <c r="A290" s="35" t="str">
        <f t="shared" si="1"/>
        <v/>
      </c>
      <c r="B290" s="22" t="str">
        <f t="shared" si="2"/>
        <v/>
      </c>
      <c r="C290" s="14" t="str">
        <f>IF($A290&lt;&gt;"",MINIFS(Merchant!$A:$A,Merchant!$B:$B,$G$2),)</f>
        <v/>
      </c>
      <c r="D290" s="14" t="str">
        <f t="shared" si="3"/>
        <v/>
      </c>
      <c r="E290" s="14" t="str">
        <f t="shared" si="4"/>
        <v/>
      </c>
      <c r="F290" s="6" t="str">
        <f>IF($A290&lt;&gt;"",MAXIFS(#REF!,Token!$A:$A,$D290),)</f>
        <v/>
      </c>
    </row>
    <row r="291">
      <c r="A291" s="35" t="str">
        <f t="shared" si="1"/>
        <v/>
      </c>
      <c r="B291" s="22" t="str">
        <f t="shared" si="2"/>
        <v/>
      </c>
      <c r="C291" s="14" t="str">
        <f>IF($A291&lt;&gt;"",MINIFS(Merchant!$A:$A,Merchant!$B:$B,$G$2),)</f>
        <v/>
      </c>
      <c r="D291" s="14" t="str">
        <f t="shared" si="3"/>
        <v/>
      </c>
      <c r="E291" s="14" t="str">
        <f t="shared" si="4"/>
        <v/>
      </c>
      <c r="F291" s="6" t="str">
        <f>IF($A291&lt;&gt;"",MAXIFS(#REF!,Token!$A:$A,$D291),)</f>
        <v/>
      </c>
    </row>
    <row r="292">
      <c r="A292" s="35" t="str">
        <f t="shared" si="1"/>
        <v/>
      </c>
      <c r="B292" s="22" t="str">
        <f t="shared" si="2"/>
        <v/>
      </c>
      <c r="C292" s="14" t="str">
        <f>IF($A292&lt;&gt;"",MINIFS(Merchant!$A:$A,Merchant!$B:$B,$G$2),)</f>
        <v/>
      </c>
      <c r="D292" s="14" t="str">
        <f t="shared" si="3"/>
        <v/>
      </c>
      <c r="E292" s="14" t="str">
        <f t="shared" si="4"/>
        <v/>
      </c>
      <c r="F292" s="6" t="str">
        <f>IF($A292&lt;&gt;"",MAXIFS(#REF!,Token!$A:$A,$D292),)</f>
        <v/>
      </c>
    </row>
    <row r="293">
      <c r="A293" s="35" t="str">
        <f t="shared" si="1"/>
        <v/>
      </c>
      <c r="B293" s="22" t="str">
        <f t="shared" si="2"/>
        <v/>
      </c>
      <c r="C293" s="14" t="str">
        <f>IF($A293&lt;&gt;"",MINIFS(Merchant!$A:$A,Merchant!$B:$B,$G$2),)</f>
        <v/>
      </c>
      <c r="D293" s="14" t="str">
        <f t="shared" si="3"/>
        <v/>
      </c>
      <c r="E293" s="14" t="str">
        <f t="shared" si="4"/>
        <v/>
      </c>
      <c r="F293" s="6" t="str">
        <f>IF($A293&lt;&gt;"",MAXIFS(#REF!,Token!$A:$A,$D293),)</f>
        <v/>
      </c>
    </row>
    <row r="294">
      <c r="A294" s="35" t="str">
        <f t="shared" si="1"/>
        <v/>
      </c>
      <c r="B294" s="22" t="str">
        <f t="shared" si="2"/>
        <v/>
      </c>
      <c r="C294" s="14" t="str">
        <f>IF($A294&lt;&gt;"",MINIFS(Merchant!$A:$A,Merchant!$B:$B,$G$2),)</f>
        <v/>
      </c>
      <c r="D294" s="14" t="str">
        <f t="shared" si="3"/>
        <v/>
      </c>
      <c r="E294" s="14" t="str">
        <f t="shared" si="4"/>
        <v/>
      </c>
      <c r="F294" s="6" t="str">
        <f>IF($A294&lt;&gt;"",MAXIFS(#REF!,Token!$A:$A,$D294),)</f>
        <v/>
      </c>
    </row>
    <row r="295">
      <c r="A295" s="35" t="str">
        <f t="shared" si="1"/>
        <v/>
      </c>
      <c r="B295" s="22" t="str">
        <f t="shared" si="2"/>
        <v/>
      </c>
      <c r="C295" s="14" t="str">
        <f>IF($A295&lt;&gt;"",MINIFS(Merchant!$A:$A,Merchant!$B:$B,$G$2),)</f>
        <v/>
      </c>
      <c r="D295" s="14" t="str">
        <f t="shared" si="3"/>
        <v/>
      </c>
      <c r="E295" s="14" t="str">
        <f t="shared" si="4"/>
        <v/>
      </c>
      <c r="F295" s="6" t="str">
        <f>IF($A295&lt;&gt;"",MAXIFS(#REF!,Token!$A:$A,$D295),)</f>
        <v/>
      </c>
    </row>
    <row r="296">
      <c r="A296" s="35" t="str">
        <f t="shared" si="1"/>
        <v/>
      </c>
      <c r="B296" s="22" t="str">
        <f t="shared" si="2"/>
        <v/>
      </c>
      <c r="C296" s="14" t="str">
        <f>IF($A296&lt;&gt;"",MINIFS(Merchant!$A:$A,Merchant!$B:$B,$G$2),)</f>
        <v/>
      </c>
      <c r="D296" s="14" t="str">
        <f t="shared" si="3"/>
        <v/>
      </c>
      <c r="E296" s="14" t="str">
        <f t="shared" si="4"/>
        <v/>
      </c>
      <c r="F296" s="6" t="str">
        <f>IF($A296&lt;&gt;"",MAXIFS(#REF!,Token!$A:$A,$D296),)</f>
        <v/>
      </c>
    </row>
    <row r="297">
      <c r="A297" s="35" t="str">
        <f t="shared" si="1"/>
        <v/>
      </c>
      <c r="B297" s="22" t="str">
        <f t="shared" si="2"/>
        <v/>
      </c>
      <c r="C297" s="14" t="str">
        <f>IF($A297&lt;&gt;"",MINIFS(Merchant!$A:$A,Merchant!$B:$B,$G$2),)</f>
        <v/>
      </c>
      <c r="D297" s="14" t="str">
        <f t="shared" si="3"/>
        <v/>
      </c>
      <c r="E297" s="14" t="str">
        <f t="shared" si="4"/>
        <v/>
      </c>
      <c r="F297" s="6" t="str">
        <f>IF($A297&lt;&gt;"",MAXIFS(#REF!,Token!$A:$A,$D297),)</f>
        <v/>
      </c>
    </row>
    <row r="298">
      <c r="A298" s="35" t="str">
        <f t="shared" si="1"/>
        <v/>
      </c>
      <c r="B298" s="22" t="str">
        <f t="shared" si="2"/>
        <v/>
      </c>
      <c r="C298" s="14" t="str">
        <f>IF($A298&lt;&gt;"",MINIFS(Merchant!$A:$A,Merchant!$B:$B,$G$2),)</f>
        <v/>
      </c>
      <c r="D298" s="14" t="str">
        <f t="shared" si="3"/>
        <v/>
      </c>
      <c r="E298" s="14" t="str">
        <f t="shared" si="4"/>
        <v/>
      </c>
      <c r="F298" s="6" t="str">
        <f>IF($A298&lt;&gt;"",MAXIFS(#REF!,Token!$A:$A,$D298),)</f>
        <v/>
      </c>
    </row>
    <row r="299">
      <c r="A299" s="35" t="str">
        <f t="shared" si="1"/>
        <v/>
      </c>
      <c r="B299" s="22" t="str">
        <f t="shared" si="2"/>
        <v/>
      </c>
      <c r="C299" s="14" t="str">
        <f>IF($A299&lt;&gt;"",MINIFS(Merchant!$A:$A,Merchant!$B:$B,$G$2),)</f>
        <v/>
      </c>
      <c r="D299" s="14" t="str">
        <f t="shared" si="3"/>
        <v/>
      </c>
      <c r="E299" s="14" t="str">
        <f t="shared" si="4"/>
        <v/>
      </c>
      <c r="F299" s="6" t="str">
        <f>IF($A299&lt;&gt;"",MAXIFS(#REF!,Token!$A:$A,$D299),)</f>
        <v/>
      </c>
    </row>
    <row r="300">
      <c r="A300" s="35" t="str">
        <f t="shared" si="1"/>
        <v/>
      </c>
      <c r="B300" s="22" t="str">
        <f t="shared" si="2"/>
        <v/>
      </c>
      <c r="C300" s="14" t="str">
        <f>IF($A300&lt;&gt;"",MINIFS(Merchant!$A:$A,Merchant!$B:$B,$G$2),)</f>
        <v/>
      </c>
      <c r="D300" s="14" t="str">
        <f t="shared" si="3"/>
        <v/>
      </c>
      <c r="E300" s="14" t="str">
        <f t="shared" si="4"/>
        <v/>
      </c>
      <c r="F300" s="6" t="str">
        <f>IF($A300&lt;&gt;"",MAXIFS(#REF!,Token!$A:$A,$D300),)</f>
        <v/>
      </c>
    </row>
    <row r="301">
      <c r="A301" s="35" t="str">
        <f t="shared" si="1"/>
        <v/>
      </c>
      <c r="B301" s="22" t="str">
        <f t="shared" si="2"/>
        <v/>
      </c>
      <c r="C301" s="14" t="str">
        <f>IF($A301&lt;&gt;"",MINIFS(Merchant!$A:$A,Merchant!$B:$B,$G$2),)</f>
        <v/>
      </c>
      <c r="D301" s="14" t="str">
        <f t="shared" si="3"/>
        <v/>
      </c>
      <c r="E301" s="14" t="str">
        <f t="shared" si="4"/>
        <v/>
      </c>
      <c r="F301" s="6" t="str">
        <f>IF($A301&lt;&gt;"",MAXIFS(#REF!,Token!$A:$A,$D301),)</f>
        <v/>
      </c>
    </row>
    <row r="302">
      <c r="A302" s="35" t="str">
        <f t="shared" si="1"/>
        <v/>
      </c>
      <c r="B302" s="22" t="str">
        <f t="shared" si="2"/>
        <v/>
      </c>
      <c r="C302" s="14" t="str">
        <f>IF($A302&lt;&gt;"",MINIFS(Merchant!$A:$A,Merchant!$B:$B,$G$2),)</f>
        <v/>
      </c>
      <c r="D302" s="14" t="str">
        <f t="shared" si="3"/>
        <v/>
      </c>
      <c r="E302" s="14" t="str">
        <f t="shared" si="4"/>
        <v/>
      </c>
      <c r="F302" s="6" t="str">
        <f>IF($A302&lt;&gt;"",MAXIFS(#REF!,Token!$A:$A,$D302),)</f>
        <v/>
      </c>
    </row>
    <row r="303">
      <c r="A303" s="35" t="str">
        <f t="shared" si="1"/>
        <v/>
      </c>
      <c r="B303" s="22" t="str">
        <f t="shared" si="2"/>
        <v/>
      </c>
      <c r="C303" s="14" t="str">
        <f>IF($A303&lt;&gt;"",MINIFS(Merchant!$A:$A,Merchant!$B:$B,$G$2),)</f>
        <v/>
      </c>
      <c r="D303" s="14" t="str">
        <f t="shared" si="3"/>
        <v/>
      </c>
      <c r="E303" s="14" t="str">
        <f t="shared" si="4"/>
        <v/>
      </c>
      <c r="F303" s="6" t="str">
        <f>IF($A303&lt;&gt;"",MAXIFS(#REF!,Token!$A:$A,$D303),)</f>
        <v/>
      </c>
    </row>
    <row r="304">
      <c r="A304" s="35" t="str">
        <f t="shared" si="1"/>
        <v/>
      </c>
      <c r="B304" s="22" t="str">
        <f t="shared" si="2"/>
        <v/>
      </c>
      <c r="C304" s="14" t="str">
        <f>IF($A304&lt;&gt;"",MINIFS(Merchant!$A:$A,Merchant!$B:$B,$G$2),)</f>
        <v/>
      </c>
      <c r="D304" s="14" t="str">
        <f t="shared" si="3"/>
        <v/>
      </c>
      <c r="E304" s="14" t="str">
        <f t="shared" si="4"/>
        <v/>
      </c>
      <c r="F304" s="6" t="str">
        <f>IF($A304&lt;&gt;"",MAXIFS(#REF!,Token!$A:$A,$D304),)</f>
        <v/>
      </c>
    </row>
    <row r="305">
      <c r="A305" s="35" t="str">
        <f t="shared" si="1"/>
        <v/>
      </c>
      <c r="B305" s="22" t="str">
        <f t="shared" si="2"/>
        <v/>
      </c>
      <c r="C305" s="14" t="str">
        <f>IF($A305&lt;&gt;"",MINIFS(Merchant!$A:$A,Merchant!$B:$B,$G$2),)</f>
        <v/>
      </c>
      <c r="D305" s="14" t="str">
        <f t="shared" si="3"/>
        <v/>
      </c>
      <c r="E305" s="14" t="str">
        <f t="shared" si="4"/>
        <v/>
      </c>
      <c r="F305" s="6" t="str">
        <f>IF($A305&lt;&gt;"",MAXIFS(#REF!,Token!$A:$A,$D305),)</f>
        <v/>
      </c>
    </row>
    <row r="306">
      <c r="A306" s="35" t="str">
        <f t="shared" si="1"/>
        <v/>
      </c>
      <c r="B306" s="22" t="str">
        <f t="shared" si="2"/>
        <v/>
      </c>
      <c r="C306" s="14" t="str">
        <f>IF($A306&lt;&gt;"",MINIFS(Merchant!$A:$A,Merchant!$B:$B,$G$2),)</f>
        <v/>
      </c>
      <c r="D306" s="14" t="str">
        <f t="shared" si="3"/>
        <v/>
      </c>
      <c r="E306" s="14" t="str">
        <f t="shared" si="4"/>
        <v/>
      </c>
      <c r="F306" s="6" t="str">
        <f>IF($A306&lt;&gt;"",MAXIFS(#REF!,Token!$A:$A,$D306),)</f>
        <v/>
      </c>
    </row>
    <row r="307">
      <c r="A307" s="35" t="str">
        <f t="shared" si="1"/>
        <v/>
      </c>
      <c r="B307" s="22" t="str">
        <f t="shared" si="2"/>
        <v/>
      </c>
      <c r="C307" s="14" t="str">
        <f>IF($A307&lt;&gt;"",MINIFS(Merchant!$A:$A,Merchant!$B:$B,$G$2),)</f>
        <v/>
      </c>
      <c r="D307" s="14" t="str">
        <f t="shared" si="3"/>
        <v/>
      </c>
      <c r="E307" s="14" t="str">
        <f t="shared" si="4"/>
        <v/>
      </c>
      <c r="F307" s="6" t="str">
        <f>IF($A307&lt;&gt;"",MAXIFS(#REF!,Token!$A:$A,$D307),)</f>
        <v/>
      </c>
    </row>
    <row r="308">
      <c r="A308" s="35" t="str">
        <f t="shared" si="1"/>
        <v/>
      </c>
      <c r="B308" s="22" t="str">
        <f t="shared" si="2"/>
        <v/>
      </c>
      <c r="C308" s="14" t="str">
        <f>IF($A308&lt;&gt;"",MINIFS(Merchant!$A:$A,Merchant!$B:$B,$G$2),)</f>
        <v/>
      </c>
      <c r="D308" s="14" t="str">
        <f t="shared" si="3"/>
        <v/>
      </c>
      <c r="E308" s="14" t="str">
        <f t="shared" si="4"/>
        <v/>
      </c>
      <c r="F308" s="6" t="str">
        <f>IF($A308&lt;&gt;"",MAXIFS(#REF!,Token!$A:$A,$D308),)</f>
        <v/>
      </c>
    </row>
    <row r="309">
      <c r="A309" s="35" t="str">
        <f t="shared" si="1"/>
        <v/>
      </c>
      <c r="B309" s="22" t="str">
        <f t="shared" si="2"/>
        <v/>
      </c>
      <c r="C309" s="14" t="str">
        <f>IF($A309&lt;&gt;"",MINIFS(Merchant!$A:$A,Merchant!$B:$B,$G$2),)</f>
        <v/>
      </c>
      <c r="D309" s="14" t="str">
        <f t="shared" si="3"/>
        <v/>
      </c>
      <c r="E309" s="14" t="str">
        <f t="shared" si="4"/>
        <v/>
      </c>
      <c r="F309" s="6" t="str">
        <f>IF($A309&lt;&gt;"",MAXIFS(#REF!,Token!$A:$A,$D309),)</f>
        <v/>
      </c>
    </row>
    <row r="310">
      <c r="A310" s="35" t="str">
        <f t="shared" si="1"/>
        <v/>
      </c>
      <c r="B310" s="22" t="str">
        <f t="shared" si="2"/>
        <v/>
      </c>
      <c r="C310" s="14" t="str">
        <f>IF($A310&lt;&gt;"",MINIFS(Merchant!$A:$A,Merchant!$B:$B,$G$2),)</f>
        <v/>
      </c>
      <c r="D310" s="14" t="str">
        <f t="shared" si="3"/>
        <v/>
      </c>
      <c r="E310" s="14" t="str">
        <f t="shared" si="4"/>
        <v/>
      </c>
      <c r="F310" s="6" t="str">
        <f>IF($A310&lt;&gt;"",MAXIFS(#REF!,Token!$A:$A,$D310),)</f>
        <v/>
      </c>
    </row>
    <row r="311">
      <c r="A311" s="35" t="str">
        <f t="shared" si="1"/>
        <v/>
      </c>
      <c r="B311" s="22" t="str">
        <f t="shared" si="2"/>
        <v/>
      </c>
      <c r="C311" s="14" t="str">
        <f>IF($A311&lt;&gt;"",MINIFS(Merchant!$A:$A,Merchant!$B:$B,$G$2),)</f>
        <v/>
      </c>
      <c r="D311" s="14" t="str">
        <f t="shared" si="3"/>
        <v/>
      </c>
      <c r="E311" s="14" t="str">
        <f t="shared" si="4"/>
        <v/>
      </c>
      <c r="F311" s="6" t="str">
        <f>IF($A311&lt;&gt;"",MAXIFS(#REF!,Token!$A:$A,$D311),)</f>
        <v/>
      </c>
    </row>
    <row r="312">
      <c r="A312" s="35" t="str">
        <f t="shared" si="1"/>
        <v/>
      </c>
      <c r="B312" s="22" t="str">
        <f t="shared" si="2"/>
        <v/>
      </c>
      <c r="C312" s="14" t="str">
        <f>IF($A312&lt;&gt;"",MINIFS(Merchant!$A:$A,Merchant!$B:$B,$G$2),)</f>
        <v/>
      </c>
      <c r="D312" s="14" t="str">
        <f t="shared" si="3"/>
        <v/>
      </c>
      <c r="E312" s="14" t="str">
        <f t="shared" si="4"/>
        <v/>
      </c>
      <c r="F312" s="6" t="str">
        <f>IF($A312&lt;&gt;"",MAXIFS(#REF!,Token!$A:$A,$D312),)</f>
        <v/>
      </c>
    </row>
    <row r="313">
      <c r="A313" s="35" t="str">
        <f t="shared" si="1"/>
        <v/>
      </c>
      <c r="B313" s="22" t="str">
        <f t="shared" si="2"/>
        <v/>
      </c>
      <c r="C313" s="14" t="str">
        <f>IF($A313&lt;&gt;"",MINIFS(Merchant!$A:$A,Merchant!$B:$B,$G$2),)</f>
        <v/>
      </c>
      <c r="D313" s="14" t="str">
        <f t="shared" si="3"/>
        <v/>
      </c>
      <c r="E313" s="14" t="str">
        <f t="shared" si="4"/>
        <v/>
      </c>
      <c r="F313" s="6" t="str">
        <f>IF($A313&lt;&gt;"",MAXIFS(#REF!,Token!$A:$A,$D313),)</f>
        <v/>
      </c>
    </row>
    <row r="314">
      <c r="A314" s="35" t="str">
        <f t="shared" si="1"/>
        <v/>
      </c>
      <c r="B314" s="22" t="str">
        <f t="shared" si="2"/>
        <v/>
      </c>
      <c r="C314" s="14" t="str">
        <f>IF($A314&lt;&gt;"",MINIFS(Merchant!$A:$A,Merchant!$B:$B,$G$2),)</f>
        <v/>
      </c>
      <c r="D314" s="14" t="str">
        <f t="shared" si="3"/>
        <v/>
      </c>
      <c r="E314" s="14" t="str">
        <f t="shared" si="4"/>
        <v/>
      </c>
      <c r="F314" s="6" t="str">
        <f>IF($A314&lt;&gt;"",MAXIFS(#REF!,Token!$A:$A,$D314),)</f>
        <v/>
      </c>
    </row>
    <row r="315">
      <c r="A315" s="35" t="str">
        <f t="shared" si="1"/>
        <v/>
      </c>
      <c r="B315" s="22" t="str">
        <f t="shared" si="2"/>
        <v/>
      </c>
      <c r="C315" s="14" t="str">
        <f>IF($A315&lt;&gt;"",MINIFS(Merchant!$A:$A,Merchant!$B:$B,$G$2),)</f>
        <v/>
      </c>
      <c r="D315" s="14" t="str">
        <f t="shared" si="3"/>
        <v/>
      </c>
      <c r="E315" s="14" t="str">
        <f t="shared" si="4"/>
        <v/>
      </c>
      <c r="F315" s="6" t="str">
        <f>IF($A315&lt;&gt;"",MAXIFS(#REF!,Token!$A:$A,$D315),)</f>
        <v/>
      </c>
    </row>
    <row r="316">
      <c r="A316" s="35" t="str">
        <f t="shared" si="1"/>
        <v/>
      </c>
      <c r="B316" s="22" t="str">
        <f t="shared" si="2"/>
        <v/>
      </c>
      <c r="C316" s="14" t="str">
        <f>IF($A316&lt;&gt;"",MINIFS(Merchant!$A:$A,Merchant!$B:$B,$G$2),)</f>
        <v/>
      </c>
      <c r="D316" s="14" t="str">
        <f t="shared" si="3"/>
        <v/>
      </c>
      <c r="E316" s="14" t="str">
        <f t="shared" si="4"/>
        <v/>
      </c>
      <c r="F316" s="6" t="str">
        <f>IF($A316&lt;&gt;"",MAXIFS(#REF!,Token!$A:$A,$D316),)</f>
        <v/>
      </c>
    </row>
    <row r="317">
      <c r="A317" s="35" t="str">
        <f t="shared" si="1"/>
        <v/>
      </c>
      <c r="B317" s="22" t="str">
        <f t="shared" si="2"/>
        <v/>
      </c>
      <c r="C317" s="14" t="str">
        <f>IF($A317&lt;&gt;"",MINIFS(Merchant!$A:$A,Merchant!$B:$B,$G$2),)</f>
        <v/>
      </c>
      <c r="D317" s="14" t="str">
        <f t="shared" si="3"/>
        <v/>
      </c>
      <c r="E317" s="14" t="str">
        <f t="shared" si="4"/>
        <v/>
      </c>
      <c r="F317" s="6" t="str">
        <f>IF($A317&lt;&gt;"",MAXIFS(#REF!,Token!$A:$A,$D317),)</f>
        <v/>
      </c>
    </row>
    <row r="318">
      <c r="A318" s="35" t="str">
        <f t="shared" si="1"/>
        <v/>
      </c>
      <c r="B318" s="22" t="str">
        <f t="shared" si="2"/>
        <v/>
      </c>
      <c r="C318" s="14" t="str">
        <f>IF($A318&lt;&gt;"",MINIFS(Merchant!$A:$A,Merchant!$B:$B,$G$2),)</f>
        <v/>
      </c>
      <c r="D318" s="14" t="str">
        <f t="shared" si="3"/>
        <v/>
      </c>
      <c r="E318" s="14" t="str">
        <f t="shared" si="4"/>
        <v/>
      </c>
      <c r="F318" s="6" t="str">
        <f>IF($A318&lt;&gt;"",MAXIFS(#REF!,Token!$A:$A,$D318),)</f>
        <v/>
      </c>
    </row>
    <row r="319">
      <c r="A319" s="35" t="str">
        <f t="shared" si="1"/>
        <v/>
      </c>
      <c r="B319" s="22" t="str">
        <f t="shared" si="2"/>
        <v/>
      </c>
      <c r="C319" s="14" t="str">
        <f>IF($A319&lt;&gt;"",MINIFS(Merchant!$A:$A,Merchant!$B:$B,$G$2),)</f>
        <v/>
      </c>
      <c r="D319" s="14" t="str">
        <f t="shared" si="3"/>
        <v/>
      </c>
      <c r="E319" s="14" t="str">
        <f t="shared" si="4"/>
        <v/>
      </c>
      <c r="F319" s="6" t="str">
        <f>IF($A319&lt;&gt;"",MAXIFS(#REF!,Token!$A:$A,$D319),)</f>
        <v/>
      </c>
    </row>
    <row r="320">
      <c r="A320" s="35" t="str">
        <f t="shared" si="1"/>
        <v/>
      </c>
      <c r="B320" s="22" t="str">
        <f t="shared" si="2"/>
        <v/>
      </c>
      <c r="C320" s="14" t="str">
        <f>IF($A320&lt;&gt;"",MINIFS(Merchant!$A:$A,Merchant!$B:$B,$G$2),)</f>
        <v/>
      </c>
      <c r="D320" s="14" t="str">
        <f t="shared" si="3"/>
        <v/>
      </c>
      <c r="E320" s="14" t="str">
        <f t="shared" si="4"/>
        <v/>
      </c>
      <c r="F320" s="6" t="str">
        <f>IF($A320&lt;&gt;"",MAXIFS(#REF!,Token!$A:$A,$D320),)</f>
        <v/>
      </c>
    </row>
    <row r="321">
      <c r="A321" s="35" t="str">
        <f t="shared" si="1"/>
        <v/>
      </c>
      <c r="B321" s="22" t="str">
        <f t="shared" si="2"/>
        <v/>
      </c>
      <c r="C321" s="14" t="str">
        <f>IF($A321&lt;&gt;"",MINIFS(Merchant!$A:$A,Merchant!$B:$B,$G$2),)</f>
        <v/>
      </c>
      <c r="D321" s="14" t="str">
        <f t="shared" si="3"/>
        <v/>
      </c>
      <c r="E321" s="14" t="str">
        <f t="shared" si="4"/>
        <v/>
      </c>
      <c r="F321" s="6" t="str">
        <f>IF($A321&lt;&gt;"",MAXIFS(#REF!,Token!$A:$A,$D321),)</f>
        <v/>
      </c>
    </row>
    <row r="322">
      <c r="A322" s="35" t="str">
        <f t="shared" si="1"/>
        <v/>
      </c>
      <c r="B322" s="22" t="str">
        <f t="shared" si="2"/>
        <v/>
      </c>
      <c r="C322" s="14" t="str">
        <f>IF($A322&lt;&gt;"",MINIFS(Merchant!$A:$A,Merchant!$B:$B,$G$2),)</f>
        <v/>
      </c>
      <c r="D322" s="14" t="str">
        <f t="shared" si="3"/>
        <v/>
      </c>
      <c r="E322" s="14" t="str">
        <f t="shared" si="4"/>
        <v/>
      </c>
      <c r="F322" s="6" t="str">
        <f>IF($A322&lt;&gt;"",MAXIFS(#REF!,Token!$A:$A,$D322),)</f>
        <v/>
      </c>
    </row>
    <row r="323">
      <c r="A323" s="35" t="str">
        <f t="shared" si="1"/>
        <v/>
      </c>
      <c r="B323" s="22" t="str">
        <f t="shared" si="2"/>
        <v/>
      </c>
      <c r="C323" s="14" t="str">
        <f>IF($A323&lt;&gt;"",MINIFS(Merchant!$A:$A,Merchant!$B:$B,$G$2),)</f>
        <v/>
      </c>
      <c r="D323" s="14" t="str">
        <f t="shared" si="3"/>
        <v/>
      </c>
      <c r="E323" s="14" t="str">
        <f t="shared" si="4"/>
        <v/>
      </c>
      <c r="F323" s="6" t="str">
        <f>IF($A323&lt;&gt;"",MAXIFS(#REF!,Token!$A:$A,$D323),)</f>
        <v/>
      </c>
    </row>
    <row r="324">
      <c r="A324" s="35" t="str">
        <f t="shared" si="1"/>
        <v/>
      </c>
      <c r="B324" s="22" t="str">
        <f t="shared" si="2"/>
        <v/>
      </c>
      <c r="C324" s="14" t="str">
        <f>IF($A324&lt;&gt;"",MINIFS(Merchant!$A:$A,Merchant!$B:$B,$G$2),)</f>
        <v/>
      </c>
      <c r="D324" s="14" t="str">
        <f t="shared" si="3"/>
        <v/>
      </c>
      <c r="E324" s="14" t="str">
        <f t="shared" si="4"/>
        <v/>
      </c>
      <c r="F324" s="6" t="str">
        <f>IF($A324&lt;&gt;"",MAXIFS(#REF!,Token!$A:$A,$D324),)</f>
        <v/>
      </c>
    </row>
    <row r="325">
      <c r="A325" s="35" t="str">
        <f t="shared" si="1"/>
        <v/>
      </c>
      <c r="B325" s="22" t="str">
        <f t="shared" si="2"/>
        <v/>
      </c>
      <c r="C325" s="14" t="str">
        <f>IF($A325&lt;&gt;"",MINIFS(Merchant!$A:$A,Merchant!$B:$B,$G$2),)</f>
        <v/>
      </c>
      <c r="D325" s="14" t="str">
        <f t="shared" si="3"/>
        <v/>
      </c>
      <c r="E325" s="14" t="str">
        <f t="shared" si="4"/>
        <v/>
      </c>
      <c r="F325" s="6" t="str">
        <f>IF($A325&lt;&gt;"",MAXIFS(#REF!,Token!$A:$A,$D325),)</f>
        <v/>
      </c>
    </row>
    <row r="326">
      <c r="A326" s="35" t="str">
        <f t="shared" si="1"/>
        <v/>
      </c>
      <c r="B326" s="22" t="str">
        <f t="shared" si="2"/>
        <v/>
      </c>
      <c r="C326" s="14" t="str">
        <f>IF($A326&lt;&gt;"",MINIFS(Merchant!$A:$A,Merchant!$B:$B,$G$2),)</f>
        <v/>
      </c>
      <c r="D326" s="14" t="str">
        <f t="shared" si="3"/>
        <v/>
      </c>
      <c r="E326" s="14" t="str">
        <f t="shared" si="4"/>
        <v/>
      </c>
      <c r="F326" s="6" t="str">
        <f>IF($A326&lt;&gt;"",MAXIFS(#REF!,Token!$A:$A,$D326),)</f>
        <v/>
      </c>
    </row>
    <row r="327">
      <c r="A327" s="35" t="str">
        <f t="shared" si="1"/>
        <v/>
      </c>
      <c r="B327" s="22" t="str">
        <f t="shared" si="2"/>
        <v/>
      </c>
      <c r="C327" s="14" t="str">
        <f>IF($A327&lt;&gt;"",MINIFS(Merchant!$A:$A,Merchant!$B:$B,$G$2),)</f>
        <v/>
      </c>
      <c r="D327" s="14" t="str">
        <f t="shared" si="3"/>
        <v/>
      </c>
      <c r="E327" s="14" t="str">
        <f t="shared" si="4"/>
        <v/>
      </c>
      <c r="F327" s="6" t="str">
        <f>IF($A327&lt;&gt;"",MAXIFS(#REF!,Token!$A:$A,$D327),)</f>
        <v/>
      </c>
    </row>
    <row r="328">
      <c r="A328" s="35" t="str">
        <f t="shared" si="1"/>
        <v/>
      </c>
      <c r="B328" s="22" t="str">
        <f t="shared" si="2"/>
        <v/>
      </c>
      <c r="C328" s="14" t="str">
        <f>IF($A328&lt;&gt;"",MINIFS(Merchant!$A:$A,Merchant!$B:$B,$G$2),)</f>
        <v/>
      </c>
      <c r="D328" s="14" t="str">
        <f t="shared" si="3"/>
        <v/>
      </c>
      <c r="E328" s="14" t="str">
        <f t="shared" si="4"/>
        <v/>
      </c>
      <c r="F328" s="6" t="str">
        <f>IF($A328&lt;&gt;"",MAXIFS(#REF!,Token!$A:$A,$D328),)</f>
        <v/>
      </c>
    </row>
    <row r="329">
      <c r="A329" s="35" t="str">
        <f t="shared" si="1"/>
        <v/>
      </c>
      <c r="B329" s="22" t="str">
        <f t="shared" si="2"/>
        <v/>
      </c>
      <c r="C329" s="14" t="str">
        <f>IF($A329&lt;&gt;"",MINIFS(Merchant!$A:$A,Merchant!$B:$B,$G$2),)</f>
        <v/>
      </c>
      <c r="D329" s="14" t="str">
        <f t="shared" si="3"/>
        <v/>
      </c>
      <c r="E329" s="14" t="str">
        <f t="shared" si="4"/>
        <v/>
      </c>
      <c r="F329" s="6" t="str">
        <f>IF($A329&lt;&gt;"",MAXIFS(#REF!,Token!$A:$A,$D329),)</f>
        <v/>
      </c>
    </row>
    <row r="330">
      <c r="A330" s="35" t="str">
        <f t="shared" si="1"/>
        <v/>
      </c>
      <c r="B330" s="22" t="str">
        <f t="shared" si="2"/>
        <v/>
      </c>
      <c r="C330" s="14" t="str">
        <f>IF($A330&lt;&gt;"",MINIFS(Merchant!$A:$A,Merchant!$B:$B,$G$2),)</f>
        <v/>
      </c>
      <c r="D330" s="14" t="str">
        <f t="shared" si="3"/>
        <v/>
      </c>
      <c r="E330" s="14" t="str">
        <f t="shared" si="4"/>
        <v/>
      </c>
      <c r="F330" s="6" t="str">
        <f>IF($A330&lt;&gt;"",MAXIFS(#REF!,Token!$A:$A,$D330),)</f>
        <v/>
      </c>
    </row>
    <row r="331">
      <c r="A331" s="35" t="str">
        <f t="shared" si="1"/>
        <v/>
      </c>
      <c r="B331" s="22" t="str">
        <f t="shared" si="2"/>
        <v/>
      </c>
      <c r="C331" s="14" t="str">
        <f>IF($A331&lt;&gt;"",MINIFS(Merchant!$A:$A,Merchant!$B:$B,$G$2),)</f>
        <v/>
      </c>
      <c r="D331" s="14" t="str">
        <f t="shared" si="3"/>
        <v/>
      </c>
      <c r="E331" s="14" t="str">
        <f t="shared" si="4"/>
        <v/>
      </c>
      <c r="F331" s="6" t="str">
        <f>IF($A331&lt;&gt;"",MAXIFS(#REF!,Token!$A:$A,$D331),)</f>
        <v/>
      </c>
    </row>
    <row r="332">
      <c r="A332" s="35" t="str">
        <f t="shared" si="1"/>
        <v/>
      </c>
      <c r="B332" s="22" t="str">
        <f t="shared" si="2"/>
        <v/>
      </c>
      <c r="C332" s="14" t="str">
        <f>IF($A332&lt;&gt;"",MINIFS(Merchant!$A:$A,Merchant!$B:$B,$G$2),)</f>
        <v/>
      </c>
      <c r="D332" s="14" t="str">
        <f t="shared" si="3"/>
        <v/>
      </c>
      <c r="E332" s="14" t="str">
        <f t="shared" si="4"/>
        <v/>
      </c>
      <c r="F332" s="6" t="str">
        <f>IF($A332&lt;&gt;"",MAXIFS(#REF!,Token!$A:$A,$D332),)</f>
        <v/>
      </c>
    </row>
    <row r="333">
      <c r="A333" s="35" t="str">
        <f t="shared" si="1"/>
        <v/>
      </c>
      <c r="B333" s="22" t="str">
        <f t="shared" si="2"/>
        <v/>
      </c>
      <c r="C333" s="14" t="str">
        <f>IF($A333&lt;&gt;"",MINIFS(Merchant!$A:$A,Merchant!$B:$B,$G$2),)</f>
        <v/>
      </c>
      <c r="D333" s="14" t="str">
        <f t="shared" si="3"/>
        <v/>
      </c>
      <c r="E333" s="14" t="str">
        <f t="shared" si="4"/>
        <v/>
      </c>
      <c r="F333" s="6" t="str">
        <f>IF($A333&lt;&gt;"",MAXIFS(#REF!,Token!$A:$A,$D333),)</f>
        <v/>
      </c>
    </row>
    <row r="334">
      <c r="A334" s="35" t="str">
        <f t="shared" si="1"/>
        <v/>
      </c>
      <c r="B334" s="22" t="str">
        <f t="shared" si="2"/>
        <v/>
      </c>
      <c r="C334" s="14" t="str">
        <f>IF($A334&lt;&gt;"",MINIFS(Merchant!$A:$A,Merchant!$B:$B,$G$2),)</f>
        <v/>
      </c>
      <c r="D334" s="14" t="str">
        <f t="shared" si="3"/>
        <v/>
      </c>
      <c r="E334" s="14" t="str">
        <f t="shared" si="4"/>
        <v/>
      </c>
      <c r="F334" s="6" t="str">
        <f>IF($A334&lt;&gt;"",MAXIFS(#REF!,Token!$A:$A,$D334),)</f>
        <v/>
      </c>
    </row>
    <row r="335">
      <c r="A335" s="35" t="str">
        <f t="shared" si="1"/>
        <v/>
      </c>
      <c r="B335" s="22" t="str">
        <f t="shared" si="2"/>
        <v/>
      </c>
      <c r="C335" s="14" t="str">
        <f>IF($A335&lt;&gt;"",MINIFS(Merchant!$A:$A,Merchant!$B:$B,$G$2),)</f>
        <v/>
      </c>
      <c r="D335" s="14" t="str">
        <f t="shared" si="3"/>
        <v/>
      </c>
      <c r="E335" s="14" t="str">
        <f t="shared" si="4"/>
        <v/>
      </c>
      <c r="F335" s="6" t="str">
        <f>IF($A335&lt;&gt;"",MAXIFS(#REF!,Token!$A:$A,$D335),)</f>
        <v/>
      </c>
    </row>
    <row r="336">
      <c r="A336" s="35" t="str">
        <f t="shared" si="1"/>
        <v/>
      </c>
      <c r="B336" s="22" t="str">
        <f t="shared" si="2"/>
        <v/>
      </c>
      <c r="C336" s="14" t="str">
        <f>IF($A336&lt;&gt;"",MINIFS(Merchant!$A:$A,Merchant!$B:$B,$G$2),)</f>
        <v/>
      </c>
      <c r="D336" s="14" t="str">
        <f t="shared" si="3"/>
        <v/>
      </c>
      <c r="E336" s="14" t="str">
        <f t="shared" si="4"/>
        <v/>
      </c>
      <c r="F336" s="6" t="str">
        <f>IF($A336&lt;&gt;"",MAXIFS(#REF!,Token!$A:$A,$D336),)</f>
        <v/>
      </c>
    </row>
    <row r="337">
      <c r="A337" s="35" t="str">
        <f t="shared" si="1"/>
        <v/>
      </c>
      <c r="B337" s="22" t="str">
        <f t="shared" si="2"/>
        <v/>
      </c>
      <c r="C337" s="14" t="str">
        <f>IF($A337&lt;&gt;"",MINIFS(Merchant!$A:$A,Merchant!$B:$B,$G$2),)</f>
        <v/>
      </c>
      <c r="D337" s="14" t="str">
        <f t="shared" si="3"/>
        <v/>
      </c>
      <c r="E337" s="14" t="str">
        <f t="shared" si="4"/>
        <v/>
      </c>
      <c r="F337" s="6" t="str">
        <f>IF($A337&lt;&gt;"",MAXIFS(#REF!,Token!$A:$A,$D337),)</f>
        <v/>
      </c>
    </row>
    <row r="338">
      <c r="A338" s="35" t="str">
        <f t="shared" si="1"/>
        <v/>
      </c>
      <c r="B338" s="22" t="str">
        <f t="shared" si="2"/>
        <v/>
      </c>
      <c r="C338" s="14" t="str">
        <f>IF($A338&lt;&gt;"",MINIFS(Merchant!$A:$A,Merchant!$B:$B,$G$2),)</f>
        <v/>
      </c>
      <c r="D338" s="14" t="str">
        <f t="shared" si="3"/>
        <v/>
      </c>
      <c r="E338" s="14" t="str">
        <f t="shared" si="4"/>
        <v/>
      </c>
      <c r="F338" s="6" t="str">
        <f>IF($A338&lt;&gt;"",MAXIFS(#REF!,Token!$A:$A,$D338),)</f>
        <v/>
      </c>
    </row>
    <row r="339">
      <c r="A339" s="35" t="str">
        <f t="shared" si="1"/>
        <v/>
      </c>
      <c r="B339" s="22" t="str">
        <f t="shared" si="2"/>
        <v/>
      </c>
      <c r="C339" s="14" t="str">
        <f>IF($A339&lt;&gt;"",MINIFS(Merchant!$A:$A,Merchant!$B:$B,$G$2),)</f>
        <v/>
      </c>
      <c r="D339" s="14" t="str">
        <f t="shared" si="3"/>
        <v/>
      </c>
      <c r="E339" s="14" t="str">
        <f t="shared" si="4"/>
        <v/>
      </c>
      <c r="F339" s="6" t="str">
        <f>IF($A339&lt;&gt;"",MAXIFS(#REF!,Token!$A:$A,$D339),)</f>
        <v/>
      </c>
    </row>
    <row r="340">
      <c r="A340" s="35" t="str">
        <f t="shared" si="1"/>
        <v/>
      </c>
      <c r="B340" s="22" t="str">
        <f t="shared" si="2"/>
        <v/>
      </c>
      <c r="C340" s="14" t="str">
        <f>IF($A340&lt;&gt;"",MINIFS(Merchant!$A:$A,Merchant!$B:$B,$G$2),)</f>
        <v/>
      </c>
      <c r="D340" s="14" t="str">
        <f t="shared" si="3"/>
        <v/>
      </c>
      <c r="E340" s="14" t="str">
        <f t="shared" si="4"/>
        <v/>
      </c>
      <c r="F340" s="6" t="str">
        <f>IF($A340&lt;&gt;"",MAXIFS(#REF!,Token!$A:$A,$D340),)</f>
        <v/>
      </c>
    </row>
    <row r="341">
      <c r="A341" s="35" t="str">
        <f t="shared" si="1"/>
        <v/>
      </c>
      <c r="B341" s="22" t="str">
        <f t="shared" si="2"/>
        <v/>
      </c>
      <c r="C341" s="14" t="str">
        <f>IF($A341&lt;&gt;"",MINIFS(Merchant!$A:$A,Merchant!$B:$B,$G$2),)</f>
        <v/>
      </c>
      <c r="D341" s="14" t="str">
        <f t="shared" si="3"/>
        <v/>
      </c>
      <c r="E341" s="14" t="str">
        <f t="shared" si="4"/>
        <v/>
      </c>
      <c r="F341" s="6" t="str">
        <f>IF($A341&lt;&gt;"",MAXIFS(#REF!,Token!$A:$A,$D341),)</f>
        <v/>
      </c>
    </row>
    <row r="342">
      <c r="A342" s="35" t="str">
        <f t="shared" si="1"/>
        <v/>
      </c>
      <c r="B342" s="22" t="str">
        <f t="shared" si="2"/>
        <v/>
      </c>
      <c r="C342" s="14" t="str">
        <f>IF($A342&lt;&gt;"",MINIFS(Merchant!$A:$A,Merchant!$B:$B,$G$2),)</f>
        <v/>
      </c>
      <c r="D342" s="14" t="str">
        <f t="shared" si="3"/>
        <v/>
      </c>
      <c r="E342" s="14" t="str">
        <f t="shared" si="4"/>
        <v/>
      </c>
      <c r="F342" s="6" t="str">
        <f>IF($A342&lt;&gt;"",MAXIFS(#REF!,Token!$A:$A,$D342),)</f>
        <v/>
      </c>
    </row>
    <row r="343">
      <c r="A343" s="35" t="str">
        <f t="shared" si="1"/>
        <v/>
      </c>
      <c r="B343" s="22" t="str">
        <f t="shared" si="2"/>
        <v/>
      </c>
      <c r="C343" s="14" t="str">
        <f>IF($A343&lt;&gt;"",MINIFS(Merchant!$A:$A,Merchant!$B:$B,$G$2),)</f>
        <v/>
      </c>
      <c r="D343" s="14" t="str">
        <f t="shared" si="3"/>
        <v/>
      </c>
      <c r="E343" s="14" t="str">
        <f t="shared" si="4"/>
        <v/>
      </c>
      <c r="F343" s="6" t="str">
        <f>IF($A343&lt;&gt;"",MAXIFS(#REF!,Token!$A:$A,$D343),)</f>
        <v/>
      </c>
    </row>
    <row r="344">
      <c r="A344" s="35" t="str">
        <f t="shared" si="1"/>
        <v/>
      </c>
      <c r="B344" s="22" t="str">
        <f t="shared" si="2"/>
        <v/>
      </c>
      <c r="C344" s="14" t="str">
        <f>IF($A344&lt;&gt;"",MINIFS(Merchant!$A:$A,Merchant!$B:$B,$G$2),)</f>
        <v/>
      </c>
      <c r="D344" s="14" t="str">
        <f t="shared" si="3"/>
        <v/>
      </c>
      <c r="E344" s="14" t="str">
        <f t="shared" si="4"/>
        <v/>
      </c>
      <c r="F344" s="6" t="str">
        <f>IF($A344&lt;&gt;"",MAXIFS(#REF!,Token!$A:$A,$D344),)</f>
        <v/>
      </c>
    </row>
    <row r="345">
      <c r="A345" s="35" t="str">
        <f t="shared" si="1"/>
        <v/>
      </c>
      <c r="B345" s="22" t="str">
        <f t="shared" si="2"/>
        <v/>
      </c>
      <c r="C345" s="14" t="str">
        <f>IF($A345&lt;&gt;"",MINIFS(Merchant!$A:$A,Merchant!$B:$B,$G$2),)</f>
        <v/>
      </c>
      <c r="D345" s="14" t="str">
        <f t="shared" si="3"/>
        <v/>
      </c>
      <c r="E345" s="14" t="str">
        <f t="shared" si="4"/>
        <v/>
      </c>
      <c r="F345" s="6" t="str">
        <f>IF($A345&lt;&gt;"",MAXIFS(#REF!,Token!$A:$A,$D345),)</f>
        <v/>
      </c>
    </row>
    <row r="346">
      <c r="A346" s="35" t="str">
        <f t="shared" si="1"/>
        <v/>
      </c>
      <c r="B346" s="22" t="str">
        <f t="shared" si="2"/>
        <v/>
      </c>
      <c r="C346" s="14" t="str">
        <f>IF($A346&lt;&gt;"",MINIFS(Merchant!$A:$A,Merchant!$B:$B,$G$2),)</f>
        <v/>
      </c>
      <c r="D346" s="14" t="str">
        <f t="shared" si="3"/>
        <v/>
      </c>
      <c r="E346" s="14" t="str">
        <f t="shared" si="4"/>
        <v/>
      </c>
      <c r="F346" s="6" t="str">
        <f>IF($A346&lt;&gt;"",MAXIFS(#REF!,Token!$A:$A,$D346),)</f>
        <v/>
      </c>
    </row>
    <row r="347">
      <c r="A347" s="35" t="str">
        <f t="shared" si="1"/>
        <v/>
      </c>
      <c r="B347" s="22" t="str">
        <f t="shared" si="2"/>
        <v/>
      </c>
      <c r="C347" s="14" t="str">
        <f>IF($A347&lt;&gt;"",MINIFS(Merchant!$A:$A,Merchant!$B:$B,$G$2),)</f>
        <v/>
      </c>
      <c r="D347" s="14" t="str">
        <f t="shared" si="3"/>
        <v/>
      </c>
      <c r="E347" s="14" t="str">
        <f t="shared" si="4"/>
        <v/>
      </c>
      <c r="F347" s="6" t="str">
        <f>IF($A347&lt;&gt;"",MAXIFS(#REF!,Token!$A:$A,$D347),)</f>
        <v/>
      </c>
    </row>
    <row r="348">
      <c r="A348" s="35" t="str">
        <f t="shared" si="1"/>
        <v/>
      </c>
      <c r="B348" s="22" t="str">
        <f t="shared" si="2"/>
        <v/>
      </c>
      <c r="C348" s="14" t="str">
        <f>IF($A348&lt;&gt;"",MINIFS(Merchant!$A:$A,Merchant!$B:$B,$G$2),)</f>
        <v/>
      </c>
      <c r="D348" s="14" t="str">
        <f t="shared" si="3"/>
        <v/>
      </c>
      <c r="E348" s="14" t="str">
        <f t="shared" si="4"/>
        <v/>
      </c>
      <c r="F348" s="6" t="str">
        <f>IF($A348&lt;&gt;"",MAXIFS(#REF!,Token!$A:$A,$D348),)</f>
        <v/>
      </c>
    </row>
    <row r="349">
      <c r="A349" s="35" t="str">
        <f t="shared" si="1"/>
        <v/>
      </c>
      <c r="B349" s="22" t="str">
        <f t="shared" si="2"/>
        <v/>
      </c>
      <c r="C349" s="14" t="str">
        <f>IF($A349&lt;&gt;"",MINIFS(Merchant!$A:$A,Merchant!$B:$B,$G$2),)</f>
        <v/>
      </c>
      <c r="D349" s="14" t="str">
        <f t="shared" si="3"/>
        <v/>
      </c>
      <c r="E349" s="14" t="str">
        <f t="shared" si="4"/>
        <v/>
      </c>
      <c r="F349" s="6" t="str">
        <f>IF($A349&lt;&gt;"",MAXIFS(#REF!,Token!$A:$A,$D349),)</f>
        <v/>
      </c>
    </row>
    <row r="350">
      <c r="A350" s="35" t="str">
        <f t="shared" si="1"/>
        <v/>
      </c>
      <c r="B350" s="22" t="str">
        <f t="shared" si="2"/>
        <v/>
      </c>
      <c r="C350" s="14" t="str">
        <f>IF($A350&lt;&gt;"",MINIFS(Merchant!$A:$A,Merchant!$B:$B,$G$2),)</f>
        <v/>
      </c>
      <c r="D350" s="14" t="str">
        <f t="shared" si="3"/>
        <v/>
      </c>
      <c r="E350" s="14" t="str">
        <f t="shared" si="4"/>
        <v/>
      </c>
      <c r="F350" s="6" t="str">
        <f>IF($A350&lt;&gt;"",MAXIFS(#REF!,Token!$A:$A,$D350),)</f>
        <v/>
      </c>
    </row>
    <row r="351">
      <c r="A351" s="35" t="str">
        <f t="shared" si="1"/>
        <v/>
      </c>
      <c r="B351" s="22" t="str">
        <f t="shared" si="2"/>
        <v/>
      </c>
      <c r="C351" s="14" t="str">
        <f>IF($A351&lt;&gt;"",MINIFS(Merchant!$A:$A,Merchant!$B:$B,$G$2),)</f>
        <v/>
      </c>
      <c r="D351" s="14" t="str">
        <f t="shared" si="3"/>
        <v/>
      </c>
      <c r="E351" s="14" t="str">
        <f t="shared" si="4"/>
        <v/>
      </c>
      <c r="F351" s="6" t="str">
        <f>IF($A351&lt;&gt;"",MAXIFS(#REF!,Token!$A:$A,$D351),)</f>
        <v/>
      </c>
    </row>
    <row r="352">
      <c r="A352" s="35" t="str">
        <f t="shared" si="1"/>
        <v/>
      </c>
      <c r="B352" s="22" t="str">
        <f t="shared" si="2"/>
        <v/>
      </c>
      <c r="C352" s="14" t="str">
        <f>IF($A352&lt;&gt;"",MINIFS(Merchant!$A:$A,Merchant!$B:$B,$G$2),)</f>
        <v/>
      </c>
      <c r="D352" s="14" t="str">
        <f t="shared" si="3"/>
        <v/>
      </c>
      <c r="E352" s="14" t="str">
        <f t="shared" si="4"/>
        <v/>
      </c>
      <c r="F352" s="6" t="str">
        <f>IF($A352&lt;&gt;"",MAXIFS(#REF!,Token!$A:$A,$D352),)</f>
        <v/>
      </c>
    </row>
    <row r="353">
      <c r="A353" s="35" t="str">
        <f t="shared" si="1"/>
        <v/>
      </c>
      <c r="B353" s="22" t="str">
        <f t="shared" si="2"/>
        <v/>
      </c>
      <c r="C353" s="14" t="str">
        <f>IF($A353&lt;&gt;"",MINIFS(Merchant!$A:$A,Merchant!$B:$B,$G$2),)</f>
        <v/>
      </c>
      <c r="D353" s="14" t="str">
        <f t="shared" si="3"/>
        <v/>
      </c>
      <c r="E353" s="14" t="str">
        <f t="shared" si="4"/>
        <v/>
      </c>
      <c r="F353" s="6" t="str">
        <f>IF($A353&lt;&gt;"",MAXIFS(#REF!,Token!$A:$A,$D353),)</f>
        <v/>
      </c>
    </row>
    <row r="354">
      <c r="A354" s="35" t="str">
        <f t="shared" si="1"/>
        <v/>
      </c>
      <c r="B354" s="22" t="str">
        <f t="shared" si="2"/>
        <v/>
      </c>
      <c r="C354" s="14" t="str">
        <f>IF($A354&lt;&gt;"",MINIFS(Merchant!$A:$A,Merchant!$B:$B,$G$2),)</f>
        <v/>
      </c>
      <c r="D354" s="14" t="str">
        <f t="shared" si="3"/>
        <v/>
      </c>
      <c r="E354" s="14" t="str">
        <f t="shared" si="4"/>
        <v/>
      </c>
      <c r="F354" s="6" t="str">
        <f>IF($A354&lt;&gt;"",MAXIFS(#REF!,Token!$A:$A,$D354),)</f>
        <v/>
      </c>
    </row>
    <row r="355">
      <c r="A355" s="35" t="str">
        <f t="shared" si="1"/>
        <v/>
      </c>
      <c r="B355" s="22" t="str">
        <f t="shared" si="2"/>
        <v/>
      </c>
      <c r="C355" s="14" t="str">
        <f>IF($A355&lt;&gt;"",MINIFS(Merchant!$A:$A,Merchant!$B:$B,$G$2),)</f>
        <v/>
      </c>
      <c r="D355" s="14" t="str">
        <f t="shared" si="3"/>
        <v/>
      </c>
      <c r="E355" s="14" t="str">
        <f t="shared" si="4"/>
        <v/>
      </c>
      <c r="F355" s="6" t="str">
        <f>IF($A355&lt;&gt;"",MAXIFS(#REF!,Token!$A:$A,$D355),)</f>
        <v/>
      </c>
    </row>
    <row r="356">
      <c r="A356" s="35" t="str">
        <f t="shared" si="1"/>
        <v/>
      </c>
      <c r="B356" s="22" t="str">
        <f t="shared" si="2"/>
        <v/>
      </c>
      <c r="C356" s="14" t="str">
        <f>IF($A356&lt;&gt;"",MINIFS(Merchant!$A:$A,Merchant!$B:$B,$G$2),)</f>
        <v/>
      </c>
      <c r="D356" s="14" t="str">
        <f t="shared" si="3"/>
        <v/>
      </c>
      <c r="E356" s="14" t="str">
        <f t="shared" si="4"/>
        <v/>
      </c>
      <c r="F356" s="6" t="str">
        <f>IF($A356&lt;&gt;"",MAXIFS(#REF!,Token!$A:$A,$D356),)</f>
        <v/>
      </c>
    </row>
    <row r="357">
      <c r="A357" s="35" t="str">
        <f t="shared" si="1"/>
        <v/>
      </c>
      <c r="B357" s="22" t="str">
        <f t="shared" si="2"/>
        <v/>
      </c>
      <c r="C357" s="14" t="str">
        <f>IF($A357&lt;&gt;"",MINIFS(Merchant!$A:$A,Merchant!$B:$B,$G$2),)</f>
        <v/>
      </c>
      <c r="D357" s="14" t="str">
        <f t="shared" si="3"/>
        <v/>
      </c>
      <c r="E357" s="14" t="str">
        <f t="shared" si="4"/>
        <v/>
      </c>
      <c r="F357" s="6" t="str">
        <f>IF($A357&lt;&gt;"",MAXIFS(#REF!,Token!$A:$A,$D357),)</f>
        <v/>
      </c>
    </row>
    <row r="358">
      <c r="A358" s="35" t="str">
        <f t="shared" si="1"/>
        <v/>
      </c>
      <c r="B358" s="22" t="str">
        <f t="shared" si="2"/>
        <v/>
      </c>
      <c r="C358" s="14" t="str">
        <f>IF($A358&lt;&gt;"",MINIFS(Merchant!$A:$A,Merchant!$B:$B,$G$2),)</f>
        <v/>
      </c>
      <c r="D358" s="14" t="str">
        <f t="shared" si="3"/>
        <v/>
      </c>
      <c r="E358" s="14" t="str">
        <f t="shared" si="4"/>
        <v/>
      </c>
      <c r="F358" s="6" t="str">
        <f>IF($A358&lt;&gt;"",MAXIFS(#REF!,Token!$A:$A,$D358),)</f>
        <v/>
      </c>
    </row>
    <row r="359">
      <c r="A359" s="35" t="str">
        <f t="shared" si="1"/>
        <v/>
      </c>
      <c r="B359" s="22" t="str">
        <f t="shared" si="2"/>
        <v/>
      </c>
      <c r="C359" s="14" t="str">
        <f>IF($A359&lt;&gt;"",MINIFS(Merchant!$A:$A,Merchant!$B:$B,$G$2),)</f>
        <v/>
      </c>
      <c r="D359" s="14" t="str">
        <f t="shared" si="3"/>
        <v/>
      </c>
      <c r="E359" s="14" t="str">
        <f t="shared" si="4"/>
        <v/>
      </c>
      <c r="F359" s="6" t="str">
        <f>IF($A359&lt;&gt;"",MAXIFS(#REF!,Token!$A:$A,$D359),)</f>
        <v/>
      </c>
    </row>
    <row r="360">
      <c r="A360" s="35" t="str">
        <f t="shared" si="1"/>
        <v/>
      </c>
      <c r="B360" s="22" t="str">
        <f t="shared" si="2"/>
        <v/>
      </c>
      <c r="C360" s="14" t="str">
        <f>IF($A360&lt;&gt;"",MINIFS(Merchant!$A:$A,Merchant!$B:$B,$G$2),)</f>
        <v/>
      </c>
      <c r="D360" s="14" t="str">
        <f t="shared" si="3"/>
        <v/>
      </c>
      <c r="E360" s="14" t="str">
        <f t="shared" si="4"/>
        <v/>
      </c>
      <c r="F360" s="6" t="str">
        <f>IF($A360&lt;&gt;"",MAXIFS(#REF!,Token!$A:$A,$D360),)</f>
        <v/>
      </c>
    </row>
    <row r="361">
      <c r="A361" s="35" t="str">
        <f t="shared" si="1"/>
        <v/>
      </c>
      <c r="B361" s="22" t="str">
        <f t="shared" si="2"/>
        <v/>
      </c>
      <c r="C361" s="14" t="str">
        <f>IF($A361&lt;&gt;"",MINIFS(Merchant!$A:$A,Merchant!$B:$B,$G$2),)</f>
        <v/>
      </c>
      <c r="D361" s="14" t="str">
        <f t="shared" si="3"/>
        <v/>
      </c>
      <c r="E361" s="14" t="str">
        <f t="shared" si="4"/>
        <v/>
      </c>
      <c r="F361" s="6" t="str">
        <f>IF($A361&lt;&gt;"",MAXIFS(#REF!,Token!$A:$A,$D361),)</f>
        <v/>
      </c>
    </row>
    <row r="362">
      <c r="A362" s="35" t="str">
        <f t="shared" si="1"/>
        <v/>
      </c>
      <c r="B362" s="22" t="str">
        <f t="shared" si="2"/>
        <v/>
      </c>
      <c r="C362" s="14" t="str">
        <f>IF($A362&lt;&gt;"",MINIFS(Merchant!$A:$A,Merchant!$B:$B,$G$2),)</f>
        <v/>
      </c>
      <c r="D362" s="14" t="str">
        <f t="shared" si="3"/>
        <v/>
      </c>
      <c r="E362" s="14" t="str">
        <f t="shared" si="4"/>
        <v/>
      </c>
      <c r="F362" s="6" t="str">
        <f>IF($A362&lt;&gt;"",MAXIFS(#REF!,Token!$A:$A,$D362),)</f>
        <v/>
      </c>
    </row>
    <row r="363">
      <c r="A363" s="35" t="str">
        <f t="shared" si="1"/>
        <v/>
      </c>
      <c r="B363" s="22" t="str">
        <f t="shared" si="2"/>
        <v/>
      </c>
      <c r="C363" s="14" t="str">
        <f>IF($A363&lt;&gt;"",MINIFS(Merchant!$A:$A,Merchant!$B:$B,$G$2),)</f>
        <v/>
      </c>
      <c r="D363" s="14" t="str">
        <f t="shared" si="3"/>
        <v/>
      </c>
      <c r="E363" s="14" t="str">
        <f t="shared" si="4"/>
        <v/>
      </c>
      <c r="F363" s="6" t="str">
        <f>IF($A363&lt;&gt;"",MAXIFS(#REF!,Token!$A:$A,$D363),)</f>
        <v/>
      </c>
    </row>
    <row r="364">
      <c r="A364" s="35" t="str">
        <f t="shared" si="1"/>
        <v/>
      </c>
      <c r="B364" s="22" t="str">
        <f t="shared" si="2"/>
        <v/>
      </c>
      <c r="C364" s="14" t="str">
        <f>IF($A364&lt;&gt;"",MINIFS(Merchant!$A:$A,Merchant!$B:$B,$G$2),)</f>
        <v/>
      </c>
      <c r="D364" s="14" t="str">
        <f t="shared" si="3"/>
        <v/>
      </c>
      <c r="E364" s="14" t="str">
        <f t="shared" si="4"/>
        <v/>
      </c>
      <c r="F364" s="6" t="str">
        <f>IF($A364&lt;&gt;"",MAXIFS(#REF!,Token!$A:$A,$D364),)</f>
        <v/>
      </c>
    </row>
    <row r="365">
      <c r="A365" s="35" t="str">
        <f t="shared" si="1"/>
        <v/>
      </c>
      <c r="B365" s="22" t="str">
        <f t="shared" si="2"/>
        <v/>
      </c>
      <c r="C365" s="14" t="str">
        <f>IF($A365&lt;&gt;"",MINIFS(Merchant!$A:$A,Merchant!$B:$B,$G$2),)</f>
        <v/>
      </c>
      <c r="D365" s="14" t="str">
        <f t="shared" si="3"/>
        <v/>
      </c>
      <c r="E365" s="14" t="str">
        <f t="shared" si="4"/>
        <v/>
      </c>
      <c r="F365" s="6" t="str">
        <f>IF($A365&lt;&gt;"",MAXIFS(#REF!,Token!$A:$A,$D365),)</f>
        <v/>
      </c>
    </row>
    <row r="366">
      <c r="A366" s="35" t="str">
        <f t="shared" si="1"/>
        <v/>
      </c>
      <c r="B366" s="22" t="str">
        <f t="shared" si="2"/>
        <v/>
      </c>
      <c r="C366" s="14" t="str">
        <f>IF($A366&lt;&gt;"",MINIFS(Merchant!$A:$A,Merchant!$B:$B,$G$2),)</f>
        <v/>
      </c>
      <c r="D366" s="14" t="str">
        <f t="shared" si="3"/>
        <v/>
      </c>
      <c r="E366" s="14" t="str">
        <f t="shared" si="4"/>
        <v/>
      </c>
      <c r="F366" s="6" t="str">
        <f>IF($A366&lt;&gt;"",MAXIFS(#REF!,Token!$A:$A,$D366),)</f>
        <v/>
      </c>
    </row>
    <row r="367">
      <c r="A367" s="35" t="str">
        <f t="shared" si="1"/>
        <v/>
      </c>
      <c r="B367" s="22" t="str">
        <f t="shared" si="2"/>
        <v/>
      </c>
      <c r="C367" s="14" t="str">
        <f>IF($A367&lt;&gt;"",MINIFS(Merchant!$A:$A,Merchant!$B:$B,$G$2),)</f>
        <v/>
      </c>
      <c r="D367" s="14" t="str">
        <f t="shared" si="3"/>
        <v/>
      </c>
      <c r="E367" s="14" t="str">
        <f t="shared" si="4"/>
        <v/>
      </c>
      <c r="F367" s="6" t="str">
        <f>IF($A367&lt;&gt;"",MAXIFS(#REF!,Token!$A:$A,$D367),)</f>
        <v/>
      </c>
    </row>
    <row r="368">
      <c r="A368" s="35" t="str">
        <f t="shared" si="1"/>
        <v/>
      </c>
      <c r="B368" s="22" t="str">
        <f t="shared" si="2"/>
        <v/>
      </c>
      <c r="C368" s="14" t="str">
        <f>IF($A368&lt;&gt;"",MINIFS(Merchant!$A:$A,Merchant!$B:$B,$G$2),)</f>
        <v/>
      </c>
      <c r="D368" s="14" t="str">
        <f t="shared" si="3"/>
        <v/>
      </c>
      <c r="E368" s="14" t="str">
        <f t="shared" si="4"/>
        <v/>
      </c>
      <c r="F368" s="6" t="str">
        <f>IF($A368&lt;&gt;"",MAXIFS(#REF!,Token!$A:$A,$D368),)</f>
        <v/>
      </c>
    </row>
    <row r="369">
      <c r="A369" s="35" t="str">
        <f t="shared" si="1"/>
        <v/>
      </c>
      <c r="B369" s="22" t="str">
        <f t="shared" si="2"/>
        <v/>
      </c>
      <c r="C369" s="14" t="str">
        <f>IF($A369&lt;&gt;"",MINIFS(Merchant!$A:$A,Merchant!$B:$B,$G$2),)</f>
        <v/>
      </c>
      <c r="D369" s="14" t="str">
        <f t="shared" si="3"/>
        <v/>
      </c>
      <c r="E369" s="14" t="str">
        <f t="shared" si="4"/>
        <v/>
      </c>
      <c r="F369" s="6" t="str">
        <f>IF($A369&lt;&gt;"",MAXIFS(#REF!,Token!$A:$A,$D369),)</f>
        <v/>
      </c>
    </row>
    <row r="370">
      <c r="A370" s="35" t="str">
        <f t="shared" si="1"/>
        <v/>
      </c>
      <c r="B370" s="22" t="str">
        <f t="shared" si="2"/>
        <v/>
      </c>
      <c r="C370" s="14" t="str">
        <f>IF($A370&lt;&gt;"",MINIFS(Merchant!$A:$A,Merchant!$B:$B,$G$2),)</f>
        <v/>
      </c>
      <c r="D370" s="14" t="str">
        <f t="shared" si="3"/>
        <v/>
      </c>
      <c r="E370" s="14" t="str">
        <f t="shared" si="4"/>
        <v/>
      </c>
      <c r="F370" s="6" t="str">
        <f>IF($A370&lt;&gt;"",MAXIFS(#REF!,Token!$A:$A,$D370),)</f>
        <v/>
      </c>
    </row>
    <row r="371">
      <c r="A371" s="35" t="str">
        <f t="shared" si="1"/>
        <v/>
      </c>
      <c r="B371" s="22" t="str">
        <f t="shared" si="2"/>
        <v/>
      </c>
      <c r="C371" s="14" t="str">
        <f>IF($A371&lt;&gt;"",MINIFS(Merchant!$A:$A,Merchant!$B:$B,$G$2),)</f>
        <v/>
      </c>
      <c r="D371" s="14" t="str">
        <f t="shared" si="3"/>
        <v/>
      </c>
      <c r="E371" s="14" t="str">
        <f t="shared" si="4"/>
        <v/>
      </c>
      <c r="F371" s="6" t="str">
        <f>IF($A371&lt;&gt;"",MAXIFS(#REF!,Token!$A:$A,$D371),)</f>
        <v/>
      </c>
    </row>
    <row r="372">
      <c r="A372" s="35" t="str">
        <f t="shared" si="1"/>
        <v/>
      </c>
      <c r="B372" s="22" t="str">
        <f t="shared" si="2"/>
        <v/>
      </c>
      <c r="C372" s="14" t="str">
        <f>IF($A372&lt;&gt;"",MINIFS(Merchant!$A:$A,Merchant!$B:$B,$G$2),)</f>
        <v/>
      </c>
      <c r="D372" s="14" t="str">
        <f t="shared" si="3"/>
        <v/>
      </c>
      <c r="E372" s="14" t="str">
        <f t="shared" si="4"/>
        <v/>
      </c>
      <c r="F372" s="6" t="str">
        <f>IF($A372&lt;&gt;"",MAXIFS(#REF!,Token!$A:$A,$D372),)</f>
        <v/>
      </c>
    </row>
    <row r="373">
      <c r="A373" s="35" t="str">
        <f t="shared" si="1"/>
        <v/>
      </c>
      <c r="B373" s="22" t="str">
        <f t="shared" si="2"/>
        <v/>
      </c>
      <c r="C373" s="14" t="str">
        <f>IF($A373&lt;&gt;"",MINIFS(Merchant!$A:$A,Merchant!$B:$B,$G$2),)</f>
        <v/>
      </c>
      <c r="D373" s="14" t="str">
        <f t="shared" si="3"/>
        <v/>
      </c>
      <c r="E373" s="14" t="str">
        <f t="shared" si="4"/>
        <v/>
      </c>
      <c r="F373" s="6" t="str">
        <f>IF($A373&lt;&gt;"",MAXIFS(#REF!,Token!$A:$A,$D373),)</f>
        <v/>
      </c>
    </row>
    <row r="374">
      <c r="A374" s="35" t="str">
        <f t="shared" si="1"/>
        <v/>
      </c>
      <c r="B374" s="22" t="str">
        <f t="shared" si="2"/>
        <v/>
      </c>
      <c r="C374" s="14" t="str">
        <f>IF($A374&lt;&gt;"",MINIFS(Merchant!$A:$A,Merchant!$B:$B,$G$2),)</f>
        <v/>
      </c>
      <c r="D374" s="14" t="str">
        <f t="shared" si="3"/>
        <v/>
      </c>
      <c r="E374" s="14" t="str">
        <f t="shared" si="4"/>
        <v/>
      </c>
      <c r="F374" s="6" t="str">
        <f>IF($A374&lt;&gt;"",MAXIFS(#REF!,Token!$A:$A,$D374),)</f>
        <v/>
      </c>
    </row>
    <row r="375">
      <c r="A375" s="35" t="str">
        <f t="shared" si="1"/>
        <v/>
      </c>
      <c r="B375" s="22" t="str">
        <f t="shared" si="2"/>
        <v/>
      </c>
      <c r="C375" s="14" t="str">
        <f>IF($A375&lt;&gt;"",MINIFS(Merchant!$A:$A,Merchant!$B:$B,$G$2),)</f>
        <v/>
      </c>
      <c r="D375" s="14" t="str">
        <f t="shared" si="3"/>
        <v/>
      </c>
      <c r="E375" s="14" t="str">
        <f t="shared" si="4"/>
        <v/>
      </c>
      <c r="F375" s="6" t="str">
        <f>IF($A375&lt;&gt;"",MAXIFS(#REF!,Token!$A:$A,$D375),)</f>
        <v/>
      </c>
    </row>
    <row r="376">
      <c r="A376" s="35" t="str">
        <f t="shared" si="1"/>
        <v/>
      </c>
      <c r="B376" s="22" t="str">
        <f t="shared" si="2"/>
        <v/>
      </c>
      <c r="C376" s="14" t="str">
        <f>IF($A376&lt;&gt;"",MINIFS(Merchant!$A:$A,Merchant!$B:$B,$G$2),)</f>
        <v/>
      </c>
      <c r="D376" s="14" t="str">
        <f t="shared" si="3"/>
        <v/>
      </c>
      <c r="E376" s="14" t="str">
        <f t="shared" si="4"/>
        <v/>
      </c>
      <c r="F376" s="6" t="str">
        <f>IF($A376&lt;&gt;"",MAXIFS(#REF!,Token!$A:$A,$D376),)</f>
        <v/>
      </c>
    </row>
    <row r="377">
      <c r="A377" s="35" t="str">
        <f t="shared" si="1"/>
        <v/>
      </c>
      <c r="B377" s="22" t="str">
        <f t="shared" si="2"/>
        <v/>
      </c>
      <c r="C377" s="14" t="str">
        <f>IF($A377&lt;&gt;"",MINIFS(Merchant!$A:$A,Merchant!$B:$B,$G$2),)</f>
        <v/>
      </c>
      <c r="D377" s="14" t="str">
        <f t="shared" si="3"/>
        <v/>
      </c>
      <c r="E377" s="14" t="str">
        <f t="shared" si="4"/>
        <v/>
      </c>
      <c r="F377" s="6" t="str">
        <f>IF($A377&lt;&gt;"",MAXIFS(#REF!,Token!$A:$A,$D377),)</f>
        <v/>
      </c>
    </row>
    <row r="378">
      <c r="A378" s="35" t="str">
        <f t="shared" si="1"/>
        <v/>
      </c>
      <c r="B378" s="22" t="str">
        <f t="shared" si="2"/>
        <v/>
      </c>
      <c r="C378" s="14" t="str">
        <f>IF($A378&lt;&gt;"",MINIFS(Merchant!$A:$A,Merchant!$B:$B,$G$2),)</f>
        <v/>
      </c>
      <c r="D378" s="14" t="str">
        <f t="shared" si="3"/>
        <v/>
      </c>
      <c r="E378" s="14" t="str">
        <f t="shared" si="4"/>
        <v/>
      </c>
      <c r="F378" s="6" t="str">
        <f>IF($A378&lt;&gt;"",MAXIFS(#REF!,Token!$A:$A,$D378),)</f>
        <v/>
      </c>
    </row>
    <row r="379">
      <c r="A379" s="35" t="str">
        <f t="shared" si="1"/>
        <v/>
      </c>
      <c r="B379" s="22" t="str">
        <f t="shared" si="2"/>
        <v/>
      </c>
      <c r="C379" s="14" t="str">
        <f>IF($A379&lt;&gt;"",MINIFS(Merchant!$A:$A,Merchant!$B:$B,$G$2),)</f>
        <v/>
      </c>
      <c r="D379" s="14" t="str">
        <f t="shared" si="3"/>
        <v/>
      </c>
      <c r="E379" s="14" t="str">
        <f t="shared" si="4"/>
        <v/>
      </c>
      <c r="F379" s="6" t="str">
        <f>IF($A379&lt;&gt;"",MAXIFS(#REF!,Token!$A:$A,$D379),)</f>
        <v/>
      </c>
    </row>
    <row r="380">
      <c r="A380" s="35" t="str">
        <f t="shared" si="1"/>
        <v/>
      </c>
      <c r="B380" s="22" t="str">
        <f t="shared" si="2"/>
        <v/>
      </c>
      <c r="C380" s="14" t="str">
        <f>IF($A380&lt;&gt;"",MINIFS(Merchant!$A:$A,Merchant!$B:$B,$G$2),)</f>
        <v/>
      </c>
      <c r="D380" s="14" t="str">
        <f t="shared" si="3"/>
        <v/>
      </c>
      <c r="E380" s="14" t="str">
        <f t="shared" si="4"/>
        <v/>
      </c>
      <c r="F380" s="6" t="str">
        <f>IF($A380&lt;&gt;"",MAXIFS(#REF!,Token!$A:$A,$D380),)</f>
        <v/>
      </c>
    </row>
    <row r="381">
      <c r="A381" s="35" t="str">
        <f t="shared" si="1"/>
        <v/>
      </c>
      <c r="B381" s="22" t="str">
        <f t="shared" si="2"/>
        <v/>
      </c>
      <c r="C381" s="14" t="str">
        <f>IF($A381&lt;&gt;"",MINIFS(Merchant!$A:$A,Merchant!$B:$B,$G$2),)</f>
        <v/>
      </c>
      <c r="D381" s="14" t="str">
        <f t="shared" si="3"/>
        <v/>
      </c>
      <c r="E381" s="14" t="str">
        <f t="shared" si="4"/>
        <v/>
      </c>
      <c r="F381" s="6" t="str">
        <f>IF($A381&lt;&gt;"",MAXIFS(#REF!,Token!$A:$A,$D381),)</f>
        <v/>
      </c>
    </row>
    <row r="382">
      <c r="A382" s="35" t="str">
        <f t="shared" si="1"/>
        <v/>
      </c>
      <c r="B382" s="22" t="str">
        <f t="shared" si="2"/>
        <v/>
      </c>
      <c r="C382" s="14" t="str">
        <f>IF($A382&lt;&gt;"",MINIFS(Merchant!$A:$A,Merchant!$B:$B,$G$2),)</f>
        <v/>
      </c>
      <c r="D382" s="14" t="str">
        <f t="shared" si="3"/>
        <v/>
      </c>
      <c r="E382" s="14" t="str">
        <f t="shared" si="4"/>
        <v/>
      </c>
      <c r="F382" s="6" t="str">
        <f>IF($A382&lt;&gt;"",MAXIFS(#REF!,Token!$A:$A,$D382),)</f>
        <v/>
      </c>
    </row>
    <row r="383">
      <c r="A383" s="35" t="str">
        <f t="shared" si="1"/>
        <v/>
      </c>
      <c r="B383" s="22" t="str">
        <f t="shared" si="2"/>
        <v/>
      </c>
      <c r="C383" s="14" t="str">
        <f>IF($A383&lt;&gt;"",MINIFS(Merchant!$A:$A,Merchant!$B:$B,$G$2),)</f>
        <v/>
      </c>
      <c r="D383" s="14" t="str">
        <f t="shared" si="3"/>
        <v/>
      </c>
      <c r="E383" s="14" t="str">
        <f t="shared" si="4"/>
        <v/>
      </c>
      <c r="F383" s="6" t="str">
        <f>IF($A383&lt;&gt;"",MAXIFS(#REF!,Token!$A:$A,$D383),)</f>
        <v/>
      </c>
    </row>
    <row r="384">
      <c r="A384" s="35" t="str">
        <f t="shared" si="1"/>
        <v/>
      </c>
      <c r="B384" s="22" t="str">
        <f t="shared" si="2"/>
        <v/>
      </c>
      <c r="C384" s="14" t="str">
        <f>IF($A384&lt;&gt;"",MINIFS(Merchant!$A:$A,Merchant!$B:$B,$G$2),)</f>
        <v/>
      </c>
      <c r="D384" s="14" t="str">
        <f t="shared" si="3"/>
        <v/>
      </c>
      <c r="E384" s="14" t="str">
        <f t="shared" si="4"/>
        <v/>
      </c>
      <c r="F384" s="6" t="str">
        <f>IF($A384&lt;&gt;"",MAXIFS(#REF!,Token!$A:$A,$D384),)</f>
        <v/>
      </c>
    </row>
    <row r="385">
      <c r="A385" s="35" t="str">
        <f t="shared" si="1"/>
        <v/>
      </c>
      <c r="B385" s="22" t="str">
        <f t="shared" si="2"/>
        <v/>
      </c>
      <c r="C385" s="14" t="str">
        <f>IF($A385&lt;&gt;"",MINIFS(Merchant!$A:$A,Merchant!$B:$B,$G$2),)</f>
        <v/>
      </c>
      <c r="D385" s="14" t="str">
        <f t="shared" si="3"/>
        <v/>
      </c>
      <c r="E385" s="14" t="str">
        <f t="shared" si="4"/>
        <v/>
      </c>
      <c r="F385" s="6" t="str">
        <f>IF($A385&lt;&gt;"",MAXIFS(#REF!,Token!$A:$A,$D385),)</f>
        <v/>
      </c>
    </row>
    <row r="386">
      <c r="A386" s="35" t="str">
        <f t="shared" si="1"/>
        <v/>
      </c>
      <c r="B386" s="22" t="str">
        <f t="shared" si="2"/>
        <v/>
      </c>
      <c r="C386" s="14" t="str">
        <f>IF($A386&lt;&gt;"",MINIFS(Merchant!$A:$A,Merchant!$B:$B,$G$2),)</f>
        <v/>
      </c>
      <c r="D386" s="14" t="str">
        <f t="shared" si="3"/>
        <v/>
      </c>
      <c r="E386" s="14" t="str">
        <f t="shared" si="4"/>
        <v/>
      </c>
      <c r="F386" s="6" t="str">
        <f>IF($A386&lt;&gt;"",MAXIFS(#REF!,Token!$A:$A,$D386),)</f>
        <v/>
      </c>
    </row>
    <row r="387">
      <c r="A387" s="35" t="str">
        <f t="shared" si="1"/>
        <v/>
      </c>
      <c r="B387" s="22" t="str">
        <f t="shared" si="2"/>
        <v/>
      </c>
      <c r="C387" s="14" t="str">
        <f>IF($A387&lt;&gt;"",MINIFS(Merchant!$A:$A,Merchant!$B:$B,$G$2),)</f>
        <v/>
      </c>
      <c r="D387" s="14" t="str">
        <f t="shared" si="3"/>
        <v/>
      </c>
      <c r="E387" s="14" t="str">
        <f t="shared" si="4"/>
        <v/>
      </c>
      <c r="F387" s="6" t="str">
        <f>IF($A387&lt;&gt;"",MAXIFS(#REF!,Token!$A:$A,$D387),)</f>
        <v/>
      </c>
    </row>
    <row r="388">
      <c r="A388" s="35" t="str">
        <f t="shared" si="1"/>
        <v/>
      </c>
      <c r="B388" s="22" t="str">
        <f t="shared" si="2"/>
        <v/>
      </c>
      <c r="C388" s="14" t="str">
        <f>IF($A388&lt;&gt;"",MINIFS(Merchant!$A:$A,Merchant!$B:$B,$G$2),)</f>
        <v/>
      </c>
      <c r="D388" s="14" t="str">
        <f t="shared" si="3"/>
        <v/>
      </c>
      <c r="E388" s="14" t="str">
        <f t="shared" si="4"/>
        <v/>
      </c>
      <c r="F388" s="6" t="str">
        <f>IF($A388&lt;&gt;"",MAXIFS(#REF!,Token!$A:$A,$D388),)</f>
        <v/>
      </c>
    </row>
    <row r="389">
      <c r="A389" s="35" t="str">
        <f t="shared" si="1"/>
        <v/>
      </c>
      <c r="B389" s="22" t="str">
        <f t="shared" si="2"/>
        <v/>
      </c>
      <c r="C389" s="14" t="str">
        <f>IF($A389&lt;&gt;"",MINIFS(Merchant!$A:$A,Merchant!$B:$B,$G$2),)</f>
        <v/>
      </c>
      <c r="D389" s="14" t="str">
        <f t="shared" si="3"/>
        <v/>
      </c>
      <c r="E389" s="14" t="str">
        <f t="shared" si="4"/>
        <v/>
      </c>
      <c r="F389" s="6" t="str">
        <f>IF($A389&lt;&gt;"",MAXIFS(#REF!,Token!$A:$A,$D389),)</f>
        <v/>
      </c>
    </row>
    <row r="390">
      <c r="A390" s="35" t="str">
        <f t="shared" si="1"/>
        <v/>
      </c>
      <c r="B390" s="22" t="str">
        <f t="shared" si="2"/>
        <v/>
      </c>
      <c r="C390" s="14" t="str">
        <f>IF($A390&lt;&gt;"",MINIFS(Merchant!$A:$A,Merchant!$B:$B,$G$2),)</f>
        <v/>
      </c>
      <c r="D390" s="14" t="str">
        <f t="shared" si="3"/>
        <v/>
      </c>
      <c r="E390" s="14" t="str">
        <f t="shared" si="4"/>
        <v/>
      </c>
      <c r="F390" s="6" t="str">
        <f>IF($A390&lt;&gt;"",MAXIFS(#REF!,Token!$A:$A,$D390),)</f>
        <v/>
      </c>
    </row>
    <row r="391">
      <c r="A391" s="35" t="str">
        <f t="shared" si="1"/>
        <v/>
      </c>
      <c r="B391" s="22" t="str">
        <f t="shared" si="2"/>
        <v/>
      </c>
      <c r="C391" s="14" t="str">
        <f>IF($A391&lt;&gt;"",MINIFS(Merchant!$A:$A,Merchant!$B:$B,$G$2),)</f>
        <v/>
      </c>
      <c r="D391" s="14" t="str">
        <f t="shared" si="3"/>
        <v/>
      </c>
      <c r="E391" s="14" t="str">
        <f t="shared" si="4"/>
        <v/>
      </c>
      <c r="F391" s="6" t="str">
        <f>IF($A391&lt;&gt;"",MAXIFS(#REF!,Token!$A:$A,$D391),)</f>
        <v/>
      </c>
    </row>
    <row r="392">
      <c r="A392" s="35" t="str">
        <f t="shared" si="1"/>
        <v/>
      </c>
      <c r="B392" s="22" t="str">
        <f t="shared" si="2"/>
        <v/>
      </c>
      <c r="C392" s="14" t="str">
        <f>IF($A392&lt;&gt;"",MINIFS(Merchant!$A:$A,Merchant!$B:$B,$G$2),)</f>
        <v/>
      </c>
      <c r="D392" s="14" t="str">
        <f t="shared" si="3"/>
        <v/>
      </c>
      <c r="E392" s="14" t="str">
        <f t="shared" si="4"/>
        <v/>
      </c>
      <c r="F392" s="6" t="str">
        <f>IF($A392&lt;&gt;"",MAXIFS(#REF!,Token!$A:$A,$D392),)</f>
        <v/>
      </c>
    </row>
    <row r="393">
      <c r="A393" s="35" t="str">
        <f t="shared" si="1"/>
        <v/>
      </c>
      <c r="B393" s="22" t="str">
        <f t="shared" si="2"/>
        <v/>
      </c>
      <c r="C393" s="14" t="str">
        <f>IF($A393&lt;&gt;"",MINIFS(Merchant!$A:$A,Merchant!$B:$B,$G$2),)</f>
        <v/>
      </c>
      <c r="D393" s="14" t="str">
        <f t="shared" si="3"/>
        <v/>
      </c>
      <c r="E393" s="14" t="str">
        <f t="shared" si="4"/>
        <v/>
      </c>
      <c r="F393" s="6" t="str">
        <f>IF($A393&lt;&gt;"",MAXIFS(#REF!,Token!$A:$A,$D393),)</f>
        <v/>
      </c>
    </row>
    <row r="394">
      <c r="A394" s="35" t="str">
        <f t="shared" si="1"/>
        <v/>
      </c>
      <c r="B394" s="22" t="str">
        <f t="shared" si="2"/>
        <v/>
      </c>
      <c r="C394" s="14" t="str">
        <f>IF($A394&lt;&gt;"",MINIFS(Merchant!$A:$A,Merchant!$B:$B,$G$2),)</f>
        <v/>
      </c>
      <c r="D394" s="14" t="str">
        <f t="shared" si="3"/>
        <v/>
      </c>
      <c r="E394" s="14" t="str">
        <f t="shared" si="4"/>
        <v/>
      </c>
      <c r="F394" s="6" t="str">
        <f>IF($A394&lt;&gt;"",MAXIFS(#REF!,Token!$A:$A,$D394),)</f>
        <v/>
      </c>
    </row>
    <row r="395">
      <c r="A395" s="35" t="str">
        <f t="shared" si="1"/>
        <v/>
      </c>
      <c r="B395" s="22" t="str">
        <f t="shared" si="2"/>
        <v/>
      </c>
      <c r="C395" s="14" t="str">
        <f>IF($A395&lt;&gt;"",MINIFS(Merchant!$A:$A,Merchant!$B:$B,$G$2),)</f>
        <v/>
      </c>
      <c r="D395" s="14" t="str">
        <f t="shared" si="3"/>
        <v/>
      </c>
      <c r="E395" s="14" t="str">
        <f t="shared" si="4"/>
        <v/>
      </c>
      <c r="F395" s="6" t="str">
        <f>IF($A395&lt;&gt;"",MAXIFS(#REF!,Token!$A:$A,$D395),)</f>
        <v/>
      </c>
    </row>
    <row r="396">
      <c r="A396" s="35" t="str">
        <f t="shared" si="1"/>
        <v/>
      </c>
      <c r="B396" s="22" t="str">
        <f t="shared" si="2"/>
        <v/>
      </c>
      <c r="C396" s="14" t="str">
        <f>IF($A396&lt;&gt;"",MINIFS(Merchant!$A:$A,Merchant!$B:$B,$G$2),)</f>
        <v/>
      </c>
      <c r="D396" s="14" t="str">
        <f t="shared" si="3"/>
        <v/>
      </c>
      <c r="E396" s="14" t="str">
        <f t="shared" si="4"/>
        <v/>
      </c>
      <c r="F396" s="6" t="str">
        <f>IF($A396&lt;&gt;"",MAXIFS(#REF!,Token!$A:$A,$D396),)</f>
        <v/>
      </c>
    </row>
    <row r="397">
      <c r="A397" s="35" t="str">
        <f t="shared" si="1"/>
        <v/>
      </c>
      <c r="B397" s="22" t="str">
        <f t="shared" si="2"/>
        <v/>
      </c>
      <c r="C397" s="14" t="str">
        <f>IF($A397&lt;&gt;"",MINIFS(Merchant!$A:$A,Merchant!$B:$B,$G$2),)</f>
        <v/>
      </c>
      <c r="D397" s="14" t="str">
        <f t="shared" si="3"/>
        <v/>
      </c>
      <c r="E397" s="14" t="str">
        <f t="shared" si="4"/>
        <v/>
      </c>
      <c r="F397" s="6" t="str">
        <f>IF($A397&lt;&gt;"",MAXIFS(#REF!,Token!$A:$A,$D397),)</f>
        <v/>
      </c>
    </row>
    <row r="398">
      <c r="A398" s="35" t="str">
        <f t="shared" si="1"/>
        <v/>
      </c>
      <c r="B398" s="22" t="str">
        <f t="shared" si="2"/>
        <v/>
      </c>
      <c r="C398" s="14" t="str">
        <f>IF($A398&lt;&gt;"",MINIFS(Merchant!$A:$A,Merchant!$B:$B,$G$2),)</f>
        <v/>
      </c>
      <c r="D398" s="14" t="str">
        <f t="shared" si="3"/>
        <v/>
      </c>
      <c r="E398" s="14" t="str">
        <f t="shared" si="4"/>
        <v/>
      </c>
      <c r="F398" s="6" t="str">
        <f>IF($A398&lt;&gt;"",MAXIFS(#REF!,Token!$A:$A,$D398),)</f>
        <v/>
      </c>
    </row>
    <row r="399">
      <c r="A399" s="35" t="str">
        <f t="shared" si="1"/>
        <v/>
      </c>
      <c r="B399" s="22" t="str">
        <f t="shared" si="2"/>
        <v/>
      </c>
      <c r="C399" s="14" t="str">
        <f>IF($A399&lt;&gt;"",MINIFS(Merchant!$A:$A,Merchant!$B:$B,$G$2),)</f>
        <v/>
      </c>
      <c r="D399" s="14" t="str">
        <f t="shared" si="3"/>
        <v/>
      </c>
      <c r="E399" s="14" t="str">
        <f t="shared" si="4"/>
        <v/>
      </c>
      <c r="F399" s="6" t="str">
        <f>IF($A399&lt;&gt;"",MAXIFS(#REF!,Token!$A:$A,$D399),)</f>
        <v/>
      </c>
    </row>
    <row r="400">
      <c r="A400" s="35" t="str">
        <f t="shared" si="1"/>
        <v/>
      </c>
      <c r="B400" s="22" t="str">
        <f t="shared" si="2"/>
        <v/>
      </c>
      <c r="C400" s="14" t="str">
        <f>IF($A400&lt;&gt;"",MINIFS(Merchant!$A:$A,Merchant!$B:$B,$G$2),)</f>
        <v/>
      </c>
      <c r="D400" s="14" t="str">
        <f t="shared" si="3"/>
        <v/>
      </c>
      <c r="E400" s="14" t="str">
        <f t="shared" si="4"/>
        <v/>
      </c>
      <c r="F400" s="6" t="str">
        <f>IF($A400&lt;&gt;"",MAXIFS(#REF!,Token!$A:$A,$D400),)</f>
        <v/>
      </c>
    </row>
    <row r="401">
      <c r="A401" s="35" t="str">
        <f t="shared" si="1"/>
        <v/>
      </c>
      <c r="B401" s="22" t="str">
        <f t="shared" si="2"/>
        <v/>
      </c>
      <c r="C401" s="14" t="str">
        <f>IF($A401&lt;&gt;"",MINIFS(Merchant!$A:$A,Merchant!$B:$B,$G$2),)</f>
        <v/>
      </c>
      <c r="D401" s="14" t="str">
        <f t="shared" si="3"/>
        <v/>
      </c>
      <c r="E401" s="14" t="str">
        <f t="shared" si="4"/>
        <v/>
      </c>
      <c r="F401" s="6" t="str">
        <f>IF($A401&lt;&gt;"",MAXIFS(#REF!,Token!$A:$A,$D401),)</f>
        <v/>
      </c>
    </row>
    <row r="402">
      <c r="A402" s="35" t="str">
        <f t="shared" si="1"/>
        <v/>
      </c>
      <c r="B402" s="22" t="str">
        <f t="shared" si="2"/>
        <v/>
      </c>
      <c r="C402" s="14" t="str">
        <f>IF($A402&lt;&gt;"",MINIFS(Merchant!$A:$A,Merchant!$B:$B,$G$2),)</f>
        <v/>
      </c>
      <c r="D402" s="14" t="str">
        <f t="shared" si="3"/>
        <v/>
      </c>
      <c r="E402" s="14" t="str">
        <f t="shared" si="4"/>
        <v/>
      </c>
      <c r="F402" s="6" t="str">
        <f>IF($A402&lt;&gt;"",MAXIFS(#REF!,Token!$A:$A,$D402),)</f>
        <v/>
      </c>
    </row>
    <row r="403">
      <c r="A403" s="35" t="str">
        <f t="shared" si="1"/>
        <v/>
      </c>
      <c r="B403" s="22" t="str">
        <f t="shared" si="2"/>
        <v/>
      </c>
      <c r="C403" s="14" t="str">
        <f>IF($A403&lt;&gt;"",MINIFS(Merchant!$A:$A,Merchant!$B:$B,$G$2),)</f>
        <v/>
      </c>
      <c r="D403" s="14" t="str">
        <f t="shared" si="3"/>
        <v/>
      </c>
      <c r="E403" s="14" t="str">
        <f t="shared" si="4"/>
        <v/>
      </c>
      <c r="F403" s="6" t="str">
        <f>IF($A403&lt;&gt;"",MAXIFS(#REF!,Token!$A:$A,$D403),)</f>
        <v/>
      </c>
    </row>
    <row r="404">
      <c r="A404" s="35" t="str">
        <f t="shared" si="1"/>
        <v/>
      </c>
      <c r="B404" s="22" t="str">
        <f t="shared" si="2"/>
        <v/>
      </c>
      <c r="C404" s="14" t="str">
        <f>IF($A404&lt;&gt;"",MINIFS(Merchant!$A:$A,Merchant!$B:$B,$G$2),)</f>
        <v/>
      </c>
      <c r="D404" s="14" t="str">
        <f t="shared" si="3"/>
        <v/>
      </c>
      <c r="E404" s="14" t="str">
        <f t="shared" si="4"/>
        <v/>
      </c>
      <c r="F404" s="6" t="str">
        <f>IF($A404&lt;&gt;"",MAXIFS(#REF!,Token!$A:$A,$D404),)</f>
        <v/>
      </c>
    </row>
    <row r="405">
      <c r="A405" s="35" t="str">
        <f t="shared" si="1"/>
        <v/>
      </c>
      <c r="B405" s="22" t="str">
        <f t="shared" si="2"/>
        <v/>
      </c>
      <c r="C405" s="14" t="str">
        <f>IF($A405&lt;&gt;"",MINIFS(Merchant!$A:$A,Merchant!$B:$B,$G$2),)</f>
        <v/>
      </c>
      <c r="D405" s="14" t="str">
        <f t="shared" si="3"/>
        <v/>
      </c>
      <c r="E405" s="14" t="str">
        <f t="shared" si="4"/>
        <v/>
      </c>
      <c r="F405" s="6" t="str">
        <f>IF($A405&lt;&gt;"",MAXIFS(#REF!,Token!$A:$A,$D405),)</f>
        <v/>
      </c>
    </row>
    <row r="406">
      <c r="A406" s="35" t="str">
        <f t="shared" si="1"/>
        <v/>
      </c>
      <c r="B406" s="22" t="str">
        <f t="shared" si="2"/>
        <v/>
      </c>
      <c r="C406" s="14" t="str">
        <f>IF($A406&lt;&gt;"",MINIFS(Merchant!$A:$A,Merchant!$B:$B,$G$2),)</f>
        <v/>
      </c>
      <c r="D406" s="14" t="str">
        <f t="shared" si="3"/>
        <v/>
      </c>
      <c r="E406" s="14" t="str">
        <f t="shared" si="4"/>
        <v/>
      </c>
      <c r="F406" s="6" t="str">
        <f>IF($A406&lt;&gt;"",MAXIFS(#REF!,Token!$A:$A,$D406),)</f>
        <v/>
      </c>
    </row>
    <row r="407">
      <c r="A407" s="35" t="str">
        <f t="shared" si="1"/>
        <v/>
      </c>
      <c r="B407" s="22" t="str">
        <f t="shared" si="2"/>
        <v/>
      </c>
      <c r="C407" s="14" t="str">
        <f>IF($A407&lt;&gt;"",MINIFS(Merchant!$A:$A,Merchant!$B:$B,$G$2),)</f>
        <v/>
      </c>
      <c r="D407" s="14" t="str">
        <f t="shared" si="3"/>
        <v/>
      </c>
      <c r="E407" s="14" t="str">
        <f t="shared" si="4"/>
        <v/>
      </c>
      <c r="F407" s="6" t="str">
        <f>IF($A407&lt;&gt;"",MAXIFS(#REF!,Token!$A:$A,$D407),)</f>
        <v/>
      </c>
    </row>
    <row r="408">
      <c r="A408" s="35" t="str">
        <f t="shared" si="1"/>
        <v/>
      </c>
      <c r="B408" s="22" t="str">
        <f t="shared" si="2"/>
        <v/>
      </c>
      <c r="C408" s="14" t="str">
        <f>IF($A408&lt;&gt;"",MINIFS(Merchant!$A:$A,Merchant!$B:$B,$G$2),)</f>
        <v/>
      </c>
      <c r="D408" s="14" t="str">
        <f t="shared" si="3"/>
        <v/>
      </c>
      <c r="E408" s="14" t="str">
        <f t="shared" si="4"/>
        <v/>
      </c>
      <c r="F408" s="6" t="str">
        <f>IF($A408&lt;&gt;"",MAXIFS(#REF!,Token!$A:$A,$D408),)</f>
        <v/>
      </c>
    </row>
    <row r="409">
      <c r="A409" s="35" t="str">
        <f t="shared" si="1"/>
        <v/>
      </c>
      <c r="B409" s="22" t="str">
        <f t="shared" si="2"/>
        <v/>
      </c>
      <c r="C409" s="14" t="str">
        <f>IF($A409&lt;&gt;"",MINIFS(Merchant!$A:$A,Merchant!$B:$B,$G$2),)</f>
        <v/>
      </c>
      <c r="D409" s="14" t="str">
        <f t="shared" si="3"/>
        <v/>
      </c>
      <c r="E409" s="14" t="str">
        <f t="shared" si="4"/>
        <v/>
      </c>
      <c r="F409" s="6" t="str">
        <f>IF($A409&lt;&gt;"",MAXIFS(#REF!,Token!$A:$A,$D409),)</f>
        <v/>
      </c>
    </row>
    <row r="410">
      <c r="A410" s="35" t="str">
        <f t="shared" si="1"/>
        <v/>
      </c>
      <c r="B410" s="22" t="str">
        <f t="shared" si="2"/>
        <v/>
      </c>
      <c r="C410" s="14" t="str">
        <f>IF($A410&lt;&gt;"",MINIFS(Merchant!$A:$A,Merchant!$B:$B,$G$2),)</f>
        <v/>
      </c>
      <c r="D410" s="14" t="str">
        <f t="shared" si="3"/>
        <v/>
      </c>
      <c r="E410" s="14" t="str">
        <f t="shared" si="4"/>
        <v/>
      </c>
      <c r="F410" s="6" t="str">
        <f>IF($A410&lt;&gt;"",MAXIFS(#REF!,Token!$A:$A,$D410),)</f>
        <v/>
      </c>
    </row>
    <row r="411">
      <c r="A411" s="35" t="str">
        <f t="shared" si="1"/>
        <v/>
      </c>
      <c r="B411" s="22" t="str">
        <f t="shared" si="2"/>
        <v/>
      </c>
      <c r="C411" s="14" t="str">
        <f>IF($A411&lt;&gt;"",MINIFS(Merchant!$A:$A,Merchant!$B:$B,$G$2),)</f>
        <v/>
      </c>
      <c r="D411" s="14" t="str">
        <f t="shared" si="3"/>
        <v/>
      </c>
      <c r="E411" s="14" t="str">
        <f t="shared" si="4"/>
        <v/>
      </c>
      <c r="F411" s="6" t="str">
        <f>IF($A411&lt;&gt;"",MAXIFS(#REF!,Token!$A:$A,$D411),)</f>
        <v/>
      </c>
    </row>
    <row r="412">
      <c r="A412" s="35" t="str">
        <f t="shared" si="1"/>
        <v/>
      </c>
      <c r="B412" s="22" t="str">
        <f t="shared" si="2"/>
        <v/>
      </c>
      <c r="C412" s="14" t="str">
        <f>IF($A412&lt;&gt;"",MINIFS(Merchant!$A:$A,Merchant!$B:$B,$G$2),)</f>
        <v/>
      </c>
      <c r="D412" s="14" t="str">
        <f t="shared" si="3"/>
        <v/>
      </c>
      <c r="E412" s="14" t="str">
        <f t="shared" si="4"/>
        <v/>
      </c>
      <c r="F412" s="6" t="str">
        <f>IF($A412&lt;&gt;"",MAXIFS(#REF!,Token!$A:$A,$D412),)</f>
        <v/>
      </c>
    </row>
    <row r="413">
      <c r="A413" s="35" t="str">
        <f t="shared" si="1"/>
        <v/>
      </c>
      <c r="B413" s="22" t="str">
        <f t="shared" si="2"/>
        <v/>
      </c>
      <c r="C413" s="14" t="str">
        <f>IF($A413&lt;&gt;"",MINIFS(Merchant!$A:$A,Merchant!$B:$B,$G$2),)</f>
        <v/>
      </c>
      <c r="D413" s="14" t="str">
        <f t="shared" si="3"/>
        <v/>
      </c>
      <c r="E413" s="14" t="str">
        <f t="shared" si="4"/>
        <v/>
      </c>
      <c r="F413" s="6" t="str">
        <f>IF($A413&lt;&gt;"",MAXIFS(#REF!,Token!$A:$A,$D413),)</f>
        <v/>
      </c>
    </row>
    <row r="414">
      <c r="A414" s="35" t="str">
        <f t="shared" si="1"/>
        <v/>
      </c>
      <c r="B414" s="22" t="str">
        <f t="shared" si="2"/>
        <v/>
      </c>
      <c r="C414" s="14" t="str">
        <f>IF($A414&lt;&gt;"",MINIFS(Merchant!$A:$A,Merchant!$B:$B,$G$2),)</f>
        <v/>
      </c>
      <c r="D414" s="14" t="str">
        <f t="shared" si="3"/>
        <v/>
      </c>
      <c r="E414" s="14" t="str">
        <f t="shared" si="4"/>
        <v/>
      </c>
      <c r="F414" s="6" t="str">
        <f>IF($A414&lt;&gt;"",MAXIFS(#REF!,Token!$A:$A,$D414),)</f>
        <v/>
      </c>
    </row>
    <row r="415">
      <c r="A415" s="35" t="str">
        <f t="shared" si="1"/>
        <v/>
      </c>
      <c r="B415" s="22" t="str">
        <f t="shared" si="2"/>
        <v/>
      </c>
      <c r="C415" s="14" t="str">
        <f>IF($A415&lt;&gt;"",MINIFS(Merchant!$A:$A,Merchant!$B:$B,$G$2),)</f>
        <v/>
      </c>
      <c r="D415" s="14" t="str">
        <f t="shared" si="3"/>
        <v/>
      </c>
      <c r="E415" s="14" t="str">
        <f t="shared" si="4"/>
        <v/>
      </c>
      <c r="F415" s="6" t="str">
        <f>IF($A415&lt;&gt;"",MAXIFS(#REF!,Token!$A:$A,$D415),)</f>
        <v/>
      </c>
    </row>
    <row r="416">
      <c r="A416" s="35" t="str">
        <f t="shared" si="1"/>
        <v/>
      </c>
      <c r="B416" s="22" t="str">
        <f t="shared" si="2"/>
        <v/>
      </c>
      <c r="C416" s="14" t="str">
        <f>IF($A416&lt;&gt;"",MINIFS(Merchant!$A:$A,Merchant!$B:$B,$G$2),)</f>
        <v/>
      </c>
      <c r="D416" s="14" t="str">
        <f t="shared" si="3"/>
        <v/>
      </c>
      <c r="E416" s="14" t="str">
        <f t="shared" si="4"/>
        <v/>
      </c>
      <c r="F416" s="6" t="str">
        <f>IF($A416&lt;&gt;"",MAXIFS(#REF!,Token!$A:$A,$D416),)</f>
        <v/>
      </c>
    </row>
    <row r="417">
      <c r="A417" s="35" t="str">
        <f t="shared" si="1"/>
        <v/>
      </c>
      <c r="B417" s="22" t="str">
        <f t="shared" si="2"/>
        <v/>
      </c>
      <c r="C417" s="14" t="str">
        <f>IF($A417&lt;&gt;"",MINIFS(Merchant!$A:$A,Merchant!$B:$B,$G$2),)</f>
        <v/>
      </c>
      <c r="D417" s="14" t="str">
        <f t="shared" si="3"/>
        <v/>
      </c>
      <c r="E417" s="14" t="str">
        <f t="shared" si="4"/>
        <v/>
      </c>
      <c r="F417" s="6" t="str">
        <f>IF($A417&lt;&gt;"",MAXIFS(#REF!,Token!$A:$A,$D417),)</f>
        <v/>
      </c>
    </row>
    <row r="418">
      <c r="A418" s="35" t="str">
        <f t="shared" si="1"/>
        <v/>
      </c>
      <c r="B418" s="22" t="str">
        <f t="shared" si="2"/>
        <v/>
      </c>
      <c r="C418" s="14" t="str">
        <f>IF($A418&lt;&gt;"",MINIFS(Merchant!$A:$A,Merchant!$B:$B,$G$2),)</f>
        <v/>
      </c>
      <c r="D418" s="14" t="str">
        <f t="shared" si="3"/>
        <v/>
      </c>
      <c r="E418" s="14" t="str">
        <f t="shared" si="4"/>
        <v/>
      </c>
      <c r="F418" s="6" t="str">
        <f>IF($A418&lt;&gt;"",MAXIFS(#REF!,Token!$A:$A,$D418),)</f>
        <v/>
      </c>
    </row>
    <row r="419">
      <c r="A419" s="35" t="str">
        <f t="shared" si="1"/>
        <v/>
      </c>
      <c r="B419" s="22" t="str">
        <f t="shared" si="2"/>
        <v/>
      </c>
      <c r="C419" s="14" t="str">
        <f>IF($A419&lt;&gt;"",MINIFS(Merchant!$A:$A,Merchant!$B:$B,$G$2),)</f>
        <v/>
      </c>
      <c r="D419" s="14" t="str">
        <f t="shared" si="3"/>
        <v/>
      </c>
      <c r="E419" s="14" t="str">
        <f t="shared" si="4"/>
        <v/>
      </c>
      <c r="F419" s="6" t="str">
        <f>IF($A419&lt;&gt;"",MAXIFS(#REF!,Token!$A:$A,$D419),)</f>
        <v/>
      </c>
    </row>
    <row r="420">
      <c r="A420" s="35" t="str">
        <f t="shared" si="1"/>
        <v/>
      </c>
      <c r="B420" s="22" t="str">
        <f t="shared" si="2"/>
        <v/>
      </c>
      <c r="C420" s="14" t="str">
        <f>IF($A420&lt;&gt;"",MINIFS(Merchant!$A:$A,Merchant!$B:$B,$G$2),)</f>
        <v/>
      </c>
      <c r="D420" s="14" t="str">
        <f t="shared" si="3"/>
        <v/>
      </c>
      <c r="E420" s="14" t="str">
        <f t="shared" si="4"/>
        <v/>
      </c>
      <c r="F420" s="6" t="str">
        <f>IF($A420&lt;&gt;"",MAXIFS(#REF!,Token!$A:$A,$D420),)</f>
        <v/>
      </c>
    </row>
    <row r="421">
      <c r="A421" s="35" t="str">
        <f t="shared" si="1"/>
        <v/>
      </c>
      <c r="B421" s="22" t="str">
        <f t="shared" si="2"/>
        <v/>
      </c>
      <c r="C421" s="14" t="str">
        <f>IF($A421&lt;&gt;"",MINIFS(Merchant!$A:$A,Merchant!$B:$B,$G$2),)</f>
        <v/>
      </c>
      <c r="D421" s="14" t="str">
        <f t="shared" si="3"/>
        <v/>
      </c>
      <c r="E421" s="14" t="str">
        <f t="shared" si="4"/>
        <v/>
      </c>
      <c r="F421" s="6" t="str">
        <f>IF($A421&lt;&gt;"",MAXIFS(#REF!,Token!$A:$A,$D421),)</f>
        <v/>
      </c>
    </row>
    <row r="422">
      <c r="A422" s="35" t="str">
        <f t="shared" si="1"/>
        <v/>
      </c>
      <c r="B422" s="22" t="str">
        <f t="shared" si="2"/>
        <v/>
      </c>
      <c r="C422" s="14" t="str">
        <f>IF($A422&lt;&gt;"",MINIFS(Merchant!$A:$A,Merchant!$B:$B,$G$2),)</f>
        <v/>
      </c>
      <c r="D422" s="14" t="str">
        <f t="shared" si="3"/>
        <v/>
      </c>
      <c r="E422" s="14" t="str">
        <f t="shared" si="4"/>
        <v/>
      </c>
      <c r="F422" s="6" t="str">
        <f>IF($A422&lt;&gt;"",MAXIFS(#REF!,Token!$A:$A,$D422),)</f>
        <v/>
      </c>
    </row>
    <row r="423">
      <c r="A423" s="35" t="str">
        <f t="shared" si="1"/>
        <v/>
      </c>
      <c r="B423" s="22" t="str">
        <f t="shared" si="2"/>
        <v/>
      </c>
      <c r="C423" s="14" t="str">
        <f>IF($A423&lt;&gt;"",MINIFS(Merchant!$A:$A,Merchant!$B:$B,$G$2),)</f>
        <v/>
      </c>
      <c r="D423" s="14" t="str">
        <f t="shared" si="3"/>
        <v/>
      </c>
      <c r="E423" s="14" t="str">
        <f t="shared" si="4"/>
        <v/>
      </c>
      <c r="F423" s="6" t="str">
        <f>IF($A423&lt;&gt;"",MAXIFS(#REF!,Token!$A:$A,$D423),)</f>
        <v/>
      </c>
    </row>
    <row r="424">
      <c r="A424" s="35" t="str">
        <f t="shared" si="1"/>
        <v/>
      </c>
      <c r="B424" s="22" t="str">
        <f t="shared" si="2"/>
        <v/>
      </c>
      <c r="C424" s="14" t="str">
        <f>IF($A424&lt;&gt;"",MINIFS(Merchant!$A:$A,Merchant!$B:$B,$G$2),)</f>
        <v/>
      </c>
      <c r="D424" s="14" t="str">
        <f t="shared" si="3"/>
        <v/>
      </c>
      <c r="E424" s="14" t="str">
        <f t="shared" si="4"/>
        <v/>
      </c>
      <c r="F424" s="6" t="str">
        <f>IF($A424&lt;&gt;"",MAXIFS(#REF!,Token!$A:$A,$D424),)</f>
        <v/>
      </c>
    </row>
    <row r="425">
      <c r="A425" s="35" t="str">
        <f t="shared" si="1"/>
        <v/>
      </c>
      <c r="B425" s="22" t="str">
        <f t="shared" si="2"/>
        <v/>
      </c>
      <c r="C425" s="14" t="str">
        <f>IF($A425&lt;&gt;"",MINIFS(Merchant!$A:$A,Merchant!$B:$B,$G$2),)</f>
        <v/>
      </c>
      <c r="D425" s="14" t="str">
        <f t="shared" si="3"/>
        <v/>
      </c>
      <c r="E425" s="14" t="str">
        <f t="shared" si="4"/>
        <v/>
      </c>
      <c r="F425" s="6" t="str">
        <f>IF($A425&lt;&gt;"",MAXIFS(#REF!,Token!$A:$A,$D425),)</f>
        <v/>
      </c>
    </row>
    <row r="426">
      <c r="A426" s="35" t="str">
        <f t="shared" si="1"/>
        <v/>
      </c>
      <c r="B426" s="22" t="str">
        <f t="shared" si="2"/>
        <v/>
      </c>
      <c r="C426" s="14" t="str">
        <f>IF($A426&lt;&gt;"",MINIFS(Merchant!$A:$A,Merchant!$B:$B,$G$2),)</f>
        <v/>
      </c>
      <c r="D426" s="14" t="str">
        <f t="shared" si="3"/>
        <v/>
      </c>
      <c r="E426" s="14" t="str">
        <f t="shared" si="4"/>
        <v/>
      </c>
      <c r="F426" s="6" t="str">
        <f>IF($A426&lt;&gt;"",MAXIFS(#REF!,Token!$A:$A,$D426),)</f>
        <v/>
      </c>
    </row>
    <row r="427">
      <c r="A427" s="35" t="str">
        <f t="shared" si="1"/>
        <v/>
      </c>
      <c r="B427" s="22" t="str">
        <f t="shared" si="2"/>
        <v/>
      </c>
      <c r="C427" s="14" t="str">
        <f>IF($A427&lt;&gt;"",MINIFS(Merchant!$A:$A,Merchant!$B:$B,$G$2),)</f>
        <v/>
      </c>
      <c r="D427" s="14" t="str">
        <f t="shared" si="3"/>
        <v/>
      </c>
      <c r="E427" s="14" t="str">
        <f t="shared" si="4"/>
        <v/>
      </c>
      <c r="F427" s="6" t="str">
        <f>IF($A427&lt;&gt;"",MAXIFS(#REF!,Token!$A:$A,$D427),)</f>
        <v/>
      </c>
    </row>
    <row r="428">
      <c r="A428" s="35" t="str">
        <f t="shared" si="1"/>
        <v/>
      </c>
      <c r="B428" s="22" t="str">
        <f t="shared" si="2"/>
        <v/>
      </c>
      <c r="C428" s="14" t="str">
        <f>IF($A428&lt;&gt;"",MINIFS(Merchant!$A:$A,Merchant!$B:$B,$G$2),)</f>
        <v/>
      </c>
      <c r="D428" s="14" t="str">
        <f t="shared" si="3"/>
        <v/>
      </c>
      <c r="E428" s="14" t="str">
        <f t="shared" si="4"/>
        <v/>
      </c>
      <c r="F428" s="6" t="str">
        <f>IF($A428&lt;&gt;"",MAXIFS(#REF!,Token!$A:$A,$D428),)</f>
        <v/>
      </c>
    </row>
    <row r="429">
      <c r="A429" s="35" t="str">
        <f t="shared" si="1"/>
        <v/>
      </c>
      <c r="B429" s="22" t="str">
        <f t="shared" si="2"/>
        <v/>
      </c>
      <c r="C429" s="14" t="str">
        <f>IF($A429&lt;&gt;"",MINIFS(Merchant!$A:$A,Merchant!$B:$B,$G$2),)</f>
        <v/>
      </c>
      <c r="D429" s="14" t="str">
        <f t="shared" si="3"/>
        <v/>
      </c>
      <c r="E429" s="14" t="str">
        <f t="shared" si="4"/>
        <v/>
      </c>
      <c r="F429" s="6" t="str">
        <f>IF($A429&lt;&gt;"",MAXIFS(#REF!,Token!$A:$A,$D429),)</f>
        <v/>
      </c>
    </row>
    <row r="430">
      <c r="A430" s="35" t="str">
        <f t="shared" si="1"/>
        <v/>
      </c>
      <c r="B430" s="22" t="str">
        <f t="shared" si="2"/>
        <v/>
      </c>
      <c r="C430" s="14" t="str">
        <f>IF($A430&lt;&gt;"",MINIFS(Merchant!$A:$A,Merchant!$B:$B,$G$2),)</f>
        <v/>
      </c>
      <c r="D430" s="14" t="str">
        <f t="shared" si="3"/>
        <v/>
      </c>
      <c r="E430" s="14" t="str">
        <f t="shared" si="4"/>
        <v/>
      </c>
      <c r="F430" s="6" t="str">
        <f>IF($A430&lt;&gt;"",MAXIFS(#REF!,Token!$A:$A,$D430),)</f>
        <v/>
      </c>
    </row>
    <row r="431">
      <c r="A431" s="35" t="str">
        <f t="shared" si="1"/>
        <v/>
      </c>
      <c r="B431" s="22" t="str">
        <f t="shared" si="2"/>
        <v/>
      </c>
      <c r="C431" s="14" t="str">
        <f>IF($A431&lt;&gt;"",MINIFS(Merchant!$A:$A,Merchant!$B:$B,$G$2),)</f>
        <v/>
      </c>
      <c r="D431" s="14" t="str">
        <f t="shared" si="3"/>
        <v/>
      </c>
      <c r="E431" s="14" t="str">
        <f t="shared" si="4"/>
        <v/>
      </c>
      <c r="F431" s="6" t="str">
        <f>IF($A431&lt;&gt;"",MAXIFS(#REF!,Token!$A:$A,$D431),)</f>
        <v/>
      </c>
    </row>
    <row r="432">
      <c r="A432" s="35" t="str">
        <f t="shared" si="1"/>
        <v/>
      </c>
      <c r="B432" s="22" t="str">
        <f t="shared" si="2"/>
        <v/>
      </c>
      <c r="C432" s="14" t="str">
        <f>IF($A432&lt;&gt;"",MINIFS(Merchant!$A:$A,Merchant!$B:$B,$G$2),)</f>
        <v/>
      </c>
      <c r="D432" s="14" t="str">
        <f t="shared" si="3"/>
        <v/>
      </c>
      <c r="E432" s="14" t="str">
        <f t="shared" si="4"/>
        <v/>
      </c>
      <c r="F432" s="6" t="str">
        <f>IF($A432&lt;&gt;"",MAXIFS(#REF!,Token!$A:$A,$D432),)</f>
        <v/>
      </c>
    </row>
    <row r="433">
      <c r="A433" s="35" t="str">
        <f t="shared" si="1"/>
        <v/>
      </c>
      <c r="B433" s="22" t="str">
        <f t="shared" si="2"/>
        <v/>
      </c>
      <c r="C433" s="14" t="str">
        <f>IF($A433&lt;&gt;"",MINIFS(Merchant!$A:$A,Merchant!$B:$B,$G$2),)</f>
        <v/>
      </c>
      <c r="D433" s="14" t="str">
        <f t="shared" si="3"/>
        <v/>
      </c>
      <c r="E433" s="14" t="str">
        <f t="shared" si="4"/>
        <v/>
      </c>
      <c r="F433" s="6" t="str">
        <f>IF($A433&lt;&gt;"",MAXIFS(#REF!,Token!$A:$A,$D433),)</f>
        <v/>
      </c>
    </row>
    <row r="434">
      <c r="A434" s="35" t="str">
        <f t="shared" si="1"/>
        <v/>
      </c>
      <c r="B434" s="22" t="str">
        <f t="shared" si="2"/>
        <v/>
      </c>
      <c r="C434" s="14" t="str">
        <f>IF($A434&lt;&gt;"",MINIFS(Merchant!$A:$A,Merchant!$B:$B,$G$2),)</f>
        <v/>
      </c>
      <c r="D434" s="14" t="str">
        <f t="shared" si="3"/>
        <v/>
      </c>
      <c r="E434" s="14" t="str">
        <f t="shared" si="4"/>
        <v/>
      </c>
      <c r="F434" s="6" t="str">
        <f>IF($A434&lt;&gt;"",MAXIFS(#REF!,Token!$A:$A,$D434),)</f>
        <v/>
      </c>
    </row>
    <row r="435">
      <c r="A435" s="35" t="str">
        <f t="shared" si="1"/>
        <v/>
      </c>
      <c r="B435" s="22" t="str">
        <f t="shared" si="2"/>
        <v/>
      </c>
      <c r="C435" s="14" t="str">
        <f>IF($A435&lt;&gt;"",MINIFS(Merchant!$A:$A,Merchant!$B:$B,$G$2),)</f>
        <v/>
      </c>
      <c r="D435" s="14" t="str">
        <f t="shared" si="3"/>
        <v/>
      </c>
      <c r="E435" s="14" t="str">
        <f t="shared" si="4"/>
        <v/>
      </c>
      <c r="F435" s="6" t="str">
        <f>IF($A435&lt;&gt;"",MAXIFS(#REF!,Token!$A:$A,$D435),)</f>
        <v/>
      </c>
    </row>
    <row r="436">
      <c r="A436" s="35" t="str">
        <f t="shared" si="1"/>
        <v/>
      </c>
      <c r="B436" s="22" t="str">
        <f t="shared" si="2"/>
        <v/>
      </c>
      <c r="C436" s="14" t="str">
        <f>IF($A436&lt;&gt;"",MINIFS(Merchant!$A:$A,Merchant!$B:$B,$G$2),)</f>
        <v/>
      </c>
      <c r="D436" s="14" t="str">
        <f t="shared" si="3"/>
        <v/>
      </c>
      <c r="E436" s="14" t="str">
        <f t="shared" si="4"/>
        <v/>
      </c>
      <c r="F436" s="6" t="str">
        <f>IF($A436&lt;&gt;"",MAXIFS(#REF!,Token!$A:$A,$D436),)</f>
        <v/>
      </c>
    </row>
    <row r="437">
      <c r="A437" s="35" t="str">
        <f t="shared" si="1"/>
        <v/>
      </c>
      <c r="B437" s="22" t="str">
        <f t="shared" si="2"/>
        <v/>
      </c>
      <c r="C437" s="14" t="str">
        <f>IF($A437&lt;&gt;"",MINIFS(Merchant!$A:$A,Merchant!$B:$B,$G$2),)</f>
        <v/>
      </c>
      <c r="D437" s="14" t="str">
        <f t="shared" si="3"/>
        <v/>
      </c>
      <c r="E437" s="14" t="str">
        <f t="shared" si="4"/>
        <v/>
      </c>
      <c r="F437" s="6" t="str">
        <f>IF($A437&lt;&gt;"",MAXIFS(#REF!,Token!$A:$A,$D437),)</f>
        <v/>
      </c>
    </row>
    <row r="438">
      <c r="A438" s="35" t="str">
        <f t="shared" si="1"/>
        <v/>
      </c>
      <c r="B438" s="22" t="str">
        <f t="shared" si="2"/>
        <v/>
      </c>
      <c r="C438" s="14" t="str">
        <f>IF($A438&lt;&gt;"",MINIFS(Merchant!$A:$A,Merchant!$B:$B,$G$2),)</f>
        <v/>
      </c>
      <c r="D438" s="14" t="str">
        <f t="shared" si="3"/>
        <v/>
      </c>
      <c r="E438" s="14" t="str">
        <f t="shared" si="4"/>
        <v/>
      </c>
      <c r="F438" s="6" t="str">
        <f>IF($A438&lt;&gt;"",MAXIFS(#REF!,Token!$A:$A,$D438),)</f>
        <v/>
      </c>
    </row>
    <row r="439">
      <c r="A439" s="35" t="str">
        <f t="shared" si="1"/>
        <v/>
      </c>
      <c r="B439" s="22" t="str">
        <f t="shared" si="2"/>
        <v/>
      </c>
      <c r="C439" s="14" t="str">
        <f>IF($A439&lt;&gt;"",MINIFS(Merchant!$A:$A,Merchant!$B:$B,$G$2),)</f>
        <v/>
      </c>
      <c r="D439" s="14" t="str">
        <f t="shared" si="3"/>
        <v/>
      </c>
      <c r="E439" s="14" t="str">
        <f t="shared" si="4"/>
        <v/>
      </c>
      <c r="F439" s="6" t="str">
        <f>IF($A439&lt;&gt;"",MAXIFS(#REF!,Token!$A:$A,$D439),)</f>
        <v/>
      </c>
    </row>
    <row r="440">
      <c r="A440" s="35" t="str">
        <f t="shared" si="1"/>
        <v/>
      </c>
      <c r="B440" s="22" t="str">
        <f t="shared" si="2"/>
        <v/>
      </c>
      <c r="C440" s="14" t="str">
        <f>IF($A440&lt;&gt;"",MINIFS(Merchant!$A:$A,Merchant!$B:$B,$G$2),)</f>
        <v/>
      </c>
      <c r="D440" s="14" t="str">
        <f t="shared" si="3"/>
        <v/>
      </c>
      <c r="E440" s="14" t="str">
        <f t="shared" si="4"/>
        <v/>
      </c>
      <c r="F440" s="6" t="str">
        <f>IF($A440&lt;&gt;"",MAXIFS(#REF!,Token!$A:$A,$D440),)</f>
        <v/>
      </c>
    </row>
    <row r="441">
      <c r="A441" s="35" t="str">
        <f t="shared" si="1"/>
        <v/>
      </c>
      <c r="B441" s="22" t="str">
        <f t="shared" si="2"/>
        <v/>
      </c>
      <c r="C441" s="14" t="str">
        <f>IF($A441&lt;&gt;"",MINIFS(Merchant!$A:$A,Merchant!$B:$B,$G$2),)</f>
        <v/>
      </c>
      <c r="D441" s="14" t="str">
        <f t="shared" si="3"/>
        <v/>
      </c>
      <c r="E441" s="14" t="str">
        <f t="shared" si="4"/>
        <v/>
      </c>
      <c r="F441" s="6" t="str">
        <f>IF($A441&lt;&gt;"",MAXIFS(#REF!,Token!$A:$A,$D441),)</f>
        <v/>
      </c>
    </row>
    <row r="442">
      <c r="A442" s="35" t="str">
        <f t="shared" si="1"/>
        <v/>
      </c>
      <c r="B442" s="22" t="str">
        <f t="shared" si="2"/>
        <v/>
      </c>
      <c r="C442" s="14" t="str">
        <f>IF($A442&lt;&gt;"",MINIFS(Merchant!$A:$A,Merchant!$B:$B,$G$2),)</f>
        <v/>
      </c>
      <c r="D442" s="14" t="str">
        <f t="shared" si="3"/>
        <v/>
      </c>
      <c r="E442" s="14" t="str">
        <f t="shared" si="4"/>
        <v/>
      </c>
      <c r="F442" s="6" t="str">
        <f>IF($A442&lt;&gt;"",MAXIFS(#REF!,Token!$A:$A,$D442),)</f>
        <v/>
      </c>
    </row>
    <row r="443">
      <c r="A443" s="35" t="str">
        <f t="shared" si="1"/>
        <v/>
      </c>
      <c r="B443" s="22" t="str">
        <f t="shared" si="2"/>
        <v/>
      </c>
      <c r="C443" s="14" t="str">
        <f>IF($A443&lt;&gt;"",MINIFS(Merchant!$A:$A,Merchant!$B:$B,$G$2),)</f>
        <v/>
      </c>
      <c r="D443" s="14" t="str">
        <f t="shared" si="3"/>
        <v/>
      </c>
      <c r="E443" s="14" t="str">
        <f t="shared" si="4"/>
        <v/>
      </c>
      <c r="F443" s="6" t="str">
        <f>IF($A443&lt;&gt;"",MAXIFS(#REF!,Token!$A:$A,$D443),)</f>
        <v/>
      </c>
    </row>
    <row r="444">
      <c r="A444" s="35" t="str">
        <f t="shared" si="1"/>
        <v/>
      </c>
      <c r="B444" s="22" t="str">
        <f t="shared" si="2"/>
        <v/>
      </c>
      <c r="C444" s="14" t="str">
        <f>IF($A444&lt;&gt;"",MINIFS(Merchant!$A:$A,Merchant!$B:$B,$G$2),)</f>
        <v/>
      </c>
      <c r="D444" s="14" t="str">
        <f t="shared" si="3"/>
        <v/>
      </c>
      <c r="E444" s="14" t="str">
        <f t="shared" si="4"/>
        <v/>
      </c>
      <c r="F444" s="6" t="str">
        <f>IF($A444&lt;&gt;"",MAXIFS(#REF!,Token!$A:$A,$D444),)</f>
        <v/>
      </c>
    </row>
    <row r="445">
      <c r="A445" s="35" t="str">
        <f t="shared" si="1"/>
        <v/>
      </c>
      <c r="B445" s="22" t="str">
        <f t="shared" si="2"/>
        <v/>
      </c>
      <c r="C445" s="14" t="str">
        <f>IF($A445&lt;&gt;"",MINIFS(Merchant!$A:$A,Merchant!$B:$B,$G$2),)</f>
        <v/>
      </c>
      <c r="D445" s="14" t="str">
        <f t="shared" si="3"/>
        <v/>
      </c>
      <c r="E445" s="14" t="str">
        <f t="shared" si="4"/>
        <v/>
      </c>
      <c r="F445" s="6" t="str">
        <f>IF($A445&lt;&gt;"",MAXIFS(#REF!,Token!$A:$A,$D445),)</f>
        <v/>
      </c>
    </row>
    <row r="446">
      <c r="A446" s="35" t="str">
        <f t="shared" si="1"/>
        <v/>
      </c>
      <c r="B446" s="22" t="str">
        <f t="shared" si="2"/>
        <v/>
      </c>
      <c r="C446" s="14" t="str">
        <f>IF($A446&lt;&gt;"",MINIFS(Merchant!$A:$A,Merchant!$B:$B,$G$2),)</f>
        <v/>
      </c>
      <c r="D446" s="14" t="str">
        <f t="shared" si="3"/>
        <v/>
      </c>
      <c r="E446" s="14" t="str">
        <f t="shared" si="4"/>
        <v/>
      </c>
      <c r="F446" s="6" t="str">
        <f>IF($A446&lt;&gt;"",MAXIFS(#REF!,Token!$A:$A,$D446),)</f>
        <v/>
      </c>
    </row>
    <row r="447">
      <c r="A447" s="35" t="str">
        <f t="shared" si="1"/>
        <v/>
      </c>
      <c r="B447" s="22" t="str">
        <f t="shared" si="2"/>
        <v/>
      </c>
      <c r="C447" s="14" t="str">
        <f>IF($A447&lt;&gt;"",MINIFS(Merchant!$A:$A,Merchant!$B:$B,$G$2),)</f>
        <v/>
      </c>
      <c r="D447" s="14" t="str">
        <f t="shared" si="3"/>
        <v/>
      </c>
      <c r="E447" s="14" t="str">
        <f t="shared" si="4"/>
        <v/>
      </c>
      <c r="F447" s="6" t="str">
        <f>IF($A447&lt;&gt;"",MAXIFS(#REF!,Token!$A:$A,$D447),)</f>
        <v/>
      </c>
    </row>
    <row r="448">
      <c r="A448" s="35" t="str">
        <f t="shared" si="1"/>
        <v/>
      </c>
      <c r="B448" s="22" t="str">
        <f t="shared" si="2"/>
        <v/>
      </c>
      <c r="C448" s="14" t="str">
        <f>IF($A448&lt;&gt;"",MINIFS(Merchant!$A:$A,Merchant!$B:$B,$G$2),)</f>
        <v/>
      </c>
      <c r="D448" s="14" t="str">
        <f t="shared" si="3"/>
        <v/>
      </c>
      <c r="E448" s="14" t="str">
        <f t="shared" si="4"/>
        <v/>
      </c>
      <c r="F448" s="6" t="str">
        <f>IF($A448&lt;&gt;"",MAXIFS(#REF!,Token!$A:$A,$D448),)</f>
        <v/>
      </c>
    </row>
    <row r="449">
      <c r="A449" s="35" t="str">
        <f t="shared" si="1"/>
        <v/>
      </c>
      <c r="B449" s="22" t="str">
        <f t="shared" si="2"/>
        <v/>
      </c>
      <c r="C449" s="14" t="str">
        <f>IF($A449&lt;&gt;"",MINIFS(Merchant!$A:$A,Merchant!$B:$B,$G$2),)</f>
        <v/>
      </c>
      <c r="D449" s="14" t="str">
        <f t="shared" si="3"/>
        <v/>
      </c>
      <c r="E449" s="14" t="str">
        <f t="shared" si="4"/>
        <v/>
      </c>
      <c r="F449" s="6" t="str">
        <f>IF($A449&lt;&gt;"",MAXIFS(#REF!,Token!$A:$A,$D449),)</f>
        <v/>
      </c>
    </row>
    <row r="450">
      <c r="A450" s="35" t="str">
        <f t="shared" si="1"/>
        <v/>
      </c>
      <c r="B450" s="22" t="str">
        <f t="shared" si="2"/>
        <v/>
      </c>
      <c r="C450" s="14" t="str">
        <f>IF($A450&lt;&gt;"",MINIFS(Merchant!$A:$A,Merchant!$B:$B,$G$2),)</f>
        <v/>
      </c>
      <c r="D450" s="14" t="str">
        <f t="shared" si="3"/>
        <v/>
      </c>
      <c r="E450" s="14" t="str">
        <f t="shared" si="4"/>
        <v/>
      </c>
      <c r="F450" s="6" t="str">
        <f>IF($A450&lt;&gt;"",MAXIFS(#REF!,Token!$A:$A,$D450),)</f>
        <v/>
      </c>
    </row>
    <row r="451">
      <c r="A451" s="35" t="str">
        <f t="shared" si="1"/>
        <v/>
      </c>
      <c r="B451" s="22" t="str">
        <f t="shared" si="2"/>
        <v/>
      </c>
      <c r="C451" s="14" t="str">
        <f>IF($A451&lt;&gt;"",MINIFS(Merchant!$A:$A,Merchant!$B:$B,$G$2),)</f>
        <v/>
      </c>
      <c r="D451" s="14" t="str">
        <f t="shared" si="3"/>
        <v/>
      </c>
      <c r="E451" s="14" t="str">
        <f t="shared" si="4"/>
        <v/>
      </c>
      <c r="F451" s="6" t="str">
        <f>IF($A451&lt;&gt;"",MAXIFS(#REF!,Token!$A:$A,$D451),)</f>
        <v/>
      </c>
    </row>
    <row r="452">
      <c r="A452" s="35" t="str">
        <f t="shared" si="1"/>
        <v/>
      </c>
      <c r="B452" s="22" t="str">
        <f t="shared" si="2"/>
        <v/>
      </c>
      <c r="C452" s="14" t="str">
        <f>IF($A452&lt;&gt;"",MINIFS(Merchant!$A:$A,Merchant!$B:$B,$G$2),)</f>
        <v/>
      </c>
      <c r="D452" s="14" t="str">
        <f t="shared" si="3"/>
        <v/>
      </c>
      <c r="E452" s="14" t="str">
        <f t="shared" si="4"/>
        <v/>
      </c>
      <c r="F452" s="6" t="str">
        <f>IF($A452&lt;&gt;"",MAXIFS(#REF!,Token!$A:$A,$D452),)</f>
        <v/>
      </c>
    </row>
    <row r="453">
      <c r="A453" s="35" t="str">
        <f t="shared" si="1"/>
        <v/>
      </c>
      <c r="B453" s="22" t="str">
        <f t="shared" si="2"/>
        <v/>
      </c>
      <c r="C453" s="14" t="str">
        <f>IF($A453&lt;&gt;"",MINIFS(Merchant!$A:$A,Merchant!$B:$B,$G$2),)</f>
        <v/>
      </c>
      <c r="D453" s="14" t="str">
        <f t="shared" si="3"/>
        <v/>
      </c>
      <c r="E453" s="14" t="str">
        <f t="shared" si="4"/>
        <v/>
      </c>
      <c r="F453" s="6" t="str">
        <f>IF($A453&lt;&gt;"",MAXIFS(#REF!,Token!$A:$A,$D453),)</f>
        <v/>
      </c>
    </row>
    <row r="454">
      <c r="A454" s="35" t="str">
        <f t="shared" si="1"/>
        <v/>
      </c>
      <c r="B454" s="22" t="str">
        <f t="shared" si="2"/>
        <v/>
      </c>
      <c r="C454" s="14" t="str">
        <f>IF($A454&lt;&gt;"",MINIFS(Merchant!$A:$A,Merchant!$B:$B,$G$2),)</f>
        <v/>
      </c>
      <c r="D454" s="14" t="str">
        <f t="shared" si="3"/>
        <v/>
      </c>
      <c r="E454" s="14" t="str">
        <f t="shared" si="4"/>
        <v/>
      </c>
      <c r="F454" s="6" t="str">
        <f>IF($A454&lt;&gt;"",MAXIFS(#REF!,Token!$A:$A,$D454),)</f>
        <v/>
      </c>
    </row>
    <row r="455">
      <c r="A455" s="35" t="str">
        <f t="shared" si="1"/>
        <v/>
      </c>
      <c r="B455" s="22" t="str">
        <f t="shared" si="2"/>
        <v/>
      </c>
      <c r="C455" s="14" t="str">
        <f>IF($A455&lt;&gt;"",MINIFS(Merchant!$A:$A,Merchant!$B:$B,$G$2),)</f>
        <v/>
      </c>
      <c r="D455" s="14" t="str">
        <f t="shared" si="3"/>
        <v/>
      </c>
      <c r="E455" s="14" t="str">
        <f t="shared" si="4"/>
        <v/>
      </c>
      <c r="F455" s="6" t="str">
        <f>IF($A455&lt;&gt;"",MAXIFS(#REF!,Token!$A:$A,$D455),)</f>
        <v/>
      </c>
    </row>
    <row r="456">
      <c r="A456" s="35" t="str">
        <f t="shared" si="1"/>
        <v/>
      </c>
      <c r="B456" s="22" t="str">
        <f t="shared" si="2"/>
        <v/>
      </c>
      <c r="C456" s="14" t="str">
        <f>IF($A456&lt;&gt;"",MINIFS(Merchant!$A:$A,Merchant!$B:$B,$G$2),)</f>
        <v/>
      </c>
      <c r="D456" s="14" t="str">
        <f t="shared" si="3"/>
        <v/>
      </c>
      <c r="E456" s="14" t="str">
        <f t="shared" si="4"/>
        <v/>
      </c>
      <c r="F456" s="6" t="str">
        <f>IF($A456&lt;&gt;"",MAXIFS(#REF!,Token!$A:$A,$D456),)</f>
        <v/>
      </c>
    </row>
    <row r="457">
      <c r="A457" s="35" t="str">
        <f t="shared" si="1"/>
        <v/>
      </c>
      <c r="B457" s="22" t="str">
        <f t="shared" si="2"/>
        <v/>
      </c>
      <c r="C457" s="14" t="str">
        <f>IF($A457&lt;&gt;"",MINIFS(Merchant!$A:$A,Merchant!$B:$B,$G$2),)</f>
        <v/>
      </c>
      <c r="D457" s="14" t="str">
        <f t="shared" si="3"/>
        <v/>
      </c>
      <c r="E457" s="14" t="str">
        <f t="shared" si="4"/>
        <v/>
      </c>
      <c r="F457" s="6" t="str">
        <f>IF($A457&lt;&gt;"",MAXIFS(#REF!,Token!$A:$A,$D457),)</f>
        <v/>
      </c>
    </row>
    <row r="458">
      <c r="A458" s="35" t="str">
        <f t="shared" si="1"/>
        <v/>
      </c>
      <c r="B458" s="22" t="str">
        <f t="shared" si="2"/>
        <v/>
      </c>
      <c r="C458" s="14" t="str">
        <f>IF($A458&lt;&gt;"",MINIFS(Merchant!$A:$A,Merchant!$B:$B,$G$2),)</f>
        <v/>
      </c>
      <c r="D458" s="14" t="str">
        <f t="shared" si="3"/>
        <v/>
      </c>
      <c r="E458" s="14" t="str">
        <f t="shared" si="4"/>
        <v/>
      </c>
      <c r="F458" s="6" t="str">
        <f>IF($A458&lt;&gt;"",MAXIFS(#REF!,Token!$A:$A,$D458),)</f>
        <v/>
      </c>
    </row>
    <row r="459">
      <c r="A459" s="35" t="str">
        <f t="shared" si="1"/>
        <v/>
      </c>
      <c r="B459" s="22" t="str">
        <f t="shared" si="2"/>
        <v/>
      </c>
      <c r="C459" s="14" t="str">
        <f>IF($A459&lt;&gt;"",MINIFS(Merchant!$A:$A,Merchant!$B:$B,$G$2),)</f>
        <v/>
      </c>
      <c r="D459" s="14" t="str">
        <f t="shared" si="3"/>
        <v/>
      </c>
      <c r="E459" s="14" t="str">
        <f t="shared" si="4"/>
        <v/>
      </c>
      <c r="F459" s="6" t="str">
        <f>IF($A459&lt;&gt;"",MAXIFS(#REF!,Token!$A:$A,$D459),)</f>
        <v/>
      </c>
    </row>
    <row r="460">
      <c r="A460" s="35" t="str">
        <f t="shared" si="1"/>
        <v/>
      </c>
      <c r="B460" s="22" t="str">
        <f t="shared" si="2"/>
        <v/>
      </c>
      <c r="C460" s="14" t="str">
        <f>IF($A460&lt;&gt;"",MINIFS(Merchant!$A:$A,Merchant!$B:$B,$G$2),)</f>
        <v/>
      </c>
      <c r="D460" s="14" t="str">
        <f t="shared" si="3"/>
        <v/>
      </c>
      <c r="E460" s="14" t="str">
        <f t="shared" si="4"/>
        <v/>
      </c>
      <c r="F460" s="6" t="str">
        <f>IF($A460&lt;&gt;"",MAXIFS(#REF!,Token!$A:$A,$D460),)</f>
        <v/>
      </c>
    </row>
    <row r="461">
      <c r="A461" s="35" t="str">
        <f t="shared" si="1"/>
        <v/>
      </c>
      <c r="B461" s="22" t="str">
        <f t="shared" si="2"/>
        <v/>
      </c>
      <c r="C461" s="14" t="str">
        <f>IF($A461&lt;&gt;"",MINIFS(Merchant!$A:$A,Merchant!$B:$B,$G$2),)</f>
        <v/>
      </c>
      <c r="D461" s="14" t="str">
        <f t="shared" si="3"/>
        <v/>
      </c>
      <c r="E461" s="14" t="str">
        <f t="shared" si="4"/>
        <v/>
      </c>
      <c r="F461" s="6" t="str">
        <f>IF($A461&lt;&gt;"",MAXIFS(#REF!,Token!$A:$A,$D461),)</f>
        <v/>
      </c>
    </row>
    <row r="462">
      <c r="A462" s="35" t="str">
        <f t="shared" si="1"/>
        <v/>
      </c>
      <c r="B462" s="22" t="str">
        <f t="shared" si="2"/>
        <v/>
      </c>
      <c r="C462" s="14" t="str">
        <f>IF($A462&lt;&gt;"",MINIFS(Merchant!$A:$A,Merchant!$B:$B,$G$2),)</f>
        <v/>
      </c>
      <c r="D462" s="14" t="str">
        <f t="shared" si="3"/>
        <v/>
      </c>
      <c r="E462" s="14" t="str">
        <f t="shared" si="4"/>
        <v/>
      </c>
      <c r="F462" s="6" t="str">
        <f>IF($A462&lt;&gt;"",MAXIFS(#REF!,Token!$A:$A,$D462),)</f>
        <v/>
      </c>
    </row>
    <row r="463">
      <c r="A463" s="35" t="str">
        <f t="shared" si="1"/>
        <v/>
      </c>
      <c r="B463" s="22" t="str">
        <f t="shared" si="2"/>
        <v/>
      </c>
      <c r="C463" s="14" t="str">
        <f>IF($A463&lt;&gt;"",MINIFS(Merchant!$A:$A,Merchant!$B:$B,$G$2),)</f>
        <v/>
      </c>
      <c r="D463" s="14" t="str">
        <f t="shared" si="3"/>
        <v/>
      </c>
      <c r="E463" s="14" t="str">
        <f t="shared" si="4"/>
        <v/>
      </c>
      <c r="F463" s="6" t="str">
        <f>IF($A463&lt;&gt;"",MAXIFS(#REF!,Token!$A:$A,$D463),)</f>
        <v/>
      </c>
    </row>
    <row r="464">
      <c r="A464" s="35" t="str">
        <f t="shared" si="1"/>
        <v/>
      </c>
      <c r="B464" s="22" t="str">
        <f t="shared" si="2"/>
        <v/>
      </c>
      <c r="C464" s="14" t="str">
        <f>IF($A464&lt;&gt;"",MINIFS(Merchant!$A:$A,Merchant!$B:$B,$G$2),)</f>
        <v/>
      </c>
      <c r="D464" s="14" t="str">
        <f t="shared" si="3"/>
        <v/>
      </c>
      <c r="E464" s="14" t="str">
        <f t="shared" si="4"/>
        <v/>
      </c>
      <c r="F464" s="6" t="str">
        <f>IF($A464&lt;&gt;"",MAXIFS(#REF!,Token!$A:$A,$D464),)</f>
        <v/>
      </c>
    </row>
    <row r="465">
      <c r="A465" s="35" t="str">
        <f t="shared" si="1"/>
        <v/>
      </c>
      <c r="B465" s="22" t="str">
        <f t="shared" si="2"/>
        <v/>
      </c>
      <c r="C465" s="14" t="str">
        <f>IF($A465&lt;&gt;"",MINIFS(Merchant!$A:$A,Merchant!$B:$B,$G$2),)</f>
        <v/>
      </c>
      <c r="D465" s="14" t="str">
        <f t="shared" si="3"/>
        <v/>
      </c>
      <c r="E465" s="14" t="str">
        <f t="shared" si="4"/>
        <v/>
      </c>
      <c r="F465" s="6" t="str">
        <f>IF($A465&lt;&gt;"",MAXIFS(#REF!,Token!$A:$A,$D465),)</f>
        <v/>
      </c>
    </row>
    <row r="466">
      <c r="A466" s="35" t="str">
        <f t="shared" si="1"/>
        <v/>
      </c>
      <c r="B466" s="22" t="str">
        <f t="shared" si="2"/>
        <v/>
      </c>
      <c r="C466" s="14" t="str">
        <f>IF($A466&lt;&gt;"",MINIFS(Merchant!$A:$A,Merchant!$B:$B,$G$2),)</f>
        <v/>
      </c>
      <c r="D466" s="14" t="str">
        <f t="shared" si="3"/>
        <v/>
      </c>
      <c r="E466" s="14" t="str">
        <f t="shared" si="4"/>
        <v/>
      </c>
      <c r="F466" s="6" t="str">
        <f>IF($A466&lt;&gt;"",MAXIFS(#REF!,Token!$A:$A,$D466),)</f>
        <v/>
      </c>
    </row>
    <row r="467">
      <c r="A467" s="35" t="str">
        <f t="shared" si="1"/>
        <v/>
      </c>
      <c r="B467" s="22" t="str">
        <f t="shared" si="2"/>
        <v/>
      </c>
      <c r="C467" s="14" t="str">
        <f>IF($A467&lt;&gt;"",MINIFS(Merchant!$A:$A,Merchant!$B:$B,$G$2),)</f>
        <v/>
      </c>
      <c r="D467" s="14" t="str">
        <f t="shared" si="3"/>
        <v/>
      </c>
      <c r="E467" s="14" t="str">
        <f t="shared" si="4"/>
        <v/>
      </c>
      <c r="F467" s="6" t="str">
        <f>IF($A467&lt;&gt;"",MAXIFS(#REF!,Token!$A:$A,$D467),)</f>
        <v/>
      </c>
    </row>
    <row r="468">
      <c r="A468" s="35" t="str">
        <f t="shared" si="1"/>
        <v/>
      </c>
      <c r="B468" s="22" t="str">
        <f t="shared" si="2"/>
        <v/>
      </c>
      <c r="C468" s="14" t="str">
        <f>IF($A468&lt;&gt;"",MINIFS(Merchant!$A:$A,Merchant!$B:$B,$G$2),)</f>
        <v/>
      </c>
      <c r="D468" s="14" t="str">
        <f t="shared" si="3"/>
        <v/>
      </c>
      <c r="E468" s="14" t="str">
        <f t="shared" si="4"/>
        <v/>
      </c>
      <c r="F468" s="6" t="str">
        <f>IF($A468&lt;&gt;"",MAXIFS(#REF!,Token!$A:$A,$D468),)</f>
        <v/>
      </c>
    </row>
    <row r="469">
      <c r="A469" s="35" t="str">
        <f t="shared" si="1"/>
        <v/>
      </c>
      <c r="B469" s="22" t="str">
        <f t="shared" si="2"/>
        <v/>
      </c>
      <c r="C469" s="14" t="str">
        <f>IF($A469&lt;&gt;"",MINIFS(Merchant!$A:$A,Merchant!$B:$B,$G$2),)</f>
        <v/>
      </c>
      <c r="D469" s="14" t="str">
        <f t="shared" si="3"/>
        <v/>
      </c>
      <c r="E469" s="14" t="str">
        <f t="shared" si="4"/>
        <v/>
      </c>
      <c r="F469" s="6" t="str">
        <f>IF($A469&lt;&gt;"",MAXIFS(#REF!,Token!$A:$A,$D469),)</f>
        <v/>
      </c>
    </row>
    <row r="470">
      <c r="A470" s="35" t="str">
        <f t="shared" si="1"/>
        <v/>
      </c>
      <c r="B470" s="22" t="str">
        <f t="shared" si="2"/>
        <v/>
      </c>
      <c r="C470" s="14" t="str">
        <f>IF($A470&lt;&gt;"",MINIFS(Merchant!$A:$A,Merchant!$B:$B,$G$2),)</f>
        <v/>
      </c>
      <c r="D470" s="14" t="str">
        <f t="shared" si="3"/>
        <v/>
      </c>
      <c r="E470" s="14" t="str">
        <f t="shared" si="4"/>
        <v/>
      </c>
      <c r="F470" s="6" t="str">
        <f>IF($A470&lt;&gt;"",MAXIFS(#REF!,Token!$A:$A,$D470),)</f>
        <v/>
      </c>
    </row>
    <row r="471">
      <c r="A471" s="35" t="str">
        <f t="shared" si="1"/>
        <v/>
      </c>
      <c r="B471" s="22" t="str">
        <f t="shared" si="2"/>
        <v/>
      </c>
      <c r="C471" s="14" t="str">
        <f>IF($A471&lt;&gt;"",MINIFS(Merchant!$A:$A,Merchant!$B:$B,$G$2),)</f>
        <v/>
      </c>
      <c r="D471" s="14" t="str">
        <f t="shared" si="3"/>
        <v/>
      </c>
      <c r="E471" s="14" t="str">
        <f t="shared" si="4"/>
        <v/>
      </c>
      <c r="F471" s="6" t="str">
        <f>IF($A471&lt;&gt;"",MAXIFS(#REF!,Token!$A:$A,$D471),)</f>
        <v/>
      </c>
    </row>
    <row r="472">
      <c r="A472" s="35" t="str">
        <f t="shared" si="1"/>
        <v/>
      </c>
      <c r="B472" s="22" t="str">
        <f t="shared" si="2"/>
        <v/>
      </c>
      <c r="C472" s="14" t="str">
        <f>IF($A472&lt;&gt;"",MINIFS(Merchant!$A:$A,Merchant!$B:$B,$G$2),)</f>
        <v/>
      </c>
      <c r="D472" s="14" t="str">
        <f t="shared" si="3"/>
        <v/>
      </c>
      <c r="E472" s="14" t="str">
        <f t="shared" si="4"/>
        <v/>
      </c>
      <c r="F472" s="6" t="str">
        <f>IF($A472&lt;&gt;"",MAXIFS(#REF!,Token!$A:$A,$D472),)</f>
        <v/>
      </c>
    </row>
    <row r="473">
      <c r="A473" s="35" t="str">
        <f t="shared" si="1"/>
        <v/>
      </c>
      <c r="B473" s="22" t="str">
        <f t="shared" si="2"/>
        <v/>
      </c>
      <c r="C473" s="14" t="str">
        <f>IF($A473&lt;&gt;"",MINIFS(Merchant!$A:$A,Merchant!$B:$B,$G$2),)</f>
        <v/>
      </c>
      <c r="D473" s="14" t="str">
        <f t="shared" si="3"/>
        <v/>
      </c>
      <c r="E473" s="14" t="str">
        <f t="shared" si="4"/>
        <v/>
      </c>
      <c r="F473" s="6" t="str">
        <f>IF($A473&lt;&gt;"",MAXIFS(#REF!,Token!$A:$A,$D473),)</f>
        <v/>
      </c>
    </row>
    <row r="474">
      <c r="A474" s="35" t="str">
        <f t="shared" si="1"/>
        <v/>
      </c>
      <c r="B474" s="22" t="str">
        <f t="shared" si="2"/>
        <v/>
      </c>
      <c r="C474" s="14" t="str">
        <f>IF($A474&lt;&gt;"",MINIFS(Merchant!$A:$A,Merchant!$B:$B,$G$2),)</f>
        <v/>
      </c>
      <c r="D474" s="14" t="str">
        <f t="shared" si="3"/>
        <v/>
      </c>
      <c r="E474" s="14" t="str">
        <f t="shared" si="4"/>
        <v/>
      </c>
      <c r="F474" s="6" t="str">
        <f>IF($A474&lt;&gt;"",MAXIFS(#REF!,Token!$A:$A,$D474),)</f>
        <v/>
      </c>
    </row>
    <row r="475">
      <c r="A475" s="35" t="str">
        <f t="shared" si="1"/>
        <v/>
      </c>
      <c r="B475" s="22" t="str">
        <f t="shared" si="2"/>
        <v/>
      </c>
      <c r="C475" s="14" t="str">
        <f>IF($A475&lt;&gt;"",MINIFS(Merchant!$A:$A,Merchant!$B:$B,$G$2),)</f>
        <v/>
      </c>
      <c r="D475" s="14" t="str">
        <f t="shared" si="3"/>
        <v/>
      </c>
      <c r="E475" s="14" t="str">
        <f t="shared" si="4"/>
        <v/>
      </c>
      <c r="F475" s="6" t="str">
        <f>IF($A475&lt;&gt;"",MAXIFS(#REF!,Token!$A:$A,$D475),)</f>
        <v/>
      </c>
    </row>
    <row r="476">
      <c r="A476" s="35" t="str">
        <f t="shared" si="1"/>
        <v/>
      </c>
      <c r="B476" s="22" t="str">
        <f t="shared" si="2"/>
        <v/>
      </c>
      <c r="C476" s="14" t="str">
        <f>IF($A476&lt;&gt;"",MINIFS(Merchant!$A:$A,Merchant!$B:$B,$G$2),)</f>
        <v/>
      </c>
      <c r="D476" s="14" t="str">
        <f t="shared" si="3"/>
        <v/>
      </c>
      <c r="E476" s="14" t="str">
        <f t="shared" si="4"/>
        <v/>
      </c>
      <c r="F476" s="6" t="str">
        <f>IF($A476&lt;&gt;"",MAXIFS(#REF!,Token!$A:$A,$D476),)</f>
        <v/>
      </c>
    </row>
    <row r="477">
      <c r="A477" s="35" t="str">
        <f t="shared" si="1"/>
        <v/>
      </c>
      <c r="B477" s="22" t="str">
        <f t="shared" si="2"/>
        <v/>
      </c>
      <c r="C477" s="14" t="str">
        <f>IF($A477&lt;&gt;"",MINIFS(Merchant!$A:$A,Merchant!$B:$B,$G$2),)</f>
        <v/>
      </c>
      <c r="D477" s="14" t="str">
        <f t="shared" si="3"/>
        <v/>
      </c>
      <c r="E477" s="14" t="str">
        <f t="shared" si="4"/>
        <v/>
      </c>
      <c r="F477" s="6" t="str">
        <f>IF($A477&lt;&gt;"",MAXIFS(#REF!,Token!$A:$A,$D477),)</f>
        <v/>
      </c>
    </row>
    <row r="478">
      <c r="A478" s="35" t="str">
        <f t="shared" si="1"/>
        <v/>
      </c>
      <c r="B478" s="22" t="str">
        <f t="shared" si="2"/>
        <v/>
      </c>
      <c r="C478" s="14" t="str">
        <f>IF($A478&lt;&gt;"",MINIFS(Merchant!$A:$A,Merchant!$B:$B,$G$2),)</f>
        <v/>
      </c>
      <c r="D478" s="14" t="str">
        <f t="shared" si="3"/>
        <v/>
      </c>
      <c r="E478" s="14" t="str">
        <f t="shared" si="4"/>
        <v/>
      </c>
      <c r="F478" s="6" t="str">
        <f>IF($A478&lt;&gt;"",MAXIFS(#REF!,Token!$A:$A,$D478),)</f>
        <v/>
      </c>
    </row>
    <row r="479">
      <c r="A479" s="35" t="str">
        <f t="shared" si="1"/>
        <v/>
      </c>
      <c r="B479" s="22" t="str">
        <f t="shared" si="2"/>
        <v/>
      </c>
      <c r="C479" s="14" t="str">
        <f>IF($A479&lt;&gt;"",MINIFS(Merchant!$A:$A,Merchant!$B:$B,$G$2),)</f>
        <v/>
      </c>
      <c r="D479" s="14" t="str">
        <f t="shared" si="3"/>
        <v/>
      </c>
      <c r="E479" s="14" t="str">
        <f t="shared" si="4"/>
        <v/>
      </c>
      <c r="F479" s="6" t="str">
        <f>IF($A479&lt;&gt;"",MAXIFS(#REF!,Token!$A:$A,$D479),)</f>
        <v/>
      </c>
    </row>
    <row r="480">
      <c r="A480" s="35" t="str">
        <f t="shared" si="1"/>
        <v/>
      </c>
      <c r="B480" s="22" t="str">
        <f t="shared" si="2"/>
        <v/>
      </c>
      <c r="C480" s="14" t="str">
        <f>IF($A480&lt;&gt;"",MINIFS(Merchant!$A:$A,Merchant!$B:$B,$G$2),)</f>
        <v/>
      </c>
      <c r="D480" s="14" t="str">
        <f t="shared" si="3"/>
        <v/>
      </c>
      <c r="E480" s="14" t="str">
        <f t="shared" si="4"/>
        <v/>
      </c>
      <c r="F480" s="6" t="str">
        <f>IF($A480&lt;&gt;"",MAXIFS(#REF!,Token!$A:$A,$D480),)</f>
        <v/>
      </c>
    </row>
    <row r="481">
      <c r="A481" s="35" t="str">
        <f t="shared" si="1"/>
        <v/>
      </c>
      <c r="B481" s="22" t="str">
        <f t="shared" si="2"/>
        <v/>
      </c>
      <c r="C481" s="14" t="str">
        <f>IF($A481&lt;&gt;"",MINIFS(Merchant!$A:$A,Merchant!$B:$B,$G$2),)</f>
        <v/>
      </c>
      <c r="D481" s="14" t="str">
        <f t="shared" si="3"/>
        <v/>
      </c>
      <c r="E481" s="14" t="str">
        <f t="shared" si="4"/>
        <v/>
      </c>
      <c r="F481" s="6" t="str">
        <f>IF($A481&lt;&gt;"",MAXIFS(#REF!,Token!$A:$A,$D481),)</f>
        <v/>
      </c>
    </row>
    <row r="482">
      <c r="A482" s="35" t="str">
        <f t="shared" si="1"/>
        <v/>
      </c>
      <c r="B482" s="22" t="str">
        <f t="shared" si="2"/>
        <v/>
      </c>
      <c r="C482" s="14" t="str">
        <f>IF($A482&lt;&gt;"",MINIFS(Merchant!$A:$A,Merchant!$B:$B,$G$2),)</f>
        <v/>
      </c>
      <c r="D482" s="14" t="str">
        <f t="shared" si="3"/>
        <v/>
      </c>
      <c r="E482" s="14" t="str">
        <f t="shared" si="4"/>
        <v/>
      </c>
      <c r="F482" s="6" t="str">
        <f>IF($A482&lt;&gt;"",MAXIFS(#REF!,Token!$A:$A,$D482),)</f>
        <v/>
      </c>
    </row>
    <row r="483">
      <c r="A483" s="35" t="str">
        <f t="shared" si="1"/>
        <v/>
      </c>
      <c r="B483" s="22" t="str">
        <f t="shared" si="2"/>
        <v/>
      </c>
      <c r="C483" s="14" t="str">
        <f>IF($A483&lt;&gt;"",MINIFS(Merchant!$A:$A,Merchant!$B:$B,$G$2),)</f>
        <v/>
      </c>
      <c r="D483" s="14" t="str">
        <f t="shared" si="3"/>
        <v/>
      </c>
      <c r="E483" s="14" t="str">
        <f t="shared" si="4"/>
        <v/>
      </c>
      <c r="F483" s="6" t="str">
        <f>IF($A483&lt;&gt;"",MAXIFS(#REF!,Token!$A:$A,$D483),)</f>
        <v/>
      </c>
    </row>
    <row r="484">
      <c r="A484" s="35" t="str">
        <f t="shared" si="1"/>
        <v/>
      </c>
      <c r="B484" s="22" t="str">
        <f t="shared" si="2"/>
        <v/>
      </c>
      <c r="C484" s="14" t="str">
        <f>IF($A484&lt;&gt;"",MINIFS(Merchant!$A:$A,Merchant!$B:$B,$G$2),)</f>
        <v/>
      </c>
      <c r="D484" s="14" t="str">
        <f t="shared" si="3"/>
        <v/>
      </c>
      <c r="E484" s="14" t="str">
        <f t="shared" si="4"/>
        <v/>
      </c>
      <c r="F484" s="6" t="str">
        <f>IF($A484&lt;&gt;"",MAXIFS(#REF!,Token!$A:$A,$D484),)</f>
        <v/>
      </c>
    </row>
    <row r="485">
      <c r="A485" s="35" t="str">
        <f t="shared" si="1"/>
        <v/>
      </c>
      <c r="B485" s="22" t="str">
        <f t="shared" si="2"/>
        <v/>
      </c>
      <c r="C485" s="14" t="str">
        <f>IF($A485&lt;&gt;"",MINIFS(Merchant!$A:$A,Merchant!$B:$B,$G$2),)</f>
        <v/>
      </c>
      <c r="D485" s="14" t="str">
        <f t="shared" si="3"/>
        <v/>
      </c>
      <c r="E485" s="14" t="str">
        <f t="shared" si="4"/>
        <v/>
      </c>
      <c r="F485" s="6" t="str">
        <f>IF($A485&lt;&gt;"",MAXIFS(#REF!,Token!$A:$A,$D485),)</f>
        <v/>
      </c>
    </row>
    <row r="486">
      <c r="A486" s="35" t="str">
        <f t="shared" si="1"/>
        <v/>
      </c>
      <c r="B486" s="22" t="str">
        <f t="shared" si="2"/>
        <v/>
      </c>
      <c r="C486" s="14" t="str">
        <f>IF($A486&lt;&gt;"",MINIFS(Merchant!$A:$A,Merchant!$B:$B,$G$2),)</f>
        <v/>
      </c>
      <c r="D486" s="14" t="str">
        <f t="shared" si="3"/>
        <v/>
      </c>
      <c r="E486" s="14" t="str">
        <f t="shared" si="4"/>
        <v/>
      </c>
      <c r="F486" s="6" t="str">
        <f>IF($A486&lt;&gt;"",MAXIFS(#REF!,Token!$A:$A,$D486),)</f>
        <v/>
      </c>
    </row>
    <row r="487">
      <c r="A487" s="35" t="str">
        <f t="shared" si="1"/>
        <v/>
      </c>
      <c r="B487" s="22" t="str">
        <f t="shared" si="2"/>
        <v/>
      </c>
      <c r="C487" s="14" t="str">
        <f>IF($A487&lt;&gt;"",MINIFS(Merchant!$A:$A,Merchant!$B:$B,$G$2),)</f>
        <v/>
      </c>
      <c r="D487" s="14" t="str">
        <f t="shared" si="3"/>
        <v/>
      </c>
      <c r="E487" s="14" t="str">
        <f t="shared" si="4"/>
        <v/>
      </c>
      <c r="F487" s="6" t="str">
        <f>IF($A487&lt;&gt;"",MAXIFS(#REF!,Token!$A:$A,$D487),)</f>
        <v/>
      </c>
    </row>
    <row r="488">
      <c r="A488" s="35" t="str">
        <f t="shared" si="1"/>
        <v/>
      </c>
      <c r="B488" s="22" t="str">
        <f t="shared" si="2"/>
        <v/>
      </c>
      <c r="C488" s="14" t="str">
        <f>IF($A488&lt;&gt;"",MINIFS(Merchant!$A:$A,Merchant!$B:$B,$G$2),)</f>
        <v/>
      </c>
      <c r="D488" s="14" t="str">
        <f t="shared" si="3"/>
        <v/>
      </c>
      <c r="E488" s="14" t="str">
        <f t="shared" si="4"/>
        <v/>
      </c>
      <c r="F488" s="6" t="str">
        <f>IF($A488&lt;&gt;"",MAXIFS(#REF!,Token!$A:$A,$D488),)</f>
        <v/>
      </c>
    </row>
    <row r="489">
      <c r="A489" s="35" t="str">
        <f t="shared" si="1"/>
        <v/>
      </c>
      <c r="B489" s="22" t="str">
        <f t="shared" si="2"/>
        <v/>
      </c>
      <c r="C489" s="14" t="str">
        <f>IF($A489&lt;&gt;"",MINIFS(Merchant!$A:$A,Merchant!$B:$B,$G$2),)</f>
        <v/>
      </c>
      <c r="D489" s="14" t="str">
        <f t="shared" si="3"/>
        <v/>
      </c>
      <c r="E489" s="14" t="str">
        <f t="shared" si="4"/>
        <v/>
      </c>
      <c r="F489" s="6" t="str">
        <f>IF($A489&lt;&gt;"",MAXIFS(#REF!,Token!$A:$A,$D489),)</f>
        <v/>
      </c>
    </row>
    <row r="490">
      <c r="A490" s="35" t="str">
        <f t="shared" si="1"/>
        <v/>
      </c>
      <c r="B490" s="22" t="str">
        <f t="shared" si="2"/>
        <v/>
      </c>
      <c r="C490" s="14" t="str">
        <f>IF($A490&lt;&gt;"",MINIFS(Merchant!$A:$A,Merchant!$B:$B,$G$2),)</f>
        <v/>
      </c>
      <c r="D490" s="14" t="str">
        <f t="shared" si="3"/>
        <v/>
      </c>
      <c r="E490" s="14" t="str">
        <f t="shared" si="4"/>
        <v/>
      </c>
      <c r="F490" s="6" t="str">
        <f>IF($A490&lt;&gt;"",MAXIFS(#REF!,Token!$A:$A,$D490),)</f>
        <v/>
      </c>
    </row>
    <row r="491">
      <c r="A491" s="35" t="str">
        <f t="shared" si="1"/>
        <v/>
      </c>
      <c r="B491" s="22" t="str">
        <f t="shared" si="2"/>
        <v/>
      </c>
      <c r="C491" s="14" t="str">
        <f>IF($A491&lt;&gt;"",MINIFS(Merchant!$A:$A,Merchant!$B:$B,$G$2),)</f>
        <v/>
      </c>
      <c r="D491" s="14" t="str">
        <f t="shared" si="3"/>
        <v/>
      </c>
      <c r="E491" s="14" t="str">
        <f t="shared" si="4"/>
        <v/>
      </c>
      <c r="F491" s="6" t="str">
        <f>IF($A491&lt;&gt;"",MAXIFS(#REF!,Token!$A:$A,$D491),)</f>
        <v/>
      </c>
    </row>
    <row r="492">
      <c r="A492" s="35" t="str">
        <f t="shared" si="1"/>
        <v/>
      </c>
      <c r="B492" s="22" t="str">
        <f t="shared" si="2"/>
        <v/>
      </c>
      <c r="C492" s="14" t="str">
        <f>IF($A492&lt;&gt;"",MINIFS(Merchant!$A:$A,Merchant!$B:$B,$G$2),)</f>
        <v/>
      </c>
      <c r="D492" s="14" t="str">
        <f t="shared" si="3"/>
        <v/>
      </c>
      <c r="E492" s="14" t="str">
        <f t="shared" si="4"/>
        <v/>
      </c>
      <c r="F492" s="6" t="str">
        <f>IF($A492&lt;&gt;"",MAXIFS(#REF!,Token!$A:$A,$D492),)</f>
        <v/>
      </c>
    </row>
    <row r="493">
      <c r="A493" s="35" t="str">
        <f t="shared" si="1"/>
        <v/>
      </c>
      <c r="B493" s="22" t="str">
        <f t="shared" si="2"/>
        <v/>
      </c>
      <c r="C493" s="14" t="str">
        <f>IF($A493&lt;&gt;"",MINIFS(Merchant!$A:$A,Merchant!$B:$B,$G$2),)</f>
        <v/>
      </c>
      <c r="D493" s="14" t="str">
        <f t="shared" si="3"/>
        <v/>
      </c>
      <c r="E493" s="14" t="str">
        <f t="shared" si="4"/>
        <v/>
      </c>
      <c r="F493" s="6" t="str">
        <f>IF($A493&lt;&gt;"",MAXIFS(#REF!,Token!$A:$A,$D493),)</f>
        <v/>
      </c>
    </row>
    <row r="494">
      <c r="A494" s="35" t="str">
        <f t="shared" si="1"/>
        <v/>
      </c>
      <c r="B494" s="22" t="str">
        <f t="shared" si="2"/>
        <v/>
      </c>
      <c r="C494" s="14" t="str">
        <f>IF($A494&lt;&gt;"",MINIFS(Merchant!$A:$A,Merchant!$B:$B,$G$2),)</f>
        <v/>
      </c>
      <c r="D494" s="14" t="str">
        <f t="shared" si="3"/>
        <v/>
      </c>
      <c r="E494" s="14" t="str">
        <f t="shared" si="4"/>
        <v/>
      </c>
      <c r="F494" s="6" t="str">
        <f>IF($A494&lt;&gt;"",MAXIFS(#REF!,Token!$A:$A,$D494),)</f>
        <v/>
      </c>
    </row>
    <row r="495">
      <c r="A495" s="35" t="str">
        <f t="shared" si="1"/>
        <v/>
      </c>
      <c r="B495" s="22" t="str">
        <f t="shared" si="2"/>
        <v/>
      </c>
      <c r="C495" s="14" t="str">
        <f>IF($A495&lt;&gt;"",MINIFS(Merchant!$A:$A,Merchant!$B:$B,$G$2),)</f>
        <v/>
      </c>
      <c r="D495" s="14" t="str">
        <f t="shared" si="3"/>
        <v/>
      </c>
      <c r="E495" s="14" t="str">
        <f t="shared" si="4"/>
        <v/>
      </c>
      <c r="F495" s="6" t="str">
        <f>IF($A495&lt;&gt;"",MAXIFS(#REF!,Token!$A:$A,$D495),)</f>
        <v/>
      </c>
    </row>
    <row r="496">
      <c r="A496" s="35" t="str">
        <f t="shared" si="1"/>
        <v/>
      </c>
      <c r="B496" s="22" t="str">
        <f t="shared" si="2"/>
        <v/>
      </c>
      <c r="C496" s="14" t="str">
        <f>IF($A496&lt;&gt;"",MINIFS(Merchant!$A:$A,Merchant!$B:$B,$G$2),)</f>
        <v/>
      </c>
      <c r="D496" s="14" t="str">
        <f t="shared" si="3"/>
        <v/>
      </c>
      <c r="E496" s="14" t="str">
        <f t="shared" si="4"/>
        <v/>
      </c>
      <c r="F496" s="6" t="str">
        <f>IF($A496&lt;&gt;"",MAXIFS(#REF!,Token!$A:$A,$D496),)</f>
        <v/>
      </c>
    </row>
    <row r="497">
      <c r="A497" s="35" t="str">
        <f t="shared" si="1"/>
        <v/>
      </c>
      <c r="B497" s="22" t="str">
        <f t="shared" si="2"/>
        <v/>
      </c>
      <c r="C497" s="14" t="str">
        <f>IF($A497&lt;&gt;"",MINIFS(Merchant!$A:$A,Merchant!$B:$B,$G$2),)</f>
        <v/>
      </c>
      <c r="D497" s="14" t="str">
        <f t="shared" si="3"/>
        <v/>
      </c>
      <c r="E497" s="14" t="str">
        <f t="shared" si="4"/>
        <v/>
      </c>
      <c r="F497" s="6" t="str">
        <f>IF($A497&lt;&gt;"",MAXIFS(#REF!,Token!$A:$A,$D497),)</f>
        <v/>
      </c>
    </row>
    <row r="498">
      <c r="A498" s="35" t="str">
        <f t="shared" si="1"/>
        <v/>
      </c>
      <c r="B498" s="22" t="str">
        <f t="shared" si="2"/>
        <v/>
      </c>
      <c r="C498" s="14" t="str">
        <f>IF($A498&lt;&gt;"",MINIFS(Merchant!$A:$A,Merchant!$B:$B,$G$2),)</f>
        <v/>
      </c>
      <c r="D498" s="14" t="str">
        <f t="shared" si="3"/>
        <v/>
      </c>
      <c r="E498" s="14" t="str">
        <f t="shared" si="4"/>
        <v/>
      </c>
      <c r="F498" s="6" t="str">
        <f>IF($A498&lt;&gt;"",MAXIFS(#REF!,Token!$A:$A,$D498),)</f>
        <v/>
      </c>
    </row>
    <row r="499">
      <c r="A499" s="35" t="str">
        <f t="shared" si="1"/>
        <v/>
      </c>
      <c r="B499" s="22" t="str">
        <f t="shared" si="2"/>
        <v/>
      </c>
      <c r="C499" s="14" t="str">
        <f>IF($A499&lt;&gt;"",MINIFS(Merchant!$A:$A,Merchant!$B:$B,$G$2),)</f>
        <v/>
      </c>
      <c r="D499" s="14" t="str">
        <f t="shared" si="3"/>
        <v/>
      </c>
      <c r="E499" s="14" t="str">
        <f t="shared" si="4"/>
        <v/>
      </c>
      <c r="F499" s="6" t="str">
        <f>IF($A499&lt;&gt;"",MAXIFS(#REF!,Token!$A:$A,$D499),)</f>
        <v/>
      </c>
    </row>
    <row r="500">
      <c r="A500" s="35" t="str">
        <f t="shared" si="1"/>
        <v/>
      </c>
      <c r="B500" s="22" t="str">
        <f t="shared" si="2"/>
        <v/>
      </c>
      <c r="C500" s="14" t="str">
        <f>IF($A500&lt;&gt;"",MINIFS(Merchant!$A:$A,Merchant!$B:$B,$G$2),)</f>
        <v/>
      </c>
      <c r="D500" s="14" t="str">
        <f t="shared" si="3"/>
        <v/>
      </c>
      <c r="E500" s="14" t="str">
        <f t="shared" si="4"/>
        <v/>
      </c>
      <c r="F500" s="6" t="str">
        <f>IF($A500&lt;&gt;"",MAXIFS(#REF!,Token!$A:$A,$D500),)</f>
        <v/>
      </c>
    </row>
    <row r="501">
      <c r="A501" s="35" t="str">
        <f t="shared" si="1"/>
        <v/>
      </c>
      <c r="B501" s="22" t="str">
        <f t="shared" si="2"/>
        <v/>
      </c>
      <c r="C501" s="14" t="str">
        <f>IF($A501&lt;&gt;"",MINIFS(Merchant!$A:$A,Merchant!$B:$B,$G$2),)</f>
        <v/>
      </c>
      <c r="D501" s="14" t="str">
        <f t="shared" si="3"/>
        <v/>
      </c>
      <c r="E501" s="14" t="str">
        <f t="shared" si="4"/>
        <v/>
      </c>
      <c r="F501" s="6" t="str">
        <f>IF($A501&lt;&gt;"",MAXIFS(#REF!,Token!$A:$A,$D501),)</f>
        <v/>
      </c>
    </row>
    <row r="502">
      <c r="A502" s="35" t="str">
        <f t="shared" si="1"/>
        <v/>
      </c>
      <c r="B502" s="22" t="str">
        <f t="shared" si="2"/>
        <v/>
      </c>
      <c r="C502" s="14" t="str">
        <f>IF($A502&lt;&gt;"",MINIFS(Merchant!$A:$A,Merchant!$B:$B,$G$2),)</f>
        <v/>
      </c>
      <c r="D502" s="14" t="str">
        <f t="shared" si="3"/>
        <v/>
      </c>
      <c r="E502" s="14" t="str">
        <f t="shared" si="4"/>
        <v/>
      </c>
      <c r="F502" s="6" t="str">
        <f>IF($A502&lt;&gt;"",MAXIFS(#REF!,Token!$A:$A,$D502),)</f>
        <v/>
      </c>
    </row>
    <row r="503">
      <c r="A503" s="35" t="str">
        <f t="shared" si="1"/>
        <v/>
      </c>
      <c r="B503" s="22" t="str">
        <f t="shared" si="2"/>
        <v/>
      </c>
      <c r="C503" s="14" t="str">
        <f>IF($A503&lt;&gt;"",MINIFS(Merchant!$A:$A,Merchant!$B:$B,$G$2),)</f>
        <v/>
      </c>
      <c r="D503" s="14" t="str">
        <f t="shared" si="3"/>
        <v/>
      </c>
      <c r="E503" s="14" t="str">
        <f t="shared" si="4"/>
        <v/>
      </c>
      <c r="F503" s="6" t="str">
        <f>IF($A503&lt;&gt;"",MAXIFS(#REF!,Token!$A:$A,$D503),)</f>
        <v/>
      </c>
    </row>
    <row r="504">
      <c r="A504" s="35" t="str">
        <f t="shared" si="1"/>
        <v/>
      </c>
      <c r="B504" s="22" t="str">
        <f t="shared" si="2"/>
        <v/>
      </c>
      <c r="C504" s="14" t="str">
        <f>IF($A504&lt;&gt;"",MINIFS(Merchant!$A:$A,Merchant!$B:$B,$G$2),)</f>
        <v/>
      </c>
      <c r="D504" s="14" t="str">
        <f t="shared" si="3"/>
        <v/>
      </c>
      <c r="E504" s="14" t="str">
        <f t="shared" si="4"/>
        <v/>
      </c>
      <c r="F504" s="6" t="str">
        <f>IF($A504&lt;&gt;"",MAXIFS(#REF!,Token!$A:$A,$D504),)</f>
        <v/>
      </c>
    </row>
    <row r="505">
      <c r="A505" s="35" t="str">
        <f t="shared" si="1"/>
        <v/>
      </c>
      <c r="B505" s="22" t="str">
        <f t="shared" si="2"/>
        <v/>
      </c>
      <c r="C505" s="14" t="str">
        <f>IF($A505&lt;&gt;"",MINIFS(Merchant!$A:$A,Merchant!$B:$B,$G$2),)</f>
        <v/>
      </c>
      <c r="D505" s="14" t="str">
        <f t="shared" si="3"/>
        <v/>
      </c>
      <c r="E505" s="14" t="str">
        <f t="shared" si="4"/>
        <v/>
      </c>
      <c r="F505" s="6" t="str">
        <f>IF($A505&lt;&gt;"",MAXIFS(#REF!,Token!$A:$A,$D505),)</f>
        <v/>
      </c>
    </row>
    <row r="506">
      <c r="A506" s="35" t="str">
        <f t="shared" si="1"/>
        <v/>
      </c>
      <c r="B506" s="22" t="str">
        <f t="shared" si="2"/>
        <v/>
      </c>
      <c r="C506" s="14" t="str">
        <f>IF($A506&lt;&gt;"",MINIFS(Merchant!$A:$A,Merchant!$B:$B,$G$2),)</f>
        <v/>
      </c>
      <c r="D506" s="14" t="str">
        <f t="shared" si="3"/>
        <v/>
      </c>
      <c r="E506" s="14" t="str">
        <f t="shared" si="4"/>
        <v/>
      </c>
      <c r="F506" s="6" t="str">
        <f>IF($A506&lt;&gt;"",MAXIFS(#REF!,Token!$A:$A,$D506),)</f>
        <v/>
      </c>
    </row>
    <row r="507">
      <c r="A507" s="35" t="str">
        <f t="shared" si="1"/>
        <v/>
      </c>
      <c r="B507" s="22" t="str">
        <f t="shared" si="2"/>
        <v/>
      </c>
      <c r="C507" s="14" t="str">
        <f>IF($A507&lt;&gt;"",MINIFS(Merchant!$A:$A,Merchant!$B:$B,$G$2),)</f>
        <v/>
      </c>
      <c r="D507" s="14" t="str">
        <f t="shared" si="3"/>
        <v/>
      </c>
      <c r="E507" s="14" t="str">
        <f t="shared" si="4"/>
        <v/>
      </c>
      <c r="F507" s="6" t="str">
        <f>IF($A507&lt;&gt;"",MAXIFS(#REF!,Token!$A:$A,$D507),)</f>
        <v/>
      </c>
    </row>
    <row r="508">
      <c r="A508" s="35" t="str">
        <f t="shared" si="1"/>
        <v/>
      </c>
      <c r="B508" s="22" t="str">
        <f t="shared" si="2"/>
        <v/>
      </c>
      <c r="C508" s="14" t="str">
        <f>IF($A508&lt;&gt;"",MINIFS(Merchant!$A:$A,Merchant!$B:$B,$G$2),)</f>
        <v/>
      </c>
      <c r="D508" s="14" t="str">
        <f t="shared" si="3"/>
        <v/>
      </c>
      <c r="E508" s="14" t="str">
        <f t="shared" si="4"/>
        <v/>
      </c>
      <c r="F508" s="6" t="str">
        <f>IF($A508&lt;&gt;"",MAXIFS(#REF!,Token!$A:$A,$D508),)</f>
        <v/>
      </c>
    </row>
    <row r="509">
      <c r="A509" s="35" t="str">
        <f t="shared" si="1"/>
        <v/>
      </c>
      <c r="B509" s="22" t="str">
        <f t="shared" si="2"/>
        <v/>
      </c>
      <c r="C509" s="14" t="str">
        <f>IF($A509&lt;&gt;"",MINIFS(Merchant!$A:$A,Merchant!$B:$B,$G$2),)</f>
        <v/>
      </c>
      <c r="D509" s="14" t="str">
        <f t="shared" si="3"/>
        <v/>
      </c>
      <c r="E509" s="14" t="str">
        <f t="shared" si="4"/>
        <v/>
      </c>
      <c r="F509" s="6" t="str">
        <f>IF($A509&lt;&gt;"",MAXIFS(#REF!,Token!$A:$A,$D509),)</f>
        <v/>
      </c>
    </row>
    <row r="510">
      <c r="A510" s="35" t="str">
        <f t="shared" si="1"/>
        <v/>
      </c>
      <c r="B510" s="22" t="str">
        <f t="shared" si="2"/>
        <v/>
      </c>
      <c r="C510" s="14" t="str">
        <f>IF($A510&lt;&gt;"",MINIFS(Merchant!$A:$A,Merchant!$B:$B,$G$2),)</f>
        <v/>
      </c>
      <c r="D510" s="14" t="str">
        <f t="shared" si="3"/>
        <v/>
      </c>
      <c r="E510" s="14" t="str">
        <f t="shared" si="4"/>
        <v/>
      </c>
      <c r="F510" s="6" t="str">
        <f>IF($A510&lt;&gt;"",MAXIFS(#REF!,Token!$A:$A,$D510),)</f>
        <v/>
      </c>
    </row>
    <row r="511">
      <c r="A511" s="35" t="str">
        <f t="shared" si="1"/>
        <v/>
      </c>
      <c r="B511" s="22" t="str">
        <f t="shared" si="2"/>
        <v/>
      </c>
      <c r="C511" s="14" t="str">
        <f>IF($A511&lt;&gt;"",MINIFS(Merchant!$A:$A,Merchant!$B:$B,$G$2),)</f>
        <v/>
      </c>
      <c r="D511" s="14" t="str">
        <f t="shared" si="3"/>
        <v/>
      </c>
      <c r="E511" s="14" t="str">
        <f t="shared" si="4"/>
        <v/>
      </c>
      <c r="F511" s="6" t="str">
        <f>IF($A511&lt;&gt;"",MAXIFS(#REF!,Token!$A:$A,$D511),)</f>
        <v/>
      </c>
    </row>
    <row r="512">
      <c r="A512" s="35" t="str">
        <f t="shared" si="1"/>
        <v/>
      </c>
      <c r="B512" s="22" t="str">
        <f t="shared" si="2"/>
        <v/>
      </c>
      <c r="C512" s="14" t="str">
        <f>IF($A512&lt;&gt;"",MINIFS(Merchant!$A:$A,Merchant!$B:$B,$G$2),)</f>
        <v/>
      </c>
      <c r="D512" s="14" t="str">
        <f t="shared" si="3"/>
        <v/>
      </c>
      <c r="E512" s="14" t="str">
        <f t="shared" si="4"/>
        <v/>
      </c>
      <c r="F512" s="6" t="str">
        <f>IF($A512&lt;&gt;"",MAXIFS(#REF!,Token!$A:$A,$D512),)</f>
        <v/>
      </c>
    </row>
    <row r="513">
      <c r="A513" s="35" t="str">
        <f t="shared" si="1"/>
        <v/>
      </c>
      <c r="B513" s="22" t="str">
        <f t="shared" si="2"/>
        <v/>
      </c>
      <c r="C513" s="14" t="str">
        <f>IF($A513&lt;&gt;"",MINIFS(Merchant!$A:$A,Merchant!$B:$B,$G$2),)</f>
        <v/>
      </c>
      <c r="D513" s="14" t="str">
        <f t="shared" si="3"/>
        <v/>
      </c>
      <c r="E513" s="14" t="str">
        <f t="shared" si="4"/>
        <v/>
      </c>
      <c r="F513" s="6" t="str">
        <f>IF($A513&lt;&gt;"",MAXIFS(#REF!,Token!$A:$A,$D513),)</f>
        <v/>
      </c>
    </row>
    <row r="514">
      <c r="A514" s="35" t="str">
        <f t="shared" si="1"/>
        <v/>
      </c>
      <c r="B514" s="22" t="str">
        <f t="shared" si="2"/>
        <v/>
      </c>
      <c r="C514" s="14" t="str">
        <f>IF($A514&lt;&gt;"",MINIFS(Merchant!$A:$A,Merchant!$B:$B,$G$2),)</f>
        <v/>
      </c>
      <c r="D514" s="14" t="str">
        <f t="shared" si="3"/>
        <v/>
      </c>
      <c r="E514" s="14" t="str">
        <f t="shared" si="4"/>
        <v/>
      </c>
      <c r="F514" s="6" t="str">
        <f>IF($A514&lt;&gt;"",MAXIFS(#REF!,Token!$A:$A,$D514),)</f>
        <v/>
      </c>
    </row>
    <row r="515">
      <c r="A515" s="35" t="str">
        <f t="shared" si="1"/>
        <v/>
      </c>
      <c r="B515" s="22" t="str">
        <f t="shared" si="2"/>
        <v/>
      </c>
      <c r="C515" s="14" t="str">
        <f>IF($A515&lt;&gt;"",MINIFS(Merchant!$A:$A,Merchant!$B:$B,$G$2),)</f>
        <v/>
      </c>
      <c r="D515" s="14" t="str">
        <f t="shared" si="3"/>
        <v/>
      </c>
      <c r="E515" s="14" t="str">
        <f t="shared" si="4"/>
        <v/>
      </c>
      <c r="F515" s="6" t="str">
        <f>IF($A515&lt;&gt;"",MAXIFS(#REF!,Token!$A:$A,$D515),)</f>
        <v/>
      </c>
    </row>
    <row r="516">
      <c r="A516" s="35" t="str">
        <f t="shared" si="1"/>
        <v/>
      </c>
      <c r="B516" s="22" t="str">
        <f t="shared" si="2"/>
        <v/>
      </c>
      <c r="C516" s="14" t="str">
        <f>IF($A516&lt;&gt;"",MINIFS(Merchant!$A:$A,Merchant!$B:$B,$G$2),)</f>
        <v/>
      </c>
      <c r="D516" s="14" t="str">
        <f t="shared" si="3"/>
        <v/>
      </c>
      <c r="E516" s="14" t="str">
        <f t="shared" si="4"/>
        <v/>
      </c>
      <c r="F516" s="6" t="str">
        <f>IF($A516&lt;&gt;"",MAXIFS(#REF!,Token!$A:$A,$D516),)</f>
        <v/>
      </c>
    </row>
    <row r="517">
      <c r="A517" s="35" t="str">
        <f t="shared" si="1"/>
        <v/>
      </c>
      <c r="B517" s="22" t="str">
        <f t="shared" si="2"/>
        <v/>
      </c>
      <c r="C517" s="14" t="str">
        <f>IF($A517&lt;&gt;"",MINIFS(Merchant!$A:$A,Merchant!$B:$B,$G$2),)</f>
        <v/>
      </c>
      <c r="D517" s="14" t="str">
        <f t="shared" si="3"/>
        <v/>
      </c>
      <c r="E517" s="14" t="str">
        <f t="shared" si="4"/>
        <v/>
      </c>
      <c r="F517" s="6" t="str">
        <f>IF($A517&lt;&gt;"",MAXIFS(#REF!,Token!$A:$A,$D517),)</f>
        <v/>
      </c>
    </row>
    <row r="518">
      <c r="A518" s="35" t="str">
        <f t="shared" si="1"/>
        <v/>
      </c>
      <c r="B518" s="22" t="str">
        <f t="shared" si="2"/>
        <v/>
      </c>
      <c r="C518" s="14" t="str">
        <f>IF($A518&lt;&gt;"",MINIFS(Merchant!$A:$A,Merchant!$B:$B,$G$2),)</f>
        <v/>
      </c>
      <c r="D518" s="14" t="str">
        <f t="shared" si="3"/>
        <v/>
      </c>
      <c r="E518" s="14" t="str">
        <f t="shared" si="4"/>
        <v/>
      </c>
      <c r="F518" s="6" t="str">
        <f>IF($A518&lt;&gt;"",MAXIFS(#REF!,Token!$A:$A,$D518),)</f>
        <v/>
      </c>
    </row>
    <row r="519">
      <c r="A519" s="35" t="str">
        <f t="shared" si="1"/>
        <v/>
      </c>
      <c r="B519" s="22" t="str">
        <f t="shared" si="2"/>
        <v/>
      </c>
      <c r="C519" s="14" t="str">
        <f>IF($A519&lt;&gt;"",MINIFS(Merchant!$A:$A,Merchant!$B:$B,$G$2),)</f>
        <v/>
      </c>
      <c r="D519" s="14" t="str">
        <f t="shared" si="3"/>
        <v/>
      </c>
      <c r="E519" s="14" t="str">
        <f t="shared" si="4"/>
        <v/>
      </c>
      <c r="F519" s="6" t="str">
        <f>IF($A519&lt;&gt;"",MAXIFS(#REF!,Token!$A:$A,$D519),)</f>
        <v/>
      </c>
    </row>
    <row r="520">
      <c r="A520" s="35" t="str">
        <f t="shared" si="1"/>
        <v/>
      </c>
      <c r="B520" s="22" t="str">
        <f t="shared" si="2"/>
        <v/>
      </c>
      <c r="C520" s="14" t="str">
        <f>IF($A520&lt;&gt;"",MINIFS(Merchant!$A:$A,Merchant!$B:$B,$G$2),)</f>
        <v/>
      </c>
      <c r="D520" s="14" t="str">
        <f t="shared" si="3"/>
        <v/>
      </c>
      <c r="E520" s="14" t="str">
        <f t="shared" si="4"/>
        <v/>
      </c>
      <c r="F520" s="6" t="str">
        <f>IF($A520&lt;&gt;"",MAXIFS(#REF!,Token!$A:$A,$D520),)</f>
        <v/>
      </c>
    </row>
    <row r="521">
      <c r="A521" s="35" t="str">
        <f t="shared" si="1"/>
        <v/>
      </c>
      <c r="B521" s="22" t="str">
        <f t="shared" si="2"/>
        <v/>
      </c>
      <c r="C521" s="14" t="str">
        <f>IF($A521&lt;&gt;"",MINIFS(Merchant!$A:$A,Merchant!$B:$B,$G$2),)</f>
        <v/>
      </c>
      <c r="D521" s="14" t="str">
        <f t="shared" si="3"/>
        <v/>
      </c>
      <c r="E521" s="14" t="str">
        <f t="shared" si="4"/>
        <v/>
      </c>
      <c r="F521" s="6" t="str">
        <f>IF($A521&lt;&gt;"",MAXIFS(#REF!,Token!$A:$A,$D521),)</f>
        <v/>
      </c>
    </row>
    <row r="522">
      <c r="A522" s="35" t="str">
        <f t="shared" si="1"/>
        <v/>
      </c>
      <c r="B522" s="22" t="str">
        <f t="shared" si="2"/>
        <v/>
      </c>
      <c r="C522" s="14" t="str">
        <f>IF($A522&lt;&gt;"",MINIFS(Merchant!$A:$A,Merchant!$B:$B,$G$2),)</f>
        <v/>
      </c>
      <c r="D522" s="14" t="str">
        <f t="shared" si="3"/>
        <v/>
      </c>
      <c r="E522" s="14" t="str">
        <f t="shared" si="4"/>
        <v/>
      </c>
      <c r="F522" s="6" t="str">
        <f>IF($A522&lt;&gt;"",MAXIFS(#REF!,Token!$A:$A,$D522),)</f>
        <v/>
      </c>
    </row>
    <row r="523">
      <c r="A523" s="35" t="str">
        <f t="shared" si="1"/>
        <v/>
      </c>
      <c r="B523" s="22" t="str">
        <f t="shared" si="2"/>
        <v/>
      </c>
      <c r="C523" s="14" t="str">
        <f>IF($A523&lt;&gt;"",MINIFS(Merchant!$A:$A,Merchant!$B:$B,$G$2),)</f>
        <v/>
      </c>
      <c r="D523" s="14" t="str">
        <f t="shared" si="3"/>
        <v/>
      </c>
      <c r="E523" s="14" t="str">
        <f t="shared" si="4"/>
        <v/>
      </c>
      <c r="F523" s="6" t="str">
        <f>IF($A523&lt;&gt;"",MAXIFS(#REF!,Token!$A:$A,$D523),)</f>
        <v/>
      </c>
    </row>
    <row r="524">
      <c r="A524" s="35" t="str">
        <f t="shared" si="1"/>
        <v/>
      </c>
      <c r="B524" s="22" t="str">
        <f t="shared" si="2"/>
        <v/>
      </c>
      <c r="C524" s="14" t="str">
        <f>IF($A524&lt;&gt;"",MINIFS(Merchant!$A:$A,Merchant!$B:$B,$G$2),)</f>
        <v/>
      </c>
      <c r="D524" s="14" t="str">
        <f t="shared" si="3"/>
        <v/>
      </c>
      <c r="E524" s="14" t="str">
        <f t="shared" si="4"/>
        <v/>
      </c>
      <c r="F524" s="6" t="str">
        <f>IF($A524&lt;&gt;"",MAXIFS(#REF!,Token!$A:$A,$D524),)</f>
        <v/>
      </c>
    </row>
    <row r="525">
      <c r="A525" s="35" t="str">
        <f t="shared" si="1"/>
        <v/>
      </c>
      <c r="B525" s="22" t="str">
        <f t="shared" si="2"/>
        <v/>
      </c>
      <c r="C525" s="14" t="str">
        <f>IF($A525&lt;&gt;"",MINIFS(Merchant!$A:$A,Merchant!$B:$B,$G$2),)</f>
        <v/>
      </c>
      <c r="D525" s="14" t="str">
        <f t="shared" si="3"/>
        <v/>
      </c>
      <c r="E525" s="14" t="str">
        <f t="shared" si="4"/>
        <v/>
      </c>
      <c r="F525" s="6" t="str">
        <f>IF($A525&lt;&gt;"",MAXIFS(#REF!,Token!$A:$A,$D525),)</f>
        <v/>
      </c>
    </row>
    <row r="526">
      <c r="A526" s="35" t="str">
        <f t="shared" si="1"/>
        <v/>
      </c>
      <c r="B526" s="22" t="str">
        <f t="shared" si="2"/>
        <v/>
      </c>
      <c r="C526" s="14" t="str">
        <f>IF($A526&lt;&gt;"",MINIFS(Merchant!$A:$A,Merchant!$B:$B,$G$2),)</f>
        <v/>
      </c>
      <c r="D526" s="14" t="str">
        <f t="shared" si="3"/>
        <v/>
      </c>
      <c r="E526" s="14" t="str">
        <f t="shared" si="4"/>
        <v/>
      </c>
      <c r="F526" s="6" t="str">
        <f>IF($A526&lt;&gt;"",MAXIFS(#REF!,Token!$A:$A,$D526),)</f>
        <v/>
      </c>
    </row>
    <row r="527">
      <c r="A527" s="35" t="str">
        <f t="shared" si="1"/>
        <v/>
      </c>
      <c r="B527" s="22" t="str">
        <f t="shared" si="2"/>
        <v/>
      </c>
      <c r="C527" s="14" t="str">
        <f>IF($A527&lt;&gt;"",MINIFS(Merchant!$A:$A,Merchant!$B:$B,$G$2),)</f>
        <v/>
      </c>
      <c r="D527" s="14" t="str">
        <f t="shared" si="3"/>
        <v/>
      </c>
      <c r="E527" s="14" t="str">
        <f t="shared" si="4"/>
        <v/>
      </c>
      <c r="F527" s="6" t="str">
        <f>IF($A527&lt;&gt;"",MAXIFS(#REF!,Token!$A:$A,$D527),)</f>
        <v/>
      </c>
    </row>
    <row r="528">
      <c r="A528" s="35" t="str">
        <f t="shared" si="1"/>
        <v/>
      </c>
      <c r="B528" s="22" t="str">
        <f t="shared" si="2"/>
        <v/>
      </c>
      <c r="C528" s="14" t="str">
        <f>IF($A528&lt;&gt;"",MINIFS(Merchant!$A:$A,Merchant!$B:$B,$G$2),)</f>
        <v/>
      </c>
      <c r="D528" s="14" t="str">
        <f t="shared" si="3"/>
        <v/>
      </c>
      <c r="E528" s="14" t="str">
        <f t="shared" si="4"/>
        <v/>
      </c>
      <c r="F528" s="6" t="str">
        <f>IF($A528&lt;&gt;"",MAXIFS(#REF!,Token!$A:$A,$D528),)</f>
        <v/>
      </c>
    </row>
    <row r="529">
      <c r="A529" s="35" t="str">
        <f t="shared" si="1"/>
        <v/>
      </c>
      <c r="B529" s="22" t="str">
        <f t="shared" si="2"/>
        <v/>
      </c>
      <c r="C529" s="14" t="str">
        <f>IF($A529&lt;&gt;"",MINIFS(Merchant!$A:$A,Merchant!$B:$B,$G$2),)</f>
        <v/>
      </c>
      <c r="D529" s="14" t="str">
        <f t="shared" si="3"/>
        <v/>
      </c>
      <c r="E529" s="14" t="str">
        <f t="shared" si="4"/>
        <v/>
      </c>
      <c r="F529" s="6" t="str">
        <f>IF($A529&lt;&gt;"",MAXIFS(#REF!,Token!$A:$A,$D529),)</f>
        <v/>
      </c>
    </row>
    <row r="530">
      <c r="A530" s="35" t="str">
        <f t="shared" si="1"/>
        <v/>
      </c>
      <c r="B530" s="22" t="str">
        <f t="shared" si="2"/>
        <v/>
      </c>
      <c r="C530" s="14" t="str">
        <f>IF($A530&lt;&gt;"",MINIFS(Merchant!$A:$A,Merchant!$B:$B,$G$2),)</f>
        <v/>
      </c>
      <c r="D530" s="14" t="str">
        <f t="shared" si="3"/>
        <v/>
      </c>
      <c r="E530" s="14" t="str">
        <f t="shared" si="4"/>
        <v/>
      </c>
      <c r="F530" s="6" t="str">
        <f>IF($A530&lt;&gt;"",MAXIFS(#REF!,Token!$A:$A,$D530),)</f>
        <v/>
      </c>
    </row>
    <row r="531">
      <c r="A531" s="35" t="str">
        <f t="shared" si="1"/>
        <v/>
      </c>
      <c r="B531" s="22" t="str">
        <f t="shared" si="2"/>
        <v/>
      </c>
      <c r="C531" s="14" t="str">
        <f>IF($A531&lt;&gt;"",MINIFS(Merchant!$A:$A,Merchant!$B:$B,$G$2),)</f>
        <v/>
      </c>
      <c r="D531" s="14" t="str">
        <f t="shared" si="3"/>
        <v/>
      </c>
      <c r="E531" s="14" t="str">
        <f t="shared" si="4"/>
        <v/>
      </c>
      <c r="F531" s="6" t="str">
        <f>IF($A531&lt;&gt;"",MAXIFS(#REF!,Token!$A:$A,$D531),)</f>
        <v/>
      </c>
    </row>
    <row r="532">
      <c r="A532" s="35" t="str">
        <f t="shared" si="1"/>
        <v/>
      </c>
      <c r="B532" s="22" t="str">
        <f t="shared" si="2"/>
        <v/>
      </c>
      <c r="C532" s="14" t="str">
        <f>IF($A532&lt;&gt;"",MINIFS(Merchant!$A:$A,Merchant!$B:$B,$G$2),)</f>
        <v/>
      </c>
      <c r="D532" s="14" t="str">
        <f t="shared" si="3"/>
        <v/>
      </c>
      <c r="E532" s="14" t="str">
        <f t="shared" si="4"/>
        <v/>
      </c>
      <c r="F532" s="6" t="str">
        <f>IF($A532&lt;&gt;"",MAXIFS(#REF!,Token!$A:$A,$D532),)</f>
        <v/>
      </c>
    </row>
    <row r="533">
      <c r="A533" s="35" t="str">
        <f t="shared" si="1"/>
        <v/>
      </c>
      <c r="B533" s="22" t="str">
        <f t="shared" si="2"/>
        <v/>
      </c>
      <c r="C533" s="14" t="str">
        <f>IF($A533&lt;&gt;"",MINIFS(Merchant!$A:$A,Merchant!$B:$B,$G$2),)</f>
        <v/>
      </c>
      <c r="D533" s="14" t="str">
        <f t="shared" si="3"/>
        <v/>
      </c>
      <c r="E533" s="14" t="str">
        <f t="shared" si="4"/>
        <v/>
      </c>
      <c r="F533" s="6" t="str">
        <f>IF($A533&lt;&gt;"",MAXIFS(#REF!,Token!$A:$A,$D533),)</f>
        <v/>
      </c>
    </row>
    <row r="534">
      <c r="A534" s="35" t="str">
        <f t="shared" si="1"/>
        <v/>
      </c>
      <c r="B534" s="22" t="str">
        <f t="shared" si="2"/>
        <v/>
      </c>
      <c r="C534" s="14" t="str">
        <f>IF($A534&lt;&gt;"",MINIFS(Merchant!$A:$A,Merchant!$B:$B,$G$2),)</f>
        <v/>
      </c>
      <c r="D534" s="14" t="str">
        <f t="shared" si="3"/>
        <v/>
      </c>
      <c r="E534" s="14" t="str">
        <f t="shared" si="4"/>
        <v/>
      </c>
      <c r="F534" s="6" t="str">
        <f>IF($A534&lt;&gt;"",MAXIFS(#REF!,Token!$A:$A,$D534),)</f>
        <v/>
      </c>
    </row>
    <row r="535">
      <c r="A535" s="35" t="str">
        <f t="shared" si="1"/>
        <v/>
      </c>
      <c r="B535" s="22" t="str">
        <f t="shared" si="2"/>
        <v/>
      </c>
      <c r="C535" s="14" t="str">
        <f>IF($A535&lt;&gt;"",MINIFS(Merchant!$A:$A,Merchant!$B:$B,$G$2),)</f>
        <v/>
      </c>
      <c r="D535" s="14" t="str">
        <f t="shared" si="3"/>
        <v/>
      </c>
      <c r="E535" s="14" t="str">
        <f t="shared" si="4"/>
        <v/>
      </c>
      <c r="F535" s="6" t="str">
        <f>IF($A535&lt;&gt;"",MAXIFS(#REF!,Token!$A:$A,$D535),)</f>
        <v/>
      </c>
    </row>
    <row r="536">
      <c r="A536" s="35" t="str">
        <f t="shared" si="1"/>
        <v/>
      </c>
      <c r="B536" s="22" t="str">
        <f t="shared" si="2"/>
        <v/>
      </c>
      <c r="C536" s="14" t="str">
        <f>IF($A536&lt;&gt;"",MINIFS(Merchant!$A:$A,Merchant!$B:$B,$G$2),)</f>
        <v/>
      </c>
      <c r="D536" s="14" t="str">
        <f t="shared" si="3"/>
        <v/>
      </c>
      <c r="E536" s="14" t="str">
        <f t="shared" si="4"/>
        <v/>
      </c>
      <c r="F536" s="6" t="str">
        <f>IF($A536&lt;&gt;"",MAXIFS(#REF!,Token!$A:$A,$D536),)</f>
        <v/>
      </c>
    </row>
    <row r="537">
      <c r="A537" s="35" t="str">
        <f t="shared" si="1"/>
        <v/>
      </c>
      <c r="B537" s="22" t="str">
        <f t="shared" si="2"/>
        <v/>
      </c>
      <c r="C537" s="14" t="str">
        <f>IF($A537&lt;&gt;"",MINIFS(Merchant!$A:$A,Merchant!$B:$B,$G$2),)</f>
        <v/>
      </c>
      <c r="D537" s="14" t="str">
        <f t="shared" si="3"/>
        <v/>
      </c>
      <c r="E537" s="14" t="str">
        <f t="shared" si="4"/>
        <v/>
      </c>
      <c r="F537" s="6" t="str">
        <f>IF($A537&lt;&gt;"",MAXIFS(#REF!,Token!$A:$A,$D537),)</f>
        <v/>
      </c>
    </row>
    <row r="538">
      <c r="A538" s="35" t="str">
        <f t="shared" si="1"/>
        <v/>
      </c>
      <c r="B538" s="22" t="str">
        <f t="shared" si="2"/>
        <v/>
      </c>
      <c r="C538" s="14" t="str">
        <f>IF($A538&lt;&gt;"",MINIFS(Merchant!$A:$A,Merchant!$B:$B,$G$2),)</f>
        <v/>
      </c>
      <c r="D538" s="14" t="str">
        <f t="shared" si="3"/>
        <v/>
      </c>
      <c r="E538" s="14" t="str">
        <f t="shared" si="4"/>
        <v/>
      </c>
      <c r="F538" s="6" t="str">
        <f>IF($A538&lt;&gt;"",MAXIFS(#REF!,Token!$A:$A,$D538),)</f>
        <v/>
      </c>
    </row>
    <row r="539">
      <c r="A539" s="35" t="str">
        <f t="shared" si="1"/>
        <v/>
      </c>
      <c r="B539" s="22" t="str">
        <f t="shared" si="2"/>
        <v/>
      </c>
      <c r="C539" s="14" t="str">
        <f>IF($A539&lt;&gt;"",MINIFS(Merchant!$A:$A,Merchant!$B:$B,$G$2),)</f>
        <v/>
      </c>
      <c r="D539" s="14" t="str">
        <f t="shared" si="3"/>
        <v/>
      </c>
      <c r="E539" s="14" t="str">
        <f t="shared" si="4"/>
        <v/>
      </c>
      <c r="F539" s="6" t="str">
        <f>IF($A539&lt;&gt;"",MAXIFS(#REF!,Token!$A:$A,$D539),)</f>
        <v/>
      </c>
    </row>
    <row r="540">
      <c r="A540" s="35" t="str">
        <f t="shared" si="1"/>
        <v/>
      </c>
      <c r="B540" s="22" t="str">
        <f t="shared" si="2"/>
        <v/>
      </c>
      <c r="C540" s="14" t="str">
        <f>IF($A540&lt;&gt;"",MINIFS(Merchant!$A:$A,Merchant!$B:$B,$G$2),)</f>
        <v/>
      </c>
      <c r="D540" s="14" t="str">
        <f t="shared" si="3"/>
        <v/>
      </c>
      <c r="E540" s="14" t="str">
        <f t="shared" si="4"/>
        <v/>
      </c>
      <c r="F540" s="6" t="str">
        <f>IF($A540&lt;&gt;"",MAXIFS(#REF!,Token!$A:$A,$D540),)</f>
        <v/>
      </c>
    </row>
    <row r="541">
      <c r="A541" s="35" t="str">
        <f t="shared" si="1"/>
        <v/>
      </c>
      <c r="B541" s="22" t="str">
        <f t="shared" si="2"/>
        <v/>
      </c>
      <c r="C541" s="14" t="str">
        <f>IF($A541&lt;&gt;"",MINIFS(Merchant!$A:$A,Merchant!$B:$B,$G$2),)</f>
        <v/>
      </c>
      <c r="D541" s="14" t="str">
        <f t="shared" si="3"/>
        <v/>
      </c>
      <c r="E541" s="14" t="str">
        <f t="shared" si="4"/>
        <v/>
      </c>
      <c r="F541" s="6" t="str">
        <f>IF($A541&lt;&gt;"",MAXIFS(#REF!,Token!$A:$A,$D541),)</f>
        <v/>
      </c>
    </row>
    <row r="542">
      <c r="A542" s="35" t="str">
        <f t="shared" si="1"/>
        <v/>
      </c>
      <c r="B542" s="22" t="str">
        <f t="shared" si="2"/>
        <v/>
      </c>
      <c r="C542" s="14" t="str">
        <f>IF($A542&lt;&gt;"",MINIFS(Merchant!$A:$A,Merchant!$B:$B,$G$2),)</f>
        <v/>
      </c>
      <c r="D542" s="14" t="str">
        <f t="shared" si="3"/>
        <v/>
      </c>
      <c r="E542" s="14" t="str">
        <f t="shared" si="4"/>
        <v/>
      </c>
      <c r="F542" s="6" t="str">
        <f>IF($A542&lt;&gt;"",MAXIFS(#REF!,Token!$A:$A,$D542),)</f>
        <v/>
      </c>
    </row>
    <row r="543">
      <c r="A543" s="35" t="str">
        <f t="shared" si="1"/>
        <v/>
      </c>
      <c r="B543" s="22" t="str">
        <f t="shared" si="2"/>
        <v/>
      </c>
      <c r="C543" s="14" t="str">
        <f>IF($A543&lt;&gt;"",MINIFS(Merchant!$A:$A,Merchant!$B:$B,$G$2),)</f>
        <v/>
      </c>
      <c r="D543" s="14" t="str">
        <f t="shared" si="3"/>
        <v/>
      </c>
      <c r="E543" s="14" t="str">
        <f t="shared" si="4"/>
        <v/>
      </c>
      <c r="F543" s="6" t="str">
        <f>IF($A543&lt;&gt;"",MAXIFS(#REF!,Token!$A:$A,$D543),)</f>
        <v/>
      </c>
    </row>
    <row r="544">
      <c r="A544" s="35" t="str">
        <f t="shared" si="1"/>
        <v/>
      </c>
      <c r="B544" s="22" t="str">
        <f t="shared" si="2"/>
        <v/>
      </c>
      <c r="C544" s="14" t="str">
        <f>IF($A544&lt;&gt;"",MINIFS(Merchant!$A:$A,Merchant!$B:$B,$G$2),)</f>
        <v/>
      </c>
      <c r="D544" s="14" t="str">
        <f t="shared" si="3"/>
        <v/>
      </c>
      <c r="E544" s="14" t="str">
        <f t="shared" si="4"/>
        <v/>
      </c>
      <c r="F544" s="6" t="str">
        <f>IF($A544&lt;&gt;"",MAXIFS(#REF!,Token!$A:$A,$D544),)</f>
        <v/>
      </c>
    </row>
    <row r="545">
      <c r="A545" s="35" t="str">
        <f t="shared" si="1"/>
        <v/>
      </c>
      <c r="B545" s="22" t="str">
        <f t="shared" si="2"/>
        <v/>
      </c>
      <c r="C545" s="14" t="str">
        <f>IF($A545&lt;&gt;"",MINIFS(Merchant!$A:$A,Merchant!$B:$B,$G$2),)</f>
        <v/>
      </c>
      <c r="D545" s="14" t="str">
        <f t="shared" si="3"/>
        <v/>
      </c>
      <c r="E545" s="14" t="str">
        <f t="shared" si="4"/>
        <v/>
      </c>
      <c r="F545" s="6" t="str">
        <f>IF($A545&lt;&gt;"",MAXIFS(#REF!,Token!$A:$A,$D545),)</f>
        <v/>
      </c>
    </row>
    <row r="546">
      <c r="A546" s="35" t="str">
        <f t="shared" si="1"/>
        <v/>
      </c>
      <c r="B546" s="22" t="str">
        <f t="shared" si="2"/>
        <v/>
      </c>
      <c r="C546" s="14" t="str">
        <f>IF($A546&lt;&gt;"",MINIFS(Merchant!$A:$A,Merchant!$B:$B,$G$2),)</f>
        <v/>
      </c>
      <c r="D546" s="14" t="str">
        <f t="shared" si="3"/>
        <v/>
      </c>
      <c r="E546" s="14" t="str">
        <f t="shared" si="4"/>
        <v/>
      </c>
      <c r="F546" s="6" t="str">
        <f>IF($A546&lt;&gt;"",MAXIFS(#REF!,Token!$A:$A,$D546),)</f>
        <v/>
      </c>
    </row>
    <row r="547">
      <c r="A547" s="35" t="str">
        <f t="shared" si="1"/>
        <v/>
      </c>
      <c r="B547" s="22" t="str">
        <f t="shared" si="2"/>
        <v/>
      </c>
      <c r="C547" s="14" t="str">
        <f>IF($A547&lt;&gt;"",MINIFS(Merchant!$A:$A,Merchant!$B:$B,$G$2),)</f>
        <v/>
      </c>
      <c r="D547" s="14" t="str">
        <f t="shared" si="3"/>
        <v/>
      </c>
      <c r="E547" s="14" t="str">
        <f t="shared" si="4"/>
        <v/>
      </c>
      <c r="F547" s="6" t="str">
        <f>IF($A547&lt;&gt;"",MAXIFS(#REF!,Token!$A:$A,$D547),)</f>
        <v/>
      </c>
    </row>
    <row r="548">
      <c r="A548" s="35" t="str">
        <f t="shared" si="1"/>
        <v/>
      </c>
      <c r="B548" s="22" t="str">
        <f t="shared" si="2"/>
        <v/>
      </c>
      <c r="C548" s="14" t="str">
        <f>IF($A548&lt;&gt;"",MINIFS(Merchant!$A:$A,Merchant!$B:$B,$G$2),)</f>
        <v/>
      </c>
      <c r="D548" s="14" t="str">
        <f t="shared" si="3"/>
        <v/>
      </c>
      <c r="E548" s="14" t="str">
        <f t="shared" si="4"/>
        <v/>
      </c>
      <c r="F548" s="6" t="str">
        <f>IF($A548&lt;&gt;"",MAXIFS(#REF!,Token!$A:$A,$D548),)</f>
        <v/>
      </c>
    </row>
    <row r="549">
      <c r="A549" s="35" t="str">
        <f t="shared" si="1"/>
        <v/>
      </c>
      <c r="B549" s="22" t="str">
        <f t="shared" si="2"/>
        <v/>
      </c>
      <c r="C549" s="14" t="str">
        <f>IF($A549&lt;&gt;"",MINIFS(Merchant!$A:$A,Merchant!$B:$B,$G$2),)</f>
        <v/>
      </c>
      <c r="D549" s="14" t="str">
        <f t="shared" si="3"/>
        <v/>
      </c>
      <c r="E549" s="14" t="str">
        <f t="shared" si="4"/>
        <v/>
      </c>
      <c r="F549" s="6" t="str">
        <f>IF($A549&lt;&gt;"",MAXIFS(#REF!,Token!$A:$A,$D549),)</f>
        <v/>
      </c>
    </row>
    <row r="550">
      <c r="A550" s="35" t="str">
        <f t="shared" si="1"/>
        <v/>
      </c>
      <c r="B550" s="22" t="str">
        <f t="shared" si="2"/>
        <v/>
      </c>
      <c r="C550" s="14" t="str">
        <f>IF($A550&lt;&gt;"",MINIFS(Merchant!$A:$A,Merchant!$B:$B,$G$2),)</f>
        <v/>
      </c>
      <c r="D550" s="14" t="str">
        <f t="shared" si="3"/>
        <v/>
      </c>
      <c r="E550" s="14" t="str">
        <f t="shared" si="4"/>
        <v/>
      </c>
      <c r="F550" s="6" t="str">
        <f>IF($A550&lt;&gt;"",MAXIFS(#REF!,Token!$A:$A,$D550),)</f>
        <v/>
      </c>
    </row>
    <row r="551">
      <c r="A551" s="35" t="str">
        <f t="shared" si="1"/>
        <v/>
      </c>
      <c r="B551" s="22" t="str">
        <f t="shared" si="2"/>
        <v/>
      </c>
      <c r="C551" s="14" t="str">
        <f>IF($A551&lt;&gt;"",MINIFS(Merchant!$A:$A,Merchant!$B:$B,$G$2),)</f>
        <v/>
      </c>
      <c r="D551" s="14" t="str">
        <f t="shared" si="3"/>
        <v/>
      </c>
      <c r="E551" s="14" t="str">
        <f t="shared" si="4"/>
        <v/>
      </c>
      <c r="F551" s="6" t="str">
        <f>IF($A551&lt;&gt;"",MAXIFS(#REF!,Token!$A:$A,$D551),)</f>
        <v/>
      </c>
    </row>
    <row r="552">
      <c r="A552" s="35" t="str">
        <f t="shared" si="1"/>
        <v/>
      </c>
      <c r="B552" s="22" t="str">
        <f t="shared" si="2"/>
        <v/>
      </c>
      <c r="C552" s="14" t="str">
        <f>IF($A552&lt;&gt;"",MINIFS(Merchant!$A:$A,Merchant!$B:$B,$G$2),)</f>
        <v/>
      </c>
      <c r="D552" s="14" t="str">
        <f t="shared" si="3"/>
        <v/>
      </c>
      <c r="E552" s="14" t="str">
        <f t="shared" si="4"/>
        <v/>
      </c>
      <c r="F552" s="6" t="str">
        <f>IF($A552&lt;&gt;"",MAXIFS(#REF!,Token!$A:$A,$D552),)</f>
        <v/>
      </c>
    </row>
    <row r="553">
      <c r="A553" s="35" t="str">
        <f t="shared" si="1"/>
        <v/>
      </c>
      <c r="B553" s="22" t="str">
        <f t="shared" si="2"/>
        <v/>
      </c>
      <c r="C553" s="14" t="str">
        <f>IF($A553&lt;&gt;"",MINIFS(Merchant!$A:$A,Merchant!$B:$B,$G$2),)</f>
        <v/>
      </c>
      <c r="D553" s="14" t="str">
        <f t="shared" si="3"/>
        <v/>
      </c>
      <c r="E553" s="14" t="str">
        <f t="shared" si="4"/>
        <v/>
      </c>
      <c r="F553" s="6" t="str">
        <f>IF($A553&lt;&gt;"",MAXIFS(#REF!,Token!$A:$A,$D553),)</f>
        <v/>
      </c>
    </row>
    <row r="554">
      <c r="A554" s="35" t="str">
        <f t="shared" si="1"/>
        <v/>
      </c>
      <c r="B554" s="22" t="str">
        <f t="shared" si="2"/>
        <v/>
      </c>
      <c r="C554" s="14" t="str">
        <f>IF($A554&lt;&gt;"",MINIFS(Merchant!$A:$A,Merchant!$B:$B,$G$2),)</f>
        <v/>
      </c>
      <c r="D554" s="14" t="str">
        <f t="shared" si="3"/>
        <v/>
      </c>
      <c r="E554" s="14" t="str">
        <f t="shared" si="4"/>
        <v/>
      </c>
      <c r="F554" s="6" t="str">
        <f>IF($A554&lt;&gt;"",MAXIFS(#REF!,Token!$A:$A,$D554),)</f>
        <v/>
      </c>
    </row>
    <row r="555">
      <c r="A555" s="35" t="str">
        <f t="shared" si="1"/>
        <v/>
      </c>
      <c r="B555" s="22" t="str">
        <f t="shared" si="2"/>
        <v/>
      </c>
      <c r="C555" s="14" t="str">
        <f>IF($A555&lt;&gt;"",MINIFS(Merchant!$A:$A,Merchant!$B:$B,$G$2),)</f>
        <v/>
      </c>
      <c r="D555" s="14" t="str">
        <f t="shared" si="3"/>
        <v/>
      </c>
      <c r="E555" s="14" t="str">
        <f t="shared" si="4"/>
        <v/>
      </c>
      <c r="F555" s="6" t="str">
        <f>IF($A555&lt;&gt;"",MAXIFS(#REF!,Token!$A:$A,$D555),)</f>
        <v/>
      </c>
    </row>
    <row r="556">
      <c r="A556" s="35" t="str">
        <f t="shared" si="1"/>
        <v/>
      </c>
      <c r="B556" s="22" t="str">
        <f t="shared" si="2"/>
        <v/>
      </c>
      <c r="C556" s="14" t="str">
        <f>IF($A556&lt;&gt;"",MINIFS(Merchant!$A:$A,Merchant!$B:$B,$G$2),)</f>
        <v/>
      </c>
      <c r="D556" s="14" t="str">
        <f t="shared" si="3"/>
        <v/>
      </c>
      <c r="E556" s="14" t="str">
        <f t="shared" si="4"/>
        <v/>
      </c>
      <c r="F556" s="6" t="str">
        <f>IF($A556&lt;&gt;"",MAXIFS(#REF!,Token!$A:$A,$D556),)</f>
        <v/>
      </c>
    </row>
    <row r="557">
      <c r="A557" s="35" t="str">
        <f t="shared" si="1"/>
        <v/>
      </c>
      <c r="B557" s="22" t="str">
        <f t="shared" si="2"/>
        <v/>
      </c>
      <c r="C557" s="14" t="str">
        <f>IF($A557&lt;&gt;"",MINIFS(Merchant!$A:$A,Merchant!$B:$B,$G$2),)</f>
        <v/>
      </c>
      <c r="D557" s="14" t="str">
        <f t="shared" si="3"/>
        <v/>
      </c>
      <c r="E557" s="14" t="str">
        <f t="shared" si="4"/>
        <v/>
      </c>
      <c r="F557" s="6" t="str">
        <f>IF($A557&lt;&gt;"",MAXIFS(#REF!,Token!$A:$A,$D557),)</f>
        <v/>
      </c>
    </row>
    <row r="558">
      <c r="A558" s="35" t="str">
        <f t="shared" si="1"/>
        <v/>
      </c>
      <c r="B558" s="22" t="str">
        <f t="shared" si="2"/>
        <v/>
      </c>
      <c r="C558" s="14" t="str">
        <f>IF($A558&lt;&gt;"",MINIFS(Merchant!$A:$A,Merchant!$B:$B,$G$2),)</f>
        <v/>
      </c>
      <c r="D558" s="14" t="str">
        <f t="shared" si="3"/>
        <v/>
      </c>
      <c r="E558" s="14" t="str">
        <f t="shared" si="4"/>
        <v/>
      </c>
      <c r="F558" s="6" t="str">
        <f>IF($A558&lt;&gt;"",MAXIFS(#REF!,Token!$A:$A,$D558),)</f>
        <v/>
      </c>
    </row>
    <row r="559">
      <c r="A559" s="35" t="str">
        <f t="shared" si="1"/>
        <v/>
      </c>
      <c r="B559" s="22" t="str">
        <f t="shared" si="2"/>
        <v/>
      </c>
      <c r="C559" s="14" t="str">
        <f>IF($A559&lt;&gt;"",MINIFS(Merchant!$A:$A,Merchant!$B:$B,$G$2),)</f>
        <v/>
      </c>
      <c r="D559" s="14" t="str">
        <f t="shared" si="3"/>
        <v/>
      </c>
      <c r="E559" s="14" t="str">
        <f t="shared" si="4"/>
        <v/>
      </c>
      <c r="F559" s="6" t="str">
        <f>IF($A559&lt;&gt;"",MAXIFS(#REF!,Token!$A:$A,$D559),)</f>
        <v/>
      </c>
    </row>
    <row r="560">
      <c r="A560" s="35" t="str">
        <f t="shared" si="1"/>
        <v/>
      </c>
      <c r="B560" s="22" t="str">
        <f t="shared" si="2"/>
        <v/>
      </c>
      <c r="C560" s="14" t="str">
        <f>IF($A560&lt;&gt;"",MINIFS(Merchant!$A:$A,Merchant!$B:$B,$G$2),)</f>
        <v/>
      </c>
      <c r="D560" s="14" t="str">
        <f t="shared" si="3"/>
        <v/>
      </c>
      <c r="E560" s="14" t="str">
        <f t="shared" si="4"/>
        <v/>
      </c>
      <c r="F560" s="6" t="str">
        <f>IF($A560&lt;&gt;"",MAXIFS(#REF!,Token!$A:$A,$D560),)</f>
        <v/>
      </c>
    </row>
    <row r="561">
      <c r="A561" s="35" t="str">
        <f t="shared" si="1"/>
        <v/>
      </c>
      <c r="B561" s="22" t="str">
        <f t="shared" si="2"/>
        <v/>
      </c>
      <c r="C561" s="14" t="str">
        <f>IF($A561&lt;&gt;"",MINIFS(Merchant!$A:$A,Merchant!$B:$B,$G$2),)</f>
        <v/>
      </c>
      <c r="D561" s="14" t="str">
        <f t="shared" si="3"/>
        <v/>
      </c>
      <c r="E561" s="14" t="str">
        <f t="shared" si="4"/>
        <v/>
      </c>
      <c r="F561" s="6" t="str">
        <f>IF($A561&lt;&gt;"",MAXIFS(#REF!,Token!$A:$A,$D561),)</f>
        <v/>
      </c>
    </row>
    <row r="562">
      <c r="A562" s="35" t="str">
        <f t="shared" si="1"/>
        <v/>
      </c>
      <c r="B562" s="22" t="str">
        <f t="shared" si="2"/>
        <v/>
      </c>
      <c r="C562" s="14" t="str">
        <f>IF($A562&lt;&gt;"",MINIFS(Merchant!$A:$A,Merchant!$B:$B,$G$2),)</f>
        <v/>
      </c>
      <c r="D562" s="14" t="str">
        <f t="shared" si="3"/>
        <v/>
      </c>
      <c r="E562" s="14" t="str">
        <f t="shared" si="4"/>
        <v/>
      </c>
      <c r="F562" s="6" t="str">
        <f>IF($A562&lt;&gt;"",MAXIFS(#REF!,Token!$A:$A,$D562),)</f>
        <v/>
      </c>
    </row>
    <row r="563">
      <c r="A563" s="35" t="str">
        <f t="shared" si="1"/>
        <v/>
      </c>
      <c r="B563" s="22" t="str">
        <f t="shared" si="2"/>
        <v/>
      </c>
      <c r="C563" s="14" t="str">
        <f>IF($A563&lt;&gt;"",MINIFS(Merchant!$A:$A,Merchant!$B:$B,$G$2),)</f>
        <v/>
      </c>
      <c r="D563" s="14" t="str">
        <f t="shared" si="3"/>
        <v/>
      </c>
      <c r="E563" s="14" t="str">
        <f t="shared" si="4"/>
        <v/>
      </c>
      <c r="F563" s="6" t="str">
        <f>IF($A563&lt;&gt;"",MAXIFS(#REF!,Token!$A:$A,$D563),)</f>
        <v/>
      </c>
    </row>
    <row r="564">
      <c r="A564" s="35" t="str">
        <f t="shared" si="1"/>
        <v/>
      </c>
      <c r="B564" s="22" t="str">
        <f t="shared" si="2"/>
        <v/>
      </c>
      <c r="C564" s="14" t="str">
        <f>IF($A564&lt;&gt;"",MINIFS(Merchant!$A:$A,Merchant!$B:$B,$G$2),)</f>
        <v/>
      </c>
      <c r="D564" s="14" t="str">
        <f t="shared" si="3"/>
        <v/>
      </c>
      <c r="E564" s="14" t="str">
        <f t="shared" si="4"/>
        <v/>
      </c>
      <c r="F564" s="6" t="str">
        <f>IF($A564&lt;&gt;"",MAXIFS(#REF!,Token!$A:$A,$D564),)</f>
        <v/>
      </c>
    </row>
    <row r="565">
      <c r="A565" s="35" t="str">
        <f t="shared" si="1"/>
        <v/>
      </c>
      <c r="B565" s="22" t="str">
        <f t="shared" si="2"/>
        <v/>
      </c>
      <c r="C565" s="14" t="str">
        <f>IF($A565&lt;&gt;"",MINIFS(Merchant!$A:$A,Merchant!$B:$B,$G$2),)</f>
        <v/>
      </c>
      <c r="D565" s="14" t="str">
        <f t="shared" si="3"/>
        <v/>
      </c>
      <c r="E565" s="14" t="str">
        <f t="shared" si="4"/>
        <v/>
      </c>
      <c r="F565" s="6" t="str">
        <f>IF($A565&lt;&gt;"",MAXIFS(#REF!,Token!$A:$A,$D565),)</f>
        <v/>
      </c>
    </row>
    <row r="566">
      <c r="A566" s="35" t="str">
        <f t="shared" si="1"/>
        <v/>
      </c>
      <c r="B566" s="22" t="str">
        <f t="shared" si="2"/>
        <v/>
      </c>
      <c r="C566" s="14" t="str">
        <f>IF($A566&lt;&gt;"",MINIFS(Merchant!$A:$A,Merchant!$B:$B,$G$2),)</f>
        <v/>
      </c>
      <c r="D566" s="14" t="str">
        <f t="shared" si="3"/>
        <v/>
      </c>
      <c r="E566" s="14" t="str">
        <f t="shared" si="4"/>
        <v/>
      </c>
      <c r="F566" s="6" t="str">
        <f>IF($A566&lt;&gt;"",MAXIFS(#REF!,Token!$A:$A,$D566),)</f>
        <v/>
      </c>
    </row>
    <row r="567">
      <c r="A567" s="35" t="str">
        <f t="shared" si="1"/>
        <v/>
      </c>
      <c r="B567" s="22" t="str">
        <f t="shared" si="2"/>
        <v/>
      </c>
      <c r="C567" s="14" t="str">
        <f>IF($A567&lt;&gt;"",MINIFS(Merchant!$A:$A,Merchant!$B:$B,$G$2),)</f>
        <v/>
      </c>
      <c r="D567" s="14" t="str">
        <f t="shared" si="3"/>
        <v/>
      </c>
      <c r="E567" s="14" t="str">
        <f t="shared" si="4"/>
        <v/>
      </c>
      <c r="F567" s="6" t="str">
        <f>IF($A567&lt;&gt;"",MAXIFS(#REF!,Token!$A:$A,$D567),)</f>
        <v/>
      </c>
    </row>
    <row r="568">
      <c r="A568" s="35" t="str">
        <f t="shared" si="1"/>
        <v/>
      </c>
      <c r="B568" s="22" t="str">
        <f t="shared" si="2"/>
        <v/>
      </c>
      <c r="C568" s="14" t="str">
        <f>IF($A568&lt;&gt;"",MINIFS(Merchant!$A:$A,Merchant!$B:$B,$G$2),)</f>
        <v/>
      </c>
      <c r="D568" s="14" t="str">
        <f t="shared" si="3"/>
        <v/>
      </c>
      <c r="E568" s="14" t="str">
        <f t="shared" si="4"/>
        <v/>
      </c>
      <c r="F568" s="6" t="str">
        <f>IF($A568&lt;&gt;"",MAXIFS(#REF!,Token!$A:$A,$D568),)</f>
        <v/>
      </c>
    </row>
    <row r="569">
      <c r="A569" s="35" t="str">
        <f t="shared" si="1"/>
        <v/>
      </c>
      <c r="B569" s="22" t="str">
        <f t="shared" si="2"/>
        <v/>
      </c>
      <c r="C569" s="14" t="str">
        <f>IF($A569&lt;&gt;"",MINIFS(Merchant!$A:$A,Merchant!$B:$B,$G$2),)</f>
        <v/>
      </c>
      <c r="D569" s="14" t="str">
        <f t="shared" si="3"/>
        <v/>
      </c>
      <c r="E569" s="14" t="str">
        <f t="shared" si="4"/>
        <v/>
      </c>
      <c r="F569" s="6" t="str">
        <f>IF($A569&lt;&gt;"",MAXIFS(#REF!,Token!$A:$A,$D569),)</f>
        <v/>
      </c>
    </row>
    <row r="570">
      <c r="A570" s="35" t="str">
        <f t="shared" si="1"/>
        <v/>
      </c>
      <c r="B570" s="22" t="str">
        <f t="shared" si="2"/>
        <v/>
      </c>
      <c r="C570" s="14" t="str">
        <f>IF($A570&lt;&gt;"",MINIFS(Merchant!$A:$A,Merchant!$B:$B,$G$2),)</f>
        <v/>
      </c>
      <c r="D570" s="14" t="str">
        <f t="shared" si="3"/>
        <v/>
      </c>
      <c r="E570" s="14" t="str">
        <f t="shared" si="4"/>
        <v/>
      </c>
      <c r="F570" s="6" t="str">
        <f>IF($A570&lt;&gt;"",MAXIFS(#REF!,Token!$A:$A,$D570),)</f>
        <v/>
      </c>
    </row>
    <row r="571">
      <c r="A571" s="35" t="str">
        <f t="shared" si="1"/>
        <v/>
      </c>
      <c r="B571" s="22" t="str">
        <f t="shared" si="2"/>
        <v/>
      </c>
      <c r="C571" s="14" t="str">
        <f>IF($A571&lt;&gt;"",MINIFS(Merchant!$A:$A,Merchant!$B:$B,$G$2),)</f>
        <v/>
      </c>
      <c r="D571" s="14" t="str">
        <f t="shared" si="3"/>
        <v/>
      </c>
      <c r="E571" s="14" t="str">
        <f t="shared" si="4"/>
        <v/>
      </c>
      <c r="F571" s="6" t="str">
        <f>IF($A571&lt;&gt;"",MAXIFS(#REF!,Token!$A:$A,$D571),)</f>
        <v/>
      </c>
    </row>
    <row r="572">
      <c r="A572" s="35" t="str">
        <f t="shared" si="1"/>
        <v/>
      </c>
      <c r="B572" s="22" t="str">
        <f t="shared" si="2"/>
        <v/>
      </c>
      <c r="C572" s="14" t="str">
        <f>IF($A572&lt;&gt;"",MINIFS(Merchant!$A:$A,Merchant!$B:$B,$G$2),)</f>
        <v/>
      </c>
      <c r="D572" s="14" t="str">
        <f t="shared" si="3"/>
        <v/>
      </c>
      <c r="E572" s="14" t="str">
        <f t="shared" si="4"/>
        <v/>
      </c>
      <c r="F572" s="6" t="str">
        <f>IF($A572&lt;&gt;"",MAXIFS(#REF!,Token!$A:$A,$D572),)</f>
        <v/>
      </c>
    </row>
    <row r="573">
      <c r="A573" s="35" t="str">
        <f t="shared" si="1"/>
        <v/>
      </c>
      <c r="B573" s="22" t="str">
        <f t="shared" si="2"/>
        <v/>
      </c>
      <c r="C573" s="14" t="str">
        <f>IF($A573&lt;&gt;"",MINIFS(Merchant!$A:$A,Merchant!$B:$B,$G$2),)</f>
        <v/>
      </c>
      <c r="D573" s="14" t="str">
        <f t="shared" si="3"/>
        <v/>
      </c>
      <c r="E573" s="14" t="str">
        <f t="shared" si="4"/>
        <v/>
      </c>
      <c r="F573" s="6" t="str">
        <f>IF($A573&lt;&gt;"",MAXIFS(#REF!,Token!$A:$A,$D573),)</f>
        <v/>
      </c>
    </row>
    <row r="574">
      <c r="A574" s="35" t="str">
        <f t="shared" si="1"/>
        <v/>
      </c>
      <c r="B574" s="22" t="str">
        <f t="shared" si="2"/>
        <v/>
      </c>
      <c r="C574" s="14" t="str">
        <f>IF($A574&lt;&gt;"",MINIFS(Merchant!$A:$A,Merchant!$B:$B,$G$2),)</f>
        <v/>
      </c>
      <c r="D574" s="14" t="str">
        <f t="shared" si="3"/>
        <v/>
      </c>
      <c r="E574" s="14" t="str">
        <f t="shared" si="4"/>
        <v/>
      </c>
      <c r="F574" s="6" t="str">
        <f>IF($A574&lt;&gt;"",MAXIFS(#REF!,Token!$A:$A,$D574),)</f>
        <v/>
      </c>
    </row>
    <row r="575">
      <c r="A575" s="35" t="str">
        <f t="shared" si="1"/>
        <v/>
      </c>
      <c r="B575" s="22" t="str">
        <f t="shared" si="2"/>
        <v/>
      </c>
      <c r="C575" s="14" t="str">
        <f>IF($A575&lt;&gt;"",MINIFS(Merchant!$A:$A,Merchant!$B:$B,$G$2),)</f>
        <v/>
      </c>
      <c r="D575" s="14" t="str">
        <f t="shared" si="3"/>
        <v/>
      </c>
      <c r="E575" s="14" t="str">
        <f t="shared" si="4"/>
        <v/>
      </c>
      <c r="F575" s="6" t="str">
        <f>IF($A575&lt;&gt;"",MAXIFS(#REF!,Token!$A:$A,$D575),)</f>
        <v/>
      </c>
    </row>
    <row r="576">
      <c r="A576" s="35" t="str">
        <f t="shared" si="1"/>
        <v/>
      </c>
      <c r="B576" s="22" t="str">
        <f t="shared" si="2"/>
        <v/>
      </c>
      <c r="C576" s="14" t="str">
        <f>IF($A576&lt;&gt;"",MINIFS(Merchant!$A:$A,Merchant!$B:$B,$G$2),)</f>
        <v/>
      </c>
      <c r="D576" s="14" t="str">
        <f t="shared" si="3"/>
        <v/>
      </c>
      <c r="E576" s="14" t="str">
        <f t="shared" si="4"/>
        <v/>
      </c>
      <c r="F576" s="6" t="str">
        <f>IF($A576&lt;&gt;"",MAXIFS(#REF!,Token!$A:$A,$D576),)</f>
        <v/>
      </c>
    </row>
    <row r="577">
      <c r="A577" s="35" t="str">
        <f t="shared" si="1"/>
        <v/>
      </c>
      <c r="B577" s="22" t="str">
        <f t="shared" si="2"/>
        <v/>
      </c>
      <c r="C577" s="14" t="str">
        <f>IF($A577&lt;&gt;"",MINIFS(Merchant!$A:$A,Merchant!$B:$B,$G$2),)</f>
        <v/>
      </c>
      <c r="D577" s="14" t="str">
        <f t="shared" si="3"/>
        <v/>
      </c>
      <c r="E577" s="14" t="str">
        <f t="shared" si="4"/>
        <v/>
      </c>
      <c r="F577" s="6" t="str">
        <f>IF($A577&lt;&gt;"",MAXIFS(#REF!,Token!$A:$A,$D577),)</f>
        <v/>
      </c>
    </row>
    <row r="578">
      <c r="A578" s="35" t="str">
        <f t="shared" si="1"/>
        <v/>
      </c>
      <c r="B578" s="22" t="str">
        <f t="shared" si="2"/>
        <v/>
      </c>
      <c r="C578" s="14" t="str">
        <f>IF($A578&lt;&gt;"",MINIFS(Merchant!$A:$A,Merchant!$B:$B,$G$2),)</f>
        <v/>
      </c>
      <c r="D578" s="14" t="str">
        <f t="shared" si="3"/>
        <v/>
      </c>
      <c r="E578" s="14" t="str">
        <f t="shared" si="4"/>
        <v/>
      </c>
      <c r="F578" s="6" t="str">
        <f>IF($A578&lt;&gt;"",MAXIFS(#REF!,Token!$A:$A,$D578),)</f>
        <v/>
      </c>
    </row>
    <row r="579">
      <c r="A579" s="35" t="str">
        <f t="shared" si="1"/>
        <v/>
      </c>
      <c r="B579" s="22" t="str">
        <f t="shared" si="2"/>
        <v/>
      </c>
      <c r="C579" s="14" t="str">
        <f>IF($A579&lt;&gt;"",MINIFS(Merchant!$A:$A,Merchant!$B:$B,$G$2),)</f>
        <v/>
      </c>
      <c r="D579" s="14" t="str">
        <f t="shared" si="3"/>
        <v/>
      </c>
      <c r="E579" s="14" t="str">
        <f t="shared" si="4"/>
        <v/>
      </c>
      <c r="F579" s="6" t="str">
        <f>IF($A579&lt;&gt;"",MAXIFS(#REF!,Token!$A:$A,$D579),)</f>
        <v/>
      </c>
    </row>
    <row r="580">
      <c r="A580" s="35" t="str">
        <f t="shared" si="1"/>
        <v/>
      </c>
      <c r="B580" s="22" t="str">
        <f t="shared" si="2"/>
        <v/>
      </c>
      <c r="C580" s="14" t="str">
        <f>IF($A580&lt;&gt;"",MINIFS(Merchant!$A:$A,Merchant!$B:$B,$G$2),)</f>
        <v/>
      </c>
      <c r="D580" s="14" t="str">
        <f t="shared" si="3"/>
        <v/>
      </c>
      <c r="E580" s="14" t="str">
        <f t="shared" si="4"/>
        <v/>
      </c>
      <c r="F580" s="6" t="str">
        <f>IF($A580&lt;&gt;"",MAXIFS(#REF!,Token!$A:$A,$D580),)</f>
        <v/>
      </c>
    </row>
    <row r="581">
      <c r="A581" s="35" t="str">
        <f t="shared" si="1"/>
        <v/>
      </c>
      <c r="B581" s="22" t="str">
        <f t="shared" si="2"/>
        <v/>
      </c>
      <c r="C581" s="14" t="str">
        <f>IF($A581&lt;&gt;"",MINIFS(Merchant!$A:$A,Merchant!$B:$B,$G$2),)</f>
        <v/>
      </c>
      <c r="D581" s="14" t="str">
        <f t="shared" si="3"/>
        <v/>
      </c>
      <c r="E581" s="14" t="str">
        <f t="shared" si="4"/>
        <v/>
      </c>
      <c r="F581" s="6" t="str">
        <f>IF($A581&lt;&gt;"",MAXIFS(#REF!,Token!$A:$A,$D581),)</f>
        <v/>
      </c>
    </row>
    <row r="582">
      <c r="A582" s="35" t="str">
        <f t="shared" si="1"/>
        <v/>
      </c>
      <c r="B582" s="22" t="str">
        <f t="shared" si="2"/>
        <v/>
      </c>
      <c r="C582" s="14" t="str">
        <f>IF($A582&lt;&gt;"",MINIFS(Merchant!$A:$A,Merchant!$B:$B,$G$2),)</f>
        <v/>
      </c>
      <c r="D582" s="14" t="str">
        <f t="shared" si="3"/>
        <v/>
      </c>
      <c r="E582" s="14" t="str">
        <f t="shared" si="4"/>
        <v/>
      </c>
      <c r="F582" s="6" t="str">
        <f>IF($A582&lt;&gt;"",MAXIFS(#REF!,Token!$A:$A,$D582),)</f>
        <v/>
      </c>
    </row>
    <row r="583">
      <c r="A583" s="35" t="str">
        <f t="shared" si="1"/>
        <v/>
      </c>
      <c r="B583" s="22" t="str">
        <f t="shared" si="2"/>
        <v/>
      </c>
      <c r="C583" s="14" t="str">
        <f>IF($A583&lt;&gt;"",MINIFS(Merchant!$A:$A,Merchant!$B:$B,$G$2),)</f>
        <v/>
      </c>
      <c r="D583" s="14" t="str">
        <f t="shared" si="3"/>
        <v/>
      </c>
      <c r="E583" s="14" t="str">
        <f t="shared" si="4"/>
        <v/>
      </c>
      <c r="F583" s="6" t="str">
        <f>IF($A583&lt;&gt;"",MAXIFS(#REF!,Token!$A:$A,$D583),)</f>
        <v/>
      </c>
    </row>
    <row r="584">
      <c r="A584" s="35" t="str">
        <f t="shared" si="1"/>
        <v/>
      </c>
      <c r="B584" s="22" t="str">
        <f t="shared" si="2"/>
        <v/>
      </c>
      <c r="C584" s="14" t="str">
        <f>IF($A584&lt;&gt;"",MINIFS(Merchant!$A:$A,Merchant!$B:$B,$G$2),)</f>
        <v/>
      </c>
      <c r="D584" s="14" t="str">
        <f t="shared" si="3"/>
        <v/>
      </c>
      <c r="E584" s="14" t="str">
        <f t="shared" si="4"/>
        <v/>
      </c>
      <c r="F584" s="6" t="str">
        <f>IF($A584&lt;&gt;"",MAXIFS(#REF!,Token!$A:$A,$D584),)</f>
        <v/>
      </c>
    </row>
    <row r="585">
      <c r="A585" s="35" t="str">
        <f t="shared" si="1"/>
        <v/>
      </c>
      <c r="B585" s="22" t="str">
        <f t="shared" si="2"/>
        <v/>
      </c>
      <c r="C585" s="14" t="str">
        <f>IF($A585&lt;&gt;"",MINIFS(Merchant!$A:$A,Merchant!$B:$B,$G$2),)</f>
        <v/>
      </c>
      <c r="D585" s="14" t="str">
        <f t="shared" si="3"/>
        <v/>
      </c>
      <c r="E585" s="14" t="str">
        <f t="shared" si="4"/>
        <v/>
      </c>
      <c r="F585" s="6" t="str">
        <f>IF($A585&lt;&gt;"",MAXIFS(#REF!,Token!$A:$A,$D585),)</f>
        <v/>
      </c>
    </row>
    <row r="586">
      <c r="A586" s="35" t="str">
        <f t="shared" si="1"/>
        <v/>
      </c>
      <c r="B586" s="22" t="str">
        <f t="shared" si="2"/>
        <v/>
      </c>
      <c r="C586" s="14" t="str">
        <f>IF($A586&lt;&gt;"",MINIFS(Merchant!$A:$A,Merchant!$B:$B,$G$2),)</f>
        <v/>
      </c>
      <c r="D586" s="14" t="str">
        <f t="shared" si="3"/>
        <v/>
      </c>
      <c r="E586" s="14" t="str">
        <f t="shared" si="4"/>
        <v/>
      </c>
      <c r="F586" s="6" t="str">
        <f>IF($A586&lt;&gt;"",MAXIFS(#REF!,Token!$A:$A,$D586),)</f>
        <v/>
      </c>
    </row>
    <row r="587">
      <c r="A587" s="35" t="str">
        <f t="shared" si="1"/>
        <v/>
      </c>
      <c r="B587" s="22" t="str">
        <f t="shared" si="2"/>
        <v/>
      </c>
      <c r="C587" s="14" t="str">
        <f>IF($A587&lt;&gt;"",MINIFS(Merchant!$A:$A,Merchant!$B:$B,$G$2),)</f>
        <v/>
      </c>
      <c r="D587" s="14" t="str">
        <f t="shared" si="3"/>
        <v/>
      </c>
      <c r="E587" s="14" t="str">
        <f t="shared" si="4"/>
        <v/>
      </c>
      <c r="F587" s="6" t="str">
        <f>IF($A587&lt;&gt;"",MAXIFS(#REF!,Token!$A:$A,$D587),)</f>
        <v/>
      </c>
    </row>
    <row r="588">
      <c r="A588" s="35" t="str">
        <f t="shared" si="1"/>
        <v/>
      </c>
      <c r="B588" s="22" t="str">
        <f t="shared" si="2"/>
        <v/>
      </c>
      <c r="C588" s="14" t="str">
        <f>IF($A588&lt;&gt;"",MINIFS(Merchant!$A:$A,Merchant!$B:$B,$G$2),)</f>
        <v/>
      </c>
      <c r="D588" s="14" t="str">
        <f t="shared" si="3"/>
        <v/>
      </c>
      <c r="E588" s="14" t="str">
        <f t="shared" si="4"/>
        <v/>
      </c>
      <c r="F588" s="6" t="str">
        <f>IF($A588&lt;&gt;"",MAXIFS(#REF!,Token!$A:$A,$D588),)</f>
        <v/>
      </c>
    </row>
    <row r="589">
      <c r="A589" s="35" t="str">
        <f t="shared" si="1"/>
        <v/>
      </c>
      <c r="B589" s="22" t="str">
        <f t="shared" si="2"/>
        <v/>
      </c>
      <c r="C589" s="14" t="str">
        <f>IF($A589&lt;&gt;"",MINIFS(Merchant!$A:$A,Merchant!$B:$B,$G$2),)</f>
        <v/>
      </c>
      <c r="D589" s="14" t="str">
        <f t="shared" si="3"/>
        <v/>
      </c>
      <c r="E589" s="14" t="str">
        <f t="shared" si="4"/>
        <v/>
      </c>
      <c r="F589" s="6" t="str">
        <f>IF($A589&lt;&gt;"",MAXIFS(#REF!,Token!$A:$A,$D589),)</f>
        <v/>
      </c>
    </row>
    <row r="590">
      <c r="A590" s="35" t="str">
        <f t="shared" si="1"/>
        <v/>
      </c>
      <c r="B590" s="22" t="str">
        <f t="shared" si="2"/>
        <v/>
      </c>
      <c r="C590" s="14" t="str">
        <f>IF($A590&lt;&gt;"",MINIFS(Merchant!$A:$A,Merchant!$B:$B,$G$2),)</f>
        <v/>
      </c>
      <c r="D590" s="14" t="str">
        <f t="shared" si="3"/>
        <v/>
      </c>
      <c r="E590" s="14" t="str">
        <f t="shared" si="4"/>
        <v/>
      </c>
      <c r="F590" s="6" t="str">
        <f>IF($A590&lt;&gt;"",MAXIFS(#REF!,Token!$A:$A,$D590),)</f>
        <v/>
      </c>
    </row>
    <row r="591">
      <c r="A591" s="35" t="str">
        <f t="shared" si="1"/>
        <v/>
      </c>
      <c r="B591" s="22" t="str">
        <f t="shared" si="2"/>
        <v/>
      </c>
      <c r="C591" s="14" t="str">
        <f>IF($A591&lt;&gt;"",MINIFS(Merchant!$A:$A,Merchant!$B:$B,$G$2),)</f>
        <v/>
      </c>
      <c r="D591" s="14" t="str">
        <f t="shared" si="3"/>
        <v/>
      </c>
      <c r="E591" s="14" t="str">
        <f t="shared" si="4"/>
        <v/>
      </c>
      <c r="F591" s="6" t="str">
        <f>IF($A591&lt;&gt;"",MAXIFS(#REF!,Token!$A:$A,$D591),)</f>
        <v/>
      </c>
    </row>
    <row r="592">
      <c r="A592" s="35" t="str">
        <f t="shared" si="1"/>
        <v/>
      </c>
      <c r="B592" s="22" t="str">
        <f t="shared" si="2"/>
        <v/>
      </c>
      <c r="C592" s="14" t="str">
        <f>IF($A592&lt;&gt;"",MINIFS(Merchant!$A:$A,Merchant!$B:$B,$G$2),)</f>
        <v/>
      </c>
      <c r="D592" s="14" t="str">
        <f t="shared" si="3"/>
        <v/>
      </c>
      <c r="E592" s="14" t="str">
        <f t="shared" si="4"/>
        <v/>
      </c>
      <c r="F592" s="6" t="str">
        <f>IF($A592&lt;&gt;"",MAXIFS(#REF!,Token!$A:$A,$D592),)</f>
        <v/>
      </c>
    </row>
    <row r="593">
      <c r="A593" s="35" t="str">
        <f t="shared" si="1"/>
        <v/>
      </c>
      <c r="B593" s="22" t="str">
        <f t="shared" si="2"/>
        <v/>
      </c>
      <c r="C593" s="14" t="str">
        <f>IF($A593&lt;&gt;"",MINIFS(Merchant!$A:$A,Merchant!$B:$B,$G$2),)</f>
        <v/>
      </c>
      <c r="D593" s="14" t="str">
        <f t="shared" si="3"/>
        <v/>
      </c>
      <c r="E593" s="14" t="str">
        <f t="shared" si="4"/>
        <v/>
      </c>
      <c r="F593" s="6" t="str">
        <f>IF($A593&lt;&gt;"",MAXIFS(#REF!,Token!$A:$A,$D593),)</f>
        <v/>
      </c>
    </row>
    <row r="594">
      <c r="A594" s="35" t="str">
        <f t="shared" si="1"/>
        <v/>
      </c>
      <c r="B594" s="22" t="str">
        <f t="shared" si="2"/>
        <v/>
      </c>
      <c r="C594" s="14" t="str">
        <f>IF($A594&lt;&gt;"",MINIFS(Merchant!$A:$A,Merchant!$B:$B,$G$2),)</f>
        <v/>
      </c>
      <c r="D594" s="14" t="str">
        <f t="shared" si="3"/>
        <v/>
      </c>
      <c r="E594" s="14" t="str">
        <f t="shared" si="4"/>
        <v/>
      </c>
      <c r="F594" s="6" t="str">
        <f>IF($A594&lt;&gt;"",MAXIFS(#REF!,Token!$A:$A,$D594),)</f>
        <v/>
      </c>
    </row>
    <row r="595">
      <c r="A595" s="35" t="str">
        <f t="shared" si="1"/>
        <v/>
      </c>
      <c r="B595" s="22" t="str">
        <f t="shared" si="2"/>
        <v/>
      </c>
      <c r="C595" s="14" t="str">
        <f>IF($A595&lt;&gt;"",MINIFS(Merchant!$A:$A,Merchant!$B:$B,$G$2),)</f>
        <v/>
      </c>
      <c r="D595" s="14" t="str">
        <f t="shared" si="3"/>
        <v/>
      </c>
      <c r="E595" s="14" t="str">
        <f t="shared" si="4"/>
        <v/>
      </c>
      <c r="F595" s="6" t="str">
        <f>IF($A595&lt;&gt;"",MAXIFS(#REF!,Token!$A:$A,$D595),)</f>
        <v/>
      </c>
    </row>
    <row r="596">
      <c r="A596" s="35" t="str">
        <f t="shared" si="1"/>
        <v/>
      </c>
      <c r="B596" s="22" t="str">
        <f t="shared" si="2"/>
        <v/>
      </c>
      <c r="C596" s="14" t="str">
        <f>IF($A596&lt;&gt;"",MINIFS(Merchant!$A:$A,Merchant!$B:$B,$G$2),)</f>
        <v/>
      </c>
      <c r="D596" s="14" t="str">
        <f t="shared" si="3"/>
        <v/>
      </c>
      <c r="E596" s="14" t="str">
        <f t="shared" si="4"/>
        <v/>
      </c>
      <c r="F596" s="6" t="str">
        <f>IF($A596&lt;&gt;"",MAXIFS(#REF!,Token!$A:$A,$D596),)</f>
        <v/>
      </c>
    </row>
    <row r="597">
      <c r="A597" s="35" t="str">
        <f t="shared" si="1"/>
        <v/>
      </c>
      <c r="B597" s="22" t="str">
        <f t="shared" si="2"/>
        <v/>
      </c>
      <c r="C597" s="14" t="str">
        <f>IF($A597&lt;&gt;"",MINIFS(Merchant!$A:$A,Merchant!$B:$B,$G$2),)</f>
        <v/>
      </c>
      <c r="D597" s="14" t="str">
        <f t="shared" si="3"/>
        <v/>
      </c>
      <c r="E597" s="14" t="str">
        <f t="shared" si="4"/>
        <v/>
      </c>
      <c r="F597" s="6" t="str">
        <f>IF($A597&lt;&gt;"",MAXIFS(#REF!,Token!$A:$A,$D597),)</f>
        <v/>
      </c>
    </row>
    <row r="598">
      <c r="A598" s="35" t="str">
        <f t="shared" si="1"/>
        <v/>
      </c>
      <c r="B598" s="22" t="str">
        <f t="shared" si="2"/>
        <v/>
      </c>
      <c r="C598" s="14" t="str">
        <f>IF($A598&lt;&gt;"",MINIFS(Merchant!$A:$A,Merchant!$B:$B,$G$2),)</f>
        <v/>
      </c>
      <c r="D598" s="14" t="str">
        <f t="shared" si="3"/>
        <v/>
      </c>
      <c r="E598" s="14" t="str">
        <f t="shared" si="4"/>
        <v/>
      </c>
      <c r="F598" s="6" t="str">
        <f>IF($A598&lt;&gt;"",MAXIFS(#REF!,Token!$A:$A,$D598),)</f>
        <v/>
      </c>
    </row>
    <row r="599">
      <c r="A599" s="35" t="str">
        <f t="shared" si="1"/>
        <v/>
      </c>
      <c r="B599" s="22" t="str">
        <f t="shared" si="2"/>
        <v/>
      </c>
      <c r="C599" s="14" t="str">
        <f>IF($A599&lt;&gt;"",MINIFS(Merchant!$A:$A,Merchant!$B:$B,$G$2),)</f>
        <v/>
      </c>
      <c r="D599" s="14" t="str">
        <f t="shared" si="3"/>
        <v/>
      </c>
      <c r="E599" s="14" t="str">
        <f t="shared" si="4"/>
        <v/>
      </c>
      <c r="F599" s="6" t="str">
        <f>IF($A599&lt;&gt;"",MAXIFS(#REF!,Token!$A:$A,$D599),)</f>
        <v/>
      </c>
    </row>
    <row r="600">
      <c r="A600" s="35" t="str">
        <f t="shared" si="1"/>
        <v/>
      </c>
      <c r="B600" s="22" t="str">
        <f t="shared" si="2"/>
        <v/>
      </c>
      <c r="C600" s="14" t="str">
        <f>IF($A600&lt;&gt;"",MINIFS(Merchant!$A:$A,Merchant!$B:$B,$G$2),)</f>
        <v/>
      </c>
      <c r="D600" s="14" t="str">
        <f t="shared" si="3"/>
        <v/>
      </c>
      <c r="E600" s="14" t="str">
        <f t="shared" si="4"/>
        <v/>
      </c>
      <c r="F600" s="6" t="str">
        <f>IF($A600&lt;&gt;"",MAXIFS(#REF!,Token!$A:$A,$D600),)</f>
        <v/>
      </c>
    </row>
    <row r="601">
      <c r="A601" s="35" t="str">
        <f t="shared" si="1"/>
        <v/>
      </c>
      <c r="B601" s="22" t="str">
        <f t="shared" si="2"/>
        <v/>
      </c>
      <c r="C601" s="14" t="str">
        <f>IF($A601&lt;&gt;"",MINIFS(Merchant!$A:$A,Merchant!$B:$B,$G$2),)</f>
        <v/>
      </c>
      <c r="D601" s="14" t="str">
        <f t="shared" si="3"/>
        <v/>
      </c>
      <c r="E601" s="14" t="str">
        <f t="shared" si="4"/>
        <v/>
      </c>
      <c r="F601" s="6" t="str">
        <f>IF($A601&lt;&gt;"",MAXIFS(#REF!,Token!$A:$A,$D601),)</f>
        <v/>
      </c>
    </row>
    <row r="602">
      <c r="A602" s="35" t="str">
        <f t="shared" si="1"/>
        <v/>
      </c>
      <c r="B602" s="22" t="str">
        <f t="shared" si="2"/>
        <v/>
      </c>
      <c r="C602" s="14" t="str">
        <f>IF($A602&lt;&gt;"",MINIFS(Merchant!$A:$A,Merchant!$B:$B,$G$2),)</f>
        <v/>
      </c>
      <c r="D602" s="14" t="str">
        <f t="shared" si="3"/>
        <v/>
      </c>
      <c r="E602" s="14" t="str">
        <f t="shared" si="4"/>
        <v/>
      </c>
      <c r="F602" s="6" t="str">
        <f>IF($A602&lt;&gt;"",MAXIFS(#REF!,Token!$A:$A,$D602),)</f>
        <v/>
      </c>
    </row>
    <row r="603">
      <c r="A603" s="35" t="str">
        <f t="shared" si="1"/>
        <v/>
      </c>
      <c r="B603" s="22" t="str">
        <f t="shared" si="2"/>
        <v/>
      </c>
      <c r="C603" s="14" t="str">
        <f>IF($A603&lt;&gt;"",MINIFS(Merchant!$A:$A,Merchant!$B:$B,$G$2),)</f>
        <v/>
      </c>
      <c r="D603" s="14" t="str">
        <f t="shared" si="3"/>
        <v/>
      </c>
      <c r="E603" s="14" t="str">
        <f t="shared" si="4"/>
        <v/>
      </c>
      <c r="F603" s="6" t="str">
        <f>IF($A603&lt;&gt;"",MAXIFS(#REF!,Token!$A:$A,$D603),)</f>
        <v/>
      </c>
    </row>
    <row r="604">
      <c r="A604" s="35" t="str">
        <f t="shared" si="1"/>
        <v/>
      </c>
      <c r="B604" s="22" t="str">
        <f t="shared" si="2"/>
        <v/>
      </c>
      <c r="C604" s="14" t="str">
        <f>IF($A604&lt;&gt;"",MINIFS(Merchant!$A:$A,Merchant!$B:$B,$G$2),)</f>
        <v/>
      </c>
      <c r="D604" s="14" t="str">
        <f t="shared" si="3"/>
        <v/>
      </c>
      <c r="E604" s="14" t="str">
        <f t="shared" si="4"/>
        <v/>
      </c>
      <c r="F604" s="6" t="str">
        <f>IF($A604&lt;&gt;"",MAXIFS(#REF!,Token!$A:$A,$D604),)</f>
        <v/>
      </c>
    </row>
    <row r="605">
      <c r="A605" s="35" t="str">
        <f t="shared" si="1"/>
        <v/>
      </c>
      <c r="B605" s="22" t="str">
        <f t="shared" si="2"/>
        <v/>
      </c>
      <c r="C605" s="14" t="str">
        <f>IF($A605&lt;&gt;"",MINIFS(Merchant!$A:$A,Merchant!$B:$B,$G$2),)</f>
        <v/>
      </c>
      <c r="D605" s="14" t="str">
        <f t="shared" si="3"/>
        <v/>
      </c>
      <c r="E605" s="14" t="str">
        <f t="shared" si="4"/>
        <v/>
      </c>
      <c r="F605" s="6" t="str">
        <f>IF($A605&lt;&gt;"",MAXIFS(#REF!,Token!$A:$A,$D605),)</f>
        <v/>
      </c>
    </row>
    <row r="606">
      <c r="A606" s="35" t="str">
        <f t="shared" si="1"/>
        <v/>
      </c>
      <c r="B606" s="22" t="str">
        <f t="shared" si="2"/>
        <v/>
      </c>
      <c r="C606" s="14" t="str">
        <f>IF($A606&lt;&gt;"",MINIFS(Merchant!$A:$A,Merchant!$B:$B,$G$2),)</f>
        <v/>
      </c>
      <c r="D606" s="14" t="str">
        <f t="shared" si="3"/>
        <v/>
      </c>
      <c r="E606" s="14" t="str">
        <f t="shared" si="4"/>
        <v/>
      </c>
      <c r="F606" s="6" t="str">
        <f>IF($A606&lt;&gt;"",MAXIFS(#REF!,Token!$A:$A,$D606),)</f>
        <v/>
      </c>
    </row>
    <row r="607">
      <c r="A607" s="35" t="str">
        <f t="shared" si="1"/>
        <v/>
      </c>
      <c r="B607" s="22" t="str">
        <f t="shared" si="2"/>
        <v/>
      </c>
      <c r="C607" s="14" t="str">
        <f>IF($A607&lt;&gt;"",MINIFS(Merchant!$A:$A,Merchant!$B:$B,$G$2),)</f>
        <v/>
      </c>
      <c r="D607" s="14" t="str">
        <f t="shared" si="3"/>
        <v/>
      </c>
      <c r="E607" s="14" t="str">
        <f t="shared" si="4"/>
        <v/>
      </c>
      <c r="F607" s="6" t="str">
        <f>IF($A607&lt;&gt;"",MAXIFS(#REF!,Token!$A:$A,$D607),)</f>
        <v/>
      </c>
    </row>
    <row r="608">
      <c r="A608" s="35" t="str">
        <f t="shared" si="1"/>
        <v/>
      </c>
      <c r="B608" s="22" t="str">
        <f t="shared" si="2"/>
        <v/>
      </c>
      <c r="C608" s="14" t="str">
        <f>IF($A608&lt;&gt;"",MINIFS(Merchant!$A:$A,Merchant!$B:$B,$G$2),)</f>
        <v/>
      </c>
      <c r="D608" s="14" t="str">
        <f t="shared" si="3"/>
        <v/>
      </c>
      <c r="E608" s="14" t="str">
        <f t="shared" si="4"/>
        <v/>
      </c>
      <c r="F608" s="6" t="str">
        <f>IF($A608&lt;&gt;"",MAXIFS(#REF!,Token!$A:$A,$D608),)</f>
        <v/>
      </c>
    </row>
    <row r="609">
      <c r="A609" s="35" t="str">
        <f t="shared" si="1"/>
        <v/>
      </c>
      <c r="B609" s="22" t="str">
        <f t="shared" si="2"/>
        <v/>
      </c>
      <c r="C609" s="14" t="str">
        <f>IF($A609&lt;&gt;"",MINIFS(Merchant!$A:$A,Merchant!$B:$B,$G$2),)</f>
        <v/>
      </c>
      <c r="D609" s="14" t="str">
        <f t="shared" si="3"/>
        <v/>
      </c>
      <c r="E609" s="14" t="str">
        <f t="shared" si="4"/>
        <v/>
      </c>
      <c r="F609" s="6" t="str">
        <f>IF($A609&lt;&gt;"",MAXIFS(#REF!,Token!$A:$A,$D609),)</f>
        <v/>
      </c>
    </row>
    <row r="610">
      <c r="A610" s="35" t="str">
        <f t="shared" si="1"/>
        <v/>
      </c>
      <c r="B610" s="22" t="str">
        <f t="shared" si="2"/>
        <v/>
      </c>
      <c r="C610" s="14" t="str">
        <f>IF($A610&lt;&gt;"",MINIFS(Merchant!$A:$A,Merchant!$B:$B,$G$2),)</f>
        <v/>
      </c>
      <c r="D610" s="14" t="str">
        <f t="shared" si="3"/>
        <v/>
      </c>
      <c r="E610" s="14" t="str">
        <f t="shared" si="4"/>
        <v/>
      </c>
      <c r="F610" s="6" t="str">
        <f>IF($A610&lt;&gt;"",MAXIFS(#REF!,Token!$A:$A,$D610),)</f>
        <v/>
      </c>
    </row>
    <row r="611">
      <c r="A611" s="35" t="str">
        <f t="shared" si="1"/>
        <v/>
      </c>
      <c r="B611" s="22" t="str">
        <f t="shared" si="2"/>
        <v/>
      </c>
      <c r="C611" s="14" t="str">
        <f>IF($A611&lt;&gt;"",MINIFS(Merchant!$A:$A,Merchant!$B:$B,$G$2),)</f>
        <v/>
      </c>
      <c r="D611" s="14" t="str">
        <f t="shared" si="3"/>
        <v/>
      </c>
      <c r="E611" s="14" t="str">
        <f t="shared" si="4"/>
        <v/>
      </c>
      <c r="F611" s="6" t="str">
        <f>IF($A611&lt;&gt;"",MAXIFS(#REF!,Token!$A:$A,$D611),)</f>
        <v/>
      </c>
    </row>
    <row r="612">
      <c r="A612" s="35" t="str">
        <f t="shared" si="1"/>
        <v/>
      </c>
      <c r="B612" s="22" t="str">
        <f t="shared" si="2"/>
        <v/>
      </c>
      <c r="C612" s="14" t="str">
        <f>IF($A612&lt;&gt;"",MINIFS(Merchant!$A:$A,Merchant!$B:$B,$G$2),)</f>
        <v/>
      </c>
      <c r="D612" s="14" t="str">
        <f t="shared" si="3"/>
        <v/>
      </c>
      <c r="E612" s="14" t="str">
        <f t="shared" si="4"/>
        <v/>
      </c>
      <c r="F612" s="6" t="str">
        <f>IF($A612&lt;&gt;"",MAXIFS(#REF!,Token!$A:$A,$D612),)</f>
        <v/>
      </c>
    </row>
    <row r="613">
      <c r="A613" s="35" t="str">
        <f t="shared" si="1"/>
        <v/>
      </c>
      <c r="B613" s="22" t="str">
        <f t="shared" si="2"/>
        <v/>
      </c>
      <c r="C613" s="14" t="str">
        <f>IF($A613&lt;&gt;"",MINIFS(Merchant!$A:$A,Merchant!$B:$B,$G$2),)</f>
        <v/>
      </c>
      <c r="D613" s="14" t="str">
        <f t="shared" si="3"/>
        <v/>
      </c>
      <c r="E613" s="14" t="str">
        <f t="shared" si="4"/>
        <v/>
      </c>
      <c r="F613" s="6" t="str">
        <f>IF($A613&lt;&gt;"",MAXIFS(#REF!,Token!$A:$A,$D613),)</f>
        <v/>
      </c>
    </row>
    <row r="614">
      <c r="A614" s="35" t="str">
        <f t="shared" si="1"/>
        <v/>
      </c>
      <c r="B614" s="22" t="str">
        <f t="shared" si="2"/>
        <v/>
      </c>
      <c r="C614" s="14" t="str">
        <f>IF($A614&lt;&gt;"",MINIFS(Merchant!$A:$A,Merchant!$B:$B,$G$2),)</f>
        <v/>
      </c>
      <c r="D614" s="14" t="str">
        <f t="shared" si="3"/>
        <v/>
      </c>
      <c r="E614" s="14" t="str">
        <f t="shared" si="4"/>
        <v/>
      </c>
      <c r="F614" s="6" t="str">
        <f>IF($A614&lt;&gt;"",MAXIFS(#REF!,Token!$A:$A,$D614),)</f>
        <v/>
      </c>
    </row>
    <row r="615">
      <c r="A615" s="35" t="str">
        <f t="shared" si="1"/>
        <v/>
      </c>
      <c r="B615" s="22" t="str">
        <f t="shared" si="2"/>
        <v/>
      </c>
      <c r="C615" s="14" t="str">
        <f>IF($A615&lt;&gt;"",MINIFS(Merchant!$A:$A,Merchant!$B:$B,$G$2),)</f>
        <v/>
      </c>
      <c r="D615" s="14" t="str">
        <f t="shared" si="3"/>
        <v/>
      </c>
      <c r="E615" s="14" t="str">
        <f t="shared" si="4"/>
        <v/>
      </c>
      <c r="F615" s="6" t="str">
        <f>IF($A615&lt;&gt;"",MAXIFS(#REF!,Token!$A:$A,$D615),)</f>
        <v/>
      </c>
    </row>
    <row r="616">
      <c r="A616" s="35" t="str">
        <f t="shared" si="1"/>
        <v/>
      </c>
      <c r="B616" s="22" t="str">
        <f t="shared" si="2"/>
        <v/>
      </c>
      <c r="C616" s="14" t="str">
        <f>IF($A616&lt;&gt;"",MINIFS(Merchant!$A:$A,Merchant!$B:$B,$G$2),)</f>
        <v/>
      </c>
      <c r="D616" s="14" t="str">
        <f t="shared" si="3"/>
        <v/>
      </c>
      <c r="E616" s="14" t="str">
        <f t="shared" si="4"/>
        <v/>
      </c>
      <c r="F616" s="6" t="str">
        <f>IF($A616&lt;&gt;"",MAXIFS(#REF!,Token!$A:$A,$D616),)</f>
        <v/>
      </c>
    </row>
    <row r="617">
      <c r="A617" s="35" t="str">
        <f t="shared" si="1"/>
        <v/>
      </c>
      <c r="B617" s="22" t="str">
        <f t="shared" si="2"/>
        <v/>
      </c>
      <c r="C617" s="14" t="str">
        <f>IF($A617&lt;&gt;"",MINIFS(Merchant!$A:$A,Merchant!$B:$B,$G$2),)</f>
        <v/>
      </c>
      <c r="D617" s="14" t="str">
        <f t="shared" si="3"/>
        <v/>
      </c>
      <c r="E617" s="14" t="str">
        <f t="shared" si="4"/>
        <v/>
      </c>
      <c r="F617" s="6" t="str">
        <f>IF($A617&lt;&gt;"",MAXIFS(#REF!,Token!$A:$A,$D617),)</f>
        <v/>
      </c>
    </row>
    <row r="618">
      <c r="A618" s="35" t="str">
        <f t="shared" si="1"/>
        <v/>
      </c>
      <c r="B618" s="22" t="str">
        <f t="shared" si="2"/>
        <v/>
      </c>
      <c r="C618" s="14" t="str">
        <f>IF($A618&lt;&gt;"",MINIFS(Merchant!$A:$A,Merchant!$B:$B,$G$2),)</f>
        <v/>
      </c>
      <c r="D618" s="14" t="str">
        <f t="shared" si="3"/>
        <v/>
      </c>
      <c r="E618" s="14" t="str">
        <f t="shared" si="4"/>
        <v/>
      </c>
      <c r="F618" s="6" t="str">
        <f>IF($A618&lt;&gt;"",MAXIFS(#REF!,Token!$A:$A,$D618),)</f>
        <v/>
      </c>
    </row>
    <row r="619">
      <c r="A619" s="35" t="str">
        <f t="shared" si="1"/>
        <v/>
      </c>
      <c r="B619" s="22" t="str">
        <f t="shared" si="2"/>
        <v/>
      </c>
      <c r="C619" s="14" t="str">
        <f>IF($A619&lt;&gt;"",MINIFS(Merchant!$A:$A,Merchant!$B:$B,$G$2),)</f>
        <v/>
      </c>
      <c r="D619" s="14" t="str">
        <f t="shared" si="3"/>
        <v/>
      </c>
      <c r="E619" s="14" t="str">
        <f t="shared" si="4"/>
        <v/>
      </c>
      <c r="F619" s="6" t="str">
        <f>IF($A619&lt;&gt;"",MAXIFS(#REF!,Token!$A:$A,$D619),)</f>
        <v/>
      </c>
    </row>
    <row r="620">
      <c r="A620" s="35" t="str">
        <f t="shared" si="1"/>
        <v/>
      </c>
      <c r="B620" s="22" t="str">
        <f t="shared" si="2"/>
        <v/>
      </c>
      <c r="C620" s="14" t="str">
        <f>IF($A620&lt;&gt;"",MINIFS(Merchant!$A:$A,Merchant!$B:$B,$G$2),)</f>
        <v/>
      </c>
      <c r="D620" s="14" t="str">
        <f t="shared" si="3"/>
        <v/>
      </c>
      <c r="E620" s="14" t="str">
        <f t="shared" si="4"/>
        <v/>
      </c>
      <c r="F620" s="6" t="str">
        <f>IF($A620&lt;&gt;"",MAXIFS(#REF!,Token!$A:$A,$D620),)</f>
        <v/>
      </c>
    </row>
    <row r="621">
      <c r="A621" s="35" t="str">
        <f t="shared" si="1"/>
        <v/>
      </c>
      <c r="B621" s="22" t="str">
        <f t="shared" si="2"/>
        <v/>
      </c>
      <c r="C621" s="14" t="str">
        <f>IF($A621&lt;&gt;"",MINIFS(Merchant!$A:$A,Merchant!$B:$B,$G$2),)</f>
        <v/>
      </c>
      <c r="D621" s="14" t="str">
        <f t="shared" si="3"/>
        <v/>
      </c>
      <c r="E621" s="14" t="str">
        <f t="shared" si="4"/>
        <v/>
      </c>
      <c r="F621" s="6" t="str">
        <f>IF($A621&lt;&gt;"",MAXIFS(#REF!,Token!$A:$A,$D621),)</f>
        <v/>
      </c>
    </row>
    <row r="622">
      <c r="A622" s="35" t="str">
        <f t="shared" si="1"/>
        <v/>
      </c>
      <c r="B622" s="22" t="str">
        <f t="shared" si="2"/>
        <v/>
      </c>
      <c r="C622" s="14" t="str">
        <f>IF($A622&lt;&gt;"",MINIFS(Merchant!$A:$A,Merchant!$B:$B,$G$2),)</f>
        <v/>
      </c>
      <c r="D622" s="14" t="str">
        <f t="shared" si="3"/>
        <v/>
      </c>
      <c r="E622" s="14" t="str">
        <f t="shared" si="4"/>
        <v/>
      </c>
      <c r="F622" s="6" t="str">
        <f>IF($A622&lt;&gt;"",MAXIFS(#REF!,Token!$A:$A,$D622),)</f>
        <v/>
      </c>
    </row>
    <row r="623">
      <c r="A623" s="35" t="str">
        <f t="shared" si="1"/>
        <v/>
      </c>
      <c r="B623" s="22" t="str">
        <f t="shared" si="2"/>
        <v/>
      </c>
      <c r="C623" s="14" t="str">
        <f>IF($A623&lt;&gt;"",MINIFS(Merchant!$A:$A,Merchant!$B:$B,$G$2),)</f>
        <v/>
      </c>
      <c r="D623" s="14" t="str">
        <f t="shared" si="3"/>
        <v/>
      </c>
      <c r="E623" s="14" t="str">
        <f t="shared" si="4"/>
        <v/>
      </c>
      <c r="F623" s="6" t="str">
        <f>IF($A623&lt;&gt;"",MAXIFS(#REF!,Token!$A:$A,$D623),)</f>
        <v/>
      </c>
    </row>
    <row r="624">
      <c r="A624" s="35" t="str">
        <f t="shared" si="1"/>
        <v/>
      </c>
      <c r="B624" s="22" t="str">
        <f t="shared" si="2"/>
        <v/>
      </c>
      <c r="C624" s="14" t="str">
        <f>IF($A624&lt;&gt;"",MINIFS(Merchant!$A:$A,Merchant!$B:$B,$G$2),)</f>
        <v/>
      </c>
      <c r="D624" s="14" t="str">
        <f t="shared" si="3"/>
        <v/>
      </c>
      <c r="E624" s="14" t="str">
        <f t="shared" si="4"/>
        <v/>
      </c>
      <c r="F624" s="6" t="str">
        <f>IF($A624&lt;&gt;"",MAXIFS(#REF!,Token!$A:$A,$D624),)</f>
        <v/>
      </c>
    </row>
    <row r="625">
      <c r="A625" s="35" t="str">
        <f t="shared" si="1"/>
        <v/>
      </c>
      <c r="B625" s="22" t="str">
        <f t="shared" si="2"/>
        <v/>
      </c>
      <c r="C625" s="14" t="str">
        <f>IF($A625&lt;&gt;"",MINIFS(Merchant!$A:$A,Merchant!$B:$B,$G$2),)</f>
        <v/>
      </c>
      <c r="D625" s="14" t="str">
        <f t="shared" si="3"/>
        <v/>
      </c>
      <c r="E625" s="14" t="str">
        <f t="shared" si="4"/>
        <v/>
      </c>
      <c r="F625" s="6" t="str">
        <f>IF($A625&lt;&gt;"",MAXIFS(#REF!,Token!$A:$A,$D625),)</f>
        <v/>
      </c>
    </row>
    <row r="626">
      <c r="A626" s="35" t="str">
        <f t="shared" si="1"/>
        <v/>
      </c>
      <c r="B626" s="22" t="str">
        <f t="shared" si="2"/>
        <v/>
      </c>
      <c r="C626" s="14" t="str">
        <f>IF($A626&lt;&gt;"",MINIFS(Merchant!$A:$A,Merchant!$B:$B,$G$2),)</f>
        <v/>
      </c>
      <c r="D626" s="14" t="str">
        <f t="shared" si="3"/>
        <v/>
      </c>
      <c r="E626" s="14" t="str">
        <f t="shared" si="4"/>
        <v/>
      </c>
      <c r="F626" s="6" t="str">
        <f>IF($A626&lt;&gt;"",MAXIFS(#REF!,Token!$A:$A,$D626),)</f>
        <v/>
      </c>
    </row>
    <row r="627">
      <c r="A627" s="35" t="str">
        <f t="shared" si="1"/>
        <v/>
      </c>
      <c r="B627" s="22" t="str">
        <f t="shared" si="2"/>
        <v/>
      </c>
      <c r="C627" s="14" t="str">
        <f>IF($A627&lt;&gt;"",MINIFS(Merchant!$A:$A,Merchant!$B:$B,$G$2),)</f>
        <v/>
      </c>
      <c r="D627" s="14" t="str">
        <f t="shared" si="3"/>
        <v/>
      </c>
      <c r="E627" s="14" t="str">
        <f t="shared" si="4"/>
        <v/>
      </c>
      <c r="F627" s="6" t="str">
        <f>IF($A627&lt;&gt;"",MAXIFS(#REF!,Token!$A:$A,$D627),)</f>
        <v/>
      </c>
    </row>
    <row r="628">
      <c r="A628" s="35" t="str">
        <f t="shared" si="1"/>
        <v/>
      </c>
      <c r="B628" s="22" t="str">
        <f t="shared" si="2"/>
        <v/>
      </c>
      <c r="C628" s="14" t="str">
        <f>IF($A628&lt;&gt;"",MINIFS(Merchant!$A:$A,Merchant!$B:$B,$G$2),)</f>
        <v/>
      </c>
      <c r="D628" s="14" t="str">
        <f t="shared" si="3"/>
        <v/>
      </c>
      <c r="E628" s="14" t="str">
        <f t="shared" si="4"/>
        <v/>
      </c>
      <c r="F628" s="6" t="str">
        <f>IF($A628&lt;&gt;"",MAXIFS(#REF!,Token!$A:$A,$D628),)</f>
        <v/>
      </c>
    </row>
    <row r="629">
      <c r="A629" s="35" t="str">
        <f t="shared" si="1"/>
        <v/>
      </c>
      <c r="B629" s="22" t="str">
        <f t="shared" si="2"/>
        <v/>
      </c>
      <c r="C629" s="14" t="str">
        <f>IF($A629&lt;&gt;"",MINIFS(Merchant!$A:$A,Merchant!$B:$B,$G$2),)</f>
        <v/>
      </c>
      <c r="D629" s="14" t="str">
        <f t="shared" si="3"/>
        <v/>
      </c>
      <c r="E629" s="14" t="str">
        <f t="shared" si="4"/>
        <v/>
      </c>
      <c r="F629" s="6" t="str">
        <f>IF($A629&lt;&gt;"",MAXIFS(#REF!,Token!$A:$A,$D629),)</f>
        <v/>
      </c>
    </row>
    <row r="630">
      <c r="A630" s="35" t="str">
        <f t="shared" si="1"/>
        <v/>
      </c>
      <c r="B630" s="22" t="str">
        <f t="shared" si="2"/>
        <v/>
      </c>
      <c r="C630" s="14" t="str">
        <f>IF($A630&lt;&gt;"",MINIFS(Merchant!$A:$A,Merchant!$B:$B,$G$2),)</f>
        <v/>
      </c>
      <c r="D630" s="14" t="str">
        <f t="shared" si="3"/>
        <v/>
      </c>
      <c r="E630" s="14" t="str">
        <f t="shared" si="4"/>
        <v/>
      </c>
      <c r="F630" s="6" t="str">
        <f>IF($A630&lt;&gt;"",MAXIFS(#REF!,Token!$A:$A,$D630),)</f>
        <v/>
      </c>
    </row>
    <row r="631">
      <c r="A631" s="35" t="str">
        <f t="shared" si="1"/>
        <v/>
      </c>
      <c r="B631" s="22" t="str">
        <f t="shared" si="2"/>
        <v/>
      </c>
      <c r="C631" s="14" t="str">
        <f>IF($A631&lt;&gt;"",MINIFS(Merchant!$A:$A,Merchant!$B:$B,$G$2),)</f>
        <v/>
      </c>
      <c r="D631" s="14" t="str">
        <f t="shared" si="3"/>
        <v/>
      </c>
      <c r="E631" s="14" t="str">
        <f t="shared" si="4"/>
        <v/>
      </c>
      <c r="F631" s="6" t="str">
        <f>IF($A631&lt;&gt;"",MAXIFS(#REF!,Token!$A:$A,$D631),)</f>
        <v/>
      </c>
    </row>
    <row r="632">
      <c r="A632" s="35" t="str">
        <f t="shared" si="1"/>
        <v/>
      </c>
      <c r="B632" s="22" t="str">
        <f t="shared" si="2"/>
        <v/>
      </c>
      <c r="C632" s="14" t="str">
        <f>IF($A632&lt;&gt;"",MINIFS(Merchant!$A:$A,Merchant!$B:$B,$G$2),)</f>
        <v/>
      </c>
      <c r="D632" s="14" t="str">
        <f t="shared" si="3"/>
        <v/>
      </c>
      <c r="E632" s="14" t="str">
        <f t="shared" si="4"/>
        <v/>
      </c>
      <c r="F632" s="6" t="str">
        <f>IF($A632&lt;&gt;"",MAXIFS(#REF!,Token!$A:$A,$D632),)</f>
        <v/>
      </c>
    </row>
    <row r="633">
      <c r="A633" s="35" t="str">
        <f t="shared" si="1"/>
        <v/>
      </c>
      <c r="B633" s="22" t="str">
        <f t="shared" si="2"/>
        <v/>
      </c>
      <c r="C633" s="14" t="str">
        <f>IF($A633&lt;&gt;"",MINIFS(Merchant!$A:$A,Merchant!$B:$B,$G$2),)</f>
        <v/>
      </c>
      <c r="D633" s="14" t="str">
        <f t="shared" si="3"/>
        <v/>
      </c>
      <c r="E633" s="14" t="str">
        <f t="shared" si="4"/>
        <v/>
      </c>
      <c r="F633" s="6" t="str">
        <f>IF($A633&lt;&gt;"",MAXIFS(#REF!,Token!$A:$A,$D633),)</f>
        <v/>
      </c>
    </row>
    <row r="634">
      <c r="A634" s="35" t="str">
        <f t="shared" si="1"/>
        <v/>
      </c>
      <c r="B634" s="22" t="str">
        <f t="shared" si="2"/>
        <v/>
      </c>
      <c r="C634" s="14" t="str">
        <f>IF($A634&lt;&gt;"",MINIFS(Merchant!$A:$A,Merchant!$B:$B,$G$2),)</f>
        <v/>
      </c>
      <c r="D634" s="14" t="str">
        <f t="shared" si="3"/>
        <v/>
      </c>
      <c r="E634" s="14" t="str">
        <f t="shared" si="4"/>
        <v/>
      </c>
      <c r="F634" s="6" t="str">
        <f>IF($A634&lt;&gt;"",MAXIFS(#REF!,Token!$A:$A,$D634),)</f>
        <v/>
      </c>
    </row>
    <row r="635">
      <c r="A635" s="35" t="str">
        <f t="shared" si="1"/>
        <v/>
      </c>
      <c r="B635" s="22" t="str">
        <f t="shared" si="2"/>
        <v/>
      </c>
      <c r="C635" s="14" t="str">
        <f>IF($A635&lt;&gt;"",MINIFS(Merchant!$A:$A,Merchant!$B:$B,$G$2),)</f>
        <v/>
      </c>
      <c r="D635" s="14" t="str">
        <f t="shared" si="3"/>
        <v/>
      </c>
      <c r="E635" s="14" t="str">
        <f t="shared" si="4"/>
        <v/>
      </c>
      <c r="F635" s="6" t="str">
        <f>IF($A635&lt;&gt;"",MAXIFS(#REF!,Token!$A:$A,$D635),)</f>
        <v/>
      </c>
    </row>
    <row r="636">
      <c r="A636" s="35" t="str">
        <f t="shared" si="1"/>
        <v/>
      </c>
      <c r="B636" s="22" t="str">
        <f t="shared" si="2"/>
        <v/>
      </c>
      <c r="C636" s="14" t="str">
        <f>IF($A636&lt;&gt;"",MINIFS(Merchant!$A:$A,Merchant!$B:$B,$G$2),)</f>
        <v/>
      </c>
      <c r="D636" s="14" t="str">
        <f t="shared" si="3"/>
        <v/>
      </c>
      <c r="E636" s="14" t="str">
        <f t="shared" si="4"/>
        <v/>
      </c>
      <c r="F636" s="6" t="str">
        <f>IF($A636&lt;&gt;"",MAXIFS(#REF!,Token!$A:$A,$D636),)</f>
        <v/>
      </c>
    </row>
    <row r="637">
      <c r="A637" s="35" t="str">
        <f t="shared" si="1"/>
        <v/>
      </c>
      <c r="B637" s="22" t="str">
        <f t="shared" si="2"/>
        <v/>
      </c>
      <c r="C637" s="14" t="str">
        <f>IF($A637&lt;&gt;"",MINIFS(Merchant!$A:$A,Merchant!$B:$B,$G$2),)</f>
        <v/>
      </c>
      <c r="D637" s="14" t="str">
        <f t="shared" si="3"/>
        <v/>
      </c>
      <c r="E637" s="14" t="str">
        <f t="shared" si="4"/>
        <v/>
      </c>
      <c r="F637" s="6" t="str">
        <f>IF($A637&lt;&gt;"",MAXIFS(#REF!,Token!$A:$A,$D637),)</f>
        <v/>
      </c>
    </row>
    <row r="638">
      <c r="A638" s="35" t="str">
        <f t="shared" si="1"/>
        <v/>
      </c>
      <c r="B638" s="22" t="str">
        <f t="shared" si="2"/>
        <v/>
      </c>
      <c r="C638" s="14" t="str">
        <f>IF($A638&lt;&gt;"",MINIFS(Merchant!$A:$A,Merchant!$B:$B,$G$2),)</f>
        <v/>
      </c>
      <c r="D638" s="14" t="str">
        <f t="shared" si="3"/>
        <v/>
      </c>
      <c r="E638" s="14" t="str">
        <f t="shared" si="4"/>
        <v/>
      </c>
      <c r="F638" s="6" t="str">
        <f>IF($A638&lt;&gt;"",MAXIFS(#REF!,Token!$A:$A,$D638),)</f>
        <v/>
      </c>
    </row>
    <row r="639">
      <c r="A639" s="35" t="str">
        <f t="shared" si="1"/>
        <v/>
      </c>
      <c r="B639" s="22" t="str">
        <f t="shared" si="2"/>
        <v/>
      </c>
      <c r="C639" s="14" t="str">
        <f>IF($A639&lt;&gt;"",MINIFS(Merchant!$A:$A,Merchant!$B:$B,$G$2),)</f>
        <v/>
      </c>
      <c r="D639" s="14" t="str">
        <f t="shared" si="3"/>
        <v/>
      </c>
      <c r="E639" s="14" t="str">
        <f t="shared" si="4"/>
        <v/>
      </c>
      <c r="F639" s="6" t="str">
        <f>IF($A639&lt;&gt;"",MAXIFS(#REF!,Token!$A:$A,$D639),)</f>
        <v/>
      </c>
    </row>
    <row r="640">
      <c r="A640" s="35" t="str">
        <f t="shared" si="1"/>
        <v/>
      </c>
      <c r="B640" s="22" t="str">
        <f t="shared" si="2"/>
        <v/>
      </c>
      <c r="C640" s="14" t="str">
        <f>IF($A640&lt;&gt;"",MINIFS(Merchant!$A:$A,Merchant!$B:$B,$G$2),)</f>
        <v/>
      </c>
      <c r="D640" s="14" t="str">
        <f t="shared" si="3"/>
        <v/>
      </c>
      <c r="E640" s="14" t="str">
        <f t="shared" si="4"/>
        <v/>
      </c>
      <c r="F640" s="6" t="str">
        <f>IF($A640&lt;&gt;"",MAXIFS(#REF!,Token!$A:$A,$D640),)</f>
        <v/>
      </c>
    </row>
    <row r="641">
      <c r="A641" s="35" t="str">
        <f t="shared" si="1"/>
        <v/>
      </c>
      <c r="B641" s="22" t="str">
        <f t="shared" si="2"/>
        <v/>
      </c>
      <c r="C641" s="14" t="str">
        <f>IF($A641&lt;&gt;"",MINIFS(Merchant!$A:$A,Merchant!$B:$B,$G$2),)</f>
        <v/>
      </c>
      <c r="D641" s="14" t="str">
        <f t="shared" si="3"/>
        <v/>
      </c>
      <c r="E641" s="14" t="str">
        <f t="shared" si="4"/>
        <v/>
      </c>
      <c r="F641" s="6" t="str">
        <f>IF($A641&lt;&gt;"",MAXIFS(#REF!,Token!$A:$A,$D641),)</f>
        <v/>
      </c>
    </row>
    <row r="642">
      <c r="A642" s="35" t="str">
        <f t="shared" si="1"/>
        <v/>
      </c>
      <c r="B642" s="22" t="str">
        <f t="shared" si="2"/>
        <v/>
      </c>
      <c r="C642" s="14" t="str">
        <f>IF($A642&lt;&gt;"",MINIFS(Merchant!$A:$A,Merchant!$B:$B,$G$2),)</f>
        <v/>
      </c>
      <c r="D642" s="14" t="str">
        <f t="shared" si="3"/>
        <v/>
      </c>
      <c r="E642" s="14" t="str">
        <f t="shared" si="4"/>
        <v/>
      </c>
      <c r="F642" s="6" t="str">
        <f>IF($A642&lt;&gt;"",MAXIFS(#REF!,Token!$A:$A,$D642),)</f>
        <v/>
      </c>
    </row>
    <row r="643">
      <c r="A643" s="35" t="str">
        <f t="shared" si="1"/>
        <v/>
      </c>
      <c r="B643" s="22" t="str">
        <f t="shared" si="2"/>
        <v/>
      </c>
      <c r="C643" s="14" t="str">
        <f>IF($A643&lt;&gt;"",MINIFS(Merchant!$A:$A,Merchant!$B:$B,$G$2),)</f>
        <v/>
      </c>
      <c r="D643" s="14" t="str">
        <f t="shared" si="3"/>
        <v/>
      </c>
      <c r="E643" s="14" t="str">
        <f t="shared" si="4"/>
        <v/>
      </c>
      <c r="F643" s="6" t="str">
        <f>IF($A643&lt;&gt;"",MAXIFS(#REF!,Token!$A:$A,$D643),)</f>
        <v/>
      </c>
    </row>
    <row r="644">
      <c r="A644" s="35" t="str">
        <f t="shared" si="1"/>
        <v/>
      </c>
      <c r="B644" s="22" t="str">
        <f t="shared" si="2"/>
        <v/>
      </c>
      <c r="C644" s="14" t="str">
        <f>IF($A644&lt;&gt;"",MINIFS(Merchant!$A:$A,Merchant!$B:$B,$G$2),)</f>
        <v/>
      </c>
      <c r="D644" s="14" t="str">
        <f t="shared" si="3"/>
        <v/>
      </c>
      <c r="E644" s="14" t="str">
        <f t="shared" si="4"/>
        <v/>
      </c>
      <c r="F644" s="6" t="str">
        <f>IF($A644&lt;&gt;"",MAXIFS(#REF!,Token!$A:$A,$D644),)</f>
        <v/>
      </c>
    </row>
    <row r="645">
      <c r="A645" s="35" t="str">
        <f t="shared" si="1"/>
        <v/>
      </c>
      <c r="B645" s="22" t="str">
        <f t="shared" si="2"/>
        <v/>
      </c>
      <c r="C645" s="14" t="str">
        <f>IF($A645&lt;&gt;"",MINIFS(Merchant!$A:$A,Merchant!$B:$B,$G$2),)</f>
        <v/>
      </c>
      <c r="D645" s="14" t="str">
        <f t="shared" si="3"/>
        <v/>
      </c>
      <c r="E645" s="14" t="str">
        <f t="shared" si="4"/>
        <v/>
      </c>
      <c r="F645" s="6" t="str">
        <f>IF($A645&lt;&gt;"",MAXIFS(#REF!,Token!$A:$A,$D645),)</f>
        <v/>
      </c>
    </row>
    <row r="646">
      <c r="A646" s="35" t="str">
        <f t="shared" si="1"/>
        <v/>
      </c>
      <c r="B646" s="22" t="str">
        <f t="shared" si="2"/>
        <v/>
      </c>
      <c r="C646" s="14" t="str">
        <f>IF($A646&lt;&gt;"",MINIFS(Merchant!$A:$A,Merchant!$B:$B,$G$2),)</f>
        <v/>
      </c>
      <c r="D646" s="14" t="str">
        <f t="shared" si="3"/>
        <v/>
      </c>
      <c r="E646" s="14" t="str">
        <f t="shared" si="4"/>
        <v/>
      </c>
      <c r="F646" s="6" t="str">
        <f>IF($A646&lt;&gt;"",MAXIFS(#REF!,Token!$A:$A,$D646),)</f>
        <v/>
      </c>
    </row>
    <row r="647">
      <c r="A647" s="35" t="str">
        <f t="shared" si="1"/>
        <v/>
      </c>
      <c r="B647" s="22" t="str">
        <f t="shared" si="2"/>
        <v/>
      </c>
      <c r="C647" s="14" t="str">
        <f>IF($A647&lt;&gt;"",MINIFS(Merchant!$A:$A,Merchant!$B:$B,$G$2),)</f>
        <v/>
      </c>
      <c r="D647" s="14" t="str">
        <f t="shared" si="3"/>
        <v/>
      </c>
      <c r="E647" s="14" t="str">
        <f t="shared" si="4"/>
        <v/>
      </c>
      <c r="F647" s="6" t="str">
        <f>IF($A647&lt;&gt;"",MAXIFS(#REF!,Token!$A:$A,$D647),)</f>
        <v/>
      </c>
    </row>
    <row r="648">
      <c r="A648" s="35" t="str">
        <f t="shared" si="1"/>
        <v/>
      </c>
      <c r="B648" s="22" t="str">
        <f t="shared" si="2"/>
        <v/>
      </c>
      <c r="C648" s="14" t="str">
        <f>IF($A648&lt;&gt;"",MINIFS(Merchant!$A:$A,Merchant!$B:$B,$G$2),)</f>
        <v/>
      </c>
      <c r="D648" s="14" t="str">
        <f t="shared" si="3"/>
        <v/>
      </c>
      <c r="E648" s="14" t="str">
        <f t="shared" si="4"/>
        <v/>
      </c>
      <c r="F648" s="6" t="str">
        <f>IF($A648&lt;&gt;"",MAXIFS(#REF!,Token!$A:$A,$D648),)</f>
        <v/>
      </c>
    </row>
    <row r="649">
      <c r="A649" s="35" t="str">
        <f t="shared" si="1"/>
        <v/>
      </c>
      <c r="B649" s="22" t="str">
        <f t="shared" si="2"/>
        <v/>
      </c>
      <c r="C649" s="14" t="str">
        <f>IF($A649&lt;&gt;"",MINIFS(Merchant!$A:$A,Merchant!$B:$B,$G$2),)</f>
        <v/>
      </c>
      <c r="D649" s="14" t="str">
        <f t="shared" si="3"/>
        <v/>
      </c>
      <c r="E649" s="14" t="str">
        <f t="shared" si="4"/>
        <v/>
      </c>
      <c r="F649" s="6" t="str">
        <f>IF($A649&lt;&gt;"",MAXIFS(#REF!,Token!$A:$A,$D649),)</f>
        <v/>
      </c>
    </row>
    <row r="650">
      <c r="A650" s="35" t="str">
        <f t="shared" si="1"/>
        <v/>
      </c>
      <c r="B650" s="22" t="str">
        <f t="shared" si="2"/>
        <v/>
      </c>
      <c r="C650" s="14" t="str">
        <f>IF($A650&lt;&gt;"",MINIFS(Merchant!$A:$A,Merchant!$B:$B,$G$2),)</f>
        <v/>
      </c>
      <c r="D650" s="14" t="str">
        <f t="shared" si="3"/>
        <v/>
      </c>
      <c r="E650" s="14" t="str">
        <f t="shared" si="4"/>
        <v/>
      </c>
      <c r="F650" s="6" t="str">
        <f>IF($A650&lt;&gt;"",MAXIFS(#REF!,Token!$A:$A,$D650),)</f>
        <v/>
      </c>
    </row>
    <row r="651">
      <c r="A651" s="35" t="str">
        <f t="shared" si="1"/>
        <v/>
      </c>
      <c r="B651" s="22" t="str">
        <f t="shared" si="2"/>
        <v/>
      </c>
      <c r="C651" s="14" t="str">
        <f>IF($A651&lt;&gt;"",MINIFS(Merchant!$A:$A,Merchant!$B:$B,$G$2),)</f>
        <v/>
      </c>
      <c r="D651" s="14" t="str">
        <f t="shared" si="3"/>
        <v/>
      </c>
      <c r="E651" s="14" t="str">
        <f t="shared" si="4"/>
        <v/>
      </c>
      <c r="F651" s="6" t="str">
        <f>IF($A651&lt;&gt;"",MAXIFS(#REF!,Token!$A:$A,$D651),)</f>
        <v/>
      </c>
    </row>
    <row r="652">
      <c r="A652" s="35" t="str">
        <f t="shared" si="1"/>
        <v/>
      </c>
      <c r="B652" s="22" t="str">
        <f t="shared" si="2"/>
        <v/>
      </c>
      <c r="C652" s="14" t="str">
        <f>IF($A652&lt;&gt;"",MINIFS(Merchant!$A:$A,Merchant!$B:$B,$G$2),)</f>
        <v/>
      </c>
      <c r="D652" s="14" t="str">
        <f t="shared" si="3"/>
        <v/>
      </c>
      <c r="E652" s="14" t="str">
        <f t="shared" si="4"/>
        <v/>
      </c>
      <c r="F652" s="6" t="str">
        <f>IF($A652&lt;&gt;"",MAXIFS(#REF!,Token!$A:$A,$D652),)</f>
        <v/>
      </c>
    </row>
    <row r="653">
      <c r="A653" s="35" t="str">
        <f t="shared" si="1"/>
        <v/>
      </c>
      <c r="B653" s="22" t="str">
        <f t="shared" si="2"/>
        <v/>
      </c>
      <c r="C653" s="14" t="str">
        <f>IF($A653&lt;&gt;"",MINIFS(Merchant!$A:$A,Merchant!$B:$B,$G$2),)</f>
        <v/>
      </c>
      <c r="D653" s="14" t="str">
        <f t="shared" si="3"/>
        <v/>
      </c>
      <c r="E653" s="14" t="str">
        <f t="shared" si="4"/>
        <v/>
      </c>
      <c r="F653" s="6" t="str">
        <f>IF($A653&lt;&gt;"",MAXIFS(#REF!,Token!$A:$A,$D653),)</f>
        <v/>
      </c>
    </row>
    <row r="654">
      <c r="A654" s="35" t="str">
        <f t="shared" si="1"/>
        <v/>
      </c>
      <c r="B654" s="22" t="str">
        <f t="shared" si="2"/>
        <v/>
      </c>
      <c r="C654" s="14" t="str">
        <f>IF($A654&lt;&gt;"",MINIFS(Merchant!$A:$A,Merchant!$B:$B,$G$2),)</f>
        <v/>
      </c>
      <c r="D654" s="14" t="str">
        <f t="shared" si="3"/>
        <v/>
      </c>
      <c r="E654" s="14" t="str">
        <f t="shared" si="4"/>
        <v/>
      </c>
      <c r="F654" s="6" t="str">
        <f>IF($A654&lt;&gt;"",MAXIFS(#REF!,Token!$A:$A,$D654),)</f>
        <v/>
      </c>
    </row>
    <row r="655">
      <c r="A655" s="35" t="str">
        <f t="shared" si="1"/>
        <v/>
      </c>
      <c r="B655" s="22" t="str">
        <f t="shared" si="2"/>
        <v/>
      </c>
      <c r="C655" s="14" t="str">
        <f>IF($A655&lt;&gt;"",MINIFS(Merchant!$A:$A,Merchant!$B:$B,$G$2),)</f>
        <v/>
      </c>
      <c r="D655" s="14" t="str">
        <f t="shared" si="3"/>
        <v/>
      </c>
      <c r="E655" s="14" t="str">
        <f t="shared" si="4"/>
        <v/>
      </c>
      <c r="F655" s="6" t="str">
        <f>IF($A655&lt;&gt;"",MAXIFS(#REF!,Token!$A:$A,$D655),)</f>
        <v/>
      </c>
    </row>
    <row r="656">
      <c r="A656" s="35" t="str">
        <f t="shared" si="1"/>
        <v/>
      </c>
      <c r="B656" s="22" t="str">
        <f t="shared" si="2"/>
        <v/>
      </c>
      <c r="C656" s="14" t="str">
        <f>IF($A656&lt;&gt;"",MINIFS(Merchant!$A:$A,Merchant!$B:$B,$G$2),)</f>
        <v/>
      </c>
      <c r="D656" s="14" t="str">
        <f t="shared" si="3"/>
        <v/>
      </c>
      <c r="E656" s="14" t="str">
        <f t="shared" si="4"/>
        <v/>
      </c>
      <c r="F656" s="6" t="str">
        <f>IF($A656&lt;&gt;"",MAXIFS(#REF!,Token!$A:$A,$D656),)</f>
        <v/>
      </c>
    </row>
    <row r="657">
      <c r="A657" s="35" t="str">
        <f t="shared" si="1"/>
        <v/>
      </c>
      <c r="B657" s="22" t="str">
        <f t="shared" si="2"/>
        <v/>
      </c>
      <c r="C657" s="14" t="str">
        <f>IF($A657&lt;&gt;"",MINIFS(Merchant!$A:$A,Merchant!$B:$B,$G$2),)</f>
        <v/>
      </c>
      <c r="D657" s="14" t="str">
        <f t="shared" si="3"/>
        <v/>
      </c>
      <c r="E657" s="14" t="str">
        <f t="shared" si="4"/>
        <v/>
      </c>
      <c r="F657" s="6" t="str">
        <f>IF($A657&lt;&gt;"",MAXIFS(#REF!,Token!$A:$A,$D657),)</f>
        <v/>
      </c>
    </row>
    <row r="658">
      <c r="A658" s="35" t="str">
        <f t="shared" si="1"/>
        <v/>
      </c>
      <c r="B658" s="22" t="str">
        <f t="shared" si="2"/>
        <v/>
      </c>
      <c r="C658" s="14" t="str">
        <f>IF($A658&lt;&gt;"",MINIFS(Merchant!$A:$A,Merchant!$B:$B,$G$2),)</f>
        <v/>
      </c>
      <c r="D658" s="14" t="str">
        <f t="shared" si="3"/>
        <v/>
      </c>
      <c r="E658" s="14" t="str">
        <f t="shared" si="4"/>
        <v/>
      </c>
      <c r="F658" s="6" t="str">
        <f>IF($A658&lt;&gt;"",MAXIFS(#REF!,Token!$A:$A,$D658),)</f>
        <v/>
      </c>
    </row>
    <row r="659">
      <c r="A659" s="35" t="str">
        <f t="shared" si="1"/>
        <v/>
      </c>
      <c r="B659" s="22" t="str">
        <f t="shared" si="2"/>
        <v/>
      </c>
      <c r="C659" s="14" t="str">
        <f>IF($A659&lt;&gt;"",MINIFS(Merchant!$A:$A,Merchant!$B:$B,$G$2),)</f>
        <v/>
      </c>
      <c r="D659" s="14" t="str">
        <f t="shared" si="3"/>
        <v/>
      </c>
      <c r="E659" s="14" t="str">
        <f t="shared" si="4"/>
        <v/>
      </c>
      <c r="F659" s="6" t="str">
        <f>IF($A659&lt;&gt;"",MAXIFS(#REF!,Token!$A:$A,$D659),)</f>
        <v/>
      </c>
    </row>
    <row r="660">
      <c r="A660" s="35" t="str">
        <f t="shared" si="1"/>
        <v/>
      </c>
      <c r="B660" s="22" t="str">
        <f t="shared" si="2"/>
        <v/>
      </c>
      <c r="C660" s="14" t="str">
        <f>IF($A660&lt;&gt;"",MINIFS(Merchant!$A:$A,Merchant!$B:$B,$G$2),)</f>
        <v/>
      </c>
      <c r="D660" s="14" t="str">
        <f t="shared" si="3"/>
        <v/>
      </c>
      <c r="E660" s="14" t="str">
        <f t="shared" si="4"/>
        <v/>
      </c>
      <c r="F660" s="6" t="str">
        <f>IF($A660&lt;&gt;"",MAXIFS(#REF!,Token!$A:$A,$D660),)</f>
        <v/>
      </c>
    </row>
    <row r="661">
      <c r="A661" s="35" t="str">
        <f t="shared" si="1"/>
        <v/>
      </c>
      <c r="B661" s="22" t="str">
        <f t="shared" si="2"/>
        <v/>
      </c>
      <c r="C661" s="14" t="str">
        <f>IF($A661&lt;&gt;"",MINIFS(Merchant!$A:$A,Merchant!$B:$B,$G$2),)</f>
        <v/>
      </c>
      <c r="D661" s="14" t="str">
        <f t="shared" si="3"/>
        <v/>
      </c>
      <c r="E661" s="14" t="str">
        <f t="shared" si="4"/>
        <v/>
      </c>
      <c r="F661" s="6" t="str">
        <f>IF($A661&lt;&gt;"",MAXIFS(#REF!,Token!$A:$A,$D661),)</f>
        <v/>
      </c>
    </row>
    <row r="662">
      <c r="A662" s="35" t="str">
        <f t="shared" si="1"/>
        <v/>
      </c>
      <c r="B662" s="22" t="str">
        <f t="shared" si="2"/>
        <v/>
      </c>
      <c r="C662" s="14" t="str">
        <f>IF($A662&lt;&gt;"",MINIFS(Merchant!$A:$A,Merchant!$B:$B,$G$2),)</f>
        <v/>
      </c>
      <c r="D662" s="14" t="str">
        <f t="shared" si="3"/>
        <v/>
      </c>
      <c r="E662" s="14" t="str">
        <f t="shared" si="4"/>
        <v/>
      </c>
      <c r="F662" s="6" t="str">
        <f>IF($A662&lt;&gt;"",MAXIFS(#REF!,Token!$A:$A,$D662),)</f>
        <v/>
      </c>
    </row>
    <row r="663">
      <c r="A663" s="35" t="str">
        <f t="shared" si="1"/>
        <v/>
      </c>
      <c r="B663" s="22" t="str">
        <f t="shared" si="2"/>
        <v/>
      </c>
      <c r="C663" s="14" t="str">
        <f>IF($A663&lt;&gt;"",MINIFS(Merchant!$A:$A,Merchant!$B:$B,$G$2),)</f>
        <v/>
      </c>
      <c r="D663" s="14" t="str">
        <f t="shared" si="3"/>
        <v/>
      </c>
      <c r="E663" s="14" t="str">
        <f t="shared" si="4"/>
        <v/>
      </c>
      <c r="F663" s="6" t="str">
        <f>IF($A663&lt;&gt;"",MAXIFS(#REF!,Token!$A:$A,$D663),)</f>
        <v/>
      </c>
    </row>
    <row r="664">
      <c r="A664" s="35" t="str">
        <f t="shared" si="1"/>
        <v/>
      </c>
      <c r="B664" s="22" t="str">
        <f t="shared" si="2"/>
        <v/>
      </c>
      <c r="C664" s="14" t="str">
        <f>IF($A664&lt;&gt;"",MINIFS(Merchant!$A:$A,Merchant!$B:$B,$G$2),)</f>
        <v/>
      </c>
      <c r="D664" s="14" t="str">
        <f t="shared" si="3"/>
        <v/>
      </c>
      <c r="E664" s="14" t="str">
        <f t="shared" si="4"/>
        <v/>
      </c>
      <c r="F664" s="6" t="str">
        <f>IF($A664&lt;&gt;"",MAXIFS(#REF!,Token!$A:$A,$D664),)</f>
        <v/>
      </c>
    </row>
    <row r="665">
      <c r="A665" s="35" t="str">
        <f t="shared" si="1"/>
        <v/>
      </c>
      <c r="B665" s="22" t="str">
        <f t="shared" si="2"/>
        <v/>
      </c>
      <c r="C665" s="14" t="str">
        <f>IF($A665&lt;&gt;"",MINIFS(Merchant!$A:$A,Merchant!$B:$B,$G$2),)</f>
        <v/>
      </c>
      <c r="D665" s="14" t="str">
        <f t="shared" si="3"/>
        <v/>
      </c>
      <c r="E665" s="14" t="str">
        <f t="shared" si="4"/>
        <v/>
      </c>
      <c r="F665" s="6" t="str">
        <f>IF($A665&lt;&gt;"",MAXIFS(#REF!,Token!$A:$A,$D665),)</f>
        <v/>
      </c>
    </row>
    <row r="666">
      <c r="A666" s="35" t="str">
        <f t="shared" si="1"/>
        <v/>
      </c>
      <c r="B666" s="22" t="str">
        <f t="shared" si="2"/>
        <v/>
      </c>
      <c r="C666" s="14" t="str">
        <f>IF($A666&lt;&gt;"",MINIFS(Merchant!$A:$A,Merchant!$B:$B,$G$2),)</f>
        <v/>
      </c>
      <c r="D666" s="14" t="str">
        <f t="shared" si="3"/>
        <v/>
      </c>
      <c r="E666" s="14" t="str">
        <f t="shared" si="4"/>
        <v/>
      </c>
      <c r="F666" s="6" t="str">
        <f>IF($A666&lt;&gt;"",MAXIFS(#REF!,Token!$A:$A,$D666),)</f>
        <v/>
      </c>
    </row>
    <row r="667">
      <c r="A667" s="35" t="str">
        <f t="shared" si="1"/>
        <v/>
      </c>
      <c r="B667" s="22" t="str">
        <f t="shared" si="2"/>
        <v/>
      </c>
      <c r="C667" s="14" t="str">
        <f>IF($A667&lt;&gt;"",MINIFS(Merchant!$A:$A,Merchant!$B:$B,$G$2),)</f>
        <v/>
      </c>
      <c r="D667" s="14" t="str">
        <f t="shared" si="3"/>
        <v/>
      </c>
      <c r="E667" s="14" t="str">
        <f t="shared" si="4"/>
        <v/>
      </c>
      <c r="F667" s="6" t="str">
        <f>IF($A667&lt;&gt;"",MAXIFS(#REF!,Token!$A:$A,$D667),)</f>
        <v/>
      </c>
    </row>
    <row r="668">
      <c r="A668" s="35" t="str">
        <f t="shared" si="1"/>
        <v/>
      </c>
      <c r="B668" s="22" t="str">
        <f t="shared" si="2"/>
        <v/>
      </c>
      <c r="C668" s="14" t="str">
        <f>IF($A668&lt;&gt;"",MINIFS(Merchant!$A:$A,Merchant!$B:$B,$G$2),)</f>
        <v/>
      </c>
      <c r="D668" s="14" t="str">
        <f t="shared" si="3"/>
        <v/>
      </c>
      <c r="E668" s="14" t="str">
        <f t="shared" si="4"/>
        <v/>
      </c>
      <c r="F668" s="6" t="str">
        <f>IF($A668&lt;&gt;"",MAXIFS(#REF!,Token!$A:$A,$D668),)</f>
        <v/>
      </c>
    </row>
    <row r="669">
      <c r="A669" s="35" t="str">
        <f t="shared" si="1"/>
        <v/>
      </c>
      <c r="B669" s="22" t="str">
        <f t="shared" si="2"/>
        <v/>
      </c>
      <c r="C669" s="14" t="str">
        <f>IF($A669&lt;&gt;"",MINIFS(Merchant!$A:$A,Merchant!$B:$B,$G$2),)</f>
        <v/>
      </c>
      <c r="D669" s="14" t="str">
        <f t="shared" si="3"/>
        <v/>
      </c>
      <c r="E669" s="14" t="str">
        <f t="shared" si="4"/>
        <v/>
      </c>
      <c r="F669" s="6" t="str">
        <f>IF($A669&lt;&gt;"",MAXIFS(#REF!,Token!$A:$A,$D669),)</f>
        <v/>
      </c>
    </row>
    <row r="670">
      <c r="A670" s="35" t="str">
        <f t="shared" si="1"/>
        <v/>
      </c>
      <c r="B670" s="22" t="str">
        <f t="shared" si="2"/>
        <v/>
      </c>
      <c r="C670" s="14" t="str">
        <f>IF($A670&lt;&gt;"",MINIFS(Merchant!$A:$A,Merchant!$B:$B,$G$2),)</f>
        <v/>
      </c>
      <c r="D670" s="14" t="str">
        <f t="shared" si="3"/>
        <v/>
      </c>
      <c r="E670" s="14" t="str">
        <f t="shared" si="4"/>
        <v/>
      </c>
      <c r="F670" s="6" t="str">
        <f>IF($A670&lt;&gt;"",MAXIFS(#REF!,Token!$A:$A,$D670),)</f>
        <v/>
      </c>
    </row>
    <row r="671">
      <c r="A671" s="35" t="str">
        <f t="shared" si="1"/>
        <v/>
      </c>
      <c r="B671" s="22" t="str">
        <f t="shared" si="2"/>
        <v/>
      </c>
      <c r="C671" s="14" t="str">
        <f>IF($A671&lt;&gt;"",MINIFS(Merchant!$A:$A,Merchant!$B:$B,$G$2),)</f>
        <v/>
      </c>
      <c r="D671" s="14" t="str">
        <f t="shared" si="3"/>
        <v/>
      </c>
      <c r="E671" s="14" t="str">
        <f t="shared" si="4"/>
        <v/>
      </c>
      <c r="F671" s="6" t="str">
        <f>IF($A671&lt;&gt;"",MAXIFS(#REF!,Token!$A:$A,$D671),)</f>
        <v/>
      </c>
    </row>
    <row r="672">
      <c r="A672" s="35" t="str">
        <f t="shared" si="1"/>
        <v/>
      </c>
      <c r="B672" s="22" t="str">
        <f t="shared" si="2"/>
        <v/>
      </c>
      <c r="C672" s="14" t="str">
        <f>IF($A672&lt;&gt;"",MINIFS(Merchant!$A:$A,Merchant!$B:$B,$G$2),)</f>
        <v/>
      </c>
      <c r="D672" s="14" t="str">
        <f t="shared" si="3"/>
        <v/>
      </c>
      <c r="E672" s="14" t="str">
        <f t="shared" si="4"/>
        <v/>
      </c>
      <c r="F672" s="6" t="str">
        <f>IF($A672&lt;&gt;"",MAXIFS(#REF!,Token!$A:$A,$D672),)</f>
        <v/>
      </c>
    </row>
    <row r="673">
      <c r="A673" s="35" t="str">
        <f t="shared" si="1"/>
        <v/>
      </c>
      <c r="B673" s="22" t="str">
        <f t="shared" si="2"/>
        <v/>
      </c>
      <c r="C673" s="14" t="str">
        <f>IF($A673&lt;&gt;"",MINIFS(Merchant!$A:$A,Merchant!$B:$B,$G$2),)</f>
        <v/>
      </c>
      <c r="D673" s="14" t="str">
        <f t="shared" si="3"/>
        <v/>
      </c>
      <c r="E673" s="14" t="str">
        <f t="shared" si="4"/>
        <v/>
      </c>
      <c r="F673" s="6" t="str">
        <f>IF($A673&lt;&gt;"",MAXIFS(#REF!,Token!$A:$A,$D673),)</f>
        <v/>
      </c>
    </row>
    <row r="674">
      <c r="A674" s="35" t="str">
        <f t="shared" si="1"/>
        <v/>
      </c>
      <c r="B674" s="22" t="str">
        <f t="shared" si="2"/>
        <v/>
      </c>
      <c r="C674" s="14" t="str">
        <f>IF($A674&lt;&gt;"",MINIFS(Merchant!$A:$A,Merchant!$B:$B,$G$2),)</f>
        <v/>
      </c>
      <c r="D674" s="14" t="str">
        <f t="shared" si="3"/>
        <v/>
      </c>
      <c r="E674" s="14" t="str">
        <f t="shared" si="4"/>
        <v/>
      </c>
      <c r="F674" s="6" t="str">
        <f>IF($A674&lt;&gt;"",MAXIFS(#REF!,Token!$A:$A,$D674),)</f>
        <v/>
      </c>
    </row>
    <row r="675">
      <c r="A675" s="35" t="str">
        <f t="shared" si="1"/>
        <v/>
      </c>
      <c r="B675" s="22" t="str">
        <f t="shared" si="2"/>
        <v/>
      </c>
      <c r="C675" s="14" t="str">
        <f>IF($A675&lt;&gt;"",MINIFS(Merchant!$A:$A,Merchant!$B:$B,$G$2),)</f>
        <v/>
      </c>
      <c r="D675" s="14" t="str">
        <f t="shared" si="3"/>
        <v/>
      </c>
      <c r="E675" s="14" t="str">
        <f t="shared" si="4"/>
        <v/>
      </c>
      <c r="F675" s="6" t="str">
        <f>IF($A675&lt;&gt;"",MAXIFS(#REF!,Token!$A:$A,$D675),)</f>
        <v/>
      </c>
    </row>
    <row r="676">
      <c r="A676" s="35" t="str">
        <f t="shared" si="1"/>
        <v/>
      </c>
      <c r="B676" s="22" t="str">
        <f t="shared" si="2"/>
        <v/>
      </c>
      <c r="C676" s="14" t="str">
        <f>IF($A676&lt;&gt;"",MINIFS(Merchant!$A:$A,Merchant!$B:$B,$G$2),)</f>
        <v/>
      </c>
      <c r="D676" s="14" t="str">
        <f t="shared" si="3"/>
        <v/>
      </c>
      <c r="E676" s="14" t="str">
        <f t="shared" si="4"/>
        <v/>
      </c>
      <c r="F676" s="6" t="str">
        <f>IF($A676&lt;&gt;"",MAXIFS(#REF!,Token!$A:$A,$D676),)</f>
        <v/>
      </c>
    </row>
    <row r="677">
      <c r="A677" s="35" t="str">
        <f t="shared" si="1"/>
        <v/>
      </c>
      <c r="B677" s="22" t="str">
        <f t="shared" si="2"/>
        <v/>
      </c>
      <c r="C677" s="14" t="str">
        <f>IF($A677&lt;&gt;"",MINIFS(Merchant!$A:$A,Merchant!$B:$B,$G$2),)</f>
        <v/>
      </c>
      <c r="D677" s="14" t="str">
        <f t="shared" si="3"/>
        <v/>
      </c>
      <c r="E677" s="14" t="str">
        <f t="shared" si="4"/>
        <v/>
      </c>
      <c r="F677" s="6" t="str">
        <f>IF($A677&lt;&gt;"",MAXIFS(#REF!,Token!$A:$A,$D677),)</f>
        <v/>
      </c>
    </row>
    <row r="678">
      <c r="A678" s="35" t="str">
        <f t="shared" si="1"/>
        <v/>
      </c>
      <c r="B678" s="22" t="str">
        <f t="shared" si="2"/>
        <v/>
      </c>
      <c r="C678" s="14" t="str">
        <f>IF($A678&lt;&gt;"",MINIFS(Merchant!$A:$A,Merchant!$B:$B,$G$2),)</f>
        <v/>
      </c>
      <c r="D678" s="14" t="str">
        <f t="shared" si="3"/>
        <v/>
      </c>
      <c r="E678" s="14" t="str">
        <f t="shared" si="4"/>
        <v/>
      </c>
      <c r="F678" s="6" t="str">
        <f>IF($A678&lt;&gt;"",MAXIFS(#REF!,Token!$A:$A,$D678),)</f>
        <v/>
      </c>
    </row>
    <row r="679">
      <c r="A679" s="35" t="str">
        <f t="shared" si="1"/>
        <v/>
      </c>
      <c r="B679" s="22" t="str">
        <f t="shared" si="2"/>
        <v/>
      </c>
      <c r="C679" s="14" t="str">
        <f>IF($A679&lt;&gt;"",MINIFS(Merchant!$A:$A,Merchant!$B:$B,$G$2),)</f>
        <v/>
      </c>
      <c r="D679" s="14" t="str">
        <f t="shared" si="3"/>
        <v/>
      </c>
      <c r="E679" s="14" t="str">
        <f t="shared" si="4"/>
        <v/>
      </c>
      <c r="F679" s="6" t="str">
        <f>IF($A679&lt;&gt;"",MAXIFS(#REF!,Token!$A:$A,$D679),)</f>
        <v/>
      </c>
    </row>
    <row r="680">
      <c r="A680" s="35" t="str">
        <f t="shared" si="1"/>
        <v/>
      </c>
      <c r="B680" s="22" t="str">
        <f t="shared" si="2"/>
        <v/>
      </c>
      <c r="C680" s="14" t="str">
        <f>IF($A680&lt;&gt;"",MINIFS(Merchant!$A:$A,Merchant!$B:$B,$G$2),)</f>
        <v/>
      </c>
      <c r="D680" s="14" t="str">
        <f t="shared" si="3"/>
        <v/>
      </c>
      <c r="E680" s="14" t="str">
        <f t="shared" si="4"/>
        <v/>
      </c>
      <c r="F680" s="6" t="str">
        <f>IF($A680&lt;&gt;"",MAXIFS(#REF!,Token!$A:$A,$D680),)</f>
        <v/>
      </c>
    </row>
    <row r="681">
      <c r="A681" s="35" t="str">
        <f t="shared" si="1"/>
        <v/>
      </c>
      <c r="B681" s="22" t="str">
        <f t="shared" si="2"/>
        <v/>
      </c>
      <c r="C681" s="14" t="str">
        <f>IF($A681&lt;&gt;"",MINIFS(Merchant!$A:$A,Merchant!$B:$B,$G$2),)</f>
        <v/>
      </c>
      <c r="D681" s="14" t="str">
        <f t="shared" si="3"/>
        <v/>
      </c>
      <c r="E681" s="14" t="str">
        <f t="shared" si="4"/>
        <v/>
      </c>
      <c r="F681" s="6" t="str">
        <f>IF($A681&lt;&gt;"",MAXIFS(#REF!,Token!$A:$A,$D681),)</f>
        <v/>
      </c>
    </row>
    <row r="682">
      <c r="A682" s="35" t="str">
        <f t="shared" si="1"/>
        <v/>
      </c>
      <c r="B682" s="22" t="str">
        <f t="shared" si="2"/>
        <v/>
      </c>
      <c r="C682" s="14" t="str">
        <f>IF($A682&lt;&gt;"",MINIFS(Merchant!$A:$A,Merchant!$B:$B,$G$2),)</f>
        <v/>
      </c>
      <c r="D682" s="14" t="str">
        <f t="shared" si="3"/>
        <v/>
      </c>
      <c r="E682" s="14" t="str">
        <f t="shared" si="4"/>
        <v/>
      </c>
      <c r="F682" s="6" t="str">
        <f>IF($A682&lt;&gt;"",MAXIFS(#REF!,Token!$A:$A,$D682),)</f>
        <v/>
      </c>
    </row>
    <row r="683">
      <c r="A683" s="35" t="str">
        <f t="shared" si="1"/>
        <v/>
      </c>
      <c r="B683" s="22" t="str">
        <f t="shared" si="2"/>
        <v/>
      </c>
      <c r="C683" s="14" t="str">
        <f>IF($A683&lt;&gt;"",MINIFS(Merchant!$A:$A,Merchant!$B:$B,$G$2),)</f>
        <v/>
      </c>
      <c r="D683" s="14" t="str">
        <f t="shared" si="3"/>
        <v/>
      </c>
      <c r="E683" s="14" t="str">
        <f t="shared" si="4"/>
        <v/>
      </c>
      <c r="F683" s="6" t="str">
        <f>IF($A683&lt;&gt;"",MAXIFS(#REF!,Token!$A:$A,$D683),)</f>
        <v/>
      </c>
    </row>
    <row r="684">
      <c r="A684" s="35" t="str">
        <f t="shared" si="1"/>
        <v/>
      </c>
      <c r="B684" s="22" t="str">
        <f t="shared" si="2"/>
        <v/>
      </c>
      <c r="C684" s="14" t="str">
        <f>IF($A684&lt;&gt;"",MINIFS(Merchant!$A:$A,Merchant!$B:$B,$G$2),)</f>
        <v/>
      </c>
      <c r="D684" s="14" t="str">
        <f t="shared" si="3"/>
        <v/>
      </c>
      <c r="E684" s="14" t="str">
        <f t="shared" si="4"/>
        <v/>
      </c>
      <c r="F684" s="6" t="str">
        <f>IF($A684&lt;&gt;"",MAXIFS(#REF!,Token!$A:$A,$D684),)</f>
        <v/>
      </c>
    </row>
    <row r="685">
      <c r="A685" s="35" t="str">
        <f t="shared" si="1"/>
        <v/>
      </c>
      <c r="B685" s="22" t="str">
        <f t="shared" si="2"/>
        <v/>
      </c>
      <c r="C685" s="14" t="str">
        <f>IF($A685&lt;&gt;"",MINIFS(Merchant!$A:$A,Merchant!$B:$B,$G$2),)</f>
        <v/>
      </c>
      <c r="D685" s="14" t="str">
        <f t="shared" si="3"/>
        <v/>
      </c>
      <c r="E685" s="14" t="str">
        <f t="shared" si="4"/>
        <v/>
      </c>
      <c r="F685" s="6" t="str">
        <f>IF($A685&lt;&gt;"",MAXIFS(#REF!,Token!$A:$A,$D685),)</f>
        <v/>
      </c>
    </row>
    <row r="686">
      <c r="A686" s="35" t="str">
        <f t="shared" si="1"/>
        <v/>
      </c>
      <c r="B686" s="22" t="str">
        <f t="shared" si="2"/>
        <v/>
      </c>
      <c r="C686" s="14" t="str">
        <f>IF($A686&lt;&gt;"",MINIFS(Merchant!$A:$A,Merchant!$B:$B,$G$2),)</f>
        <v/>
      </c>
      <c r="D686" s="14" t="str">
        <f t="shared" si="3"/>
        <v/>
      </c>
      <c r="E686" s="14" t="str">
        <f t="shared" si="4"/>
        <v/>
      </c>
      <c r="F686" s="6" t="str">
        <f>IF($A686&lt;&gt;"",MAXIFS(#REF!,Token!$A:$A,$D686),)</f>
        <v/>
      </c>
    </row>
    <row r="687">
      <c r="A687" s="35" t="str">
        <f t="shared" si="1"/>
        <v/>
      </c>
      <c r="B687" s="22" t="str">
        <f t="shared" si="2"/>
        <v/>
      </c>
      <c r="C687" s="14" t="str">
        <f>IF($A687&lt;&gt;"",MINIFS(Merchant!$A:$A,Merchant!$B:$B,$G$2),)</f>
        <v/>
      </c>
      <c r="D687" s="14" t="str">
        <f t="shared" si="3"/>
        <v/>
      </c>
      <c r="E687" s="14" t="str">
        <f t="shared" si="4"/>
        <v/>
      </c>
      <c r="F687" s="6" t="str">
        <f>IF($A687&lt;&gt;"",MAXIFS(#REF!,Token!$A:$A,$D687),)</f>
        <v/>
      </c>
    </row>
    <row r="688">
      <c r="A688" s="35" t="str">
        <f t="shared" si="1"/>
        <v/>
      </c>
      <c r="B688" s="22" t="str">
        <f t="shared" si="2"/>
        <v/>
      </c>
      <c r="C688" s="14" t="str">
        <f>IF($A688&lt;&gt;"",MINIFS(Merchant!$A:$A,Merchant!$B:$B,$G$2),)</f>
        <v/>
      </c>
      <c r="D688" s="14" t="str">
        <f t="shared" si="3"/>
        <v/>
      </c>
      <c r="E688" s="14" t="str">
        <f t="shared" si="4"/>
        <v/>
      </c>
      <c r="F688" s="6" t="str">
        <f>IF($A688&lt;&gt;"",MAXIFS(#REF!,Token!$A:$A,$D688),)</f>
        <v/>
      </c>
    </row>
    <row r="689">
      <c r="A689" s="35" t="str">
        <f t="shared" si="1"/>
        <v/>
      </c>
      <c r="B689" s="22" t="str">
        <f t="shared" si="2"/>
        <v/>
      </c>
      <c r="C689" s="14" t="str">
        <f>IF($A689&lt;&gt;"",MINIFS(Merchant!$A:$A,Merchant!$B:$B,$G$2),)</f>
        <v/>
      </c>
      <c r="D689" s="14" t="str">
        <f t="shared" si="3"/>
        <v/>
      </c>
      <c r="E689" s="14" t="str">
        <f t="shared" si="4"/>
        <v/>
      </c>
      <c r="F689" s="6" t="str">
        <f>IF($A689&lt;&gt;"",MAXIFS(#REF!,Token!$A:$A,$D689),)</f>
        <v/>
      </c>
    </row>
    <row r="690">
      <c r="A690" s="35" t="str">
        <f t="shared" si="1"/>
        <v/>
      </c>
      <c r="B690" s="22" t="str">
        <f t="shared" si="2"/>
        <v/>
      </c>
      <c r="C690" s="14" t="str">
        <f>IF($A690&lt;&gt;"",MINIFS(Merchant!$A:$A,Merchant!$B:$B,$G$2),)</f>
        <v/>
      </c>
      <c r="D690" s="14" t="str">
        <f t="shared" si="3"/>
        <v/>
      </c>
      <c r="E690" s="14" t="str">
        <f t="shared" si="4"/>
        <v/>
      </c>
      <c r="F690" s="6" t="str">
        <f>IF($A690&lt;&gt;"",MAXIFS(#REF!,Token!$A:$A,$D690),)</f>
        <v/>
      </c>
    </row>
    <row r="691">
      <c r="A691" s="35" t="str">
        <f t="shared" si="1"/>
        <v/>
      </c>
      <c r="B691" s="22" t="str">
        <f t="shared" si="2"/>
        <v/>
      </c>
      <c r="C691" s="14" t="str">
        <f>IF($A691&lt;&gt;"",MINIFS(Merchant!$A:$A,Merchant!$B:$B,$G$2),)</f>
        <v/>
      </c>
      <c r="D691" s="14" t="str">
        <f t="shared" si="3"/>
        <v/>
      </c>
      <c r="E691" s="14" t="str">
        <f t="shared" si="4"/>
        <v/>
      </c>
      <c r="F691" s="6" t="str">
        <f>IF($A691&lt;&gt;"",MAXIFS(#REF!,Token!$A:$A,$D691),)</f>
        <v/>
      </c>
    </row>
    <row r="692">
      <c r="A692" s="35" t="str">
        <f t="shared" si="1"/>
        <v/>
      </c>
      <c r="B692" s="22" t="str">
        <f t="shared" si="2"/>
        <v/>
      </c>
      <c r="C692" s="14" t="str">
        <f>IF($A692&lt;&gt;"",MINIFS(Merchant!$A:$A,Merchant!$B:$B,$G$2),)</f>
        <v/>
      </c>
      <c r="D692" s="14" t="str">
        <f t="shared" si="3"/>
        <v/>
      </c>
      <c r="E692" s="14" t="str">
        <f t="shared" si="4"/>
        <v/>
      </c>
      <c r="F692" s="6" t="str">
        <f>IF($A692&lt;&gt;"",MAXIFS(#REF!,Token!$A:$A,$D692),)</f>
        <v/>
      </c>
    </row>
    <row r="693">
      <c r="A693" s="35" t="str">
        <f t="shared" si="1"/>
        <v/>
      </c>
      <c r="B693" s="22" t="str">
        <f t="shared" si="2"/>
        <v/>
      </c>
      <c r="C693" s="14" t="str">
        <f>IF($A693&lt;&gt;"",MINIFS(Merchant!$A:$A,Merchant!$B:$B,$G$2),)</f>
        <v/>
      </c>
      <c r="D693" s="14" t="str">
        <f t="shared" si="3"/>
        <v/>
      </c>
      <c r="E693" s="14" t="str">
        <f t="shared" si="4"/>
        <v/>
      </c>
      <c r="F693" s="6" t="str">
        <f>IF($A693&lt;&gt;"",MAXIFS(#REF!,Token!$A:$A,$D693),)</f>
        <v/>
      </c>
    </row>
    <row r="694">
      <c r="A694" s="35" t="str">
        <f t="shared" si="1"/>
        <v/>
      </c>
      <c r="B694" s="22" t="str">
        <f t="shared" si="2"/>
        <v/>
      </c>
      <c r="C694" s="14" t="str">
        <f>IF($A694&lt;&gt;"",MINIFS(Merchant!$A:$A,Merchant!$B:$B,$G$2),)</f>
        <v/>
      </c>
      <c r="D694" s="14" t="str">
        <f t="shared" si="3"/>
        <v/>
      </c>
      <c r="E694" s="14" t="str">
        <f t="shared" si="4"/>
        <v/>
      </c>
      <c r="F694" s="6" t="str">
        <f>IF($A694&lt;&gt;"",MAXIFS(#REF!,Token!$A:$A,$D694),)</f>
        <v/>
      </c>
    </row>
    <row r="695">
      <c r="A695" s="35" t="str">
        <f t="shared" si="1"/>
        <v/>
      </c>
      <c r="B695" s="22" t="str">
        <f t="shared" si="2"/>
        <v/>
      </c>
      <c r="C695" s="14" t="str">
        <f>IF($A695&lt;&gt;"",MINIFS(Merchant!$A:$A,Merchant!$B:$B,$G$2),)</f>
        <v/>
      </c>
      <c r="D695" s="14" t="str">
        <f t="shared" si="3"/>
        <v/>
      </c>
      <c r="E695" s="14" t="str">
        <f t="shared" si="4"/>
        <v/>
      </c>
      <c r="F695" s="6" t="str">
        <f>IF($A695&lt;&gt;"",MAXIFS(#REF!,Token!$A:$A,$D695),)</f>
        <v/>
      </c>
    </row>
    <row r="696">
      <c r="A696" s="35" t="str">
        <f t="shared" si="1"/>
        <v/>
      </c>
      <c r="B696" s="22" t="str">
        <f t="shared" si="2"/>
        <v/>
      </c>
      <c r="C696" s="14" t="str">
        <f>IF($A696&lt;&gt;"",MINIFS(Merchant!$A:$A,Merchant!$B:$B,$G$2),)</f>
        <v/>
      </c>
      <c r="D696" s="14" t="str">
        <f t="shared" si="3"/>
        <v/>
      </c>
      <c r="E696" s="14" t="str">
        <f t="shared" si="4"/>
        <v/>
      </c>
      <c r="F696" s="6" t="str">
        <f>IF($A696&lt;&gt;"",MAXIFS(#REF!,Token!$A:$A,$D696),)</f>
        <v/>
      </c>
    </row>
    <row r="697">
      <c r="A697" s="35" t="str">
        <f t="shared" si="1"/>
        <v/>
      </c>
      <c r="B697" s="22" t="str">
        <f t="shared" si="2"/>
        <v/>
      </c>
      <c r="C697" s="14" t="str">
        <f>IF($A697&lt;&gt;"",MINIFS(Merchant!$A:$A,Merchant!$B:$B,$G$2),)</f>
        <v/>
      </c>
      <c r="D697" s="14" t="str">
        <f t="shared" si="3"/>
        <v/>
      </c>
      <c r="E697" s="14" t="str">
        <f t="shared" si="4"/>
        <v/>
      </c>
      <c r="F697" s="6" t="str">
        <f>IF($A697&lt;&gt;"",MAXIFS(#REF!,Token!$A:$A,$D697),)</f>
        <v/>
      </c>
    </row>
    <row r="698">
      <c r="A698" s="35" t="str">
        <f t="shared" si="1"/>
        <v/>
      </c>
      <c r="B698" s="22" t="str">
        <f t="shared" si="2"/>
        <v/>
      </c>
      <c r="C698" s="14" t="str">
        <f>IF($A698&lt;&gt;"",MINIFS(Merchant!$A:$A,Merchant!$B:$B,$G$2),)</f>
        <v/>
      </c>
      <c r="D698" s="14" t="str">
        <f t="shared" si="3"/>
        <v/>
      </c>
      <c r="E698" s="14" t="str">
        <f t="shared" si="4"/>
        <v/>
      </c>
      <c r="F698" s="6" t="str">
        <f>IF($A698&lt;&gt;"",MAXIFS(#REF!,Token!$A:$A,$D698),)</f>
        <v/>
      </c>
    </row>
    <row r="699">
      <c r="A699" s="35" t="str">
        <f t="shared" si="1"/>
        <v/>
      </c>
      <c r="B699" s="22" t="str">
        <f t="shared" si="2"/>
        <v/>
      </c>
      <c r="C699" s="14" t="str">
        <f>IF($A699&lt;&gt;"",MINIFS(Merchant!$A:$A,Merchant!$B:$B,$G$2),)</f>
        <v/>
      </c>
      <c r="D699" s="14" t="str">
        <f t="shared" si="3"/>
        <v/>
      </c>
      <c r="E699" s="14" t="str">
        <f t="shared" si="4"/>
        <v/>
      </c>
      <c r="F699" s="6" t="str">
        <f>IF($A699&lt;&gt;"",MAXIFS(#REF!,Token!$A:$A,$D699),)</f>
        <v/>
      </c>
    </row>
    <row r="700">
      <c r="A700" s="35" t="str">
        <f t="shared" si="1"/>
        <v/>
      </c>
      <c r="B700" s="22" t="str">
        <f t="shared" si="2"/>
        <v/>
      </c>
      <c r="C700" s="14" t="str">
        <f>IF($A700&lt;&gt;"",MINIFS(Merchant!$A:$A,Merchant!$B:$B,$G$2),)</f>
        <v/>
      </c>
      <c r="D700" s="14" t="str">
        <f t="shared" si="3"/>
        <v/>
      </c>
      <c r="E700" s="14" t="str">
        <f t="shared" si="4"/>
        <v/>
      </c>
      <c r="F700" s="6" t="str">
        <f>IF($A700&lt;&gt;"",MAXIFS(#REF!,Token!$A:$A,$D700),)</f>
        <v/>
      </c>
    </row>
    <row r="701">
      <c r="A701" s="35" t="str">
        <f t="shared" si="1"/>
        <v/>
      </c>
      <c r="B701" s="22" t="str">
        <f t="shared" si="2"/>
        <v/>
      </c>
      <c r="C701" s="14" t="str">
        <f>IF($A701&lt;&gt;"",MINIFS(Merchant!$A:$A,Merchant!$B:$B,$G$2),)</f>
        <v/>
      </c>
      <c r="D701" s="14" t="str">
        <f t="shared" si="3"/>
        <v/>
      </c>
      <c r="E701" s="14" t="str">
        <f t="shared" si="4"/>
        <v/>
      </c>
      <c r="F701" s="6" t="str">
        <f>IF($A701&lt;&gt;"",MAXIFS(#REF!,Token!$A:$A,$D701),)</f>
        <v/>
      </c>
    </row>
    <row r="702">
      <c r="A702" s="35" t="str">
        <f t="shared" si="1"/>
        <v/>
      </c>
      <c r="B702" s="22" t="str">
        <f t="shared" si="2"/>
        <v/>
      </c>
      <c r="C702" s="14" t="str">
        <f>IF($A702&lt;&gt;"",MINIFS(Merchant!$A:$A,Merchant!$B:$B,$G$2),)</f>
        <v/>
      </c>
      <c r="D702" s="14" t="str">
        <f t="shared" si="3"/>
        <v/>
      </c>
      <c r="E702" s="14" t="str">
        <f t="shared" si="4"/>
        <v/>
      </c>
      <c r="F702" s="6" t="str">
        <f>IF($A702&lt;&gt;"",MAXIFS(#REF!,Token!$A:$A,$D702),)</f>
        <v/>
      </c>
    </row>
    <row r="703">
      <c r="A703" s="35" t="str">
        <f t="shared" si="1"/>
        <v/>
      </c>
      <c r="B703" s="22" t="str">
        <f t="shared" si="2"/>
        <v/>
      </c>
      <c r="C703" s="14" t="str">
        <f>IF($A703&lt;&gt;"",MINIFS(Merchant!$A:$A,Merchant!$B:$B,$G$2),)</f>
        <v/>
      </c>
      <c r="D703" s="14" t="str">
        <f t="shared" si="3"/>
        <v/>
      </c>
      <c r="E703" s="14" t="str">
        <f t="shared" si="4"/>
        <v/>
      </c>
      <c r="F703" s="6" t="str">
        <f>IF($A703&lt;&gt;"",MAXIFS(#REF!,Token!$A:$A,$D703),)</f>
        <v/>
      </c>
    </row>
    <row r="704">
      <c r="A704" s="35" t="str">
        <f t="shared" si="1"/>
        <v/>
      </c>
      <c r="B704" s="22" t="str">
        <f t="shared" si="2"/>
        <v/>
      </c>
      <c r="C704" s="14" t="str">
        <f>IF($A704&lt;&gt;"",MINIFS(Merchant!$A:$A,Merchant!$B:$B,$G$2),)</f>
        <v/>
      </c>
      <c r="D704" s="14" t="str">
        <f t="shared" si="3"/>
        <v/>
      </c>
      <c r="E704" s="14" t="str">
        <f t="shared" si="4"/>
        <v/>
      </c>
      <c r="F704" s="6" t="str">
        <f>IF($A704&lt;&gt;"",MAXIFS(#REF!,Token!$A:$A,$D704),)</f>
        <v/>
      </c>
    </row>
    <row r="705">
      <c r="A705" s="35" t="str">
        <f t="shared" si="1"/>
        <v/>
      </c>
      <c r="B705" s="22" t="str">
        <f t="shared" si="2"/>
        <v/>
      </c>
      <c r="C705" s="14" t="str">
        <f>IF($A705&lt;&gt;"",MINIFS(Merchant!$A:$A,Merchant!$B:$B,$G$2),)</f>
        <v/>
      </c>
      <c r="D705" s="14" t="str">
        <f t="shared" si="3"/>
        <v/>
      </c>
      <c r="E705" s="14" t="str">
        <f t="shared" si="4"/>
        <v/>
      </c>
      <c r="F705" s="6" t="str">
        <f>IF($A705&lt;&gt;"",MAXIFS(#REF!,Token!$A:$A,$D705),)</f>
        <v/>
      </c>
    </row>
    <row r="706">
      <c r="A706" s="35" t="str">
        <f t="shared" si="1"/>
        <v/>
      </c>
      <c r="B706" s="22" t="str">
        <f t="shared" si="2"/>
        <v/>
      </c>
      <c r="C706" s="14" t="str">
        <f>IF($A706&lt;&gt;"",MINIFS(Merchant!$A:$A,Merchant!$B:$B,$G$2),)</f>
        <v/>
      </c>
      <c r="D706" s="14" t="str">
        <f t="shared" si="3"/>
        <v/>
      </c>
      <c r="E706" s="14" t="str">
        <f t="shared" si="4"/>
        <v/>
      </c>
      <c r="F706" s="6" t="str">
        <f>IF($A706&lt;&gt;"",MAXIFS(#REF!,Token!$A:$A,$D706),)</f>
        <v/>
      </c>
    </row>
    <row r="707">
      <c r="A707" s="35" t="str">
        <f t="shared" si="1"/>
        <v/>
      </c>
      <c r="B707" s="22" t="str">
        <f t="shared" si="2"/>
        <v/>
      </c>
      <c r="C707" s="14" t="str">
        <f>IF($A707&lt;&gt;"",MINIFS(Merchant!$A:$A,Merchant!$B:$B,$G$2),)</f>
        <v/>
      </c>
      <c r="D707" s="14" t="str">
        <f t="shared" si="3"/>
        <v/>
      </c>
      <c r="E707" s="14" t="str">
        <f t="shared" si="4"/>
        <v/>
      </c>
      <c r="F707" s="6" t="str">
        <f>IF($A707&lt;&gt;"",MAXIFS(#REF!,Token!$A:$A,$D707),)</f>
        <v/>
      </c>
    </row>
    <row r="708">
      <c r="A708" s="35" t="str">
        <f t="shared" si="1"/>
        <v/>
      </c>
      <c r="B708" s="22" t="str">
        <f t="shared" si="2"/>
        <v/>
      </c>
      <c r="C708" s="14" t="str">
        <f>IF($A708&lt;&gt;"",MINIFS(Merchant!$A:$A,Merchant!$B:$B,$G$2),)</f>
        <v/>
      </c>
      <c r="D708" s="14" t="str">
        <f t="shared" si="3"/>
        <v/>
      </c>
      <c r="E708" s="14" t="str">
        <f t="shared" si="4"/>
        <v/>
      </c>
      <c r="F708" s="6" t="str">
        <f>IF($A708&lt;&gt;"",MAXIFS(#REF!,Token!$A:$A,$D708),)</f>
        <v/>
      </c>
    </row>
    <row r="709">
      <c r="A709" s="35" t="str">
        <f t="shared" si="1"/>
        <v/>
      </c>
      <c r="B709" s="22" t="str">
        <f t="shared" si="2"/>
        <v/>
      </c>
      <c r="C709" s="14" t="str">
        <f>IF($A709&lt;&gt;"",MINIFS(Merchant!$A:$A,Merchant!$B:$B,$G$2),)</f>
        <v/>
      </c>
      <c r="D709" s="14" t="str">
        <f t="shared" si="3"/>
        <v/>
      </c>
      <c r="E709" s="14" t="str">
        <f t="shared" si="4"/>
        <v/>
      </c>
      <c r="F709" s="6" t="str">
        <f>IF($A709&lt;&gt;"",MAXIFS(#REF!,Token!$A:$A,$D709),)</f>
        <v/>
      </c>
    </row>
    <row r="710">
      <c r="A710" s="35" t="str">
        <f t="shared" si="1"/>
        <v/>
      </c>
      <c r="B710" s="22" t="str">
        <f t="shared" si="2"/>
        <v/>
      </c>
      <c r="C710" s="14" t="str">
        <f>IF($A710&lt;&gt;"",MINIFS(Merchant!$A:$A,Merchant!$B:$B,$G$2),)</f>
        <v/>
      </c>
      <c r="D710" s="14" t="str">
        <f t="shared" si="3"/>
        <v/>
      </c>
      <c r="E710" s="14" t="str">
        <f t="shared" si="4"/>
        <v/>
      </c>
      <c r="F710" s="6" t="str">
        <f>IF($A710&lt;&gt;"",MAXIFS(#REF!,Token!$A:$A,$D710),)</f>
        <v/>
      </c>
    </row>
    <row r="711">
      <c r="A711" s="35" t="str">
        <f t="shared" si="1"/>
        <v/>
      </c>
      <c r="B711" s="22" t="str">
        <f t="shared" si="2"/>
        <v/>
      </c>
      <c r="C711" s="14" t="str">
        <f>IF($A711&lt;&gt;"",MINIFS(Merchant!$A:$A,Merchant!$B:$B,$G$2),)</f>
        <v/>
      </c>
      <c r="D711" s="14" t="str">
        <f t="shared" si="3"/>
        <v/>
      </c>
      <c r="E711" s="14" t="str">
        <f t="shared" si="4"/>
        <v/>
      </c>
      <c r="F711" s="6" t="str">
        <f>IF($A711&lt;&gt;"",MAXIFS(#REF!,Token!$A:$A,$D711),)</f>
        <v/>
      </c>
    </row>
    <row r="712">
      <c r="A712" s="35" t="str">
        <f t="shared" si="1"/>
        <v/>
      </c>
      <c r="B712" s="22" t="str">
        <f t="shared" si="2"/>
        <v/>
      </c>
      <c r="C712" s="14" t="str">
        <f>IF($A712&lt;&gt;"",MINIFS(Merchant!$A:$A,Merchant!$B:$B,$G$2),)</f>
        <v/>
      </c>
      <c r="D712" s="14" t="str">
        <f t="shared" si="3"/>
        <v/>
      </c>
      <c r="E712" s="14" t="str">
        <f t="shared" si="4"/>
        <v/>
      </c>
      <c r="F712" s="6" t="str">
        <f>IF($A712&lt;&gt;"",MAXIFS(#REF!,Token!$A:$A,$D712),)</f>
        <v/>
      </c>
    </row>
    <row r="713">
      <c r="A713" s="35" t="str">
        <f t="shared" si="1"/>
        <v/>
      </c>
      <c r="B713" s="22" t="str">
        <f t="shared" si="2"/>
        <v/>
      </c>
      <c r="C713" s="14" t="str">
        <f>IF($A713&lt;&gt;"",MINIFS(Merchant!$A:$A,Merchant!$B:$B,$G$2),)</f>
        <v/>
      </c>
      <c r="D713" s="14" t="str">
        <f t="shared" si="3"/>
        <v/>
      </c>
      <c r="E713" s="14" t="str">
        <f t="shared" si="4"/>
        <v/>
      </c>
      <c r="F713" s="6" t="str">
        <f>IF($A713&lt;&gt;"",MAXIFS(#REF!,Token!$A:$A,$D713),)</f>
        <v/>
      </c>
    </row>
    <row r="714">
      <c r="A714" s="35" t="str">
        <f t="shared" si="1"/>
        <v/>
      </c>
      <c r="B714" s="22" t="str">
        <f t="shared" si="2"/>
        <v/>
      </c>
      <c r="C714" s="14" t="str">
        <f>IF($A714&lt;&gt;"",MINIFS(Merchant!$A:$A,Merchant!$B:$B,$G$2),)</f>
        <v/>
      </c>
      <c r="D714" s="14" t="str">
        <f t="shared" si="3"/>
        <v/>
      </c>
      <c r="E714" s="14" t="str">
        <f t="shared" si="4"/>
        <v/>
      </c>
      <c r="F714" s="6" t="str">
        <f>IF($A714&lt;&gt;"",MAXIFS(#REF!,Token!$A:$A,$D714),)</f>
        <v/>
      </c>
    </row>
    <row r="715">
      <c r="A715" s="35" t="str">
        <f t="shared" si="1"/>
        <v/>
      </c>
      <c r="B715" s="22" t="str">
        <f t="shared" si="2"/>
        <v/>
      </c>
      <c r="C715" s="14" t="str">
        <f>IF($A715&lt;&gt;"",MINIFS(Merchant!$A:$A,Merchant!$B:$B,$G$2),)</f>
        <v/>
      </c>
      <c r="D715" s="14" t="str">
        <f t="shared" si="3"/>
        <v/>
      </c>
      <c r="E715" s="14" t="str">
        <f t="shared" si="4"/>
        <v/>
      </c>
      <c r="F715" s="6" t="str">
        <f>IF($A715&lt;&gt;"",MAXIFS(#REF!,Token!$A:$A,$D715),)</f>
        <v/>
      </c>
    </row>
    <row r="716">
      <c r="A716" s="35" t="str">
        <f t="shared" si="1"/>
        <v/>
      </c>
      <c r="B716" s="22" t="str">
        <f t="shared" si="2"/>
        <v/>
      </c>
      <c r="C716" s="14" t="str">
        <f>IF($A716&lt;&gt;"",MINIFS(Merchant!$A:$A,Merchant!$B:$B,$G$2),)</f>
        <v/>
      </c>
      <c r="D716" s="14" t="str">
        <f t="shared" si="3"/>
        <v/>
      </c>
      <c r="E716" s="14" t="str">
        <f t="shared" si="4"/>
        <v/>
      </c>
      <c r="F716" s="6" t="str">
        <f>IF($A716&lt;&gt;"",MAXIFS(#REF!,Token!$A:$A,$D716),)</f>
        <v/>
      </c>
    </row>
    <row r="717">
      <c r="A717" s="35" t="str">
        <f t="shared" si="1"/>
        <v/>
      </c>
      <c r="B717" s="22" t="str">
        <f t="shared" si="2"/>
        <v/>
      </c>
      <c r="C717" s="14" t="str">
        <f>IF($A717&lt;&gt;"",MINIFS(Merchant!$A:$A,Merchant!$B:$B,$G$2),)</f>
        <v/>
      </c>
      <c r="D717" s="14" t="str">
        <f t="shared" si="3"/>
        <v/>
      </c>
      <c r="E717" s="14" t="str">
        <f t="shared" si="4"/>
        <v/>
      </c>
      <c r="F717" s="6" t="str">
        <f>IF($A717&lt;&gt;"",MAXIFS(#REF!,Token!$A:$A,$D717),)</f>
        <v/>
      </c>
    </row>
    <row r="718">
      <c r="A718" s="35" t="str">
        <f t="shared" si="1"/>
        <v/>
      </c>
      <c r="B718" s="22" t="str">
        <f t="shared" si="2"/>
        <v/>
      </c>
      <c r="C718" s="14" t="str">
        <f>IF($A718&lt;&gt;"",MINIFS(Merchant!$A:$A,Merchant!$B:$B,$G$2),)</f>
        <v/>
      </c>
      <c r="D718" s="14" t="str">
        <f t="shared" si="3"/>
        <v/>
      </c>
      <c r="E718" s="14" t="str">
        <f t="shared" si="4"/>
        <v/>
      </c>
      <c r="F718" s="6" t="str">
        <f>IF($A718&lt;&gt;"",MAXIFS(#REF!,Token!$A:$A,$D718),)</f>
        <v/>
      </c>
    </row>
    <row r="719">
      <c r="A719" s="35" t="str">
        <f t="shared" si="1"/>
        <v/>
      </c>
      <c r="B719" s="22" t="str">
        <f t="shared" si="2"/>
        <v/>
      </c>
      <c r="C719" s="14" t="str">
        <f>IF($A719&lt;&gt;"",MINIFS(Merchant!$A:$A,Merchant!$B:$B,$G$2),)</f>
        <v/>
      </c>
      <c r="D719" s="14" t="str">
        <f t="shared" si="3"/>
        <v/>
      </c>
      <c r="E719" s="14" t="str">
        <f t="shared" si="4"/>
        <v/>
      </c>
      <c r="F719" s="6" t="str">
        <f>IF($A719&lt;&gt;"",MAXIFS(#REF!,Token!$A:$A,$D719),)</f>
        <v/>
      </c>
    </row>
    <row r="720">
      <c r="A720" s="35" t="str">
        <f t="shared" si="1"/>
        <v/>
      </c>
      <c r="B720" s="22" t="str">
        <f t="shared" si="2"/>
        <v/>
      </c>
      <c r="C720" s="14" t="str">
        <f>IF($A720&lt;&gt;"",MINIFS(Merchant!$A:$A,Merchant!$B:$B,$G$2),)</f>
        <v/>
      </c>
      <c r="D720" s="14" t="str">
        <f t="shared" si="3"/>
        <v/>
      </c>
      <c r="E720" s="14" t="str">
        <f t="shared" si="4"/>
        <v/>
      </c>
      <c r="F720" s="6" t="str">
        <f>IF($A720&lt;&gt;"",MAXIFS(#REF!,Token!$A:$A,$D720),)</f>
        <v/>
      </c>
    </row>
    <row r="721">
      <c r="A721" s="35" t="str">
        <f t="shared" si="1"/>
        <v/>
      </c>
      <c r="B721" s="22" t="str">
        <f t="shared" si="2"/>
        <v/>
      </c>
      <c r="C721" s="14" t="str">
        <f>IF($A721&lt;&gt;"",MINIFS(Merchant!$A:$A,Merchant!$B:$B,$G$2),)</f>
        <v/>
      </c>
      <c r="D721" s="14" t="str">
        <f t="shared" si="3"/>
        <v/>
      </c>
      <c r="E721" s="14" t="str">
        <f t="shared" si="4"/>
        <v/>
      </c>
      <c r="F721" s="6" t="str">
        <f>IF($A721&lt;&gt;"",MAXIFS(#REF!,Token!$A:$A,$D721),)</f>
        <v/>
      </c>
    </row>
    <row r="722">
      <c r="A722" s="35" t="str">
        <f t="shared" si="1"/>
        <v/>
      </c>
      <c r="B722" s="22" t="str">
        <f t="shared" si="2"/>
        <v/>
      </c>
      <c r="C722" s="14" t="str">
        <f>IF($A722&lt;&gt;"",MINIFS(Merchant!$A:$A,Merchant!$B:$B,$G$2),)</f>
        <v/>
      </c>
      <c r="D722" s="14" t="str">
        <f t="shared" si="3"/>
        <v/>
      </c>
      <c r="E722" s="14" t="str">
        <f t="shared" si="4"/>
        <v/>
      </c>
      <c r="F722" s="6" t="str">
        <f>IF($A722&lt;&gt;"",MAXIFS(#REF!,Token!$A:$A,$D722),)</f>
        <v/>
      </c>
    </row>
    <row r="723">
      <c r="A723" s="35" t="str">
        <f t="shared" si="1"/>
        <v/>
      </c>
      <c r="B723" s="22" t="str">
        <f t="shared" si="2"/>
        <v/>
      </c>
      <c r="C723" s="14" t="str">
        <f>IF($A723&lt;&gt;"",MINIFS(Merchant!$A:$A,Merchant!$B:$B,$G$2),)</f>
        <v/>
      </c>
      <c r="D723" s="14" t="str">
        <f t="shared" si="3"/>
        <v/>
      </c>
      <c r="E723" s="14" t="str">
        <f t="shared" si="4"/>
        <v/>
      </c>
      <c r="F723" s="6" t="str">
        <f>IF($A723&lt;&gt;"",MAXIFS(#REF!,Token!$A:$A,$D723),)</f>
        <v/>
      </c>
    </row>
    <row r="724">
      <c r="A724" s="35" t="str">
        <f t="shared" si="1"/>
        <v/>
      </c>
      <c r="B724" s="22" t="str">
        <f t="shared" si="2"/>
        <v/>
      </c>
      <c r="C724" s="14" t="str">
        <f>IF($A724&lt;&gt;"",MINIFS(Merchant!$A:$A,Merchant!$B:$B,$G$2),)</f>
        <v/>
      </c>
      <c r="D724" s="14" t="str">
        <f t="shared" si="3"/>
        <v/>
      </c>
      <c r="E724" s="14" t="str">
        <f t="shared" si="4"/>
        <v/>
      </c>
      <c r="F724" s="6" t="str">
        <f>IF($A724&lt;&gt;"",MAXIFS(#REF!,Token!$A:$A,$D724),)</f>
        <v/>
      </c>
    </row>
    <row r="725">
      <c r="A725" s="35" t="str">
        <f t="shared" si="1"/>
        <v/>
      </c>
      <c r="B725" s="22" t="str">
        <f t="shared" si="2"/>
        <v/>
      </c>
      <c r="C725" s="14" t="str">
        <f>IF($A725&lt;&gt;"",MINIFS(Merchant!$A:$A,Merchant!$B:$B,$G$2),)</f>
        <v/>
      </c>
      <c r="D725" s="14" t="str">
        <f t="shared" si="3"/>
        <v/>
      </c>
      <c r="E725" s="14" t="str">
        <f t="shared" si="4"/>
        <v/>
      </c>
      <c r="F725" s="6" t="str">
        <f>IF($A725&lt;&gt;"",MAXIFS(#REF!,Token!$A:$A,$D725),)</f>
        <v/>
      </c>
    </row>
    <row r="726">
      <c r="A726" s="35" t="str">
        <f t="shared" si="1"/>
        <v/>
      </c>
      <c r="B726" s="22" t="str">
        <f t="shared" si="2"/>
        <v/>
      </c>
      <c r="C726" s="14" t="str">
        <f>IF($A726&lt;&gt;"",MINIFS(Merchant!$A:$A,Merchant!$B:$B,$G$2),)</f>
        <v/>
      </c>
      <c r="D726" s="14" t="str">
        <f t="shared" si="3"/>
        <v/>
      </c>
      <c r="E726" s="14" t="str">
        <f t="shared" si="4"/>
        <v/>
      </c>
      <c r="F726" s="6" t="str">
        <f>IF($A726&lt;&gt;"",MAXIFS(#REF!,Token!$A:$A,$D726),)</f>
        <v/>
      </c>
    </row>
    <row r="727">
      <c r="A727" s="35" t="str">
        <f t="shared" si="1"/>
        <v/>
      </c>
      <c r="B727" s="22" t="str">
        <f t="shared" si="2"/>
        <v/>
      </c>
      <c r="C727" s="14" t="str">
        <f>IF($A727&lt;&gt;"",MINIFS(Merchant!$A:$A,Merchant!$B:$B,$G$2),)</f>
        <v/>
      </c>
      <c r="D727" s="14" t="str">
        <f t="shared" si="3"/>
        <v/>
      </c>
      <c r="E727" s="14" t="str">
        <f t="shared" si="4"/>
        <v/>
      </c>
      <c r="F727" s="6" t="str">
        <f>IF($A727&lt;&gt;"",MAXIFS(#REF!,Token!$A:$A,$D727),)</f>
        <v/>
      </c>
    </row>
    <row r="728">
      <c r="A728" s="35" t="str">
        <f t="shared" si="1"/>
        <v/>
      </c>
      <c r="B728" s="22" t="str">
        <f t="shared" si="2"/>
        <v/>
      </c>
      <c r="C728" s="14" t="str">
        <f>IF($A728&lt;&gt;"",MINIFS(Merchant!$A:$A,Merchant!$B:$B,$G$2),)</f>
        <v/>
      </c>
      <c r="D728" s="14" t="str">
        <f t="shared" si="3"/>
        <v/>
      </c>
      <c r="E728" s="14" t="str">
        <f t="shared" si="4"/>
        <v/>
      </c>
      <c r="F728" s="6" t="str">
        <f>IF($A728&lt;&gt;"",MAXIFS(#REF!,Token!$A:$A,$D728),)</f>
        <v/>
      </c>
    </row>
    <row r="729">
      <c r="A729" s="35" t="str">
        <f t="shared" si="1"/>
        <v/>
      </c>
      <c r="B729" s="22" t="str">
        <f t="shared" si="2"/>
        <v/>
      </c>
      <c r="C729" s="14" t="str">
        <f>IF($A729&lt;&gt;"",MINIFS(Merchant!$A:$A,Merchant!$B:$B,$G$2),)</f>
        <v/>
      </c>
      <c r="D729" s="14" t="str">
        <f t="shared" si="3"/>
        <v/>
      </c>
      <c r="E729" s="14" t="str">
        <f t="shared" si="4"/>
        <v/>
      </c>
      <c r="F729" s="6" t="str">
        <f>IF($A729&lt;&gt;"",MAXIFS(#REF!,Token!$A:$A,$D729),)</f>
        <v/>
      </c>
    </row>
    <row r="730">
      <c r="A730" s="35" t="str">
        <f t="shared" si="1"/>
        <v/>
      </c>
      <c r="B730" s="22" t="str">
        <f t="shared" si="2"/>
        <v/>
      </c>
      <c r="C730" s="14" t="str">
        <f>IF($A730&lt;&gt;"",MINIFS(Merchant!$A:$A,Merchant!$B:$B,$G$2),)</f>
        <v/>
      </c>
      <c r="D730" s="14" t="str">
        <f t="shared" si="3"/>
        <v/>
      </c>
      <c r="E730" s="14" t="str">
        <f t="shared" si="4"/>
        <v/>
      </c>
      <c r="F730" s="6" t="str">
        <f>IF($A730&lt;&gt;"",MAXIFS(#REF!,Token!$A:$A,$D730),)</f>
        <v/>
      </c>
    </row>
    <row r="731">
      <c r="A731" s="35" t="str">
        <f t="shared" si="1"/>
        <v/>
      </c>
      <c r="B731" s="22" t="str">
        <f t="shared" si="2"/>
        <v/>
      </c>
      <c r="C731" s="14" t="str">
        <f>IF($A731&lt;&gt;"",MINIFS(Merchant!$A:$A,Merchant!$B:$B,$G$2),)</f>
        <v/>
      </c>
      <c r="D731" s="14" t="str">
        <f t="shared" si="3"/>
        <v/>
      </c>
      <c r="E731" s="14" t="str">
        <f t="shared" si="4"/>
        <v/>
      </c>
      <c r="F731" s="6" t="str">
        <f>IF($A731&lt;&gt;"",MAXIFS(#REF!,Token!$A:$A,$D731),)</f>
        <v/>
      </c>
    </row>
    <row r="732">
      <c r="A732" s="35" t="str">
        <f t="shared" si="1"/>
        <v/>
      </c>
      <c r="B732" s="22" t="str">
        <f t="shared" si="2"/>
        <v/>
      </c>
      <c r="C732" s="14" t="str">
        <f>IF($A732&lt;&gt;"",MINIFS(Merchant!$A:$A,Merchant!$B:$B,$G$2),)</f>
        <v/>
      </c>
      <c r="D732" s="14" t="str">
        <f t="shared" si="3"/>
        <v/>
      </c>
      <c r="E732" s="14" t="str">
        <f t="shared" si="4"/>
        <v/>
      </c>
      <c r="F732" s="6" t="str">
        <f>IF($A732&lt;&gt;"",MAXIFS(#REF!,Token!$A:$A,$D732),)</f>
        <v/>
      </c>
    </row>
    <row r="733">
      <c r="A733" s="35" t="str">
        <f t="shared" si="1"/>
        <v/>
      </c>
      <c r="B733" s="22" t="str">
        <f t="shared" si="2"/>
        <v/>
      </c>
      <c r="C733" s="14" t="str">
        <f>IF($A733&lt;&gt;"",MINIFS(Merchant!$A:$A,Merchant!$B:$B,$G$2),)</f>
        <v/>
      </c>
      <c r="D733" s="14" t="str">
        <f t="shared" si="3"/>
        <v/>
      </c>
      <c r="E733" s="14" t="str">
        <f t="shared" si="4"/>
        <v/>
      </c>
      <c r="F733" s="6" t="str">
        <f>IF($A733&lt;&gt;"",MAXIFS(#REF!,Token!$A:$A,$D733),)</f>
        <v/>
      </c>
    </row>
    <row r="734">
      <c r="A734" s="35" t="str">
        <f t="shared" si="1"/>
        <v/>
      </c>
      <c r="B734" s="22" t="str">
        <f t="shared" si="2"/>
        <v/>
      </c>
      <c r="C734" s="14" t="str">
        <f>IF($A734&lt;&gt;"",MINIFS(Merchant!$A:$A,Merchant!$B:$B,$G$2),)</f>
        <v/>
      </c>
      <c r="D734" s="14" t="str">
        <f t="shared" si="3"/>
        <v/>
      </c>
      <c r="E734" s="14" t="str">
        <f t="shared" si="4"/>
        <v/>
      </c>
      <c r="F734" s="6" t="str">
        <f>IF($A734&lt;&gt;"",MAXIFS(#REF!,Token!$A:$A,$D734),)</f>
        <v/>
      </c>
    </row>
    <row r="735">
      <c r="A735" s="35" t="str">
        <f t="shared" si="1"/>
        <v/>
      </c>
      <c r="B735" s="22" t="str">
        <f t="shared" si="2"/>
        <v/>
      </c>
      <c r="C735" s="14" t="str">
        <f>IF($A735&lt;&gt;"",MINIFS(Merchant!$A:$A,Merchant!$B:$B,$G$2),)</f>
        <v/>
      </c>
      <c r="D735" s="14" t="str">
        <f t="shared" si="3"/>
        <v/>
      </c>
      <c r="E735" s="14" t="str">
        <f t="shared" si="4"/>
        <v/>
      </c>
      <c r="F735" s="6" t="str">
        <f>IF($A735&lt;&gt;"",MAXIFS(#REF!,Token!$A:$A,$D735),)</f>
        <v/>
      </c>
    </row>
    <row r="736">
      <c r="A736" s="35" t="str">
        <f t="shared" si="1"/>
        <v/>
      </c>
      <c r="B736" s="22" t="str">
        <f t="shared" si="2"/>
        <v/>
      </c>
      <c r="C736" s="14" t="str">
        <f>IF($A736&lt;&gt;"",MINIFS(Merchant!$A:$A,Merchant!$B:$B,$G$2),)</f>
        <v/>
      </c>
      <c r="D736" s="14" t="str">
        <f t="shared" si="3"/>
        <v/>
      </c>
      <c r="E736" s="14" t="str">
        <f t="shared" si="4"/>
        <v/>
      </c>
      <c r="F736" s="6" t="str">
        <f>IF($A736&lt;&gt;"",MAXIFS(#REF!,Token!$A:$A,$D736),)</f>
        <v/>
      </c>
    </row>
    <row r="737">
      <c r="A737" s="35" t="str">
        <f t="shared" si="1"/>
        <v/>
      </c>
      <c r="B737" s="22" t="str">
        <f t="shared" si="2"/>
        <v/>
      </c>
      <c r="C737" s="14" t="str">
        <f>IF($A737&lt;&gt;"",MINIFS(Merchant!$A:$A,Merchant!$B:$B,$G$2),)</f>
        <v/>
      </c>
      <c r="D737" s="14" t="str">
        <f t="shared" si="3"/>
        <v/>
      </c>
      <c r="E737" s="14" t="str">
        <f t="shared" si="4"/>
        <v/>
      </c>
      <c r="F737" s="6" t="str">
        <f>IF($A737&lt;&gt;"",MAXIFS(#REF!,Token!$A:$A,$D737),)</f>
        <v/>
      </c>
    </row>
    <row r="738">
      <c r="A738" s="35" t="str">
        <f t="shared" si="1"/>
        <v/>
      </c>
      <c r="B738" s="22" t="str">
        <f t="shared" si="2"/>
        <v/>
      </c>
      <c r="C738" s="14" t="str">
        <f>IF($A738&lt;&gt;"",MINIFS(Merchant!$A:$A,Merchant!$B:$B,$G$2),)</f>
        <v/>
      </c>
      <c r="D738" s="14" t="str">
        <f t="shared" si="3"/>
        <v/>
      </c>
      <c r="E738" s="14" t="str">
        <f t="shared" si="4"/>
        <v/>
      </c>
      <c r="F738" s="6" t="str">
        <f>IF($A738&lt;&gt;"",MAXIFS(#REF!,Token!$A:$A,$D738),)</f>
        <v/>
      </c>
    </row>
    <row r="739">
      <c r="A739" s="35" t="str">
        <f t="shared" si="1"/>
        <v/>
      </c>
      <c r="B739" s="22" t="str">
        <f t="shared" si="2"/>
        <v/>
      </c>
      <c r="C739" s="14" t="str">
        <f>IF($A739&lt;&gt;"",MINIFS(Merchant!$A:$A,Merchant!$B:$B,$G$2),)</f>
        <v/>
      </c>
      <c r="D739" s="14" t="str">
        <f t="shared" si="3"/>
        <v/>
      </c>
      <c r="E739" s="14" t="str">
        <f t="shared" si="4"/>
        <v/>
      </c>
      <c r="F739" s="6" t="str">
        <f>IF($A739&lt;&gt;"",MAXIFS(#REF!,Token!$A:$A,$D739),)</f>
        <v/>
      </c>
    </row>
    <row r="740">
      <c r="A740" s="35" t="str">
        <f t="shared" si="1"/>
        <v/>
      </c>
      <c r="B740" s="22" t="str">
        <f t="shared" si="2"/>
        <v/>
      </c>
      <c r="C740" s="14" t="str">
        <f>IF($A740&lt;&gt;"",MINIFS(Merchant!$A:$A,Merchant!$B:$B,$G$2),)</f>
        <v/>
      </c>
      <c r="D740" s="14" t="str">
        <f t="shared" si="3"/>
        <v/>
      </c>
      <c r="E740" s="14" t="str">
        <f t="shared" si="4"/>
        <v/>
      </c>
      <c r="F740" s="6" t="str">
        <f>IF($A740&lt;&gt;"",MAXIFS(#REF!,Token!$A:$A,$D740),)</f>
        <v/>
      </c>
    </row>
    <row r="741">
      <c r="A741" s="35" t="str">
        <f t="shared" si="1"/>
        <v/>
      </c>
      <c r="B741" s="22" t="str">
        <f t="shared" si="2"/>
        <v/>
      </c>
      <c r="C741" s="14" t="str">
        <f>IF($A741&lt;&gt;"",MINIFS(Merchant!$A:$A,Merchant!$B:$B,$G$2),)</f>
        <v/>
      </c>
      <c r="D741" s="14" t="str">
        <f t="shared" si="3"/>
        <v/>
      </c>
      <c r="E741" s="14" t="str">
        <f t="shared" si="4"/>
        <v/>
      </c>
      <c r="F741" s="6" t="str">
        <f>IF($A741&lt;&gt;"",MAXIFS(#REF!,Token!$A:$A,$D741),)</f>
        <v/>
      </c>
    </row>
    <row r="742">
      <c r="A742" s="35" t="str">
        <f t="shared" si="1"/>
        <v/>
      </c>
      <c r="B742" s="22" t="str">
        <f t="shared" si="2"/>
        <v/>
      </c>
      <c r="C742" s="14" t="str">
        <f>IF($A742&lt;&gt;"",MINIFS(Merchant!$A:$A,Merchant!$B:$B,$G$2),)</f>
        <v/>
      </c>
      <c r="D742" s="14" t="str">
        <f t="shared" si="3"/>
        <v/>
      </c>
      <c r="E742" s="14" t="str">
        <f t="shared" si="4"/>
        <v/>
      </c>
      <c r="F742" s="6" t="str">
        <f>IF($A742&lt;&gt;"",MAXIFS(#REF!,Token!$A:$A,$D742),)</f>
        <v/>
      </c>
    </row>
    <row r="743">
      <c r="A743" s="35" t="str">
        <f t="shared" si="1"/>
        <v/>
      </c>
      <c r="B743" s="22" t="str">
        <f t="shared" si="2"/>
        <v/>
      </c>
      <c r="C743" s="14" t="str">
        <f>IF($A743&lt;&gt;"",MINIFS(Merchant!$A:$A,Merchant!$B:$B,$G$2),)</f>
        <v/>
      </c>
      <c r="D743" s="14" t="str">
        <f t="shared" si="3"/>
        <v/>
      </c>
      <c r="E743" s="14" t="str">
        <f t="shared" si="4"/>
        <v/>
      </c>
      <c r="F743" s="6" t="str">
        <f>IF($A743&lt;&gt;"",MAXIFS(#REF!,Token!$A:$A,$D743),)</f>
        <v/>
      </c>
    </row>
    <row r="744">
      <c r="A744" s="35" t="str">
        <f t="shared" si="1"/>
        <v/>
      </c>
      <c r="B744" s="22" t="str">
        <f t="shared" si="2"/>
        <v/>
      </c>
      <c r="C744" s="14" t="str">
        <f>IF($A744&lt;&gt;"",MINIFS(Merchant!$A:$A,Merchant!$B:$B,$G$2),)</f>
        <v/>
      </c>
      <c r="D744" s="14" t="str">
        <f t="shared" si="3"/>
        <v/>
      </c>
      <c r="E744" s="14" t="str">
        <f t="shared" si="4"/>
        <v/>
      </c>
      <c r="F744" s="6" t="str">
        <f>IF($A744&lt;&gt;"",MAXIFS(#REF!,Token!$A:$A,$D744),)</f>
        <v/>
      </c>
    </row>
    <row r="745">
      <c r="A745" s="35" t="str">
        <f t="shared" si="1"/>
        <v/>
      </c>
      <c r="B745" s="22" t="str">
        <f t="shared" si="2"/>
        <v/>
      </c>
      <c r="C745" s="14" t="str">
        <f>IF($A745&lt;&gt;"",MINIFS(Merchant!$A:$A,Merchant!$B:$B,$G$2),)</f>
        <v/>
      </c>
      <c r="D745" s="14" t="str">
        <f t="shared" si="3"/>
        <v/>
      </c>
      <c r="E745" s="14" t="str">
        <f t="shared" si="4"/>
        <v/>
      </c>
      <c r="F745" s="6" t="str">
        <f>IF($A745&lt;&gt;"",MAXIFS(#REF!,Token!$A:$A,$D745),)</f>
        <v/>
      </c>
    </row>
    <row r="746">
      <c r="A746" s="35" t="str">
        <f t="shared" si="1"/>
        <v/>
      </c>
      <c r="B746" s="22" t="str">
        <f t="shared" si="2"/>
        <v/>
      </c>
      <c r="C746" s="14" t="str">
        <f>IF($A746&lt;&gt;"",MINIFS(Merchant!$A:$A,Merchant!$B:$B,$G$2),)</f>
        <v/>
      </c>
      <c r="D746" s="14" t="str">
        <f t="shared" si="3"/>
        <v/>
      </c>
      <c r="E746" s="14" t="str">
        <f t="shared" si="4"/>
        <v/>
      </c>
      <c r="F746" s="6" t="str">
        <f>IF($A746&lt;&gt;"",MAXIFS(#REF!,Token!$A:$A,$D746),)</f>
        <v/>
      </c>
    </row>
    <row r="747">
      <c r="A747" s="35" t="str">
        <f t="shared" si="1"/>
        <v/>
      </c>
      <c r="B747" s="22" t="str">
        <f t="shared" si="2"/>
        <v/>
      </c>
      <c r="C747" s="14" t="str">
        <f>IF($A747&lt;&gt;"",MINIFS(Merchant!$A:$A,Merchant!$B:$B,$G$2),)</f>
        <v/>
      </c>
      <c r="D747" s="14" t="str">
        <f t="shared" si="3"/>
        <v/>
      </c>
      <c r="E747" s="14" t="str">
        <f t="shared" si="4"/>
        <v/>
      </c>
      <c r="F747" s="6" t="str">
        <f>IF($A747&lt;&gt;"",MAXIFS(#REF!,Token!$A:$A,$D747),)</f>
        <v/>
      </c>
    </row>
    <row r="748">
      <c r="A748" s="35" t="str">
        <f t="shared" si="1"/>
        <v/>
      </c>
      <c r="B748" s="22" t="str">
        <f t="shared" si="2"/>
        <v/>
      </c>
      <c r="C748" s="14" t="str">
        <f>IF($A748&lt;&gt;"",MINIFS(Merchant!$A:$A,Merchant!$B:$B,$G$2),)</f>
        <v/>
      </c>
      <c r="D748" s="14" t="str">
        <f t="shared" si="3"/>
        <v/>
      </c>
      <c r="E748" s="14" t="str">
        <f t="shared" si="4"/>
        <v/>
      </c>
      <c r="F748" s="6" t="str">
        <f>IF($A748&lt;&gt;"",MAXIFS(#REF!,Token!$A:$A,$D748),)</f>
        <v/>
      </c>
    </row>
    <row r="749">
      <c r="A749" s="35" t="str">
        <f t="shared" si="1"/>
        <v/>
      </c>
      <c r="B749" s="22" t="str">
        <f t="shared" si="2"/>
        <v/>
      </c>
      <c r="C749" s="14" t="str">
        <f>IF($A749&lt;&gt;"",MINIFS(Merchant!$A:$A,Merchant!$B:$B,$G$2),)</f>
        <v/>
      </c>
      <c r="D749" s="14" t="str">
        <f t="shared" si="3"/>
        <v/>
      </c>
      <c r="E749" s="14" t="str">
        <f t="shared" si="4"/>
        <v/>
      </c>
      <c r="F749" s="6" t="str">
        <f>IF($A749&lt;&gt;"",MAXIFS(#REF!,Token!$A:$A,$D749),)</f>
        <v/>
      </c>
    </row>
    <row r="750">
      <c r="A750" s="35" t="str">
        <f t="shared" si="1"/>
        <v/>
      </c>
      <c r="B750" s="22" t="str">
        <f t="shared" si="2"/>
        <v/>
      </c>
      <c r="C750" s="14" t="str">
        <f>IF($A750&lt;&gt;"",MINIFS(Merchant!$A:$A,Merchant!$B:$B,$G$2),)</f>
        <v/>
      </c>
      <c r="D750" s="14" t="str">
        <f t="shared" si="3"/>
        <v/>
      </c>
      <c r="E750" s="14" t="str">
        <f t="shared" si="4"/>
        <v/>
      </c>
      <c r="F750" s="6" t="str">
        <f>IF($A750&lt;&gt;"",MAXIFS(#REF!,Token!$A:$A,$D750),)</f>
        <v/>
      </c>
    </row>
    <row r="751">
      <c r="A751" s="35" t="str">
        <f t="shared" si="1"/>
        <v/>
      </c>
      <c r="B751" s="22" t="str">
        <f t="shared" si="2"/>
        <v/>
      </c>
      <c r="C751" s="14" t="str">
        <f>IF($A751&lt;&gt;"",MINIFS(Merchant!$A:$A,Merchant!$B:$B,$G$2),)</f>
        <v/>
      </c>
      <c r="D751" s="14" t="str">
        <f t="shared" si="3"/>
        <v/>
      </c>
      <c r="E751" s="14" t="str">
        <f t="shared" si="4"/>
        <v/>
      </c>
      <c r="F751" s="6" t="str">
        <f>IF($A751&lt;&gt;"",MAXIFS(#REF!,Token!$A:$A,$D751),)</f>
        <v/>
      </c>
    </row>
    <row r="752">
      <c r="A752" s="35" t="str">
        <f t="shared" si="1"/>
        <v/>
      </c>
      <c r="B752" s="22" t="str">
        <f t="shared" si="2"/>
        <v/>
      </c>
      <c r="C752" s="14" t="str">
        <f>IF($A752&lt;&gt;"",MINIFS(Merchant!$A:$A,Merchant!$B:$B,$G$2),)</f>
        <v/>
      </c>
      <c r="D752" s="14" t="str">
        <f t="shared" si="3"/>
        <v/>
      </c>
      <c r="E752" s="14" t="str">
        <f t="shared" si="4"/>
        <v/>
      </c>
      <c r="F752" s="6" t="str">
        <f>IF($A752&lt;&gt;"",MAXIFS(#REF!,Token!$A:$A,$D752),)</f>
        <v/>
      </c>
    </row>
    <row r="753">
      <c r="A753" s="35" t="str">
        <f t="shared" si="1"/>
        <v/>
      </c>
      <c r="B753" s="22" t="str">
        <f t="shared" si="2"/>
        <v/>
      </c>
      <c r="C753" s="14" t="str">
        <f>IF($A753&lt;&gt;"",MINIFS(Merchant!$A:$A,Merchant!$B:$B,$G$2),)</f>
        <v/>
      </c>
      <c r="D753" s="14" t="str">
        <f t="shared" si="3"/>
        <v/>
      </c>
      <c r="E753" s="14" t="str">
        <f t="shared" si="4"/>
        <v/>
      </c>
      <c r="F753" s="6" t="str">
        <f>IF($A753&lt;&gt;"",MAXIFS(#REF!,Token!$A:$A,$D753),)</f>
        <v/>
      </c>
    </row>
    <row r="754">
      <c r="A754" s="35" t="str">
        <f t="shared" si="1"/>
        <v/>
      </c>
      <c r="B754" s="22" t="str">
        <f t="shared" si="2"/>
        <v/>
      </c>
      <c r="C754" s="14" t="str">
        <f>IF($A754&lt;&gt;"",MINIFS(Merchant!$A:$A,Merchant!$B:$B,$G$2),)</f>
        <v/>
      </c>
      <c r="D754" s="14" t="str">
        <f t="shared" si="3"/>
        <v/>
      </c>
      <c r="E754" s="14" t="str">
        <f t="shared" si="4"/>
        <v/>
      </c>
      <c r="F754" s="6" t="str">
        <f>IF($A754&lt;&gt;"",MAXIFS(#REF!,Token!$A:$A,$D754),)</f>
        <v/>
      </c>
    </row>
    <row r="755">
      <c r="A755" s="35" t="str">
        <f t="shared" si="1"/>
        <v/>
      </c>
      <c r="B755" s="22" t="str">
        <f t="shared" si="2"/>
        <v/>
      </c>
      <c r="C755" s="14" t="str">
        <f>IF($A755&lt;&gt;"",MINIFS(Merchant!$A:$A,Merchant!$B:$B,$G$2),)</f>
        <v/>
      </c>
      <c r="D755" s="14" t="str">
        <f t="shared" si="3"/>
        <v/>
      </c>
      <c r="E755" s="14" t="str">
        <f t="shared" si="4"/>
        <v/>
      </c>
      <c r="F755" s="6" t="str">
        <f>IF($A755&lt;&gt;"",MAXIFS(#REF!,Token!$A:$A,$D755),)</f>
        <v/>
      </c>
    </row>
    <row r="756">
      <c r="A756" s="35" t="str">
        <f t="shared" si="1"/>
        <v/>
      </c>
      <c r="B756" s="22" t="str">
        <f t="shared" si="2"/>
        <v/>
      </c>
      <c r="C756" s="14" t="str">
        <f>IF($A756&lt;&gt;"",MINIFS(Merchant!$A:$A,Merchant!$B:$B,$G$2),)</f>
        <v/>
      </c>
      <c r="D756" s="14" t="str">
        <f t="shared" si="3"/>
        <v/>
      </c>
      <c r="E756" s="14" t="str">
        <f t="shared" si="4"/>
        <v/>
      </c>
      <c r="F756" s="6" t="str">
        <f>IF($A756&lt;&gt;"",MAXIFS(#REF!,Token!$A:$A,$D756),)</f>
        <v/>
      </c>
    </row>
    <row r="757">
      <c r="A757" s="35" t="str">
        <f t="shared" si="1"/>
        <v/>
      </c>
      <c r="B757" s="22" t="str">
        <f t="shared" si="2"/>
        <v/>
      </c>
      <c r="C757" s="14" t="str">
        <f>IF($A757&lt;&gt;"",MINIFS(Merchant!$A:$A,Merchant!$B:$B,$G$2),)</f>
        <v/>
      </c>
      <c r="D757" s="14" t="str">
        <f t="shared" si="3"/>
        <v/>
      </c>
      <c r="E757" s="14" t="str">
        <f t="shared" si="4"/>
        <v/>
      </c>
      <c r="F757" s="6" t="str">
        <f>IF($A757&lt;&gt;"",MAXIFS(#REF!,Token!$A:$A,$D757),)</f>
        <v/>
      </c>
    </row>
    <row r="758">
      <c r="A758" s="35" t="str">
        <f t="shared" si="1"/>
        <v/>
      </c>
      <c r="B758" s="22" t="str">
        <f t="shared" si="2"/>
        <v/>
      </c>
      <c r="C758" s="14" t="str">
        <f>IF($A758&lt;&gt;"",MINIFS(Merchant!$A:$A,Merchant!$B:$B,$G$2),)</f>
        <v/>
      </c>
      <c r="D758" s="14" t="str">
        <f t="shared" si="3"/>
        <v/>
      </c>
      <c r="E758" s="14" t="str">
        <f t="shared" si="4"/>
        <v/>
      </c>
      <c r="F758" s="6" t="str">
        <f>IF($A758&lt;&gt;"",MAXIFS(#REF!,Token!$A:$A,$D758),)</f>
        <v/>
      </c>
    </row>
    <row r="759">
      <c r="A759" s="35" t="str">
        <f t="shared" si="1"/>
        <v/>
      </c>
      <c r="B759" s="22" t="str">
        <f t="shared" si="2"/>
        <v/>
      </c>
      <c r="C759" s="14" t="str">
        <f>IF($A759&lt;&gt;"",MINIFS(Merchant!$A:$A,Merchant!$B:$B,$G$2),)</f>
        <v/>
      </c>
      <c r="D759" s="14" t="str">
        <f t="shared" si="3"/>
        <v/>
      </c>
      <c r="E759" s="14" t="str">
        <f t="shared" si="4"/>
        <v/>
      </c>
      <c r="F759" s="6" t="str">
        <f>IF($A759&lt;&gt;"",MAXIFS(#REF!,Token!$A:$A,$D759),)</f>
        <v/>
      </c>
    </row>
    <row r="760">
      <c r="A760" s="35" t="str">
        <f t="shared" si="1"/>
        <v/>
      </c>
      <c r="B760" s="22" t="str">
        <f t="shared" si="2"/>
        <v/>
      </c>
      <c r="C760" s="14" t="str">
        <f>IF($A760&lt;&gt;"",MINIFS(Merchant!$A:$A,Merchant!$B:$B,$G$2),)</f>
        <v/>
      </c>
      <c r="D760" s="14" t="str">
        <f t="shared" si="3"/>
        <v/>
      </c>
      <c r="E760" s="14" t="str">
        <f t="shared" si="4"/>
        <v/>
      </c>
      <c r="F760" s="6" t="str">
        <f>IF($A760&lt;&gt;"",MAXIFS(#REF!,Token!$A:$A,$D760),)</f>
        <v/>
      </c>
    </row>
    <row r="761">
      <c r="A761" s="35" t="str">
        <f t="shared" si="1"/>
        <v/>
      </c>
      <c r="B761" s="22" t="str">
        <f t="shared" si="2"/>
        <v/>
      </c>
      <c r="C761" s="14" t="str">
        <f>IF($A761&lt;&gt;"",MINIFS(Merchant!$A:$A,Merchant!$B:$B,$G$2),)</f>
        <v/>
      </c>
      <c r="D761" s="14" t="str">
        <f t="shared" si="3"/>
        <v/>
      </c>
      <c r="E761" s="14" t="str">
        <f t="shared" si="4"/>
        <v/>
      </c>
      <c r="F761" s="6" t="str">
        <f>IF($A761&lt;&gt;"",MAXIFS(#REF!,Token!$A:$A,$D761),)</f>
        <v/>
      </c>
    </row>
    <row r="762">
      <c r="A762" s="35" t="str">
        <f t="shared" si="1"/>
        <v/>
      </c>
      <c r="B762" s="22" t="str">
        <f t="shared" si="2"/>
        <v/>
      </c>
      <c r="C762" s="14" t="str">
        <f>IF($A762&lt;&gt;"",MINIFS(Merchant!$A:$A,Merchant!$B:$B,$G$2),)</f>
        <v/>
      </c>
      <c r="D762" s="14" t="str">
        <f t="shared" si="3"/>
        <v/>
      </c>
      <c r="E762" s="14" t="str">
        <f t="shared" si="4"/>
        <v/>
      </c>
      <c r="F762" s="6" t="str">
        <f>IF($A762&lt;&gt;"",MAXIFS(#REF!,Token!$A:$A,$D762),)</f>
        <v/>
      </c>
    </row>
    <row r="763">
      <c r="A763" s="35" t="str">
        <f t="shared" si="1"/>
        <v/>
      </c>
      <c r="B763" s="22" t="str">
        <f t="shared" si="2"/>
        <v/>
      </c>
      <c r="C763" s="14" t="str">
        <f>IF($A763&lt;&gt;"",MINIFS(Merchant!$A:$A,Merchant!$B:$B,$G$2),)</f>
        <v/>
      </c>
      <c r="D763" s="14" t="str">
        <f t="shared" si="3"/>
        <v/>
      </c>
      <c r="E763" s="14" t="str">
        <f t="shared" si="4"/>
        <v/>
      </c>
      <c r="F763" s="6" t="str">
        <f>IF($A763&lt;&gt;"",MAXIFS(#REF!,Token!$A:$A,$D763),)</f>
        <v/>
      </c>
    </row>
    <row r="764">
      <c r="A764" s="35" t="str">
        <f t="shared" si="1"/>
        <v/>
      </c>
      <c r="B764" s="22" t="str">
        <f t="shared" si="2"/>
        <v/>
      </c>
      <c r="C764" s="14" t="str">
        <f>IF($A764&lt;&gt;"",MINIFS(Merchant!$A:$A,Merchant!$B:$B,$G$2),)</f>
        <v/>
      </c>
      <c r="D764" s="14" t="str">
        <f t="shared" si="3"/>
        <v/>
      </c>
      <c r="E764" s="14" t="str">
        <f t="shared" si="4"/>
        <v/>
      </c>
      <c r="F764" s="6" t="str">
        <f>IF($A764&lt;&gt;"",MAXIFS(#REF!,Token!$A:$A,$D764),)</f>
        <v/>
      </c>
    </row>
    <row r="765">
      <c r="A765" s="35" t="str">
        <f t="shared" si="1"/>
        <v/>
      </c>
      <c r="B765" s="22" t="str">
        <f t="shared" si="2"/>
        <v/>
      </c>
      <c r="C765" s="14" t="str">
        <f>IF($A765&lt;&gt;"",MINIFS(Merchant!$A:$A,Merchant!$B:$B,$G$2),)</f>
        <v/>
      </c>
      <c r="D765" s="14" t="str">
        <f t="shared" si="3"/>
        <v/>
      </c>
      <c r="E765" s="14" t="str">
        <f t="shared" si="4"/>
        <v/>
      </c>
      <c r="F765" s="6" t="str">
        <f>IF($A765&lt;&gt;"",MAXIFS(#REF!,Token!$A:$A,$D765),)</f>
        <v/>
      </c>
    </row>
    <row r="766">
      <c r="A766" s="35" t="str">
        <f t="shared" si="1"/>
        <v/>
      </c>
      <c r="B766" s="22" t="str">
        <f t="shared" si="2"/>
        <v/>
      </c>
      <c r="C766" s="14" t="str">
        <f>IF($A766&lt;&gt;"",MINIFS(Merchant!$A:$A,Merchant!$B:$B,$G$2),)</f>
        <v/>
      </c>
      <c r="D766" s="14" t="str">
        <f t="shared" si="3"/>
        <v/>
      </c>
      <c r="E766" s="14" t="str">
        <f t="shared" si="4"/>
        <v/>
      </c>
      <c r="F766" s="6" t="str">
        <f>IF($A766&lt;&gt;"",MAXIFS(#REF!,Token!$A:$A,$D766),)</f>
        <v/>
      </c>
    </row>
    <row r="767">
      <c r="A767" s="35" t="str">
        <f t="shared" si="1"/>
        <v/>
      </c>
      <c r="B767" s="22" t="str">
        <f t="shared" si="2"/>
        <v/>
      </c>
      <c r="C767" s="14" t="str">
        <f>IF($A767&lt;&gt;"",MINIFS(Merchant!$A:$A,Merchant!$B:$B,$G$2),)</f>
        <v/>
      </c>
      <c r="D767" s="14" t="str">
        <f t="shared" si="3"/>
        <v/>
      </c>
      <c r="E767" s="14" t="str">
        <f t="shared" si="4"/>
        <v/>
      </c>
      <c r="F767" s="6" t="str">
        <f>IF($A767&lt;&gt;"",MAXIFS(#REF!,Token!$A:$A,$D767),)</f>
        <v/>
      </c>
    </row>
    <row r="768">
      <c r="A768" s="35" t="str">
        <f t="shared" si="1"/>
        <v/>
      </c>
      <c r="B768" s="22" t="str">
        <f t="shared" si="2"/>
        <v/>
      </c>
      <c r="C768" s="14" t="str">
        <f>IF($A768&lt;&gt;"",MINIFS(Merchant!$A:$A,Merchant!$B:$B,$G$2),)</f>
        <v/>
      </c>
      <c r="D768" s="14" t="str">
        <f t="shared" si="3"/>
        <v/>
      </c>
      <c r="E768" s="14" t="str">
        <f t="shared" si="4"/>
        <v/>
      </c>
      <c r="F768" s="6" t="str">
        <f>IF($A768&lt;&gt;"",MAXIFS(#REF!,Token!$A:$A,$D768),)</f>
        <v/>
      </c>
    </row>
    <row r="769">
      <c r="A769" s="35" t="str">
        <f t="shared" si="1"/>
        <v/>
      </c>
      <c r="B769" s="22" t="str">
        <f t="shared" si="2"/>
        <v/>
      </c>
      <c r="C769" s="14" t="str">
        <f>IF($A769&lt;&gt;"",MINIFS(Merchant!$A:$A,Merchant!$B:$B,$G$2),)</f>
        <v/>
      </c>
      <c r="D769" s="14" t="str">
        <f t="shared" si="3"/>
        <v/>
      </c>
      <c r="E769" s="14" t="str">
        <f t="shared" si="4"/>
        <v/>
      </c>
      <c r="F769" s="6" t="str">
        <f>IF($A769&lt;&gt;"",MAXIFS(#REF!,Token!$A:$A,$D769),)</f>
        <v/>
      </c>
    </row>
    <row r="770">
      <c r="A770" s="35" t="str">
        <f t="shared" si="1"/>
        <v/>
      </c>
      <c r="B770" s="22" t="str">
        <f t="shared" si="2"/>
        <v/>
      </c>
      <c r="C770" s="14" t="str">
        <f>IF($A770&lt;&gt;"",MINIFS(Merchant!$A:$A,Merchant!$B:$B,$G$2),)</f>
        <v/>
      </c>
      <c r="D770" s="14" t="str">
        <f t="shared" si="3"/>
        <v/>
      </c>
      <c r="E770" s="14" t="str">
        <f t="shared" si="4"/>
        <v/>
      </c>
      <c r="F770" s="6" t="str">
        <f>IF($A770&lt;&gt;"",MAXIFS(#REF!,Token!$A:$A,$D770),)</f>
        <v/>
      </c>
    </row>
    <row r="771">
      <c r="A771" s="35" t="str">
        <f t="shared" si="1"/>
        <v/>
      </c>
      <c r="B771" s="22" t="str">
        <f t="shared" si="2"/>
        <v/>
      </c>
      <c r="C771" s="14" t="str">
        <f>IF($A771&lt;&gt;"",MINIFS(Merchant!$A:$A,Merchant!$B:$B,$G$2),)</f>
        <v/>
      </c>
      <c r="D771" s="14" t="str">
        <f t="shared" si="3"/>
        <v/>
      </c>
      <c r="E771" s="14" t="str">
        <f t="shared" si="4"/>
        <v/>
      </c>
      <c r="F771" s="6" t="str">
        <f>IF($A771&lt;&gt;"",MAXIFS(#REF!,Token!$A:$A,$D771),)</f>
        <v/>
      </c>
    </row>
    <row r="772">
      <c r="A772" s="35" t="str">
        <f t="shared" si="1"/>
        <v/>
      </c>
      <c r="B772" s="22" t="str">
        <f t="shared" si="2"/>
        <v/>
      </c>
      <c r="C772" s="14" t="str">
        <f>IF($A772&lt;&gt;"",MINIFS(Merchant!$A:$A,Merchant!$B:$B,$G$2),)</f>
        <v/>
      </c>
      <c r="D772" s="14" t="str">
        <f t="shared" si="3"/>
        <v/>
      </c>
      <c r="E772" s="14" t="str">
        <f t="shared" si="4"/>
        <v/>
      </c>
      <c r="F772" s="6" t="str">
        <f>IF($A772&lt;&gt;"",MAXIFS(#REF!,Token!$A:$A,$D772),)</f>
        <v/>
      </c>
    </row>
    <row r="773">
      <c r="A773" s="35" t="str">
        <f t="shared" si="1"/>
        <v/>
      </c>
      <c r="B773" s="22" t="str">
        <f t="shared" si="2"/>
        <v/>
      </c>
      <c r="C773" s="14" t="str">
        <f>IF($A773&lt;&gt;"",MINIFS(Merchant!$A:$A,Merchant!$B:$B,$G$2),)</f>
        <v/>
      </c>
      <c r="D773" s="14" t="str">
        <f t="shared" si="3"/>
        <v/>
      </c>
      <c r="E773" s="14" t="str">
        <f t="shared" si="4"/>
        <v/>
      </c>
      <c r="F773" s="6" t="str">
        <f>IF($A773&lt;&gt;"",MAXIFS(#REF!,Token!$A:$A,$D773),)</f>
        <v/>
      </c>
    </row>
    <row r="774">
      <c r="A774" s="35" t="str">
        <f t="shared" si="1"/>
        <v/>
      </c>
      <c r="B774" s="22" t="str">
        <f t="shared" si="2"/>
        <v/>
      </c>
      <c r="C774" s="14" t="str">
        <f>IF($A774&lt;&gt;"",MINIFS(Merchant!$A:$A,Merchant!$B:$B,$G$2),)</f>
        <v/>
      </c>
      <c r="D774" s="14" t="str">
        <f t="shared" si="3"/>
        <v/>
      </c>
      <c r="E774" s="14" t="str">
        <f t="shared" si="4"/>
        <v/>
      </c>
      <c r="F774" s="6" t="str">
        <f>IF($A774&lt;&gt;"",MAXIFS(#REF!,Token!$A:$A,$D774),)</f>
        <v/>
      </c>
    </row>
    <row r="775">
      <c r="A775" s="35" t="str">
        <f t="shared" si="1"/>
        <v/>
      </c>
      <c r="B775" s="22" t="str">
        <f t="shared" si="2"/>
        <v/>
      </c>
      <c r="C775" s="14" t="str">
        <f>IF($A775&lt;&gt;"",MINIFS(Merchant!$A:$A,Merchant!$B:$B,$G$2),)</f>
        <v/>
      </c>
      <c r="D775" s="14" t="str">
        <f t="shared" si="3"/>
        <v/>
      </c>
      <c r="E775" s="14" t="str">
        <f t="shared" si="4"/>
        <v/>
      </c>
      <c r="F775" s="6" t="str">
        <f>IF($A775&lt;&gt;"",MAXIFS(#REF!,Token!$A:$A,$D775),)</f>
        <v/>
      </c>
    </row>
    <row r="776">
      <c r="A776" s="35" t="str">
        <f t="shared" si="1"/>
        <v/>
      </c>
      <c r="B776" s="22" t="str">
        <f t="shared" si="2"/>
        <v/>
      </c>
      <c r="C776" s="14" t="str">
        <f>IF($A776&lt;&gt;"",MINIFS(Merchant!$A:$A,Merchant!$B:$B,$G$2),)</f>
        <v/>
      </c>
      <c r="D776" s="14" t="str">
        <f t="shared" si="3"/>
        <v/>
      </c>
      <c r="E776" s="14" t="str">
        <f t="shared" si="4"/>
        <v/>
      </c>
      <c r="F776" s="6" t="str">
        <f>IF($A776&lt;&gt;"",MAXIFS(#REF!,Token!$A:$A,$D776),)</f>
        <v/>
      </c>
    </row>
    <row r="777">
      <c r="A777" s="35" t="str">
        <f t="shared" si="1"/>
        <v/>
      </c>
      <c r="B777" s="22" t="str">
        <f t="shared" si="2"/>
        <v/>
      </c>
      <c r="C777" s="14" t="str">
        <f>IF($A777&lt;&gt;"",MINIFS(Merchant!$A:$A,Merchant!$B:$B,$G$2),)</f>
        <v/>
      </c>
      <c r="D777" s="14" t="str">
        <f t="shared" si="3"/>
        <v/>
      </c>
      <c r="E777" s="14" t="str">
        <f t="shared" si="4"/>
        <v/>
      </c>
      <c r="F777" s="6" t="str">
        <f>IF($A777&lt;&gt;"",MAXIFS(#REF!,Token!$A:$A,$D777),)</f>
        <v/>
      </c>
    </row>
    <row r="778">
      <c r="A778" s="35" t="str">
        <f t="shared" si="1"/>
        <v/>
      </c>
      <c r="B778" s="22" t="str">
        <f t="shared" si="2"/>
        <v/>
      </c>
      <c r="C778" s="14" t="str">
        <f>IF($A778&lt;&gt;"",MINIFS(Merchant!$A:$A,Merchant!$B:$B,$G$2),)</f>
        <v/>
      </c>
      <c r="D778" s="14" t="str">
        <f t="shared" si="3"/>
        <v/>
      </c>
      <c r="E778" s="14" t="str">
        <f t="shared" si="4"/>
        <v/>
      </c>
      <c r="F778" s="6" t="str">
        <f>IF($A778&lt;&gt;"",MAXIFS(#REF!,Token!$A:$A,$D778),)</f>
        <v/>
      </c>
    </row>
    <row r="779">
      <c r="A779" s="35" t="str">
        <f t="shared" si="1"/>
        <v/>
      </c>
      <c r="B779" s="22" t="str">
        <f t="shared" si="2"/>
        <v/>
      </c>
      <c r="C779" s="14" t="str">
        <f>IF($A779&lt;&gt;"",MINIFS(Merchant!$A:$A,Merchant!$B:$B,$G$2),)</f>
        <v/>
      </c>
      <c r="D779" s="14" t="str">
        <f t="shared" si="3"/>
        <v/>
      </c>
      <c r="E779" s="14" t="str">
        <f t="shared" si="4"/>
        <v/>
      </c>
      <c r="F779" s="6" t="str">
        <f>IF($A779&lt;&gt;"",MAXIFS(#REF!,Token!$A:$A,$D779),)</f>
        <v/>
      </c>
    </row>
    <row r="780">
      <c r="A780" s="35" t="str">
        <f t="shared" si="1"/>
        <v/>
      </c>
      <c r="B780" s="22" t="str">
        <f t="shared" si="2"/>
        <v/>
      </c>
      <c r="C780" s="14" t="str">
        <f>IF($A780&lt;&gt;"",MINIFS(Merchant!$A:$A,Merchant!$B:$B,$G$2),)</f>
        <v/>
      </c>
      <c r="D780" s="14" t="str">
        <f t="shared" si="3"/>
        <v/>
      </c>
      <c r="E780" s="14" t="str">
        <f t="shared" si="4"/>
        <v/>
      </c>
      <c r="F780" s="6" t="str">
        <f>IF($A780&lt;&gt;"",MAXIFS(#REF!,Token!$A:$A,$D780),)</f>
        <v/>
      </c>
    </row>
    <row r="781">
      <c r="A781" s="35" t="str">
        <f t="shared" si="1"/>
        <v/>
      </c>
      <c r="B781" s="22" t="str">
        <f t="shared" si="2"/>
        <v/>
      </c>
      <c r="C781" s="14" t="str">
        <f>IF($A781&lt;&gt;"",MINIFS(Merchant!$A:$A,Merchant!$B:$B,$G$2),)</f>
        <v/>
      </c>
      <c r="D781" s="14" t="str">
        <f t="shared" si="3"/>
        <v/>
      </c>
      <c r="E781" s="14" t="str">
        <f t="shared" si="4"/>
        <v/>
      </c>
      <c r="F781" s="6" t="str">
        <f>IF($A781&lt;&gt;"",MAXIFS(#REF!,Token!$A:$A,$D781),)</f>
        <v/>
      </c>
    </row>
    <row r="782">
      <c r="A782" s="35" t="str">
        <f t="shared" si="1"/>
        <v/>
      </c>
      <c r="B782" s="22" t="str">
        <f t="shared" si="2"/>
        <v/>
      </c>
      <c r="C782" s="14" t="str">
        <f>IF($A782&lt;&gt;"",MINIFS(Merchant!$A:$A,Merchant!$B:$B,$G$2),)</f>
        <v/>
      </c>
      <c r="D782" s="14" t="str">
        <f t="shared" si="3"/>
        <v/>
      </c>
      <c r="E782" s="14" t="str">
        <f t="shared" si="4"/>
        <v/>
      </c>
      <c r="F782" s="6" t="str">
        <f>IF($A782&lt;&gt;"",MAXIFS(#REF!,Token!$A:$A,$D782),)</f>
        <v/>
      </c>
    </row>
    <row r="783">
      <c r="A783" s="35" t="str">
        <f t="shared" si="1"/>
        <v/>
      </c>
      <c r="B783" s="22" t="str">
        <f t="shared" si="2"/>
        <v/>
      </c>
      <c r="C783" s="14" t="str">
        <f>IF($A783&lt;&gt;"",MINIFS(Merchant!$A:$A,Merchant!$B:$B,$G$2),)</f>
        <v/>
      </c>
      <c r="D783" s="14" t="str">
        <f t="shared" si="3"/>
        <v/>
      </c>
      <c r="E783" s="14" t="str">
        <f t="shared" si="4"/>
        <v/>
      </c>
      <c r="F783" s="6" t="str">
        <f>IF($A783&lt;&gt;"",MAXIFS(#REF!,Token!$A:$A,$D783),)</f>
        <v/>
      </c>
    </row>
    <row r="784">
      <c r="A784" s="35" t="str">
        <f t="shared" si="1"/>
        <v/>
      </c>
      <c r="B784" s="22" t="str">
        <f t="shared" si="2"/>
        <v/>
      </c>
      <c r="C784" s="14" t="str">
        <f>IF($A784&lt;&gt;"",MINIFS(Merchant!$A:$A,Merchant!$B:$B,$G$2),)</f>
        <v/>
      </c>
      <c r="D784" s="14" t="str">
        <f t="shared" si="3"/>
        <v/>
      </c>
      <c r="E784" s="14" t="str">
        <f t="shared" si="4"/>
        <v/>
      </c>
      <c r="F784" s="6" t="str">
        <f>IF($A784&lt;&gt;"",MAXIFS(#REF!,Token!$A:$A,$D784),)</f>
        <v/>
      </c>
    </row>
    <row r="785">
      <c r="A785" s="35" t="str">
        <f t="shared" si="1"/>
        <v/>
      </c>
      <c r="B785" s="22" t="str">
        <f t="shared" si="2"/>
        <v/>
      </c>
      <c r="C785" s="14" t="str">
        <f>IF($A785&lt;&gt;"",MINIFS(Merchant!$A:$A,Merchant!$B:$B,$G$2),)</f>
        <v/>
      </c>
      <c r="D785" s="14" t="str">
        <f t="shared" si="3"/>
        <v/>
      </c>
      <c r="E785" s="14" t="str">
        <f t="shared" si="4"/>
        <v/>
      </c>
      <c r="F785" s="6" t="str">
        <f>IF($A785&lt;&gt;"",MAXIFS(#REF!,Token!$A:$A,$D785),)</f>
        <v/>
      </c>
    </row>
    <row r="786">
      <c r="A786" s="35" t="str">
        <f t="shared" si="1"/>
        <v/>
      </c>
      <c r="B786" s="22" t="str">
        <f t="shared" si="2"/>
        <v/>
      </c>
      <c r="C786" s="14" t="str">
        <f>IF($A786&lt;&gt;"",MINIFS(Merchant!$A:$A,Merchant!$B:$B,$G$2),)</f>
        <v/>
      </c>
      <c r="D786" s="14" t="str">
        <f t="shared" si="3"/>
        <v/>
      </c>
      <c r="E786" s="14" t="str">
        <f t="shared" si="4"/>
        <v/>
      </c>
      <c r="F786" s="6" t="str">
        <f>IF($A786&lt;&gt;"",MAXIFS(#REF!,Token!$A:$A,$D786),)</f>
        <v/>
      </c>
    </row>
    <row r="787">
      <c r="A787" s="35" t="str">
        <f t="shared" si="1"/>
        <v/>
      </c>
      <c r="B787" s="22" t="str">
        <f t="shared" si="2"/>
        <v/>
      </c>
      <c r="C787" s="14" t="str">
        <f>IF($A787&lt;&gt;"",MINIFS(Merchant!$A:$A,Merchant!$B:$B,$G$2),)</f>
        <v/>
      </c>
      <c r="D787" s="14" t="str">
        <f t="shared" si="3"/>
        <v/>
      </c>
      <c r="E787" s="14" t="str">
        <f t="shared" si="4"/>
        <v/>
      </c>
      <c r="F787" s="6" t="str">
        <f>IF($A787&lt;&gt;"",MAXIFS(#REF!,Token!$A:$A,$D787),)</f>
        <v/>
      </c>
    </row>
    <row r="788">
      <c r="A788" s="35" t="str">
        <f t="shared" si="1"/>
        <v/>
      </c>
      <c r="B788" s="22" t="str">
        <f t="shared" si="2"/>
        <v/>
      </c>
      <c r="C788" s="14" t="str">
        <f>IF($A788&lt;&gt;"",MINIFS(Merchant!$A:$A,Merchant!$B:$B,$G$2),)</f>
        <v/>
      </c>
      <c r="D788" s="14" t="str">
        <f t="shared" si="3"/>
        <v/>
      </c>
      <c r="E788" s="14" t="str">
        <f t="shared" si="4"/>
        <v/>
      </c>
      <c r="F788" s="6" t="str">
        <f>IF($A788&lt;&gt;"",MAXIFS(#REF!,Token!$A:$A,$D788),)</f>
        <v/>
      </c>
    </row>
    <row r="789">
      <c r="A789" s="35" t="str">
        <f t="shared" si="1"/>
        <v/>
      </c>
      <c r="B789" s="22" t="str">
        <f t="shared" si="2"/>
        <v/>
      </c>
      <c r="C789" s="14" t="str">
        <f>IF($A789&lt;&gt;"",MINIFS(Merchant!$A:$A,Merchant!$B:$B,$G$2),)</f>
        <v/>
      </c>
      <c r="D789" s="14" t="str">
        <f t="shared" si="3"/>
        <v/>
      </c>
      <c r="E789" s="14" t="str">
        <f t="shared" si="4"/>
        <v/>
      </c>
      <c r="F789" s="6" t="str">
        <f>IF($A789&lt;&gt;"",MAXIFS(#REF!,Token!$A:$A,$D789),)</f>
        <v/>
      </c>
    </row>
    <row r="790">
      <c r="A790" s="35" t="str">
        <f t="shared" si="1"/>
        <v/>
      </c>
      <c r="B790" s="22" t="str">
        <f t="shared" si="2"/>
        <v/>
      </c>
      <c r="C790" s="14" t="str">
        <f>IF($A790&lt;&gt;"",MINIFS(Merchant!$A:$A,Merchant!$B:$B,$G$2),)</f>
        <v/>
      </c>
      <c r="D790" s="14" t="str">
        <f t="shared" si="3"/>
        <v/>
      </c>
      <c r="E790" s="14" t="str">
        <f t="shared" si="4"/>
        <v/>
      </c>
      <c r="F790" s="6" t="str">
        <f>IF($A790&lt;&gt;"",MAXIFS(#REF!,Token!$A:$A,$D790),)</f>
        <v/>
      </c>
    </row>
    <row r="791">
      <c r="A791" s="35" t="str">
        <f t="shared" si="1"/>
        <v/>
      </c>
      <c r="B791" s="22" t="str">
        <f t="shared" si="2"/>
        <v/>
      </c>
      <c r="C791" s="14" t="str">
        <f>IF($A791&lt;&gt;"",MINIFS(Merchant!$A:$A,Merchant!$B:$B,$G$2),)</f>
        <v/>
      </c>
      <c r="D791" s="14" t="str">
        <f t="shared" si="3"/>
        <v/>
      </c>
      <c r="E791" s="14" t="str">
        <f t="shared" si="4"/>
        <v/>
      </c>
      <c r="F791" s="6" t="str">
        <f>IF($A791&lt;&gt;"",MAXIFS(#REF!,Token!$A:$A,$D791),)</f>
        <v/>
      </c>
    </row>
    <row r="792">
      <c r="A792" s="35" t="str">
        <f t="shared" si="1"/>
        <v/>
      </c>
      <c r="B792" s="22" t="str">
        <f t="shared" si="2"/>
        <v/>
      </c>
      <c r="C792" s="14" t="str">
        <f>IF($A792&lt;&gt;"",MINIFS(Merchant!$A:$A,Merchant!$B:$B,$G$2),)</f>
        <v/>
      </c>
      <c r="D792" s="14" t="str">
        <f t="shared" si="3"/>
        <v/>
      </c>
      <c r="E792" s="14" t="str">
        <f t="shared" si="4"/>
        <v/>
      </c>
      <c r="F792" s="6" t="str">
        <f>IF($A792&lt;&gt;"",MAXIFS(#REF!,Token!$A:$A,$D792),)</f>
        <v/>
      </c>
    </row>
    <row r="793">
      <c r="A793" s="35" t="str">
        <f t="shared" si="1"/>
        <v/>
      </c>
      <c r="B793" s="22" t="str">
        <f t="shared" si="2"/>
        <v/>
      </c>
      <c r="C793" s="14" t="str">
        <f>IF($A793&lt;&gt;"",MINIFS(Merchant!$A:$A,Merchant!$B:$B,$G$2),)</f>
        <v/>
      </c>
      <c r="D793" s="14" t="str">
        <f t="shared" si="3"/>
        <v/>
      </c>
      <c r="E793" s="14" t="str">
        <f t="shared" si="4"/>
        <v/>
      </c>
      <c r="F793" s="6" t="str">
        <f>IF($A793&lt;&gt;"",MAXIFS(#REF!,Token!$A:$A,$D793),)</f>
        <v/>
      </c>
    </row>
    <row r="794">
      <c r="A794" s="35" t="str">
        <f t="shared" si="1"/>
        <v/>
      </c>
      <c r="B794" s="22" t="str">
        <f t="shared" si="2"/>
        <v/>
      </c>
      <c r="C794" s="14" t="str">
        <f>IF($A794&lt;&gt;"",MINIFS(Merchant!$A:$A,Merchant!$B:$B,$G$2),)</f>
        <v/>
      </c>
      <c r="D794" s="14" t="str">
        <f t="shared" si="3"/>
        <v/>
      </c>
      <c r="E794" s="14" t="str">
        <f t="shared" si="4"/>
        <v/>
      </c>
      <c r="F794" s="6" t="str">
        <f>IF($A794&lt;&gt;"",MAXIFS(#REF!,Token!$A:$A,$D794),)</f>
        <v/>
      </c>
    </row>
    <row r="795">
      <c r="A795" s="35" t="str">
        <f t="shared" si="1"/>
        <v/>
      </c>
      <c r="B795" s="22" t="str">
        <f t="shared" si="2"/>
        <v/>
      </c>
      <c r="C795" s="14" t="str">
        <f>IF($A795&lt;&gt;"",MINIFS(Merchant!$A:$A,Merchant!$B:$B,$G$2),)</f>
        <v/>
      </c>
      <c r="D795" s="14" t="str">
        <f t="shared" si="3"/>
        <v/>
      </c>
      <c r="E795" s="14" t="str">
        <f t="shared" si="4"/>
        <v/>
      </c>
      <c r="F795" s="6" t="str">
        <f>IF($A795&lt;&gt;"",MAXIFS(#REF!,Token!$A:$A,$D795),)</f>
        <v/>
      </c>
    </row>
    <row r="796">
      <c r="A796" s="35" t="str">
        <f t="shared" si="1"/>
        <v/>
      </c>
      <c r="B796" s="22" t="str">
        <f t="shared" si="2"/>
        <v/>
      </c>
      <c r="C796" s="14" t="str">
        <f>IF($A796&lt;&gt;"",MINIFS(Merchant!$A:$A,Merchant!$B:$B,$G$2),)</f>
        <v/>
      </c>
      <c r="D796" s="14" t="str">
        <f t="shared" si="3"/>
        <v/>
      </c>
      <c r="E796" s="14" t="str">
        <f t="shared" si="4"/>
        <v/>
      </c>
      <c r="F796" s="6" t="str">
        <f>IF($A796&lt;&gt;"",MAXIFS(#REF!,Token!$A:$A,$D796),)</f>
        <v/>
      </c>
    </row>
    <row r="797">
      <c r="A797" s="35" t="str">
        <f t="shared" si="1"/>
        <v/>
      </c>
      <c r="B797" s="22" t="str">
        <f t="shared" si="2"/>
        <v/>
      </c>
      <c r="C797" s="14" t="str">
        <f>IF($A797&lt;&gt;"",MINIFS(Merchant!$A:$A,Merchant!$B:$B,$G$2),)</f>
        <v/>
      </c>
      <c r="D797" s="14" t="str">
        <f t="shared" si="3"/>
        <v/>
      </c>
      <c r="E797" s="14" t="str">
        <f t="shared" si="4"/>
        <v/>
      </c>
      <c r="F797" s="6" t="str">
        <f>IF($A797&lt;&gt;"",MAXIFS(#REF!,Token!$A:$A,$D797),)</f>
        <v/>
      </c>
    </row>
    <row r="798">
      <c r="A798" s="35" t="str">
        <f t="shared" si="1"/>
        <v/>
      </c>
      <c r="B798" s="22" t="str">
        <f t="shared" si="2"/>
        <v/>
      </c>
      <c r="C798" s="14" t="str">
        <f>IF($A798&lt;&gt;"",MINIFS(Merchant!$A:$A,Merchant!$B:$B,$G$2),)</f>
        <v/>
      </c>
      <c r="D798" s="14" t="str">
        <f t="shared" si="3"/>
        <v/>
      </c>
      <c r="E798" s="14" t="str">
        <f t="shared" si="4"/>
        <v/>
      </c>
      <c r="F798" s="6" t="str">
        <f>IF($A798&lt;&gt;"",MAXIFS(#REF!,Token!$A:$A,$D798),)</f>
        <v/>
      </c>
    </row>
    <row r="799">
      <c r="A799" s="35" t="str">
        <f t="shared" si="1"/>
        <v/>
      </c>
      <c r="B799" s="22" t="str">
        <f t="shared" si="2"/>
        <v/>
      </c>
      <c r="C799" s="14" t="str">
        <f>IF($A799&lt;&gt;"",MINIFS(Merchant!$A:$A,Merchant!$B:$B,$G$2),)</f>
        <v/>
      </c>
      <c r="D799" s="14" t="str">
        <f t="shared" si="3"/>
        <v/>
      </c>
      <c r="E799" s="14" t="str">
        <f t="shared" si="4"/>
        <v/>
      </c>
      <c r="F799" s="6" t="str">
        <f>IF($A799&lt;&gt;"",MAXIFS(#REF!,Token!$A:$A,$D799),)</f>
        <v/>
      </c>
    </row>
    <row r="800">
      <c r="A800" s="35" t="str">
        <f t="shared" si="1"/>
        <v/>
      </c>
      <c r="B800" s="22" t="str">
        <f t="shared" si="2"/>
        <v/>
      </c>
      <c r="C800" s="14" t="str">
        <f>IF($A800&lt;&gt;"",MINIFS(Merchant!$A:$A,Merchant!$B:$B,$G$2),)</f>
        <v/>
      </c>
      <c r="D800" s="14" t="str">
        <f t="shared" si="3"/>
        <v/>
      </c>
      <c r="E800" s="14" t="str">
        <f t="shared" si="4"/>
        <v/>
      </c>
      <c r="F800" s="6" t="str">
        <f>IF($A800&lt;&gt;"",MAXIFS(#REF!,Token!$A:$A,$D800),)</f>
        <v/>
      </c>
    </row>
    <row r="801">
      <c r="A801" s="35" t="str">
        <f t="shared" si="1"/>
        <v/>
      </c>
      <c r="B801" s="22" t="str">
        <f t="shared" si="2"/>
        <v/>
      </c>
      <c r="C801" s="14" t="str">
        <f>IF($A801&lt;&gt;"",MINIFS(Merchant!$A:$A,Merchant!$B:$B,$G$2),)</f>
        <v/>
      </c>
      <c r="D801" s="14" t="str">
        <f t="shared" si="3"/>
        <v/>
      </c>
      <c r="E801" s="14" t="str">
        <f t="shared" si="4"/>
        <v/>
      </c>
      <c r="F801" s="6" t="str">
        <f>IF($A801&lt;&gt;"",MAXIFS(#REF!,Token!$A:$A,$D801),)</f>
        <v/>
      </c>
    </row>
    <row r="802">
      <c r="A802" s="35" t="str">
        <f t="shared" si="1"/>
        <v/>
      </c>
      <c r="B802" s="22" t="str">
        <f t="shared" si="2"/>
        <v/>
      </c>
      <c r="C802" s="14" t="str">
        <f>IF($A802&lt;&gt;"",MINIFS(Merchant!$A:$A,Merchant!$B:$B,$G$2),)</f>
        <v/>
      </c>
      <c r="D802" s="14" t="str">
        <f t="shared" si="3"/>
        <v/>
      </c>
      <c r="E802" s="14" t="str">
        <f t="shared" si="4"/>
        <v/>
      </c>
      <c r="F802" s="6" t="str">
        <f>IF($A802&lt;&gt;"",MAXIFS(#REF!,Token!$A:$A,$D802),)</f>
        <v/>
      </c>
    </row>
    <row r="803">
      <c r="A803" s="35" t="str">
        <f t="shared" si="1"/>
        <v/>
      </c>
      <c r="B803" s="22" t="str">
        <f t="shared" si="2"/>
        <v/>
      </c>
      <c r="C803" s="14" t="str">
        <f>IF($A803&lt;&gt;"",MINIFS(Merchant!$A:$A,Merchant!$B:$B,$G$2),)</f>
        <v/>
      </c>
      <c r="D803" s="14" t="str">
        <f t="shared" si="3"/>
        <v/>
      </c>
      <c r="E803" s="14" t="str">
        <f t="shared" si="4"/>
        <v/>
      </c>
      <c r="F803" s="6" t="str">
        <f>IF($A803&lt;&gt;"",MAXIFS(#REF!,Token!$A:$A,$D803),)</f>
        <v/>
      </c>
    </row>
    <row r="804">
      <c r="A804" s="35" t="str">
        <f t="shared" si="1"/>
        <v/>
      </c>
      <c r="B804" s="22" t="str">
        <f t="shared" si="2"/>
        <v/>
      </c>
      <c r="C804" s="14" t="str">
        <f>IF($A804&lt;&gt;"",MINIFS(Merchant!$A:$A,Merchant!$B:$B,$G$2),)</f>
        <v/>
      </c>
      <c r="D804" s="14" t="str">
        <f t="shared" si="3"/>
        <v/>
      </c>
      <c r="E804" s="14" t="str">
        <f t="shared" si="4"/>
        <v/>
      </c>
      <c r="F804" s="6" t="str">
        <f>IF($A804&lt;&gt;"",MAXIFS(#REF!,Token!$A:$A,$D804),)</f>
        <v/>
      </c>
    </row>
    <row r="805">
      <c r="A805" s="35" t="str">
        <f t="shared" si="1"/>
        <v/>
      </c>
      <c r="B805" s="22" t="str">
        <f t="shared" si="2"/>
        <v/>
      </c>
      <c r="C805" s="14" t="str">
        <f>IF($A805&lt;&gt;"",MINIFS(Merchant!$A:$A,Merchant!$B:$B,$G$2),)</f>
        <v/>
      </c>
      <c r="D805" s="14" t="str">
        <f t="shared" si="3"/>
        <v/>
      </c>
      <c r="E805" s="14" t="str">
        <f t="shared" si="4"/>
        <v/>
      </c>
      <c r="F805" s="6" t="str">
        <f>IF($A805&lt;&gt;"",MAXIFS(#REF!,Token!$A:$A,$D805),)</f>
        <v/>
      </c>
    </row>
    <row r="806">
      <c r="A806" s="35" t="str">
        <f t="shared" si="1"/>
        <v/>
      </c>
      <c r="B806" s="22" t="str">
        <f t="shared" si="2"/>
        <v/>
      </c>
      <c r="C806" s="14" t="str">
        <f>IF($A806&lt;&gt;"",MINIFS(Merchant!$A:$A,Merchant!$B:$B,$G$2),)</f>
        <v/>
      </c>
      <c r="D806" s="14" t="str">
        <f t="shared" si="3"/>
        <v/>
      </c>
      <c r="E806" s="14" t="str">
        <f t="shared" si="4"/>
        <v/>
      </c>
      <c r="F806" s="6" t="str">
        <f>IF($A806&lt;&gt;"",MAXIFS(#REF!,Token!$A:$A,$D806),)</f>
        <v/>
      </c>
    </row>
    <row r="807">
      <c r="A807" s="35" t="str">
        <f t="shared" si="1"/>
        <v/>
      </c>
      <c r="B807" s="22" t="str">
        <f t="shared" si="2"/>
        <v/>
      </c>
      <c r="C807" s="14" t="str">
        <f>IF($A807&lt;&gt;"",MINIFS(Merchant!$A:$A,Merchant!$B:$B,$G$2),)</f>
        <v/>
      </c>
      <c r="D807" s="14" t="str">
        <f t="shared" si="3"/>
        <v/>
      </c>
      <c r="E807" s="14" t="str">
        <f t="shared" si="4"/>
        <v/>
      </c>
      <c r="F807" s="6" t="str">
        <f>IF($A807&lt;&gt;"",MAXIFS(#REF!,Token!$A:$A,$D807),)</f>
        <v/>
      </c>
    </row>
    <row r="808">
      <c r="A808" s="35" t="str">
        <f t="shared" si="1"/>
        <v/>
      </c>
      <c r="B808" s="22" t="str">
        <f t="shared" si="2"/>
        <v/>
      </c>
      <c r="C808" s="14" t="str">
        <f>IF($A808&lt;&gt;"",MINIFS(Merchant!$A:$A,Merchant!$B:$B,$G$2),)</f>
        <v/>
      </c>
      <c r="D808" s="14" t="str">
        <f t="shared" si="3"/>
        <v/>
      </c>
      <c r="E808" s="14" t="str">
        <f t="shared" si="4"/>
        <v/>
      </c>
      <c r="F808" s="6" t="str">
        <f>IF($A808&lt;&gt;"",MAXIFS(#REF!,Token!$A:$A,$D808),)</f>
        <v/>
      </c>
    </row>
    <row r="809">
      <c r="A809" s="35" t="str">
        <f t="shared" si="1"/>
        <v/>
      </c>
      <c r="B809" s="22" t="str">
        <f t="shared" si="2"/>
        <v/>
      </c>
      <c r="C809" s="14" t="str">
        <f>IF($A809&lt;&gt;"",MINIFS(Merchant!$A:$A,Merchant!$B:$B,$G$2),)</f>
        <v/>
      </c>
      <c r="D809" s="14" t="str">
        <f t="shared" si="3"/>
        <v/>
      </c>
      <c r="E809" s="14" t="str">
        <f t="shared" si="4"/>
        <v/>
      </c>
      <c r="F809" s="6" t="str">
        <f>IF($A809&lt;&gt;"",MAXIFS(#REF!,Token!$A:$A,$D809),)</f>
        <v/>
      </c>
    </row>
    <row r="810">
      <c r="A810" s="35" t="str">
        <f t="shared" si="1"/>
        <v/>
      </c>
      <c r="B810" s="22" t="str">
        <f t="shared" si="2"/>
        <v/>
      </c>
      <c r="C810" s="14" t="str">
        <f>IF($A810&lt;&gt;"",MINIFS(Merchant!$A:$A,Merchant!$B:$B,$G$2),)</f>
        <v/>
      </c>
      <c r="D810" s="14" t="str">
        <f t="shared" si="3"/>
        <v/>
      </c>
      <c r="E810" s="14" t="str">
        <f t="shared" si="4"/>
        <v/>
      </c>
      <c r="F810" s="6" t="str">
        <f>IF($A810&lt;&gt;"",MAXIFS(#REF!,Token!$A:$A,$D810),)</f>
        <v/>
      </c>
    </row>
    <row r="811">
      <c r="A811" s="35" t="str">
        <f t="shared" si="1"/>
        <v/>
      </c>
      <c r="B811" s="22" t="str">
        <f t="shared" si="2"/>
        <v/>
      </c>
      <c r="C811" s="14" t="str">
        <f>IF($A811&lt;&gt;"",MINIFS(Merchant!$A:$A,Merchant!$B:$B,$G$2),)</f>
        <v/>
      </c>
      <c r="D811" s="14" t="str">
        <f t="shared" si="3"/>
        <v/>
      </c>
      <c r="E811" s="14" t="str">
        <f t="shared" si="4"/>
        <v/>
      </c>
      <c r="F811" s="6" t="str">
        <f>IF($A811&lt;&gt;"",MAXIFS(#REF!,Token!$A:$A,$D811),)</f>
        <v/>
      </c>
    </row>
    <row r="812">
      <c r="A812" s="35" t="str">
        <f t="shared" si="1"/>
        <v/>
      </c>
      <c r="B812" s="22" t="str">
        <f t="shared" si="2"/>
        <v/>
      </c>
      <c r="C812" s="14" t="str">
        <f>IF($A812&lt;&gt;"",MINIFS(Merchant!$A:$A,Merchant!$B:$B,$G$2),)</f>
        <v/>
      </c>
      <c r="D812" s="14" t="str">
        <f t="shared" si="3"/>
        <v/>
      </c>
      <c r="E812" s="14" t="str">
        <f t="shared" si="4"/>
        <v/>
      </c>
      <c r="F812" s="6" t="str">
        <f>IF($A812&lt;&gt;"",MAXIFS(#REF!,Token!$A:$A,$D812),)</f>
        <v/>
      </c>
    </row>
    <row r="813">
      <c r="A813" s="35" t="str">
        <f t="shared" si="1"/>
        <v/>
      </c>
      <c r="B813" s="22" t="str">
        <f t="shared" si="2"/>
        <v/>
      </c>
      <c r="C813" s="14" t="str">
        <f>IF($A813&lt;&gt;"",MINIFS(Merchant!$A:$A,Merchant!$B:$B,$G$2),)</f>
        <v/>
      </c>
      <c r="D813" s="14" t="str">
        <f t="shared" si="3"/>
        <v/>
      </c>
      <c r="E813" s="14" t="str">
        <f t="shared" si="4"/>
        <v/>
      </c>
      <c r="F813" s="6" t="str">
        <f>IF($A813&lt;&gt;"",MAXIFS(#REF!,Token!$A:$A,$D813),)</f>
        <v/>
      </c>
    </row>
    <row r="814">
      <c r="A814" s="35" t="str">
        <f t="shared" si="1"/>
        <v/>
      </c>
      <c r="B814" s="22" t="str">
        <f t="shared" si="2"/>
        <v/>
      </c>
      <c r="C814" s="14" t="str">
        <f>IF($A814&lt;&gt;"",MINIFS(Merchant!$A:$A,Merchant!$B:$B,$G$2),)</f>
        <v/>
      </c>
      <c r="D814" s="14" t="str">
        <f t="shared" si="3"/>
        <v/>
      </c>
      <c r="E814" s="14" t="str">
        <f t="shared" si="4"/>
        <v/>
      </c>
      <c r="F814" s="6" t="str">
        <f>IF($A814&lt;&gt;"",MAXIFS(#REF!,Token!$A:$A,$D814),)</f>
        <v/>
      </c>
    </row>
    <row r="815">
      <c r="A815" s="35" t="str">
        <f t="shared" si="1"/>
        <v/>
      </c>
      <c r="B815" s="22" t="str">
        <f t="shared" si="2"/>
        <v/>
      </c>
      <c r="C815" s="14" t="str">
        <f>IF($A815&lt;&gt;"",MINIFS(Merchant!$A:$A,Merchant!$B:$B,$G$2),)</f>
        <v/>
      </c>
      <c r="D815" s="14" t="str">
        <f t="shared" si="3"/>
        <v/>
      </c>
      <c r="E815" s="14" t="str">
        <f t="shared" si="4"/>
        <v/>
      </c>
      <c r="F815" s="6" t="str">
        <f>IF($A815&lt;&gt;"",MAXIFS(#REF!,Token!$A:$A,$D815),)</f>
        <v/>
      </c>
    </row>
    <row r="816">
      <c r="A816" s="35" t="str">
        <f t="shared" si="1"/>
        <v/>
      </c>
      <c r="B816" s="22" t="str">
        <f t="shared" si="2"/>
        <v/>
      </c>
      <c r="C816" s="14" t="str">
        <f>IF($A816&lt;&gt;"",MINIFS(Merchant!$A:$A,Merchant!$B:$B,$G$2),)</f>
        <v/>
      </c>
      <c r="D816" s="14" t="str">
        <f t="shared" si="3"/>
        <v/>
      </c>
      <c r="E816" s="14" t="str">
        <f t="shared" si="4"/>
        <v/>
      </c>
      <c r="F816" s="6" t="str">
        <f>IF($A816&lt;&gt;"",MAXIFS(#REF!,Token!$A:$A,$D816),)</f>
        <v/>
      </c>
    </row>
    <row r="817">
      <c r="A817" s="35" t="str">
        <f t="shared" si="1"/>
        <v/>
      </c>
      <c r="B817" s="22" t="str">
        <f t="shared" si="2"/>
        <v/>
      </c>
      <c r="C817" s="14" t="str">
        <f>IF($A817&lt;&gt;"",MINIFS(Merchant!$A:$A,Merchant!$B:$B,$G$2),)</f>
        <v/>
      </c>
      <c r="D817" s="14" t="str">
        <f t="shared" si="3"/>
        <v/>
      </c>
      <c r="E817" s="14" t="str">
        <f t="shared" si="4"/>
        <v/>
      </c>
      <c r="F817" s="6" t="str">
        <f>IF($A817&lt;&gt;"",MAXIFS(#REF!,Token!$A:$A,$D817),)</f>
        <v/>
      </c>
    </row>
    <row r="818">
      <c r="A818" s="35" t="str">
        <f t="shared" si="1"/>
        <v/>
      </c>
      <c r="B818" s="22" t="str">
        <f t="shared" si="2"/>
        <v/>
      </c>
      <c r="C818" s="14" t="str">
        <f>IF($A818&lt;&gt;"",MINIFS(Merchant!$A:$A,Merchant!$B:$B,$G$2),)</f>
        <v/>
      </c>
      <c r="D818" s="14" t="str">
        <f t="shared" si="3"/>
        <v/>
      </c>
      <c r="E818" s="14" t="str">
        <f t="shared" si="4"/>
        <v/>
      </c>
      <c r="F818" s="6" t="str">
        <f>IF($A818&lt;&gt;"",MAXIFS(#REF!,Token!$A:$A,$D818),)</f>
        <v/>
      </c>
    </row>
    <row r="819">
      <c r="A819" s="35" t="str">
        <f t="shared" si="1"/>
        <v/>
      </c>
      <c r="B819" s="22" t="str">
        <f t="shared" si="2"/>
        <v/>
      </c>
      <c r="C819" s="14" t="str">
        <f>IF($A819&lt;&gt;"",MINIFS(Merchant!$A:$A,Merchant!$B:$B,$G$2),)</f>
        <v/>
      </c>
      <c r="D819" s="14" t="str">
        <f t="shared" si="3"/>
        <v/>
      </c>
      <c r="E819" s="14" t="str">
        <f t="shared" si="4"/>
        <v/>
      </c>
      <c r="F819" s="6" t="str">
        <f>IF($A819&lt;&gt;"",MAXIFS(#REF!,Token!$A:$A,$D819),)</f>
        <v/>
      </c>
    </row>
    <row r="820">
      <c r="A820" s="35" t="str">
        <f t="shared" si="1"/>
        <v/>
      </c>
      <c r="B820" s="22" t="str">
        <f t="shared" si="2"/>
        <v/>
      </c>
      <c r="C820" s="14" t="str">
        <f>IF($A820&lt;&gt;"",MINIFS(Merchant!$A:$A,Merchant!$B:$B,$G$2),)</f>
        <v/>
      </c>
      <c r="D820" s="14" t="str">
        <f t="shared" si="3"/>
        <v/>
      </c>
      <c r="E820" s="14" t="str">
        <f t="shared" si="4"/>
        <v/>
      </c>
      <c r="F820" s="6" t="str">
        <f>IF($A820&lt;&gt;"",MAXIFS(#REF!,Token!$A:$A,$D820),)</f>
        <v/>
      </c>
    </row>
    <row r="821">
      <c r="A821" s="35" t="str">
        <f t="shared" si="1"/>
        <v/>
      </c>
      <c r="B821" s="22" t="str">
        <f t="shared" si="2"/>
        <v/>
      </c>
      <c r="C821" s="14" t="str">
        <f>IF($A821&lt;&gt;"",MINIFS(Merchant!$A:$A,Merchant!$B:$B,$G$2),)</f>
        <v/>
      </c>
      <c r="D821" s="14" t="str">
        <f t="shared" si="3"/>
        <v/>
      </c>
      <c r="E821" s="14" t="str">
        <f t="shared" si="4"/>
        <v/>
      </c>
      <c r="F821" s="6" t="str">
        <f>IF($A821&lt;&gt;"",MAXIFS(#REF!,Token!$A:$A,$D821),)</f>
        <v/>
      </c>
    </row>
    <row r="822">
      <c r="A822" s="35" t="str">
        <f t="shared" si="1"/>
        <v/>
      </c>
      <c r="B822" s="22" t="str">
        <f t="shared" si="2"/>
        <v/>
      </c>
      <c r="C822" s="14" t="str">
        <f>IF($A822&lt;&gt;"",MINIFS(Merchant!$A:$A,Merchant!$B:$B,$G$2),)</f>
        <v/>
      </c>
      <c r="D822" s="14" t="str">
        <f t="shared" si="3"/>
        <v/>
      </c>
      <c r="E822" s="14" t="str">
        <f t="shared" si="4"/>
        <v/>
      </c>
      <c r="F822" s="6" t="str">
        <f>IF($A822&lt;&gt;"",MAXIFS(#REF!,Token!$A:$A,$D822),)</f>
        <v/>
      </c>
    </row>
    <row r="823">
      <c r="A823" s="35" t="str">
        <f t="shared" si="1"/>
        <v/>
      </c>
      <c r="B823" s="22" t="str">
        <f t="shared" si="2"/>
        <v/>
      </c>
      <c r="C823" s="14" t="str">
        <f>IF($A823&lt;&gt;"",MINIFS(Merchant!$A:$A,Merchant!$B:$B,$G$2),)</f>
        <v/>
      </c>
      <c r="D823" s="14" t="str">
        <f t="shared" si="3"/>
        <v/>
      </c>
      <c r="E823" s="14" t="str">
        <f t="shared" si="4"/>
        <v/>
      </c>
      <c r="F823" s="6" t="str">
        <f>IF($A823&lt;&gt;"",MAXIFS(#REF!,Token!$A:$A,$D823),)</f>
        <v/>
      </c>
    </row>
    <row r="824">
      <c r="A824" s="35" t="str">
        <f t="shared" si="1"/>
        <v/>
      </c>
      <c r="B824" s="22" t="str">
        <f t="shared" si="2"/>
        <v/>
      </c>
      <c r="C824" s="14" t="str">
        <f>IF($A824&lt;&gt;"",MINIFS(Merchant!$A:$A,Merchant!$B:$B,$G$2),)</f>
        <v/>
      </c>
      <c r="D824" s="14" t="str">
        <f t="shared" si="3"/>
        <v/>
      </c>
      <c r="E824" s="14" t="str">
        <f t="shared" si="4"/>
        <v/>
      </c>
      <c r="F824" s="6" t="str">
        <f>IF($A824&lt;&gt;"",MAXIFS(#REF!,Token!$A:$A,$D824),)</f>
        <v/>
      </c>
    </row>
    <row r="825">
      <c r="A825" s="35" t="str">
        <f t="shared" si="1"/>
        <v/>
      </c>
      <c r="B825" s="22" t="str">
        <f t="shared" si="2"/>
        <v/>
      </c>
      <c r="C825" s="14" t="str">
        <f>IF($A825&lt;&gt;"",MINIFS(Merchant!$A:$A,Merchant!$B:$B,$G$2),)</f>
        <v/>
      </c>
      <c r="D825" s="14" t="str">
        <f t="shared" si="3"/>
        <v/>
      </c>
      <c r="E825" s="14" t="str">
        <f t="shared" si="4"/>
        <v/>
      </c>
      <c r="F825" s="6" t="str">
        <f>IF($A825&lt;&gt;"",MAXIFS(#REF!,Token!$A:$A,$D825),)</f>
        <v/>
      </c>
    </row>
    <row r="826">
      <c r="A826" s="35" t="str">
        <f t="shared" si="1"/>
        <v/>
      </c>
      <c r="B826" s="22" t="str">
        <f t="shared" si="2"/>
        <v/>
      </c>
      <c r="C826" s="14" t="str">
        <f>IF($A826&lt;&gt;"",MINIFS(Merchant!$A:$A,Merchant!$B:$B,$G$2),)</f>
        <v/>
      </c>
      <c r="D826" s="14" t="str">
        <f t="shared" si="3"/>
        <v/>
      </c>
      <c r="E826" s="14" t="str">
        <f t="shared" si="4"/>
        <v/>
      </c>
      <c r="F826" s="6" t="str">
        <f>IF($A826&lt;&gt;"",MAXIFS(#REF!,Token!$A:$A,$D826),)</f>
        <v/>
      </c>
    </row>
    <row r="827">
      <c r="A827" s="35" t="str">
        <f t="shared" si="1"/>
        <v/>
      </c>
      <c r="B827" s="22" t="str">
        <f t="shared" si="2"/>
        <v/>
      </c>
      <c r="C827" s="14" t="str">
        <f>IF($A827&lt;&gt;"",MINIFS(Merchant!$A:$A,Merchant!$B:$B,$G$2),)</f>
        <v/>
      </c>
      <c r="D827" s="14" t="str">
        <f t="shared" si="3"/>
        <v/>
      </c>
      <c r="E827" s="14" t="str">
        <f t="shared" si="4"/>
        <v/>
      </c>
      <c r="F827" s="6" t="str">
        <f>IF($A827&lt;&gt;"",MAXIFS(#REF!,Token!$A:$A,$D827),)</f>
        <v/>
      </c>
    </row>
    <row r="828">
      <c r="A828" s="35" t="str">
        <f t="shared" si="1"/>
        <v/>
      </c>
      <c r="B828" s="22" t="str">
        <f t="shared" si="2"/>
        <v/>
      </c>
      <c r="C828" s="14" t="str">
        <f>IF($A828&lt;&gt;"",MINIFS(Merchant!$A:$A,Merchant!$B:$B,$G$2),)</f>
        <v/>
      </c>
      <c r="D828" s="14" t="str">
        <f t="shared" si="3"/>
        <v/>
      </c>
      <c r="E828" s="14" t="str">
        <f t="shared" si="4"/>
        <v/>
      </c>
      <c r="F828" s="6" t="str">
        <f>IF($A828&lt;&gt;"",MAXIFS(#REF!,Token!$A:$A,$D828),)</f>
        <v/>
      </c>
    </row>
    <row r="829">
      <c r="A829" s="35" t="str">
        <f t="shared" si="1"/>
        <v/>
      </c>
      <c r="B829" s="22" t="str">
        <f t="shared" si="2"/>
        <v/>
      </c>
      <c r="C829" s="14" t="str">
        <f>IF($A829&lt;&gt;"",MINIFS(Merchant!$A:$A,Merchant!$B:$B,$G$2),)</f>
        <v/>
      </c>
      <c r="D829" s="14" t="str">
        <f t="shared" si="3"/>
        <v/>
      </c>
      <c r="E829" s="14" t="str">
        <f t="shared" si="4"/>
        <v/>
      </c>
      <c r="F829" s="6" t="str">
        <f>IF($A829&lt;&gt;"",MAXIFS(#REF!,Token!$A:$A,$D829),)</f>
        <v/>
      </c>
    </row>
    <row r="830">
      <c r="A830" s="35" t="str">
        <f t="shared" si="1"/>
        <v/>
      </c>
      <c r="B830" s="22" t="str">
        <f t="shared" si="2"/>
        <v/>
      </c>
      <c r="C830" s="14" t="str">
        <f>IF($A830&lt;&gt;"",MINIFS(Merchant!$A:$A,Merchant!$B:$B,$G$2),)</f>
        <v/>
      </c>
      <c r="D830" s="14" t="str">
        <f t="shared" si="3"/>
        <v/>
      </c>
      <c r="E830" s="14" t="str">
        <f t="shared" si="4"/>
        <v/>
      </c>
      <c r="F830" s="6" t="str">
        <f>IF($A830&lt;&gt;"",MAXIFS(#REF!,Token!$A:$A,$D830),)</f>
        <v/>
      </c>
    </row>
    <row r="831">
      <c r="A831" s="35" t="str">
        <f t="shared" si="1"/>
        <v/>
      </c>
      <c r="B831" s="22" t="str">
        <f t="shared" si="2"/>
        <v/>
      </c>
      <c r="C831" s="14" t="str">
        <f>IF($A831&lt;&gt;"",MINIFS(Merchant!$A:$A,Merchant!$B:$B,$G$2),)</f>
        <v/>
      </c>
      <c r="D831" s="14" t="str">
        <f t="shared" si="3"/>
        <v/>
      </c>
      <c r="E831" s="14" t="str">
        <f t="shared" si="4"/>
        <v/>
      </c>
      <c r="F831" s="6" t="str">
        <f>IF($A831&lt;&gt;"",MAXIFS(#REF!,Token!$A:$A,$D831),)</f>
        <v/>
      </c>
    </row>
    <row r="832">
      <c r="A832" s="35" t="str">
        <f t="shared" si="1"/>
        <v/>
      </c>
      <c r="B832" s="22" t="str">
        <f t="shared" si="2"/>
        <v/>
      </c>
      <c r="C832" s="14" t="str">
        <f>IF($A832&lt;&gt;"",MINIFS(Merchant!$A:$A,Merchant!$B:$B,$G$2),)</f>
        <v/>
      </c>
      <c r="D832" s="14" t="str">
        <f t="shared" si="3"/>
        <v/>
      </c>
      <c r="E832" s="14" t="str">
        <f t="shared" si="4"/>
        <v/>
      </c>
      <c r="F832" s="6" t="str">
        <f>IF($A832&lt;&gt;"",MAXIFS(#REF!,Token!$A:$A,$D832),)</f>
        <v/>
      </c>
    </row>
    <row r="833">
      <c r="A833" s="35" t="str">
        <f t="shared" si="1"/>
        <v/>
      </c>
      <c r="B833" s="22" t="str">
        <f t="shared" si="2"/>
        <v/>
      </c>
      <c r="C833" s="14" t="str">
        <f>IF($A833&lt;&gt;"",MINIFS(Merchant!$A:$A,Merchant!$B:$B,$G$2),)</f>
        <v/>
      </c>
      <c r="D833" s="14" t="str">
        <f t="shared" si="3"/>
        <v/>
      </c>
      <c r="E833" s="14" t="str">
        <f t="shared" si="4"/>
        <v/>
      </c>
      <c r="F833" s="6" t="str">
        <f>IF($A833&lt;&gt;"",MAXIFS(#REF!,Token!$A:$A,$D833),)</f>
        <v/>
      </c>
    </row>
    <row r="834">
      <c r="A834" s="35" t="str">
        <f t="shared" si="1"/>
        <v/>
      </c>
      <c r="B834" s="22" t="str">
        <f t="shared" si="2"/>
        <v/>
      </c>
      <c r="C834" s="14" t="str">
        <f>IF($A834&lt;&gt;"",MINIFS(Merchant!$A:$A,Merchant!$B:$B,$G$2),)</f>
        <v/>
      </c>
      <c r="D834" s="14" t="str">
        <f t="shared" si="3"/>
        <v/>
      </c>
      <c r="E834" s="14" t="str">
        <f t="shared" si="4"/>
        <v/>
      </c>
      <c r="F834" s="6" t="str">
        <f>IF($A834&lt;&gt;"",MAXIFS(#REF!,Token!$A:$A,$D834),)</f>
        <v/>
      </c>
    </row>
    <row r="835">
      <c r="A835" s="35" t="str">
        <f t="shared" si="1"/>
        <v/>
      </c>
      <c r="B835" s="22" t="str">
        <f t="shared" si="2"/>
        <v/>
      </c>
      <c r="C835" s="14" t="str">
        <f>IF($A835&lt;&gt;"",MINIFS(Merchant!$A:$A,Merchant!$B:$B,$G$2),)</f>
        <v/>
      </c>
      <c r="D835" s="14" t="str">
        <f t="shared" si="3"/>
        <v/>
      </c>
      <c r="E835" s="14" t="str">
        <f t="shared" si="4"/>
        <v/>
      </c>
      <c r="F835" s="6" t="str">
        <f>IF($A835&lt;&gt;"",MAXIFS(#REF!,Token!$A:$A,$D835),)</f>
        <v/>
      </c>
    </row>
    <row r="836">
      <c r="A836" s="35" t="str">
        <f t="shared" si="1"/>
        <v/>
      </c>
      <c r="B836" s="22" t="str">
        <f t="shared" si="2"/>
        <v/>
      </c>
      <c r="C836" s="14" t="str">
        <f>IF($A836&lt;&gt;"",MINIFS(Merchant!$A:$A,Merchant!$B:$B,$G$2),)</f>
        <v/>
      </c>
      <c r="D836" s="14" t="str">
        <f t="shared" si="3"/>
        <v/>
      </c>
      <c r="E836" s="14" t="str">
        <f t="shared" si="4"/>
        <v/>
      </c>
      <c r="F836" s="6" t="str">
        <f>IF($A836&lt;&gt;"",MAXIFS(#REF!,Token!$A:$A,$D836),)</f>
        <v/>
      </c>
    </row>
    <row r="837">
      <c r="A837" s="35" t="str">
        <f t="shared" si="1"/>
        <v/>
      </c>
      <c r="B837" s="22" t="str">
        <f t="shared" si="2"/>
        <v/>
      </c>
      <c r="C837" s="14" t="str">
        <f>IF($A837&lt;&gt;"",MINIFS(Merchant!$A:$A,Merchant!$B:$B,$G$2),)</f>
        <v/>
      </c>
      <c r="D837" s="14" t="str">
        <f t="shared" si="3"/>
        <v/>
      </c>
      <c r="E837" s="14" t="str">
        <f t="shared" si="4"/>
        <v/>
      </c>
      <c r="F837" s="6" t="str">
        <f>IF($A837&lt;&gt;"",MAXIFS(#REF!,Token!$A:$A,$D837),)</f>
        <v/>
      </c>
    </row>
    <row r="838">
      <c r="A838" s="35" t="str">
        <f t="shared" si="1"/>
        <v/>
      </c>
      <c r="B838" s="22" t="str">
        <f t="shared" si="2"/>
        <v/>
      </c>
      <c r="C838" s="14" t="str">
        <f>IF($A838&lt;&gt;"",MINIFS(Merchant!$A:$A,Merchant!$B:$B,$G$2),)</f>
        <v/>
      </c>
      <c r="D838" s="14" t="str">
        <f t="shared" si="3"/>
        <v/>
      </c>
      <c r="E838" s="14" t="str">
        <f t="shared" si="4"/>
        <v/>
      </c>
      <c r="F838" s="6" t="str">
        <f>IF($A838&lt;&gt;"",MAXIFS(#REF!,Token!$A:$A,$D838),)</f>
        <v/>
      </c>
    </row>
    <row r="839">
      <c r="A839" s="35" t="str">
        <f t="shared" si="1"/>
        <v/>
      </c>
      <c r="B839" s="22" t="str">
        <f t="shared" si="2"/>
        <v/>
      </c>
      <c r="C839" s="14" t="str">
        <f>IF($A839&lt;&gt;"",MINIFS(Merchant!$A:$A,Merchant!$B:$B,$G$2),)</f>
        <v/>
      </c>
      <c r="D839" s="14" t="str">
        <f t="shared" si="3"/>
        <v/>
      </c>
      <c r="E839" s="14" t="str">
        <f t="shared" si="4"/>
        <v/>
      </c>
      <c r="F839" s="6" t="str">
        <f>IF($A839&lt;&gt;"",MAXIFS(#REF!,Token!$A:$A,$D839),)</f>
        <v/>
      </c>
    </row>
    <row r="840">
      <c r="A840" s="35" t="str">
        <f t="shared" si="1"/>
        <v/>
      </c>
      <c r="B840" s="22" t="str">
        <f t="shared" si="2"/>
        <v/>
      </c>
      <c r="C840" s="14" t="str">
        <f>IF($A840&lt;&gt;"",MINIFS(Merchant!$A:$A,Merchant!$B:$B,$G$2),)</f>
        <v/>
      </c>
      <c r="D840" s="14" t="str">
        <f t="shared" si="3"/>
        <v/>
      </c>
      <c r="E840" s="14" t="str">
        <f t="shared" si="4"/>
        <v/>
      </c>
      <c r="F840" s="6" t="str">
        <f>IF($A840&lt;&gt;"",MAXIFS(#REF!,Token!$A:$A,$D840),)</f>
        <v/>
      </c>
    </row>
    <row r="841">
      <c r="A841" s="35" t="str">
        <f t="shared" si="1"/>
        <v/>
      </c>
      <c r="B841" s="22" t="str">
        <f t="shared" si="2"/>
        <v/>
      </c>
      <c r="C841" s="14" t="str">
        <f>IF($A841&lt;&gt;"",MINIFS(Merchant!$A:$A,Merchant!$B:$B,$G$2),)</f>
        <v/>
      </c>
      <c r="D841" s="14" t="str">
        <f t="shared" si="3"/>
        <v/>
      </c>
      <c r="E841" s="14" t="str">
        <f t="shared" si="4"/>
        <v/>
      </c>
      <c r="F841" s="6" t="str">
        <f>IF($A841&lt;&gt;"",MAXIFS(#REF!,Token!$A:$A,$D841),)</f>
        <v/>
      </c>
    </row>
    <row r="842">
      <c r="A842" s="35" t="str">
        <f t="shared" si="1"/>
        <v/>
      </c>
      <c r="B842" s="22" t="str">
        <f t="shared" si="2"/>
        <v/>
      </c>
      <c r="C842" s="14" t="str">
        <f>IF($A842&lt;&gt;"",MINIFS(Merchant!$A:$A,Merchant!$B:$B,$G$2),)</f>
        <v/>
      </c>
      <c r="D842" s="14" t="str">
        <f t="shared" si="3"/>
        <v/>
      </c>
      <c r="E842" s="14" t="str">
        <f t="shared" si="4"/>
        <v/>
      </c>
      <c r="F842" s="6" t="str">
        <f>IF($A842&lt;&gt;"",MAXIFS(#REF!,Token!$A:$A,$D842),)</f>
        <v/>
      </c>
    </row>
    <row r="843">
      <c r="A843" s="35" t="str">
        <f t="shared" si="1"/>
        <v/>
      </c>
      <c r="B843" s="22" t="str">
        <f t="shared" si="2"/>
        <v/>
      </c>
      <c r="C843" s="14" t="str">
        <f>IF($A843&lt;&gt;"",MINIFS(Merchant!$A:$A,Merchant!$B:$B,$G$2),)</f>
        <v/>
      </c>
      <c r="D843" s="14" t="str">
        <f t="shared" si="3"/>
        <v/>
      </c>
      <c r="E843" s="14" t="str">
        <f t="shared" si="4"/>
        <v/>
      </c>
      <c r="F843" s="6" t="str">
        <f>IF($A843&lt;&gt;"",MAXIFS(#REF!,Token!$A:$A,$D843),)</f>
        <v/>
      </c>
    </row>
    <row r="844">
      <c r="A844" s="35" t="str">
        <f t="shared" si="1"/>
        <v/>
      </c>
      <c r="B844" s="22" t="str">
        <f t="shared" si="2"/>
        <v/>
      </c>
      <c r="C844" s="14" t="str">
        <f>IF($A844&lt;&gt;"",MINIFS(Merchant!$A:$A,Merchant!$B:$B,$G$2),)</f>
        <v/>
      </c>
      <c r="D844" s="14" t="str">
        <f t="shared" si="3"/>
        <v/>
      </c>
      <c r="E844" s="14" t="str">
        <f t="shared" si="4"/>
        <v/>
      </c>
      <c r="F844" s="6" t="str">
        <f>IF($A844&lt;&gt;"",MAXIFS(#REF!,Token!$A:$A,$D844),)</f>
        <v/>
      </c>
    </row>
    <row r="845">
      <c r="A845" s="35" t="str">
        <f t="shared" si="1"/>
        <v/>
      </c>
      <c r="B845" s="22" t="str">
        <f t="shared" si="2"/>
        <v/>
      </c>
      <c r="C845" s="14" t="str">
        <f>IF($A845&lt;&gt;"",MINIFS(Merchant!$A:$A,Merchant!$B:$B,$G$2),)</f>
        <v/>
      </c>
      <c r="D845" s="14" t="str">
        <f t="shared" si="3"/>
        <v/>
      </c>
      <c r="E845" s="14" t="str">
        <f t="shared" si="4"/>
        <v/>
      </c>
      <c r="F845" s="6" t="str">
        <f>IF($A845&lt;&gt;"",MAXIFS(#REF!,Token!$A:$A,$D845),)</f>
        <v/>
      </c>
    </row>
    <row r="846">
      <c r="A846" s="35" t="str">
        <f t="shared" si="1"/>
        <v/>
      </c>
      <c r="B846" s="22" t="str">
        <f t="shared" si="2"/>
        <v/>
      </c>
      <c r="C846" s="14" t="str">
        <f>IF($A846&lt;&gt;"",MINIFS(Merchant!$A:$A,Merchant!$B:$B,$G$2),)</f>
        <v/>
      </c>
      <c r="D846" s="14" t="str">
        <f t="shared" si="3"/>
        <v/>
      </c>
      <c r="E846" s="14" t="str">
        <f t="shared" si="4"/>
        <v/>
      </c>
      <c r="F846" s="6" t="str">
        <f>IF($A846&lt;&gt;"",MAXIFS(#REF!,Token!$A:$A,$D846),)</f>
        <v/>
      </c>
    </row>
    <row r="847">
      <c r="A847" s="35" t="str">
        <f t="shared" si="1"/>
        <v/>
      </c>
      <c r="B847" s="22" t="str">
        <f t="shared" si="2"/>
        <v/>
      </c>
      <c r="C847" s="14" t="str">
        <f>IF($A847&lt;&gt;"",MINIFS(Merchant!$A:$A,Merchant!$B:$B,$G$2),)</f>
        <v/>
      </c>
      <c r="D847" s="14" t="str">
        <f t="shared" si="3"/>
        <v/>
      </c>
      <c r="E847" s="14" t="str">
        <f t="shared" si="4"/>
        <v/>
      </c>
      <c r="F847" s="6" t="str">
        <f>IF($A847&lt;&gt;"",MAXIFS(#REF!,Token!$A:$A,$D847),)</f>
        <v/>
      </c>
    </row>
    <row r="848">
      <c r="A848" s="35" t="str">
        <f t="shared" si="1"/>
        <v/>
      </c>
      <c r="B848" s="22" t="str">
        <f t="shared" si="2"/>
        <v/>
      </c>
      <c r="C848" s="14" t="str">
        <f>IF($A848&lt;&gt;"",MINIFS(Merchant!$A:$A,Merchant!$B:$B,$G$2),)</f>
        <v/>
      </c>
      <c r="D848" s="14" t="str">
        <f t="shared" si="3"/>
        <v/>
      </c>
      <c r="E848" s="14" t="str">
        <f t="shared" si="4"/>
        <v/>
      </c>
      <c r="F848" s="6" t="str">
        <f>IF($A848&lt;&gt;"",MAXIFS(#REF!,Token!$A:$A,$D848),)</f>
        <v/>
      </c>
    </row>
    <row r="849">
      <c r="A849" s="35" t="str">
        <f t="shared" si="1"/>
        <v/>
      </c>
      <c r="B849" s="22" t="str">
        <f t="shared" si="2"/>
        <v/>
      </c>
      <c r="C849" s="14" t="str">
        <f>IF($A849&lt;&gt;"",MINIFS(Merchant!$A:$A,Merchant!$B:$B,$G$2),)</f>
        <v/>
      </c>
      <c r="D849" s="14" t="str">
        <f t="shared" si="3"/>
        <v/>
      </c>
      <c r="E849" s="14" t="str">
        <f t="shared" si="4"/>
        <v/>
      </c>
      <c r="F849" s="6" t="str">
        <f>IF($A849&lt;&gt;"",MAXIFS(#REF!,Token!$A:$A,$D849),)</f>
        <v/>
      </c>
    </row>
    <row r="850">
      <c r="A850" s="35" t="str">
        <f t="shared" si="1"/>
        <v/>
      </c>
      <c r="B850" s="22" t="str">
        <f t="shared" si="2"/>
        <v/>
      </c>
      <c r="C850" s="14" t="str">
        <f>IF($A850&lt;&gt;"",MINIFS(Merchant!$A:$A,Merchant!$B:$B,$G$2),)</f>
        <v/>
      </c>
      <c r="D850" s="14" t="str">
        <f t="shared" si="3"/>
        <v/>
      </c>
      <c r="E850" s="14" t="str">
        <f t="shared" si="4"/>
        <v/>
      </c>
      <c r="F850" s="6" t="str">
        <f>IF($A850&lt;&gt;"",MAXIFS(#REF!,Token!$A:$A,$D850),)</f>
        <v/>
      </c>
    </row>
    <row r="851">
      <c r="A851" s="35" t="str">
        <f t="shared" si="1"/>
        <v/>
      </c>
      <c r="B851" s="22" t="str">
        <f t="shared" si="2"/>
        <v/>
      </c>
      <c r="C851" s="14" t="str">
        <f>IF($A851&lt;&gt;"",MINIFS(Merchant!$A:$A,Merchant!$B:$B,$G$2),)</f>
        <v/>
      </c>
      <c r="D851" s="14" t="str">
        <f t="shared" si="3"/>
        <v/>
      </c>
      <c r="E851" s="14" t="str">
        <f t="shared" si="4"/>
        <v/>
      </c>
      <c r="F851" s="6" t="str">
        <f>IF($A851&lt;&gt;"",MAXIFS(#REF!,Token!$A:$A,$D851),)</f>
        <v/>
      </c>
    </row>
    <row r="852">
      <c r="A852" s="35" t="str">
        <f t="shared" si="1"/>
        <v/>
      </c>
      <c r="B852" s="22" t="str">
        <f t="shared" si="2"/>
        <v/>
      </c>
      <c r="C852" s="14" t="str">
        <f>IF($A852&lt;&gt;"",MINIFS(Merchant!$A:$A,Merchant!$B:$B,$G$2),)</f>
        <v/>
      </c>
      <c r="D852" s="14" t="str">
        <f t="shared" si="3"/>
        <v/>
      </c>
      <c r="E852" s="14" t="str">
        <f t="shared" si="4"/>
        <v/>
      </c>
      <c r="F852" s="6" t="str">
        <f>IF($A852&lt;&gt;"",MAXIFS(#REF!,Token!$A:$A,$D852),)</f>
        <v/>
      </c>
    </row>
    <row r="853">
      <c r="A853" s="35" t="str">
        <f t="shared" si="1"/>
        <v/>
      </c>
      <c r="B853" s="22" t="str">
        <f t="shared" si="2"/>
        <v/>
      </c>
      <c r="C853" s="14" t="str">
        <f>IF($A853&lt;&gt;"",MINIFS(Merchant!$A:$A,Merchant!$B:$B,$G$2),)</f>
        <v/>
      </c>
      <c r="D853" s="14" t="str">
        <f t="shared" si="3"/>
        <v/>
      </c>
      <c r="E853" s="14" t="str">
        <f t="shared" si="4"/>
        <v/>
      </c>
      <c r="F853" s="6" t="str">
        <f>IF($A853&lt;&gt;"",MAXIFS(#REF!,Token!$A:$A,$D853),)</f>
        <v/>
      </c>
    </row>
    <row r="854">
      <c r="A854" s="35" t="str">
        <f t="shared" si="1"/>
        <v/>
      </c>
      <c r="B854" s="22" t="str">
        <f t="shared" si="2"/>
        <v/>
      </c>
      <c r="C854" s="14" t="str">
        <f>IF($A854&lt;&gt;"",MINIFS(Merchant!$A:$A,Merchant!$B:$B,$G$2),)</f>
        <v/>
      </c>
      <c r="D854" s="14" t="str">
        <f t="shared" si="3"/>
        <v/>
      </c>
      <c r="E854" s="14" t="str">
        <f t="shared" si="4"/>
        <v/>
      </c>
      <c r="F854" s="6" t="str">
        <f>IF($A854&lt;&gt;"",MAXIFS(#REF!,Token!$A:$A,$D854),)</f>
        <v/>
      </c>
    </row>
    <row r="855">
      <c r="A855" s="35" t="str">
        <f t="shared" si="1"/>
        <v/>
      </c>
      <c r="B855" s="22" t="str">
        <f t="shared" si="2"/>
        <v/>
      </c>
      <c r="C855" s="14" t="str">
        <f>IF($A855&lt;&gt;"",MINIFS(Merchant!$A:$A,Merchant!$B:$B,$G$2),)</f>
        <v/>
      </c>
      <c r="D855" s="14" t="str">
        <f t="shared" si="3"/>
        <v/>
      </c>
      <c r="E855" s="14" t="str">
        <f t="shared" si="4"/>
        <v/>
      </c>
      <c r="F855" s="6" t="str">
        <f>IF($A855&lt;&gt;"",MAXIFS(#REF!,Token!$A:$A,$D855),)</f>
        <v/>
      </c>
    </row>
    <row r="856">
      <c r="A856" s="35" t="str">
        <f t="shared" si="1"/>
        <v/>
      </c>
      <c r="B856" s="22" t="str">
        <f t="shared" si="2"/>
        <v/>
      </c>
      <c r="C856" s="14" t="str">
        <f>IF($A856&lt;&gt;"",MINIFS(Merchant!$A:$A,Merchant!$B:$B,$G$2),)</f>
        <v/>
      </c>
      <c r="D856" s="14" t="str">
        <f t="shared" si="3"/>
        <v/>
      </c>
      <c r="E856" s="14" t="str">
        <f t="shared" si="4"/>
        <v/>
      </c>
      <c r="F856" s="6" t="str">
        <f>IF($A856&lt;&gt;"",MAXIFS(#REF!,Token!$A:$A,$D856),)</f>
        <v/>
      </c>
    </row>
    <row r="857">
      <c r="A857" s="35" t="str">
        <f t="shared" si="1"/>
        <v/>
      </c>
      <c r="B857" s="22" t="str">
        <f t="shared" si="2"/>
        <v/>
      </c>
      <c r="C857" s="14" t="str">
        <f>IF($A857&lt;&gt;"",MINIFS(Merchant!$A:$A,Merchant!$B:$B,$G$2),)</f>
        <v/>
      </c>
      <c r="D857" s="14" t="str">
        <f t="shared" si="3"/>
        <v/>
      </c>
      <c r="E857" s="14" t="str">
        <f t="shared" si="4"/>
        <v/>
      </c>
      <c r="F857" s="6" t="str">
        <f>IF($A857&lt;&gt;"",MAXIFS(#REF!,Token!$A:$A,$D857),)</f>
        <v/>
      </c>
    </row>
    <row r="858">
      <c r="A858" s="35" t="str">
        <f t="shared" si="1"/>
        <v/>
      </c>
      <c r="B858" s="22" t="str">
        <f t="shared" si="2"/>
        <v/>
      </c>
      <c r="C858" s="14" t="str">
        <f>IF($A858&lt;&gt;"",MINIFS(Merchant!$A:$A,Merchant!$B:$B,$G$2),)</f>
        <v/>
      </c>
      <c r="D858" s="14" t="str">
        <f t="shared" si="3"/>
        <v/>
      </c>
      <c r="E858" s="14" t="str">
        <f t="shared" si="4"/>
        <v/>
      </c>
      <c r="F858" s="6" t="str">
        <f>IF($A858&lt;&gt;"",MAXIFS(#REF!,Token!$A:$A,$D858),)</f>
        <v/>
      </c>
    </row>
    <row r="859">
      <c r="A859" s="35" t="str">
        <f t="shared" si="1"/>
        <v/>
      </c>
      <c r="B859" s="22" t="str">
        <f t="shared" si="2"/>
        <v/>
      </c>
      <c r="C859" s="14" t="str">
        <f>IF($A859&lt;&gt;"",MINIFS(Merchant!$A:$A,Merchant!$B:$B,$G$2),)</f>
        <v/>
      </c>
      <c r="D859" s="14" t="str">
        <f t="shared" si="3"/>
        <v/>
      </c>
      <c r="E859" s="14" t="str">
        <f t="shared" si="4"/>
        <v/>
      </c>
      <c r="F859" s="6" t="str">
        <f>IF($A859&lt;&gt;"",MAXIFS(#REF!,Token!$A:$A,$D859),)</f>
        <v/>
      </c>
    </row>
    <row r="860">
      <c r="A860" s="35" t="str">
        <f t="shared" si="1"/>
        <v/>
      </c>
      <c r="B860" s="22" t="str">
        <f t="shared" si="2"/>
        <v/>
      </c>
      <c r="C860" s="14" t="str">
        <f>IF($A860&lt;&gt;"",MINIFS(Merchant!$A:$A,Merchant!$B:$B,$G$2),)</f>
        <v/>
      </c>
      <c r="D860" s="14" t="str">
        <f t="shared" si="3"/>
        <v/>
      </c>
      <c r="E860" s="14" t="str">
        <f t="shared" si="4"/>
        <v/>
      </c>
      <c r="F860" s="6" t="str">
        <f>IF($A860&lt;&gt;"",MAXIFS(#REF!,Token!$A:$A,$D860),)</f>
        <v/>
      </c>
    </row>
    <row r="861">
      <c r="A861" s="35" t="str">
        <f t="shared" si="1"/>
        <v/>
      </c>
      <c r="B861" s="22" t="str">
        <f t="shared" si="2"/>
        <v/>
      </c>
      <c r="C861" s="14" t="str">
        <f>IF($A861&lt;&gt;"",MINIFS(Merchant!$A:$A,Merchant!$B:$B,$G$2),)</f>
        <v/>
      </c>
      <c r="D861" s="14" t="str">
        <f t="shared" si="3"/>
        <v/>
      </c>
      <c r="E861" s="14" t="str">
        <f t="shared" si="4"/>
        <v/>
      </c>
      <c r="F861" s="6" t="str">
        <f>IF($A861&lt;&gt;"",MAXIFS(#REF!,Token!$A:$A,$D861),)</f>
        <v/>
      </c>
    </row>
    <row r="862">
      <c r="A862" s="35" t="str">
        <f t="shared" si="1"/>
        <v/>
      </c>
      <c r="B862" s="22" t="str">
        <f t="shared" si="2"/>
        <v/>
      </c>
      <c r="C862" s="14" t="str">
        <f>IF($A862&lt;&gt;"",MINIFS(Merchant!$A:$A,Merchant!$B:$B,$G$2),)</f>
        <v/>
      </c>
      <c r="D862" s="14" t="str">
        <f t="shared" si="3"/>
        <v/>
      </c>
      <c r="E862" s="14" t="str">
        <f t="shared" si="4"/>
        <v/>
      </c>
      <c r="F862" s="6" t="str">
        <f>IF($A862&lt;&gt;"",MAXIFS(#REF!,Token!$A:$A,$D862),)</f>
        <v/>
      </c>
    </row>
    <row r="863">
      <c r="A863" s="35" t="str">
        <f t="shared" si="1"/>
        <v/>
      </c>
      <c r="B863" s="22" t="str">
        <f t="shared" si="2"/>
        <v/>
      </c>
      <c r="C863" s="14" t="str">
        <f>IF($A863&lt;&gt;"",MINIFS(Merchant!$A:$A,Merchant!$B:$B,$G$2),)</f>
        <v/>
      </c>
      <c r="D863" s="14" t="str">
        <f t="shared" si="3"/>
        <v/>
      </c>
      <c r="E863" s="14" t="str">
        <f t="shared" si="4"/>
        <v/>
      </c>
      <c r="F863" s="6" t="str">
        <f>IF($A863&lt;&gt;"",MAXIFS(#REF!,Token!$A:$A,$D863),)</f>
        <v/>
      </c>
    </row>
    <row r="864">
      <c r="A864" s="35" t="str">
        <f t="shared" si="1"/>
        <v/>
      </c>
      <c r="B864" s="22" t="str">
        <f t="shared" si="2"/>
        <v/>
      </c>
      <c r="C864" s="14" t="str">
        <f>IF($A864&lt;&gt;"",MINIFS(Merchant!$A:$A,Merchant!$B:$B,$G$2),)</f>
        <v/>
      </c>
      <c r="D864" s="14" t="str">
        <f t="shared" si="3"/>
        <v/>
      </c>
      <c r="E864" s="14" t="str">
        <f t="shared" si="4"/>
        <v/>
      </c>
      <c r="F864" s="6" t="str">
        <f>IF($A864&lt;&gt;"",MAXIFS(#REF!,Token!$A:$A,$D864),)</f>
        <v/>
      </c>
    </row>
    <row r="865">
      <c r="A865" s="35" t="str">
        <f t="shared" si="1"/>
        <v/>
      </c>
      <c r="B865" s="22" t="str">
        <f t="shared" si="2"/>
        <v/>
      </c>
      <c r="C865" s="14" t="str">
        <f>IF($A865&lt;&gt;"",MINIFS(Merchant!$A:$A,Merchant!$B:$B,$G$2),)</f>
        <v/>
      </c>
      <c r="D865" s="14" t="str">
        <f t="shared" si="3"/>
        <v/>
      </c>
      <c r="E865" s="14" t="str">
        <f t="shared" si="4"/>
        <v/>
      </c>
      <c r="F865" s="6" t="str">
        <f>IF($A865&lt;&gt;"",MAXIFS(#REF!,Token!$A:$A,$D865),)</f>
        <v/>
      </c>
    </row>
    <row r="866">
      <c r="A866" s="35" t="str">
        <f t="shared" si="1"/>
        <v/>
      </c>
      <c r="B866" s="22" t="str">
        <f t="shared" si="2"/>
        <v/>
      </c>
      <c r="C866" s="14" t="str">
        <f>IF($A866&lt;&gt;"",MINIFS(Merchant!$A:$A,Merchant!$B:$B,$G$2),)</f>
        <v/>
      </c>
      <c r="D866" s="14" t="str">
        <f t="shared" si="3"/>
        <v/>
      </c>
      <c r="E866" s="14" t="str">
        <f t="shared" si="4"/>
        <v/>
      </c>
      <c r="F866" s="6" t="str">
        <f>IF($A866&lt;&gt;"",MAXIFS(#REF!,Token!$A:$A,$D866),)</f>
        <v/>
      </c>
    </row>
    <row r="867">
      <c r="A867" s="35" t="str">
        <f t="shared" si="1"/>
        <v/>
      </c>
      <c r="B867" s="22" t="str">
        <f t="shared" si="2"/>
        <v/>
      </c>
      <c r="C867" s="14" t="str">
        <f>IF($A867&lt;&gt;"",MINIFS(Merchant!$A:$A,Merchant!$B:$B,$G$2),)</f>
        <v/>
      </c>
      <c r="D867" s="14" t="str">
        <f t="shared" si="3"/>
        <v/>
      </c>
      <c r="E867" s="14" t="str">
        <f t="shared" si="4"/>
        <v/>
      </c>
      <c r="F867" s="6" t="str">
        <f>IF($A867&lt;&gt;"",MAXIFS(#REF!,Token!$A:$A,$D867),)</f>
        <v/>
      </c>
    </row>
    <row r="868">
      <c r="A868" s="35" t="str">
        <f t="shared" si="1"/>
        <v/>
      </c>
      <c r="B868" s="22" t="str">
        <f t="shared" si="2"/>
        <v/>
      </c>
      <c r="C868" s="14" t="str">
        <f>IF($A868&lt;&gt;"",MINIFS(Merchant!$A:$A,Merchant!$B:$B,$G$2),)</f>
        <v/>
      </c>
      <c r="D868" s="14" t="str">
        <f t="shared" si="3"/>
        <v/>
      </c>
      <c r="E868" s="14" t="str">
        <f t="shared" si="4"/>
        <v/>
      </c>
      <c r="F868" s="6" t="str">
        <f>IF($A868&lt;&gt;"",MAXIFS(#REF!,Token!$A:$A,$D868),)</f>
        <v/>
      </c>
    </row>
    <row r="869">
      <c r="A869" s="35" t="str">
        <f t="shared" si="1"/>
        <v/>
      </c>
      <c r="B869" s="22" t="str">
        <f t="shared" si="2"/>
        <v/>
      </c>
      <c r="C869" s="14" t="str">
        <f>IF($A869&lt;&gt;"",MINIFS(Merchant!$A:$A,Merchant!$B:$B,$G$2),)</f>
        <v/>
      </c>
      <c r="D869" s="14" t="str">
        <f t="shared" si="3"/>
        <v/>
      </c>
      <c r="E869" s="14" t="str">
        <f t="shared" si="4"/>
        <v/>
      </c>
      <c r="F869" s="6" t="str">
        <f>IF($A869&lt;&gt;"",MAXIFS(#REF!,Token!$A:$A,$D869),)</f>
        <v/>
      </c>
    </row>
    <row r="870">
      <c r="A870" s="35" t="str">
        <f t="shared" si="1"/>
        <v/>
      </c>
      <c r="B870" s="22" t="str">
        <f t="shared" si="2"/>
        <v/>
      </c>
      <c r="C870" s="14" t="str">
        <f>IF($A870&lt;&gt;"",MINIFS(Merchant!$A:$A,Merchant!$B:$B,$G$2),)</f>
        <v/>
      </c>
      <c r="D870" s="14" t="str">
        <f t="shared" si="3"/>
        <v/>
      </c>
      <c r="E870" s="14" t="str">
        <f t="shared" si="4"/>
        <v/>
      </c>
      <c r="F870" s="6" t="str">
        <f>IF($A870&lt;&gt;"",MAXIFS(#REF!,Token!$A:$A,$D870),)</f>
        <v/>
      </c>
    </row>
    <row r="871">
      <c r="A871" s="35" t="str">
        <f t="shared" si="1"/>
        <v/>
      </c>
      <c r="B871" s="22" t="str">
        <f t="shared" si="2"/>
        <v/>
      </c>
      <c r="C871" s="14" t="str">
        <f>IF($A871&lt;&gt;"",MINIFS(Merchant!$A:$A,Merchant!$B:$B,$G$2),)</f>
        <v/>
      </c>
      <c r="D871" s="14" t="str">
        <f t="shared" si="3"/>
        <v/>
      </c>
      <c r="E871" s="14" t="str">
        <f t="shared" si="4"/>
        <v/>
      </c>
      <c r="F871" s="6" t="str">
        <f>IF($A871&lt;&gt;"",MAXIFS(#REF!,Token!$A:$A,$D871),)</f>
        <v/>
      </c>
    </row>
    <row r="872">
      <c r="A872" s="35" t="str">
        <f t="shared" si="1"/>
        <v/>
      </c>
      <c r="B872" s="22" t="str">
        <f t="shared" si="2"/>
        <v/>
      </c>
      <c r="C872" s="14" t="str">
        <f>IF($A872&lt;&gt;"",MINIFS(Merchant!$A:$A,Merchant!$B:$B,$G$2),)</f>
        <v/>
      </c>
      <c r="D872" s="14" t="str">
        <f t="shared" si="3"/>
        <v/>
      </c>
      <c r="E872" s="14" t="str">
        <f t="shared" si="4"/>
        <v/>
      </c>
      <c r="F872" s="6" t="str">
        <f>IF($A872&lt;&gt;"",MAXIFS(#REF!,Token!$A:$A,$D872),)</f>
        <v/>
      </c>
    </row>
    <row r="873">
      <c r="A873" s="35" t="str">
        <f t="shared" si="1"/>
        <v/>
      </c>
      <c r="B873" s="22" t="str">
        <f t="shared" si="2"/>
        <v/>
      </c>
      <c r="C873" s="14" t="str">
        <f>IF($A873&lt;&gt;"",MINIFS(Merchant!$A:$A,Merchant!$B:$B,$G$2),)</f>
        <v/>
      </c>
      <c r="D873" s="14" t="str">
        <f t="shared" si="3"/>
        <v/>
      </c>
      <c r="E873" s="14" t="str">
        <f t="shared" si="4"/>
        <v/>
      </c>
      <c r="F873" s="6" t="str">
        <f>IF($A873&lt;&gt;"",MAXIFS(#REF!,Token!$A:$A,$D873),)</f>
        <v/>
      </c>
    </row>
    <row r="874">
      <c r="A874" s="35" t="str">
        <f t="shared" si="1"/>
        <v/>
      </c>
      <c r="B874" s="22" t="str">
        <f t="shared" si="2"/>
        <v/>
      </c>
      <c r="C874" s="14" t="str">
        <f>IF($A874&lt;&gt;"",MINIFS(Merchant!$A:$A,Merchant!$B:$B,$G$2),)</f>
        <v/>
      </c>
      <c r="D874" s="14" t="str">
        <f t="shared" si="3"/>
        <v/>
      </c>
      <c r="E874" s="14" t="str">
        <f t="shared" si="4"/>
        <v/>
      </c>
      <c r="F874" s="6" t="str">
        <f>IF($A874&lt;&gt;"",MAXIFS(#REF!,Token!$A:$A,$D874),)</f>
        <v/>
      </c>
    </row>
    <row r="875">
      <c r="A875" s="35" t="str">
        <f t="shared" si="1"/>
        <v/>
      </c>
      <c r="B875" s="22" t="str">
        <f t="shared" si="2"/>
        <v/>
      </c>
      <c r="C875" s="14" t="str">
        <f>IF($A875&lt;&gt;"",MINIFS(Merchant!$A:$A,Merchant!$B:$B,$G$2),)</f>
        <v/>
      </c>
      <c r="D875" s="14" t="str">
        <f t="shared" si="3"/>
        <v/>
      </c>
      <c r="E875" s="14" t="str">
        <f t="shared" si="4"/>
        <v/>
      </c>
      <c r="F875" s="6" t="str">
        <f>IF($A875&lt;&gt;"",MAXIFS(#REF!,Token!$A:$A,$D875),)</f>
        <v/>
      </c>
    </row>
    <row r="876">
      <c r="A876" s="35" t="str">
        <f t="shared" si="1"/>
        <v/>
      </c>
      <c r="B876" s="22" t="str">
        <f t="shared" si="2"/>
        <v/>
      </c>
      <c r="C876" s="14" t="str">
        <f>IF($A876&lt;&gt;"",MINIFS(Merchant!$A:$A,Merchant!$B:$B,$G$2),)</f>
        <v/>
      </c>
      <c r="D876" s="14" t="str">
        <f t="shared" si="3"/>
        <v/>
      </c>
      <c r="E876" s="14" t="str">
        <f t="shared" si="4"/>
        <v/>
      </c>
      <c r="F876" s="6" t="str">
        <f>IF($A876&lt;&gt;"",MAXIFS(#REF!,Token!$A:$A,$D876),)</f>
        <v/>
      </c>
    </row>
    <row r="877">
      <c r="A877" s="35" t="str">
        <f t="shared" si="1"/>
        <v/>
      </c>
      <c r="B877" s="22" t="str">
        <f t="shared" si="2"/>
        <v/>
      </c>
      <c r="C877" s="14" t="str">
        <f>IF($A877&lt;&gt;"",MINIFS(Merchant!$A:$A,Merchant!$B:$B,$G$2),)</f>
        <v/>
      </c>
      <c r="D877" s="14" t="str">
        <f t="shared" si="3"/>
        <v/>
      </c>
      <c r="E877" s="14" t="str">
        <f t="shared" si="4"/>
        <v/>
      </c>
      <c r="F877" s="6" t="str">
        <f>IF($A877&lt;&gt;"",MAXIFS(#REF!,Token!$A:$A,$D877),)</f>
        <v/>
      </c>
    </row>
    <row r="878">
      <c r="A878" s="35" t="str">
        <f t="shared" si="1"/>
        <v/>
      </c>
      <c r="B878" s="22" t="str">
        <f t="shared" si="2"/>
        <v/>
      </c>
      <c r="C878" s="14" t="str">
        <f>IF($A878&lt;&gt;"",MINIFS(Merchant!$A:$A,Merchant!$B:$B,$G$2),)</f>
        <v/>
      </c>
      <c r="D878" s="14" t="str">
        <f t="shared" si="3"/>
        <v/>
      </c>
      <c r="E878" s="14" t="str">
        <f t="shared" si="4"/>
        <v/>
      </c>
      <c r="F878" s="6" t="str">
        <f>IF($A878&lt;&gt;"",MAXIFS(#REF!,Token!$A:$A,$D878),)</f>
        <v/>
      </c>
    </row>
    <row r="879">
      <c r="A879" s="35" t="str">
        <f t="shared" si="1"/>
        <v/>
      </c>
      <c r="B879" s="22" t="str">
        <f t="shared" si="2"/>
        <v/>
      </c>
      <c r="C879" s="14" t="str">
        <f>IF($A879&lt;&gt;"",MINIFS(Merchant!$A:$A,Merchant!$B:$B,$G$2),)</f>
        <v/>
      </c>
      <c r="D879" s="14" t="str">
        <f t="shared" si="3"/>
        <v/>
      </c>
      <c r="E879" s="14" t="str">
        <f t="shared" si="4"/>
        <v/>
      </c>
      <c r="F879" s="6" t="str">
        <f>IF($A879&lt;&gt;"",MAXIFS(#REF!,Token!$A:$A,$D879),)</f>
        <v/>
      </c>
    </row>
    <row r="880">
      <c r="A880" s="35" t="str">
        <f t="shared" si="1"/>
        <v/>
      </c>
      <c r="B880" s="22" t="str">
        <f t="shared" si="2"/>
        <v/>
      </c>
      <c r="C880" s="14" t="str">
        <f>IF($A880&lt;&gt;"",MINIFS(Merchant!$A:$A,Merchant!$B:$B,$G$2),)</f>
        <v/>
      </c>
      <c r="D880" s="14" t="str">
        <f t="shared" si="3"/>
        <v/>
      </c>
      <c r="E880" s="14" t="str">
        <f t="shared" si="4"/>
        <v/>
      </c>
      <c r="F880" s="6" t="str">
        <f>IF($A880&lt;&gt;"",MAXIFS(#REF!,Token!$A:$A,$D880),)</f>
        <v/>
      </c>
    </row>
    <row r="881">
      <c r="A881" s="35" t="str">
        <f t="shared" si="1"/>
        <v/>
      </c>
      <c r="B881" s="22" t="str">
        <f t="shared" si="2"/>
        <v/>
      </c>
      <c r="C881" s="14" t="str">
        <f>IF($A881&lt;&gt;"",MINIFS(Merchant!$A:$A,Merchant!$B:$B,$G$2),)</f>
        <v/>
      </c>
      <c r="D881" s="14" t="str">
        <f t="shared" si="3"/>
        <v/>
      </c>
      <c r="E881" s="14" t="str">
        <f t="shared" si="4"/>
        <v/>
      </c>
      <c r="F881" s="6" t="str">
        <f>IF($A881&lt;&gt;"",MAXIFS(#REF!,Token!$A:$A,$D881),)</f>
        <v/>
      </c>
    </row>
    <row r="882">
      <c r="A882" s="35" t="str">
        <f t="shared" si="1"/>
        <v/>
      </c>
      <c r="B882" s="22" t="str">
        <f t="shared" si="2"/>
        <v/>
      </c>
      <c r="C882" s="14" t="str">
        <f>IF($A882&lt;&gt;"",MINIFS(Merchant!$A:$A,Merchant!$B:$B,$G$2),)</f>
        <v/>
      </c>
      <c r="D882" s="14" t="str">
        <f t="shared" si="3"/>
        <v/>
      </c>
      <c r="E882" s="14" t="str">
        <f t="shared" si="4"/>
        <v/>
      </c>
      <c r="F882" s="6" t="str">
        <f>IF($A882&lt;&gt;"",MAXIFS(#REF!,Token!$A:$A,$D882),)</f>
        <v/>
      </c>
    </row>
    <row r="883">
      <c r="A883" s="35" t="str">
        <f t="shared" si="1"/>
        <v/>
      </c>
      <c r="B883" s="22" t="str">
        <f t="shared" si="2"/>
        <v/>
      </c>
      <c r="C883" s="14" t="str">
        <f>IF($A883&lt;&gt;"",MINIFS(Merchant!$A:$A,Merchant!$B:$B,$G$2),)</f>
        <v/>
      </c>
      <c r="D883" s="14" t="str">
        <f t="shared" si="3"/>
        <v/>
      </c>
      <c r="E883" s="14" t="str">
        <f t="shared" si="4"/>
        <v/>
      </c>
      <c r="F883" s="6" t="str">
        <f>IF($A883&lt;&gt;"",MAXIFS(#REF!,Token!$A:$A,$D883),)</f>
        <v/>
      </c>
    </row>
    <row r="884">
      <c r="A884" s="35" t="str">
        <f t="shared" si="1"/>
        <v/>
      </c>
      <c r="B884" s="22" t="str">
        <f t="shared" si="2"/>
        <v/>
      </c>
      <c r="C884" s="14" t="str">
        <f>IF($A884&lt;&gt;"",MINIFS(Merchant!$A:$A,Merchant!$B:$B,$G$2),)</f>
        <v/>
      </c>
      <c r="D884" s="14" t="str">
        <f t="shared" si="3"/>
        <v/>
      </c>
      <c r="E884" s="14" t="str">
        <f t="shared" si="4"/>
        <v/>
      </c>
      <c r="F884" s="6" t="str">
        <f>IF($A884&lt;&gt;"",MAXIFS(#REF!,Token!$A:$A,$D884),)</f>
        <v/>
      </c>
    </row>
    <row r="885">
      <c r="A885" s="35" t="str">
        <f t="shared" si="1"/>
        <v/>
      </c>
      <c r="B885" s="22" t="str">
        <f t="shared" si="2"/>
        <v/>
      </c>
      <c r="C885" s="14" t="str">
        <f>IF($A885&lt;&gt;"",MINIFS(Merchant!$A:$A,Merchant!$B:$B,$G$2),)</f>
        <v/>
      </c>
      <c r="D885" s="14" t="str">
        <f t="shared" si="3"/>
        <v/>
      </c>
      <c r="E885" s="14" t="str">
        <f t="shared" si="4"/>
        <v/>
      </c>
      <c r="F885" s="6" t="str">
        <f>IF($A885&lt;&gt;"",MAXIFS(#REF!,Token!$A:$A,$D885),)</f>
        <v/>
      </c>
    </row>
    <row r="886">
      <c r="A886" s="35" t="str">
        <f t="shared" si="1"/>
        <v/>
      </c>
      <c r="B886" s="22" t="str">
        <f t="shared" si="2"/>
        <v/>
      </c>
      <c r="C886" s="14" t="str">
        <f>IF($A886&lt;&gt;"",MINIFS(Merchant!$A:$A,Merchant!$B:$B,$G$2),)</f>
        <v/>
      </c>
      <c r="D886" s="14" t="str">
        <f t="shared" si="3"/>
        <v/>
      </c>
      <c r="E886" s="14" t="str">
        <f t="shared" si="4"/>
        <v/>
      </c>
      <c r="F886" s="6" t="str">
        <f>IF($A886&lt;&gt;"",MAXIFS(#REF!,Token!$A:$A,$D886),)</f>
        <v/>
      </c>
    </row>
    <row r="887">
      <c r="A887" s="35" t="str">
        <f t="shared" si="1"/>
        <v/>
      </c>
      <c r="B887" s="22" t="str">
        <f t="shared" si="2"/>
        <v/>
      </c>
      <c r="C887" s="14" t="str">
        <f>IF($A887&lt;&gt;"",MINIFS(Merchant!$A:$A,Merchant!$B:$B,$G$2),)</f>
        <v/>
      </c>
      <c r="D887" s="14" t="str">
        <f t="shared" si="3"/>
        <v/>
      </c>
      <c r="E887" s="14" t="str">
        <f t="shared" si="4"/>
        <v/>
      </c>
      <c r="F887" s="6" t="str">
        <f>IF($A887&lt;&gt;"",MAXIFS(#REF!,Token!$A:$A,$D887),)</f>
        <v/>
      </c>
    </row>
    <row r="888">
      <c r="A888" s="35" t="str">
        <f t="shared" si="1"/>
        <v/>
      </c>
      <c r="B888" s="22" t="str">
        <f t="shared" si="2"/>
        <v/>
      </c>
      <c r="C888" s="14" t="str">
        <f>IF($A888&lt;&gt;"",MINIFS(Merchant!$A:$A,Merchant!$B:$B,$G$2),)</f>
        <v/>
      </c>
      <c r="D888" s="14" t="str">
        <f t="shared" si="3"/>
        <v/>
      </c>
      <c r="E888" s="14" t="str">
        <f t="shared" si="4"/>
        <v/>
      </c>
      <c r="F888" s="6" t="str">
        <f>IF($A888&lt;&gt;"",MAXIFS(#REF!,Token!$A:$A,$D888),)</f>
        <v/>
      </c>
    </row>
    <row r="889">
      <c r="A889" s="35" t="str">
        <f t="shared" si="1"/>
        <v/>
      </c>
      <c r="B889" s="22" t="str">
        <f t="shared" si="2"/>
        <v/>
      </c>
      <c r="C889" s="14" t="str">
        <f>IF($A889&lt;&gt;"",MINIFS(Merchant!$A:$A,Merchant!$B:$B,$G$2),)</f>
        <v/>
      </c>
      <c r="D889" s="14" t="str">
        <f t="shared" si="3"/>
        <v/>
      </c>
      <c r="E889" s="14" t="str">
        <f t="shared" si="4"/>
        <v/>
      </c>
      <c r="F889" s="6" t="str">
        <f>IF($A889&lt;&gt;"",MAXIFS(#REF!,Token!$A:$A,$D889),)</f>
        <v/>
      </c>
    </row>
    <row r="890">
      <c r="A890" s="35" t="str">
        <f t="shared" si="1"/>
        <v/>
      </c>
      <c r="B890" s="22" t="str">
        <f t="shared" si="2"/>
        <v/>
      </c>
      <c r="C890" s="14" t="str">
        <f>IF($A890&lt;&gt;"",MINIFS(Merchant!$A:$A,Merchant!$B:$B,$G$2),)</f>
        <v/>
      </c>
      <c r="D890" s="14" t="str">
        <f t="shared" si="3"/>
        <v/>
      </c>
      <c r="E890" s="14" t="str">
        <f t="shared" si="4"/>
        <v/>
      </c>
      <c r="F890" s="6" t="str">
        <f>IF($A890&lt;&gt;"",MAXIFS(#REF!,Token!$A:$A,$D890),)</f>
        <v/>
      </c>
    </row>
    <row r="891">
      <c r="A891" s="35" t="str">
        <f t="shared" si="1"/>
        <v/>
      </c>
      <c r="B891" s="22" t="str">
        <f t="shared" si="2"/>
        <v/>
      </c>
      <c r="C891" s="14" t="str">
        <f>IF($A891&lt;&gt;"",MINIFS(Merchant!$A:$A,Merchant!$B:$B,$G$2),)</f>
        <v/>
      </c>
      <c r="D891" s="14" t="str">
        <f t="shared" si="3"/>
        <v/>
      </c>
      <c r="E891" s="14" t="str">
        <f t="shared" si="4"/>
        <v/>
      </c>
      <c r="F891" s="6" t="str">
        <f>IF($A891&lt;&gt;"",MAXIFS(#REF!,Token!$A:$A,$D891),)</f>
        <v/>
      </c>
    </row>
    <row r="892">
      <c r="A892" s="35" t="str">
        <f t="shared" si="1"/>
        <v/>
      </c>
      <c r="B892" s="22" t="str">
        <f t="shared" si="2"/>
        <v/>
      </c>
      <c r="C892" s="14" t="str">
        <f>IF($A892&lt;&gt;"",MINIFS(Merchant!$A:$A,Merchant!$B:$B,$G$2),)</f>
        <v/>
      </c>
      <c r="D892" s="14" t="str">
        <f t="shared" si="3"/>
        <v/>
      </c>
      <c r="E892" s="14" t="str">
        <f t="shared" si="4"/>
        <v/>
      </c>
      <c r="F892" s="6" t="str">
        <f>IF($A892&lt;&gt;"",MAXIFS(#REF!,Token!$A:$A,$D892),)</f>
        <v/>
      </c>
    </row>
    <row r="893">
      <c r="A893" s="35" t="str">
        <f t="shared" si="1"/>
        <v/>
      </c>
      <c r="B893" s="22" t="str">
        <f t="shared" si="2"/>
        <v/>
      </c>
      <c r="C893" s="14" t="str">
        <f>IF($A893&lt;&gt;"",MINIFS(Merchant!$A:$A,Merchant!$B:$B,$G$2),)</f>
        <v/>
      </c>
      <c r="D893" s="14" t="str">
        <f t="shared" si="3"/>
        <v/>
      </c>
      <c r="E893" s="14" t="str">
        <f t="shared" si="4"/>
        <v/>
      </c>
      <c r="F893" s="6" t="str">
        <f>IF($A893&lt;&gt;"",MAXIFS(#REF!,Token!$A:$A,$D893),)</f>
        <v/>
      </c>
    </row>
    <row r="894">
      <c r="A894" s="35" t="str">
        <f t="shared" si="1"/>
        <v/>
      </c>
      <c r="B894" s="22" t="str">
        <f t="shared" si="2"/>
        <v/>
      </c>
      <c r="C894" s="14" t="str">
        <f>IF($A894&lt;&gt;"",MINIFS(Merchant!$A:$A,Merchant!$B:$B,$G$2),)</f>
        <v/>
      </c>
      <c r="D894" s="14" t="str">
        <f t="shared" si="3"/>
        <v/>
      </c>
      <c r="E894" s="14" t="str">
        <f t="shared" si="4"/>
        <v/>
      </c>
      <c r="F894" s="6" t="str">
        <f>IF($A894&lt;&gt;"",MAXIFS(#REF!,Token!$A:$A,$D894),)</f>
        <v/>
      </c>
    </row>
    <row r="895">
      <c r="A895" s="35" t="str">
        <f t="shared" si="1"/>
        <v/>
      </c>
      <c r="B895" s="22" t="str">
        <f t="shared" si="2"/>
        <v/>
      </c>
      <c r="C895" s="14" t="str">
        <f>IF($A895&lt;&gt;"",MINIFS(Merchant!$A:$A,Merchant!$B:$B,$G$2),)</f>
        <v/>
      </c>
      <c r="D895" s="14" t="str">
        <f t="shared" si="3"/>
        <v/>
      </c>
      <c r="E895" s="14" t="str">
        <f t="shared" si="4"/>
        <v/>
      </c>
      <c r="F895" s="6" t="str">
        <f>IF($A895&lt;&gt;"",MAXIFS(#REF!,Token!$A:$A,$D895),)</f>
        <v/>
      </c>
    </row>
    <row r="896">
      <c r="A896" s="35" t="str">
        <f t="shared" si="1"/>
        <v/>
      </c>
      <c r="B896" s="22" t="str">
        <f t="shared" si="2"/>
        <v/>
      </c>
      <c r="C896" s="14" t="str">
        <f>IF($A896&lt;&gt;"",MINIFS(Merchant!$A:$A,Merchant!$B:$B,$G$2),)</f>
        <v/>
      </c>
      <c r="D896" s="14" t="str">
        <f t="shared" si="3"/>
        <v/>
      </c>
      <c r="E896" s="14" t="str">
        <f t="shared" si="4"/>
        <v/>
      </c>
      <c r="F896" s="6" t="str">
        <f>IF($A896&lt;&gt;"",MAXIFS(#REF!,Token!$A:$A,$D896),)</f>
        <v/>
      </c>
    </row>
    <row r="897">
      <c r="A897" s="35" t="str">
        <f t="shared" si="1"/>
        <v/>
      </c>
      <c r="B897" s="22" t="str">
        <f t="shared" si="2"/>
        <v/>
      </c>
      <c r="C897" s="14" t="str">
        <f>IF($A897&lt;&gt;"",MINIFS(Merchant!$A:$A,Merchant!$B:$B,$G$2),)</f>
        <v/>
      </c>
      <c r="D897" s="14" t="str">
        <f t="shared" si="3"/>
        <v/>
      </c>
      <c r="E897" s="14" t="str">
        <f t="shared" si="4"/>
        <v/>
      </c>
      <c r="F897" s="6" t="str">
        <f>IF($A897&lt;&gt;"",MAXIFS(#REF!,Token!$A:$A,$D897),)</f>
        <v/>
      </c>
    </row>
    <row r="898">
      <c r="A898" s="35" t="str">
        <f t="shared" si="1"/>
        <v/>
      </c>
      <c r="B898" s="22" t="str">
        <f t="shared" si="2"/>
        <v/>
      </c>
      <c r="C898" s="14" t="str">
        <f>IF($A898&lt;&gt;"",MINIFS(Merchant!$A:$A,Merchant!$B:$B,$G$2),)</f>
        <v/>
      </c>
      <c r="D898" s="14" t="str">
        <f t="shared" si="3"/>
        <v/>
      </c>
      <c r="E898" s="14" t="str">
        <f t="shared" si="4"/>
        <v/>
      </c>
      <c r="F898" s="6" t="str">
        <f>IF($A898&lt;&gt;"",MAXIFS(#REF!,Token!$A:$A,$D898),)</f>
        <v/>
      </c>
    </row>
    <row r="899">
      <c r="A899" s="35" t="str">
        <f t="shared" si="1"/>
        <v/>
      </c>
      <c r="B899" s="22" t="str">
        <f t="shared" si="2"/>
        <v/>
      </c>
      <c r="C899" s="14" t="str">
        <f>IF($A899&lt;&gt;"",MINIFS(Merchant!$A:$A,Merchant!$B:$B,$G$2),)</f>
        <v/>
      </c>
      <c r="D899" s="14" t="str">
        <f t="shared" si="3"/>
        <v/>
      </c>
      <c r="E899" s="14" t="str">
        <f t="shared" si="4"/>
        <v/>
      </c>
      <c r="F899" s="6" t="str">
        <f>IF($A899&lt;&gt;"",MAXIFS(#REF!,Token!$A:$A,$D899),)</f>
        <v/>
      </c>
    </row>
    <row r="900">
      <c r="A900" s="35" t="str">
        <f t="shared" si="1"/>
        <v/>
      </c>
      <c r="B900" s="22" t="str">
        <f t="shared" si="2"/>
        <v/>
      </c>
      <c r="C900" s="14" t="str">
        <f>IF($A900&lt;&gt;"",MINIFS(Merchant!$A:$A,Merchant!$B:$B,$G$2),)</f>
        <v/>
      </c>
      <c r="D900" s="14" t="str">
        <f t="shared" si="3"/>
        <v/>
      </c>
      <c r="E900" s="14" t="str">
        <f t="shared" si="4"/>
        <v/>
      </c>
      <c r="F900" s="6" t="str">
        <f>IF($A900&lt;&gt;"",MAXIFS(#REF!,Token!$A:$A,$D900),)</f>
        <v/>
      </c>
    </row>
    <row r="901">
      <c r="A901" s="35" t="str">
        <f t="shared" si="1"/>
        <v/>
      </c>
      <c r="B901" s="22" t="str">
        <f t="shared" si="2"/>
        <v/>
      </c>
      <c r="C901" s="14" t="str">
        <f>IF($A901&lt;&gt;"",MINIFS(Merchant!$A:$A,Merchant!$B:$B,$G$2),)</f>
        <v/>
      </c>
      <c r="D901" s="14" t="str">
        <f t="shared" si="3"/>
        <v/>
      </c>
      <c r="E901" s="14" t="str">
        <f t="shared" si="4"/>
        <v/>
      </c>
      <c r="F901" s="6" t="str">
        <f>IF($A901&lt;&gt;"",MAXIFS(#REF!,Token!$A:$A,$D901),)</f>
        <v/>
      </c>
    </row>
    <row r="902">
      <c r="A902" s="35" t="str">
        <f t="shared" si="1"/>
        <v/>
      </c>
      <c r="B902" s="22" t="str">
        <f t="shared" si="2"/>
        <v/>
      </c>
      <c r="C902" s="14" t="str">
        <f>IF($A902&lt;&gt;"",MINIFS(Merchant!$A:$A,Merchant!$B:$B,$G$2),)</f>
        <v/>
      </c>
      <c r="D902" s="14" t="str">
        <f t="shared" si="3"/>
        <v/>
      </c>
      <c r="E902" s="14" t="str">
        <f t="shared" si="4"/>
        <v/>
      </c>
      <c r="F902" s="6" t="str">
        <f>IF($A902&lt;&gt;"",MAXIFS(#REF!,Token!$A:$A,$D902),)</f>
        <v/>
      </c>
    </row>
    <row r="903">
      <c r="A903" s="35" t="str">
        <f t="shared" si="1"/>
        <v/>
      </c>
      <c r="B903" s="22" t="str">
        <f t="shared" si="2"/>
        <v/>
      </c>
      <c r="C903" s="14" t="str">
        <f>IF($A903&lt;&gt;"",MINIFS(Merchant!$A:$A,Merchant!$B:$B,$G$2),)</f>
        <v/>
      </c>
      <c r="D903" s="14" t="str">
        <f t="shared" si="3"/>
        <v/>
      </c>
      <c r="E903" s="14" t="str">
        <f t="shared" si="4"/>
        <v/>
      </c>
      <c r="F903" s="6" t="str">
        <f>IF($A903&lt;&gt;"",MAXIFS(#REF!,Token!$A:$A,$D903),)</f>
        <v/>
      </c>
    </row>
    <row r="904">
      <c r="A904" s="35" t="str">
        <f t="shared" si="1"/>
        <v/>
      </c>
      <c r="B904" s="22" t="str">
        <f t="shared" si="2"/>
        <v/>
      </c>
      <c r="C904" s="14" t="str">
        <f>IF($A904&lt;&gt;"",MINIFS(Merchant!$A:$A,Merchant!$B:$B,$G$2),)</f>
        <v/>
      </c>
      <c r="D904" s="14" t="str">
        <f t="shared" si="3"/>
        <v/>
      </c>
      <c r="E904" s="14" t="str">
        <f t="shared" si="4"/>
        <v/>
      </c>
      <c r="F904" s="6" t="str">
        <f>IF($A904&lt;&gt;"",MAXIFS(#REF!,Token!$A:$A,$D904),)</f>
        <v/>
      </c>
    </row>
    <row r="905">
      <c r="A905" s="35" t="str">
        <f t="shared" si="1"/>
        <v/>
      </c>
      <c r="B905" s="22" t="str">
        <f t="shared" si="2"/>
        <v/>
      </c>
      <c r="C905" s="14" t="str">
        <f>IF($A905&lt;&gt;"",MINIFS(Merchant!$A:$A,Merchant!$B:$B,$G$2),)</f>
        <v/>
      </c>
      <c r="D905" s="14" t="str">
        <f t="shared" si="3"/>
        <v/>
      </c>
      <c r="E905" s="14" t="str">
        <f t="shared" si="4"/>
        <v/>
      </c>
      <c r="F905" s="6" t="str">
        <f>IF($A905&lt;&gt;"",MAXIFS(#REF!,Token!$A:$A,$D905),)</f>
        <v/>
      </c>
    </row>
    <row r="906">
      <c r="A906" s="35" t="str">
        <f t="shared" si="1"/>
        <v/>
      </c>
      <c r="B906" s="22" t="str">
        <f t="shared" si="2"/>
        <v/>
      </c>
      <c r="C906" s="14" t="str">
        <f>IF($A906&lt;&gt;"",MINIFS(Merchant!$A:$A,Merchant!$B:$B,$G$2),)</f>
        <v/>
      </c>
      <c r="D906" s="14" t="str">
        <f t="shared" si="3"/>
        <v/>
      </c>
      <c r="E906" s="14" t="str">
        <f t="shared" si="4"/>
        <v/>
      </c>
      <c r="F906" s="6" t="str">
        <f>IF($A906&lt;&gt;"",MAXIFS(#REF!,Token!$A:$A,$D906),)</f>
        <v/>
      </c>
    </row>
    <row r="907">
      <c r="A907" s="35" t="str">
        <f t="shared" si="1"/>
        <v/>
      </c>
      <c r="B907" s="22" t="str">
        <f t="shared" si="2"/>
        <v/>
      </c>
      <c r="C907" s="14" t="str">
        <f>IF($A907&lt;&gt;"",MINIFS(Merchant!$A:$A,Merchant!$B:$B,$G$2),)</f>
        <v/>
      </c>
      <c r="D907" s="14" t="str">
        <f t="shared" si="3"/>
        <v/>
      </c>
      <c r="E907" s="14" t="str">
        <f t="shared" si="4"/>
        <v/>
      </c>
      <c r="F907" s="6" t="str">
        <f>IF($A907&lt;&gt;"",MAXIFS(#REF!,Token!$A:$A,$D907),)</f>
        <v/>
      </c>
    </row>
    <row r="908">
      <c r="A908" s="35" t="str">
        <f t="shared" si="1"/>
        <v/>
      </c>
      <c r="B908" s="22" t="str">
        <f t="shared" si="2"/>
        <v/>
      </c>
      <c r="C908" s="14" t="str">
        <f>IF($A908&lt;&gt;"",MINIFS(Merchant!$A:$A,Merchant!$B:$B,$G$2),)</f>
        <v/>
      </c>
      <c r="D908" s="14" t="str">
        <f t="shared" si="3"/>
        <v/>
      </c>
      <c r="E908" s="14" t="str">
        <f t="shared" si="4"/>
        <v/>
      </c>
      <c r="F908" s="6" t="str">
        <f>IF($A908&lt;&gt;"",MAXIFS(#REF!,Token!$A:$A,$D908),)</f>
        <v/>
      </c>
    </row>
    <row r="909">
      <c r="A909" s="35" t="str">
        <f t="shared" si="1"/>
        <v/>
      </c>
      <c r="B909" s="22" t="str">
        <f t="shared" si="2"/>
        <v/>
      </c>
      <c r="C909" s="14" t="str">
        <f>IF($A909&lt;&gt;"",MINIFS(Merchant!$A:$A,Merchant!$B:$B,$G$2),)</f>
        <v/>
      </c>
      <c r="D909" s="14" t="str">
        <f t="shared" si="3"/>
        <v/>
      </c>
      <c r="E909" s="14" t="str">
        <f t="shared" si="4"/>
        <v/>
      </c>
      <c r="F909" s="6" t="str">
        <f>IF($A909&lt;&gt;"",MAXIFS(#REF!,Token!$A:$A,$D909),)</f>
        <v/>
      </c>
    </row>
    <row r="910">
      <c r="A910" s="35" t="str">
        <f t="shared" si="1"/>
        <v/>
      </c>
      <c r="B910" s="22" t="str">
        <f t="shared" si="2"/>
        <v/>
      </c>
      <c r="C910" s="14" t="str">
        <f>IF($A910&lt;&gt;"",MINIFS(Merchant!$A:$A,Merchant!$B:$B,$G$2),)</f>
        <v/>
      </c>
      <c r="D910" s="14" t="str">
        <f t="shared" si="3"/>
        <v/>
      </c>
      <c r="E910" s="14" t="str">
        <f t="shared" si="4"/>
        <v/>
      </c>
      <c r="F910" s="6" t="str">
        <f>IF($A910&lt;&gt;"",MAXIFS(#REF!,Token!$A:$A,$D910),)</f>
        <v/>
      </c>
    </row>
    <row r="911">
      <c r="A911" s="35" t="str">
        <f t="shared" si="1"/>
        <v/>
      </c>
      <c r="B911" s="22" t="str">
        <f t="shared" si="2"/>
        <v/>
      </c>
      <c r="C911" s="14" t="str">
        <f>IF($A911&lt;&gt;"",MINIFS(Merchant!$A:$A,Merchant!$B:$B,$G$2),)</f>
        <v/>
      </c>
      <c r="D911" s="14" t="str">
        <f t="shared" si="3"/>
        <v/>
      </c>
      <c r="E911" s="14" t="str">
        <f t="shared" si="4"/>
        <v/>
      </c>
      <c r="F911" s="6" t="str">
        <f>IF($A911&lt;&gt;"",MAXIFS(#REF!,Token!$A:$A,$D911),)</f>
        <v/>
      </c>
    </row>
    <row r="912">
      <c r="A912" s="35" t="str">
        <f t="shared" si="1"/>
        <v/>
      </c>
      <c r="B912" s="22" t="str">
        <f t="shared" si="2"/>
        <v/>
      </c>
      <c r="C912" s="14" t="str">
        <f>IF($A912&lt;&gt;"",MINIFS(Merchant!$A:$A,Merchant!$B:$B,$G$2),)</f>
        <v/>
      </c>
      <c r="D912" s="14" t="str">
        <f t="shared" si="3"/>
        <v/>
      </c>
      <c r="E912" s="14" t="str">
        <f t="shared" si="4"/>
        <v/>
      </c>
      <c r="F912" s="6" t="str">
        <f>IF($A912&lt;&gt;"",MAXIFS(#REF!,Token!$A:$A,$D912),)</f>
        <v/>
      </c>
    </row>
    <row r="913">
      <c r="A913" s="35" t="str">
        <f t="shared" si="1"/>
        <v/>
      </c>
      <c r="B913" s="22" t="str">
        <f t="shared" si="2"/>
        <v/>
      </c>
      <c r="C913" s="14" t="str">
        <f>IF($A913&lt;&gt;"",MINIFS(Merchant!$A:$A,Merchant!$B:$B,$G$2),)</f>
        <v/>
      </c>
      <c r="D913" s="14" t="str">
        <f t="shared" si="3"/>
        <v/>
      </c>
      <c r="E913" s="14" t="str">
        <f t="shared" si="4"/>
        <v/>
      </c>
      <c r="F913" s="6" t="str">
        <f>IF($A913&lt;&gt;"",MAXIFS(#REF!,Token!$A:$A,$D913),)</f>
        <v/>
      </c>
    </row>
    <row r="914">
      <c r="A914" s="35" t="str">
        <f t="shared" si="1"/>
        <v/>
      </c>
      <c r="B914" s="22" t="str">
        <f t="shared" si="2"/>
        <v/>
      </c>
      <c r="C914" s="14" t="str">
        <f>IF($A914&lt;&gt;"",MINIFS(Merchant!$A:$A,Merchant!$B:$B,$G$2),)</f>
        <v/>
      </c>
      <c r="D914" s="14" t="str">
        <f t="shared" si="3"/>
        <v/>
      </c>
      <c r="E914" s="14" t="str">
        <f t="shared" si="4"/>
        <v/>
      </c>
      <c r="F914" s="6" t="str">
        <f>IF($A914&lt;&gt;"",MAXIFS(#REF!,Token!$A:$A,$D914),)</f>
        <v/>
      </c>
    </row>
    <row r="915">
      <c r="A915" s="35" t="str">
        <f t="shared" si="1"/>
        <v/>
      </c>
      <c r="B915" s="22" t="str">
        <f t="shared" si="2"/>
        <v/>
      </c>
      <c r="C915" s="14" t="str">
        <f>IF($A915&lt;&gt;"",MINIFS(Merchant!$A:$A,Merchant!$B:$B,$G$2),)</f>
        <v/>
      </c>
      <c r="D915" s="14" t="str">
        <f t="shared" si="3"/>
        <v/>
      </c>
      <c r="E915" s="14" t="str">
        <f t="shared" si="4"/>
        <v/>
      </c>
      <c r="F915" s="6" t="str">
        <f>IF($A915&lt;&gt;"",MAXIFS(#REF!,Token!$A:$A,$D915),)</f>
        <v/>
      </c>
    </row>
    <row r="916">
      <c r="A916" s="35" t="str">
        <f t="shared" si="1"/>
        <v/>
      </c>
      <c r="B916" s="22" t="str">
        <f t="shared" si="2"/>
        <v/>
      </c>
      <c r="C916" s="14" t="str">
        <f>IF($A916&lt;&gt;"",MINIFS(Merchant!$A:$A,Merchant!$B:$B,$G$2),)</f>
        <v/>
      </c>
      <c r="D916" s="14" t="str">
        <f t="shared" si="3"/>
        <v/>
      </c>
      <c r="E916" s="14" t="str">
        <f t="shared" si="4"/>
        <v/>
      </c>
      <c r="F916" s="6" t="str">
        <f>IF($A916&lt;&gt;"",MAXIFS(#REF!,Token!$A:$A,$D916),)</f>
        <v/>
      </c>
    </row>
    <row r="917">
      <c r="A917" s="35" t="str">
        <f t="shared" si="1"/>
        <v/>
      </c>
      <c r="B917" s="22" t="str">
        <f t="shared" si="2"/>
        <v/>
      </c>
      <c r="C917" s="14" t="str">
        <f>IF($A917&lt;&gt;"",MINIFS(Merchant!$A:$A,Merchant!$B:$B,$G$2),)</f>
        <v/>
      </c>
      <c r="D917" s="14" t="str">
        <f t="shared" si="3"/>
        <v/>
      </c>
      <c r="E917" s="14" t="str">
        <f t="shared" si="4"/>
        <v/>
      </c>
      <c r="F917" s="6" t="str">
        <f>IF($A917&lt;&gt;"",MAXIFS(#REF!,Token!$A:$A,$D917),)</f>
        <v/>
      </c>
    </row>
    <row r="918">
      <c r="A918" s="35" t="str">
        <f t="shared" si="1"/>
        <v/>
      </c>
      <c r="B918" s="22" t="str">
        <f t="shared" si="2"/>
        <v/>
      </c>
      <c r="C918" s="14" t="str">
        <f>IF($A918&lt;&gt;"",MINIFS(Merchant!$A:$A,Merchant!$B:$B,$G$2),)</f>
        <v/>
      </c>
      <c r="D918" s="14" t="str">
        <f t="shared" si="3"/>
        <v/>
      </c>
      <c r="E918" s="14" t="str">
        <f t="shared" si="4"/>
        <v/>
      </c>
      <c r="F918" s="6" t="str">
        <f>IF($A918&lt;&gt;"",MAXIFS(#REF!,Token!$A:$A,$D918),)</f>
        <v/>
      </c>
    </row>
    <row r="919">
      <c r="A919" s="35" t="str">
        <f t="shared" si="1"/>
        <v/>
      </c>
      <c r="B919" s="22" t="str">
        <f t="shared" si="2"/>
        <v/>
      </c>
      <c r="C919" s="14" t="str">
        <f>IF($A919&lt;&gt;"",MINIFS(Merchant!$A:$A,Merchant!$B:$B,$G$2),)</f>
        <v/>
      </c>
      <c r="D919" s="14" t="str">
        <f t="shared" si="3"/>
        <v/>
      </c>
      <c r="E919" s="14" t="str">
        <f t="shared" si="4"/>
        <v/>
      </c>
      <c r="F919" s="6" t="str">
        <f>IF($A919&lt;&gt;"",MAXIFS(#REF!,Token!$A:$A,$D919),)</f>
        <v/>
      </c>
    </row>
    <row r="920">
      <c r="A920" s="35" t="str">
        <f t="shared" si="1"/>
        <v/>
      </c>
      <c r="B920" s="22" t="str">
        <f t="shared" si="2"/>
        <v/>
      </c>
      <c r="C920" s="14" t="str">
        <f>IF($A920&lt;&gt;"",MINIFS(Merchant!$A:$A,Merchant!$B:$B,$G$2),)</f>
        <v/>
      </c>
      <c r="D920" s="14" t="str">
        <f t="shared" si="3"/>
        <v/>
      </c>
      <c r="E920" s="14" t="str">
        <f t="shared" si="4"/>
        <v/>
      </c>
      <c r="F920" s="6" t="str">
        <f>IF($A920&lt;&gt;"",MAXIFS(#REF!,Token!$A:$A,$D920),)</f>
        <v/>
      </c>
    </row>
    <row r="921">
      <c r="A921" s="35" t="str">
        <f t="shared" si="1"/>
        <v/>
      </c>
      <c r="B921" s="22" t="str">
        <f t="shared" si="2"/>
        <v/>
      </c>
      <c r="C921" s="14" t="str">
        <f>IF($A921&lt;&gt;"",MINIFS(Merchant!$A:$A,Merchant!$B:$B,$G$2),)</f>
        <v/>
      </c>
      <c r="D921" s="14" t="str">
        <f t="shared" si="3"/>
        <v/>
      </c>
      <c r="E921" s="14" t="str">
        <f t="shared" si="4"/>
        <v/>
      </c>
      <c r="F921" s="6" t="str">
        <f>IF($A921&lt;&gt;"",MAXIFS(#REF!,Token!$A:$A,$D921),)</f>
        <v/>
      </c>
    </row>
    <row r="922">
      <c r="A922" s="35" t="str">
        <f t="shared" si="1"/>
        <v/>
      </c>
      <c r="B922" s="22" t="str">
        <f t="shared" si="2"/>
        <v/>
      </c>
      <c r="C922" s="14" t="str">
        <f>IF($A922&lt;&gt;"",MINIFS(Merchant!$A:$A,Merchant!$B:$B,$G$2),)</f>
        <v/>
      </c>
      <c r="D922" s="14" t="str">
        <f t="shared" si="3"/>
        <v/>
      </c>
      <c r="E922" s="14" t="str">
        <f t="shared" si="4"/>
        <v/>
      </c>
      <c r="F922" s="6" t="str">
        <f>IF($A922&lt;&gt;"",MAXIFS(#REF!,Token!$A:$A,$D922),)</f>
        <v/>
      </c>
    </row>
    <row r="923">
      <c r="A923" s="35" t="str">
        <f t="shared" si="1"/>
        <v/>
      </c>
      <c r="B923" s="22" t="str">
        <f t="shared" si="2"/>
        <v/>
      </c>
      <c r="C923" s="14" t="str">
        <f>IF($A923&lt;&gt;"",MINIFS(Merchant!$A:$A,Merchant!$B:$B,$G$2),)</f>
        <v/>
      </c>
      <c r="D923" s="14" t="str">
        <f t="shared" si="3"/>
        <v/>
      </c>
      <c r="E923" s="14" t="str">
        <f t="shared" si="4"/>
        <v/>
      </c>
      <c r="F923" s="6" t="str">
        <f>IF($A923&lt;&gt;"",MAXIFS(#REF!,Token!$A:$A,$D923),)</f>
        <v/>
      </c>
    </row>
    <row r="924">
      <c r="A924" s="35" t="str">
        <f t="shared" si="1"/>
        <v/>
      </c>
      <c r="B924" s="22" t="str">
        <f t="shared" si="2"/>
        <v/>
      </c>
      <c r="C924" s="14" t="str">
        <f>IF($A924&lt;&gt;"",MINIFS(Merchant!$A:$A,Merchant!$B:$B,$G$2),)</f>
        <v/>
      </c>
      <c r="D924" s="14" t="str">
        <f t="shared" si="3"/>
        <v/>
      </c>
      <c r="E924" s="14" t="str">
        <f t="shared" si="4"/>
        <v/>
      </c>
      <c r="F924" s="6" t="str">
        <f>IF($A924&lt;&gt;"",MAXIFS(#REF!,Token!$A:$A,$D924),)</f>
        <v/>
      </c>
    </row>
    <row r="925">
      <c r="A925" s="35" t="str">
        <f t="shared" si="1"/>
        <v/>
      </c>
      <c r="B925" s="22" t="str">
        <f t="shared" si="2"/>
        <v/>
      </c>
      <c r="C925" s="14" t="str">
        <f>IF($A925&lt;&gt;"",MINIFS(Merchant!$A:$A,Merchant!$B:$B,$G$2),)</f>
        <v/>
      </c>
      <c r="D925" s="14" t="str">
        <f t="shared" si="3"/>
        <v/>
      </c>
      <c r="E925" s="14" t="str">
        <f t="shared" si="4"/>
        <v/>
      </c>
      <c r="F925" s="6" t="str">
        <f>IF($A925&lt;&gt;"",MAXIFS(#REF!,Token!$A:$A,$D925),)</f>
        <v/>
      </c>
    </row>
    <row r="926">
      <c r="A926" s="35" t="str">
        <f t="shared" si="1"/>
        <v/>
      </c>
      <c r="B926" s="22" t="str">
        <f t="shared" si="2"/>
        <v/>
      </c>
      <c r="C926" s="14" t="str">
        <f>IF($A926&lt;&gt;"",MINIFS(Merchant!$A:$A,Merchant!$B:$B,$G$2),)</f>
        <v/>
      </c>
      <c r="D926" s="14" t="str">
        <f t="shared" si="3"/>
        <v/>
      </c>
      <c r="E926" s="14" t="str">
        <f t="shared" si="4"/>
        <v/>
      </c>
      <c r="F926" s="6" t="str">
        <f>IF($A926&lt;&gt;"",MAXIFS(#REF!,Token!$A:$A,$D926),)</f>
        <v/>
      </c>
    </row>
    <row r="927">
      <c r="A927" s="35" t="str">
        <f t="shared" si="1"/>
        <v/>
      </c>
      <c r="B927" s="22" t="str">
        <f t="shared" si="2"/>
        <v/>
      </c>
      <c r="C927" s="14" t="str">
        <f>IF($A927&lt;&gt;"",MINIFS(Merchant!$A:$A,Merchant!$B:$B,$G$2),)</f>
        <v/>
      </c>
      <c r="D927" s="14" t="str">
        <f t="shared" si="3"/>
        <v/>
      </c>
      <c r="E927" s="14" t="str">
        <f t="shared" si="4"/>
        <v/>
      </c>
      <c r="F927" s="6" t="str">
        <f>IF($A927&lt;&gt;"",MAXIFS(#REF!,Token!$A:$A,$D927),)</f>
        <v/>
      </c>
    </row>
    <row r="928">
      <c r="A928" s="35" t="str">
        <f t="shared" si="1"/>
        <v/>
      </c>
      <c r="B928" s="22" t="str">
        <f t="shared" si="2"/>
        <v/>
      </c>
      <c r="C928" s="14" t="str">
        <f>IF($A928&lt;&gt;"",MINIFS(Merchant!$A:$A,Merchant!$B:$B,$G$2),)</f>
        <v/>
      </c>
      <c r="D928" s="14" t="str">
        <f t="shared" si="3"/>
        <v/>
      </c>
      <c r="E928" s="14" t="str">
        <f t="shared" si="4"/>
        <v/>
      </c>
      <c r="F928" s="6" t="str">
        <f>IF($A928&lt;&gt;"",MAXIFS(#REF!,Token!$A:$A,$D928),)</f>
        <v/>
      </c>
    </row>
    <row r="929">
      <c r="A929" s="35" t="str">
        <f t="shared" si="1"/>
        <v/>
      </c>
      <c r="B929" s="22" t="str">
        <f t="shared" si="2"/>
        <v/>
      </c>
      <c r="C929" s="14" t="str">
        <f>IF($A929&lt;&gt;"",MINIFS(Merchant!$A:$A,Merchant!$B:$B,$G$2),)</f>
        <v/>
      </c>
      <c r="D929" s="14" t="str">
        <f t="shared" si="3"/>
        <v/>
      </c>
      <c r="E929" s="14" t="str">
        <f t="shared" si="4"/>
        <v/>
      </c>
      <c r="F929" s="6" t="str">
        <f>IF($A929&lt;&gt;"",MAXIFS(#REF!,Token!$A:$A,$D929),)</f>
        <v/>
      </c>
    </row>
    <row r="930">
      <c r="A930" s="35" t="str">
        <f t="shared" si="1"/>
        <v/>
      </c>
      <c r="B930" s="22" t="str">
        <f t="shared" si="2"/>
        <v/>
      </c>
      <c r="C930" s="14" t="str">
        <f>IF($A930&lt;&gt;"",MINIFS(Merchant!$A:$A,Merchant!$B:$B,$G$2),)</f>
        <v/>
      </c>
      <c r="D930" s="14" t="str">
        <f t="shared" si="3"/>
        <v/>
      </c>
      <c r="E930" s="14" t="str">
        <f t="shared" si="4"/>
        <v/>
      </c>
      <c r="F930" s="6" t="str">
        <f>IF($A930&lt;&gt;"",MAXIFS(#REF!,Token!$A:$A,$D930),)</f>
        <v/>
      </c>
    </row>
    <row r="931">
      <c r="A931" s="35" t="str">
        <f t="shared" si="1"/>
        <v/>
      </c>
      <c r="B931" s="22" t="str">
        <f t="shared" si="2"/>
        <v/>
      </c>
      <c r="C931" s="14" t="str">
        <f>IF($A931&lt;&gt;"",MINIFS(Merchant!$A:$A,Merchant!$B:$B,$G$2),)</f>
        <v/>
      </c>
      <c r="D931" s="14" t="str">
        <f t="shared" si="3"/>
        <v/>
      </c>
      <c r="E931" s="14" t="str">
        <f t="shared" si="4"/>
        <v/>
      </c>
      <c r="F931" s="6" t="str">
        <f>IF($A931&lt;&gt;"",MAXIFS(#REF!,Token!$A:$A,$D931),)</f>
        <v/>
      </c>
    </row>
    <row r="932">
      <c r="A932" s="35" t="str">
        <f t="shared" si="1"/>
        <v/>
      </c>
      <c r="B932" s="22" t="str">
        <f t="shared" si="2"/>
        <v/>
      </c>
      <c r="C932" s="14" t="str">
        <f>IF($A932&lt;&gt;"",MINIFS(Merchant!$A:$A,Merchant!$B:$B,$G$2),)</f>
        <v/>
      </c>
      <c r="D932" s="14" t="str">
        <f t="shared" si="3"/>
        <v/>
      </c>
      <c r="E932" s="14" t="str">
        <f t="shared" si="4"/>
        <v/>
      </c>
      <c r="F932" s="6" t="str">
        <f>IF($A932&lt;&gt;"",MAXIFS(#REF!,Token!$A:$A,$D932),)</f>
        <v/>
      </c>
    </row>
    <row r="933">
      <c r="A933" s="35" t="str">
        <f t="shared" si="1"/>
        <v/>
      </c>
      <c r="B933" s="22" t="str">
        <f t="shared" si="2"/>
        <v/>
      </c>
      <c r="C933" s="14" t="str">
        <f>IF($A933&lt;&gt;"",MINIFS(Merchant!$A:$A,Merchant!$B:$B,$G$2),)</f>
        <v/>
      </c>
      <c r="D933" s="14" t="str">
        <f t="shared" si="3"/>
        <v/>
      </c>
      <c r="E933" s="14" t="str">
        <f t="shared" si="4"/>
        <v/>
      </c>
      <c r="F933" s="6" t="str">
        <f>IF($A933&lt;&gt;"",MAXIFS(#REF!,Token!$A:$A,$D933),)</f>
        <v/>
      </c>
    </row>
    <row r="934">
      <c r="A934" s="35" t="str">
        <f t="shared" si="1"/>
        <v/>
      </c>
      <c r="B934" s="22" t="str">
        <f t="shared" si="2"/>
        <v/>
      </c>
      <c r="C934" s="14" t="str">
        <f>IF($A934&lt;&gt;"",MINIFS(Merchant!$A:$A,Merchant!$B:$B,$G$2),)</f>
        <v/>
      </c>
      <c r="D934" s="14" t="str">
        <f t="shared" si="3"/>
        <v/>
      </c>
      <c r="E934" s="14" t="str">
        <f t="shared" si="4"/>
        <v/>
      </c>
      <c r="F934" s="6" t="str">
        <f>IF($A934&lt;&gt;"",MAXIFS(#REF!,Token!$A:$A,$D934),)</f>
        <v/>
      </c>
    </row>
    <row r="935">
      <c r="A935" s="35" t="str">
        <f t="shared" si="1"/>
        <v/>
      </c>
      <c r="B935" s="22" t="str">
        <f t="shared" si="2"/>
        <v/>
      </c>
      <c r="C935" s="14" t="str">
        <f>IF($A935&lt;&gt;"",MINIFS(Merchant!$A:$A,Merchant!$B:$B,$G$2),)</f>
        <v/>
      </c>
      <c r="D935" s="14" t="str">
        <f t="shared" si="3"/>
        <v/>
      </c>
      <c r="E935" s="14" t="str">
        <f t="shared" si="4"/>
        <v/>
      </c>
      <c r="F935" s="6" t="str">
        <f>IF($A935&lt;&gt;"",MAXIFS(#REF!,Token!$A:$A,$D935),)</f>
        <v/>
      </c>
    </row>
    <row r="936">
      <c r="A936" s="35" t="str">
        <f t="shared" si="1"/>
        <v/>
      </c>
      <c r="B936" s="22" t="str">
        <f t="shared" si="2"/>
        <v/>
      </c>
      <c r="C936" s="14" t="str">
        <f>IF($A936&lt;&gt;"",MINIFS(Merchant!$A:$A,Merchant!$B:$B,$G$2),)</f>
        <v/>
      </c>
      <c r="D936" s="14" t="str">
        <f t="shared" si="3"/>
        <v/>
      </c>
      <c r="E936" s="14" t="str">
        <f t="shared" si="4"/>
        <v/>
      </c>
      <c r="F936" s="6" t="str">
        <f>IF($A936&lt;&gt;"",MAXIFS(#REF!,Token!$A:$A,$D936),)</f>
        <v/>
      </c>
    </row>
    <row r="937">
      <c r="A937" s="35" t="str">
        <f t="shared" si="1"/>
        <v/>
      </c>
      <c r="B937" s="22" t="str">
        <f t="shared" si="2"/>
        <v/>
      </c>
      <c r="C937" s="14" t="str">
        <f>IF($A937&lt;&gt;"",MINIFS(Merchant!$A:$A,Merchant!$B:$B,$G$2),)</f>
        <v/>
      </c>
      <c r="D937" s="14" t="str">
        <f t="shared" si="3"/>
        <v/>
      </c>
      <c r="E937" s="14" t="str">
        <f t="shared" si="4"/>
        <v/>
      </c>
      <c r="F937" s="6" t="str">
        <f>IF($A937&lt;&gt;"",MAXIFS(#REF!,Token!$A:$A,$D937),)</f>
        <v/>
      </c>
    </row>
    <row r="938">
      <c r="A938" s="35" t="str">
        <f t="shared" si="1"/>
        <v/>
      </c>
      <c r="B938" s="22" t="str">
        <f t="shared" si="2"/>
        <v/>
      </c>
      <c r="C938" s="14" t="str">
        <f>IF($A938&lt;&gt;"",MINIFS(Merchant!$A:$A,Merchant!$B:$B,$G$2),)</f>
        <v/>
      </c>
      <c r="D938" s="14" t="str">
        <f t="shared" si="3"/>
        <v/>
      </c>
      <c r="E938" s="14" t="str">
        <f t="shared" si="4"/>
        <v/>
      </c>
      <c r="F938" s="6" t="str">
        <f>IF($A938&lt;&gt;"",MAXIFS(#REF!,Token!$A:$A,$D938),)</f>
        <v/>
      </c>
    </row>
    <row r="939">
      <c r="A939" s="35" t="str">
        <f t="shared" si="1"/>
        <v/>
      </c>
      <c r="B939" s="22" t="str">
        <f t="shared" si="2"/>
        <v/>
      </c>
      <c r="C939" s="14" t="str">
        <f>IF($A939&lt;&gt;"",MINIFS(Merchant!$A:$A,Merchant!$B:$B,$G$2),)</f>
        <v/>
      </c>
      <c r="D939" s="14" t="str">
        <f t="shared" si="3"/>
        <v/>
      </c>
      <c r="E939" s="14" t="str">
        <f t="shared" si="4"/>
        <v/>
      </c>
      <c r="F939" s="6" t="str">
        <f>IF($A939&lt;&gt;"",MAXIFS(#REF!,Token!$A:$A,$D939),)</f>
        <v/>
      </c>
    </row>
    <row r="940">
      <c r="A940" s="35" t="str">
        <f t="shared" si="1"/>
        <v/>
      </c>
      <c r="B940" s="22" t="str">
        <f t="shared" si="2"/>
        <v/>
      </c>
      <c r="C940" s="14" t="str">
        <f>IF($A940&lt;&gt;"",MINIFS(Merchant!$A:$A,Merchant!$B:$B,$G$2),)</f>
        <v/>
      </c>
      <c r="D940" s="14" t="str">
        <f t="shared" si="3"/>
        <v/>
      </c>
      <c r="E940" s="14" t="str">
        <f t="shared" si="4"/>
        <v/>
      </c>
      <c r="F940" s="6" t="str">
        <f>IF($A940&lt;&gt;"",MAXIFS(#REF!,Token!$A:$A,$D940),)</f>
        <v/>
      </c>
    </row>
    <row r="941">
      <c r="A941" s="35" t="str">
        <f t="shared" si="1"/>
        <v/>
      </c>
      <c r="B941" s="22" t="str">
        <f t="shared" si="2"/>
        <v/>
      </c>
      <c r="C941" s="14" t="str">
        <f>IF($A941&lt;&gt;"",MINIFS(Merchant!$A:$A,Merchant!$B:$B,$G$2),)</f>
        <v/>
      </c>
      <c r="D941" s="14" t="str">
        <f t="shared" si="3"/>
        <v/>
      </c>
      <c r="E941" s="14" t="str">
        <f t="shared" si="4"/>
        <v/>
      </c>
      <c r="F941" s="6" t="str">
        <f>IF($A941&lt;&gt;"",MAXIFS(#REF!,Token!$A:$A,$D941),)</f>
        <v/>
      </c>
    </row>
    <row r="942">
      <c r="A942" s="35" t="str">
        <f t="shared" si="1"/>
        <v/>
      </c>
      <c r="B942" s="22" t="str">
        <f t="shared" si="2"/>
        <v/>
      </c>
      <c r="C942" s="14" t="str">
        <f>IF($A942&lt;&gt;"",MINIFS(Merchant!$A:$A,Merchant!$B:$B,$G$2),)</f>
        <v/>
      </c>
      <c r="D942" s="14" t="str">
        <f t="shared" si="3"/>
        <v/>
      </c>
      <c r="E942" s="14" t="str">
        <f t="shared" si="4"/>
        <v/>
      </c>
      <c r="F942" s="6" t="str">
        <f>IF($A942&lt;&gt;"",MAXIFS(#REF!,Token!$A:$A,$D942),)</f>
        <v/>
      </c>
    </row>
    <row r="943">
      <c r="A943" s="35" t="str">
        <f t="shared" si="1"/>
        <v/>
      </c>
      <c r="B943" s="22" t="str">
        <f t="shared" si="2"/>
        <v/>
      </c>
      <c r="C943" s="14" t="str">
        <f>IF($A943&lt;&gt;"",MINIFS(Merchant!$A:$A,Merchant!$B:$B,$G$2),)</f>
        <v/>
      </c>
      <c r="D943" s="14" t="str">
        <f t="shared" si="3"/>
        <v/>
      </c>
      <c r="E943" s="14" t="str">
        <f t="shared" si="4"/>
        <v/>
      </c>
      <c r="F943" s="6" t="str">
        <f>IF($A943&lt;&gt;"",MAXIFS(#REF!,Token!$A:$A,$D943),)</f>
        <v/>
      </c>
    </row>
    <row r="944">
      <c r="A944" s="35" t="str">
        <f t="shared" si="1"/>
        <v/>
      </c>
      <c r="B944" s="22" t="str">
        <f t="shared" si="2"/>
        <v/>
      </c>
      <c r="C944" s="14" t="str">
        <f>IF($A944&lt;&gt;"",MINIFS(Merchant!$A:$A,Merchant!$B:$B,$G$2),)</f>
        <v/>
      </c>
      <c r="D944" s="14" t="str">
        <f t="shared" si="3"/>
        <v/>
      </c>
      <c r="E944" s="14" t="str">
        <f t="shared" si="4"/>
        <v/>
      </c>
      <c r="F944" s="6" t="str">
        <f>IF($A944&lt;&gt;"",MAXIFS(#REF!,Token!$A:$A,$D944),)</f>
        <v/>
      </c>
    </row>
    <row r="945">
      <c r="A945" s="35" t="str">
        <f t="shared" si="1"/>
        <v/>
      </c>
      <c r="B945" s="22" t="str">
        <f t="shared" si="2"/>
        <v/>
      </c>
      <c r="C945" s="14" t="str">
        <f>IF($A945&lt;&gt;"",MINIFS(Merchant!$A:$A,Merchant!$B:$B,$G$2),)</f>
        <v/>
      </c>
      <c r="D945" s="14" t="str">
        <f t="shared" si="3"/>
        <v/>
      </c>
      <c r="E945" s="14" t="str">
        <f t="shared" si="4"/>
        <v/>
      </c>
      <c r="F945" s="6" t="str">
        <f>IF($A945&lt;&gt;"",MAXIFS(#REF!,Token!$A:$A,$D945),)</f>
        <v/>
      </c>
    </row>
    <row r="946">
      <c r="A946" s="35" t="str">
        <f t="shared" si="1"/>
        <v/>
      </c>
      <c r="B946" s="22" t="str">
        <f t="shared" si="2"/>
        <v/>
      </c>
      <c r="C946" s="14" t="str">
        <f>IF($A946&lt;&gt;"",MINIFS(Merchant!$A:$A,Merchant!$B:$B,$G$2),)</f>
        <v/>
      </c>
      <c r="D946" s="14" t="str">
        <f t="shared" si="3"/>
        <v/>
      </c>
      <c r="E946" s="14" t="str">
        <f t="shared" si="4"/>
        <v/>
      </c>
      <c r="F946" s="6" t="str">
        <f>IF($A946&lt;&gt;"",MAXIFS(#REF!,Token!$A:$A,$D946),)</f>
        <v/>
      </c>
    </row>
    <row r="947">
      <c r="A947" s="35" t="str">
        <f t="shared" si="1"/>
        <v/>
      </c>
      <c r="B947" s="22" t="str">
        <f t="shared" si="2"/>
        <v/>
      </c>
      <c r="C947" s="14" t="str">
        <f>IF($A947&lt;&gt;"",MINIFS(Merchant!$A:$A,Merchant!$B:$B,$G$2),)</f>
        <v/>
      </c>
      <c r="D947" s="14" t="str">
        <f t="shared" si="3"/>
        <v/>
      </c>
      <c r="E947" s="14" t="str">
        <f t="shared" si="4"/>
        <v/>
      </c>
      <c r="F947" s="6" t="str">
        <f>IF($A947&lt;&gt;"",MAXIFS(#REF!,Token!$A:$A,$D947),)</f>
        <v/>
      </c>
    </row>
    <row r="948">
      <c r="A948" s="35" t="str">
        <f t="shared" si="1"/>
        <v/>
      </c>
      <c r="B948" s="22" t="str">
        <f t="shared" si="2"/>
        <v/>
      </c>
      <c r="C948" s="14" t="str">
        <f>IF($A948&lt;&gt;"",MINIFS(Merchant!$A:$A,Merchant!$B:$B,$G$2),)</f>
        <v/>
      </c>
      <c r="D948" s="14" t="str">
        <f t="shared" si="3"/>
        <v/>
      </c>
      <c r="E948" s="14" t="str">
        <f t="shared" si="4"/>
        <v/>
      </c>
      <c r="F948" s="6" t="str">
        <f>IF($A948&lt;&gt;"",MAXIFS(#REF!,Token!$A:$A,$D948),)</f>
        <v/>
      </c>
    </row>
    <row r="949">
      <c r="A949" s="35" t="str">
        <f t="shared" si="1"/>
        <v/>
      </c>
      <c r="B949" s="22" t="str">
        <f t="shared" si="2"/>
        <v/>
      </c>
      <c r="C949" s="14" t="str">
        <f>IF($A949&lt;&gt;"",MINIFS(Merchant!$A:$A,Merchant!$B:$B,$G$2),)</f>
        <v/>
      </c>
      <c r="D949" s="14" t="str">
        <f t="shared" si="3"/>
        <v/>
      </c>
      <c r="E949" s="14" t="str">
        <f t="shared" si="4"/>
        <v/>
      </c>
      <c r="F949" s="6" t="str">
        <f>IF($A949&lt;&gt;"",MAXIFS(#REF!,Token!$A:$A,$D949),)</f>
        <v/>
      </c>
    </row>
    <row r="950">
      <c r="A950" s="35" t="str">
        <f t="shared" si="1"/>
        <v/>
      </c>
      <c r="B950" s="22" t="str">
        <f t="shared" si="2"/>
        <v/>
      </c>
      <c r="C950" s="14" t="str">
        <f>IF($A950&lt;&gt;"",MINIFS(Merchant!$A:$A,Merchant!$B:$B,$G$2),)</f>
        <v/>
      </c>
      <c r="D950" s="14" t="str">
        <f t="shared" si="3"/>
        <v/>
      </c>
      <c r="E950" s="14" t="str">
        <f t="shared" si="4"/>
        <v/>
      </c>
      <c r="F950" s="6" t="str">
        <f>IF($A950&lt;&gt;"",MAXIFS(#REF!,Token!$A:$A,$D950),)</f>
        <v/>
      </c>
    </row>
    <row r="951">
      <c r="A951" s="35" t="str">
        <f t="shared" si="1"/>
        <v/>
      </c>
      <c r="B951" s="22" t="str">
        <f t="shared" si="2"/>
        <v/>
      </c>
      <c r="C951" s="14" t="str">
        <f>IF($A951&lt;&gt;"",MINIFS(Merchant!$A:$A,Merchant!$B:$B,$G$2),)</f>
        <v/>
      </c>
      <c r="D951" s="14" t="str">
        <f t="shared" si="3"/>
        <v/>
      </c>
      <c r="E951" s="14" t="str">
        <f t="shared" si="4"/>
        <v/>
      </c>
      <c r="F951" s="6" t="str">
        <f>IF($A951&lt;&gt;"",MAXIFS(#REF!,Token!$A:$A,$D951),)</f>
        <v/>
      </c>
    </row>
    <row r="952">
      <c r="A952" s="35" t="str">
        <f t="shared" si="1"/>
        <v/>
      </c>
      <c r="B952" s="22" t="str">
        <f t="shared" si="2"/>
        <v/>
      </c>
      <c r="C952" s="14" t="str">
        <f>IF($A952&lt;&gt;"",MINIFS(Merchant!$A:$A,Merchant!$B:$B,$G$2),)</f>
        <v/>
      </c>
      <c r="D952" s="14" t="str">
        <f t="shared" si="3"/>
        <v/>
      </c>
      <c r="E952" s="14" t="str">
        <f t="shared" si="4"/>
        <v/>
      </c>
      <c r="F952" s="6" t="str">
        <f>IF($A952&lt;&gt;"",MAXIFS(#REF!,Token!$A:$A,$D952),)</f>
        <v/>
      </c>
    </row>
    <row r="953">
      <c r="A953" s="35" t="str">
        <f t="shared" si="1"/>
        <v/>
      </c>
      <c r="B953" s="22" t="str">
        <f t="shared" si="2"/>
        <v/>
      </c>
      <c r="C953" s="14" t="str">
        <f>IF($A953&lt;&gt;"",MINIFS(Merchant!$A:$A,Merchant!$B:$B,$G$2),)</f>
        <v/>
      </c>
      <c r="D953" s="14" t="str">
        <f t="shared" si="3"/>
        <v/>
      </c>
      <c r="E953" s="14" t="str">
        <f t="shared" si="4"/>
        <v/>
      </c>
      <c r="F953" s="6" t="str">
        <f>IF($A953&lt;&gt;"",MAXIFS(#REF!,Token!$A:$A,$D953),)</f>
        <v/>
      </c>
    </row>
    <row r="954">
      <c r="A954" s="35" t="str">
        <f t="shared" si="1"/>
        <v/>
      </c>
      <c r="B954" s="22" t="str">
        <f t="shared" si="2"/>
        <v/>
      </c>
      <c r="C954" s="14" t="str">
        <f>IF($A954&lt;&gt;"",MINIFS(Merchant!$A:$A,Merchant!$B:$B,$G$2),)</f>
        <v/>
      </c>
      <c r="D954" s="14" t="str">
        <f t="shared" si="3"/>
        <v/>
      </c>
      <c r="E954" s="14" t="str">
        <f t="shared" si="4"/>
        <v/>
      </c>
      <c r="F954" s="6" t="str">
        <f>IF($A954&lt;&gt;"",MAXIFS(#REF!,Token!$A:$A,$D954),)</f>
        <v/>
      </c>
    </row>
    <row r="955">
      <c r="A955" s="35" t="str">
        <f t="shared" si="1"/>
        <v/>
      </c>
      <c r="B955" s="22" t="str">
        <f t="shared" si="2"/>
        <v/>
      </c>
      <c r="C955" s="14" t="str">
        <f>IF($A955&lt;&gt;"",MINIFS(Merchant!$A:$A,Merchant!$B:$B,$G$2),)</f>
        <v/>
      </c>
      <c r="D955" s="14" t="str">
        <f t="shared" si="3"/>
        <v/>
      </c>
      <c r="E955" s="14" t="str">
        <f t="shared" si="4"/>
        <v/>
      </c>
      <c r="F955" s="6" t="str">
        <f>IF($A955&lt;&gt;"",MAXIFS(#REF!,Token!$A:$A,$D955),)</f>
        <v/>
      </c>
    </row>
    <row r="956">
      <c r="A956" s="35" t="str">
        <f t="shared" si="1"/>
        <v/>
      </c>
      <c r="B956" s="22" t="str">
        <f t="shared" si="2"/>
        <v/>
      </c>
      <c r="C956" s="14" t="str">
        <f>IF($A956&lt;&gt;"",MINIFS(Merchant!$A:$A,Merchant!$B:$B,$G$2),)</f>
        <v/>
      </c>
      <c r="D956" s="14" t="str">
        <f t="shared" si="3"/>
        <v/>
      </c>
      <c r="E956" s="14" t="str">
        <f t="shared" si="4"/>
        <v/>
      </c>
      <c r="F956" s="6" t="str">
        <f>IF($A956&lt;&gt;"",MAXIFS(#REF!,Token!$A:$A,$D956),)</f>
        <v/>
      </c>
    </row>
    <row r="957">
      <c r="A957" s="35" t="str">
        <f t="shared" si="1"/>
        <v/>
      </c>
      <c r="B957" s="22" t="str">
        <f t="shared" si="2"/>
        <v/>
      </c>
      <c r="C957" s="14" t="str">
        <f>IF($A957&lt;&gt;"",MINIFS(Merchant!$A:$A,Merchant!$B:$B,$G$2),)</f>
        <v/>
      </c>
      <c r="D957" s="14" t="str">
        <f t="shared" si="3"/>
        <v/>
      </c>
      <c r="E957" s="14" t="str">
        <f t="shared" si="4"/>
        <v/>
      </c>
      <c r="F957" s="6" t="str">
        <f>IF($A957&lt;&gt;"",MAXIFS(#REF!,Token!$A:$A,$D957),)</f>
        <v/>
      </c>
    </row>
    <row r="958">
      <c r="A958" s="35" t="str">
        <f t="shared" si="1"/>
        <v/>
      </c>
      <c r="B958" s="22" t="str">
        <f t="shared" si="2"/>
        <v/>
      </c>
      <c r="C958" s="14" t="str">
        <f>IF($A958&lt;&gt;"",MINIFS(Merchant!$A:$A,Merchant!$B:$B,$G$2),)</f>
        <v/>
      </c>
      <c r="D958" s="14" t="str">
        <f t="shared" si="3"/>
        <v/>
      </c>
      <c r="E958" s="14" t="str">
        <f t="shared" si="4"/>
        <v/>
      </c>
      <c r="F958" s="6" t="str">
        <f>IF($A958&lt;&gt;"",MAXIFS(#REF!,Token!$A:$A,$D958),)</f>
        <v/>
      </c>
    </row>
    <row r="959">
      <c r="A959" s="35" t="str">
        <f t="shared" si="1"/>
        <v/>
      </c>
      <c r="B959" s="22" t="str">
        <f t="shared" si="2"/>
        <v/>
      </c>
      <c r="C959" s="14" t="str">
        <f>IF($A959&lt;&gt;"",MINIFS(Merchant!$A:$A,Merchant!$B:$B,$G$2),)</f>
        <v/>
      </c>
      <c r="D959" s="14" t="str">
        <f t="shared" si="3"/>
        <v/>
      </c>
      <c r="E959" s="14" t="str">
        <f t="shared" si="4"/>
        <v/>
      </c>
      <c r="F959" s="6" t="str">
        <f>IF($A959&lt;&gt;"",MAXIFS(#REF!,Token!$A:$A,$D959),)</f>
        <v/>
      </c>
    </row>
    <row r="960">
      <c r="A960" s="35" t="str">
        <f t="shared" si="1"/>
        <v/>
      </c>
      <c r="B960" s="22" t="str">
        <f t="shared" si="2"/>
        <v/>
      </c>
      <c r="C960" s="14" t="str">
        <f>IF($A960&lt;&gt;"",MINIFS(Merchant!$A:$A,Merchant!$B:$B,$G$2),)</f>
        <v/>
      </c>
      <c r="D960" s="14" t="str">
        <f t="shared" si="3"/>
        <v/>
      </c>
      <c r="E960" s="14" t="str">
        <f t="shared" si="4"/>
        <v/>
      </c>
      <c r="F960" s="6" t="str">
        <f>IF($A960&lt;&gt;"",MAXIFS(#REF!,Token!$A:$A,$D960),)</f>
        <v/>
      </c>
    </row>
    <row r="961">
      <c r="A961" s="35" t="str">
        <f t="shared" si="1"/>
        <v/>
      </c>
      <c r="B961" s="22" t="str">
        <f t="shared" si="2"/>
        <v/>
      </c>
      <c r="C961" s="14" t="str">
        <f>IF($A961&lt;&gt;"",MINIFS(Merchant!$A:$A,Merchant!$B:$B,$G$2),)</f>
        <v/>
      </c>
      <c r="D961" s="14" t="str">
        <f t="shared" si="3"/>
        <v/>
      </c>
      <c r="E961" s="14" t="str">
        <f t="shared" si="4"/>
        <v/>
      </c>
      <c r="F961" s="6" t="str">
        <f>IF($A961&lt;&gt;"",MAXIFS(#REF!,Token!$A:$A,$D961),)</f>
        <v/>
      </c>
    </row>
    <row r="962">
      <c r="A962" s="35" t="str">
        <f t="shared" si="1"/>
        <v/>
      </c>
      <c r="B962" s="22" t="str">
        <f t="shared" si="2"/>
        <v/>
      </c>
      <c r="C962" s="14" t="str">
        <f>IF($A962&lt;&gt;"",MINIFS(Merchant!$A:$A,Merchant!$B:$B,$G$2),)</f>
        <v/>
      </c>
      <c r="D962" s="14" t="str">
        <f t="shared" si="3"/>
        <v/>
      </c>
      <c r="E962" s="14" t="str">
        <f t="shared" si="4"/>
        <v/>
      </c>
      <c r="F962" s="6" t="str">
        <f>IF($A962&lt;&gt;"",MAXIFS(#REF!,Token!$A:$A,$D962),)</f>
        <v/>
      </c>
    </row>
    <row r="963">
      <c r="A963" s="35" t="str">
        <f t="shared" si="1"/>
        <v/>
      </c>
      <c r="B963" s="22" t="str">
        <f t="shared" si="2"/>
        <v/>
      </c>
      <c r="C963" s="14" t="str">
        <f>IF($A963&lt;&gt;"",MINIFS(Merchant!$A:$A,Merchant!$B:$B,$G$2),)</f>
        <v/>
      </c>
      <c r="D963" s="14" t="str">
        <f t="shared" si="3"/>
        <v/>
      </c>
      <c r="E963" s="14" t="str">
        <f t="shared" si="4"/>
        <v/>
      </c>
      <c r="F963" s="6" t="str">
        <f>IF($A963&lt;&gt;"",MAXIFS(#REF!,Token!$A:$A,$D963),)</f>
        <v/>
      </c>
    </row>
    <row r="964">
      <c r="A964" s="35" t="str">
        <f t="shared" si="1"/>
        <v/>
      </c>
      <c r="B964" s="22" t="str">
        <f t="shared" si="2"/>
        <v/>
      </c>
      <c r="C964" s="14" t="str">
        <f>IF($A964&lt;&gt;"",MINIFS(Merchant!$A:$A,Merchant!$B:$B,$G$2),)</f>
        <v/>
      </c>
      <c r="D964" s="14" t="str">
        <f t="shared" si="3"/>
        <v/>
      </c>
      <c r="E964" s="14" t="str">
        <f t="shared" si="4"/>
        <v/>
      </c>
      <c r="F964" s="6" t="str">
        <f>IF($A964&lt;&gt;"",MAXIFS(#REF!,Token!$A:$A,$D964),)</f>
        <v/>
      </c>
    </row>
    <row r="965">
      <c r="A965" s="35" t="str">
        <f t="shared" si="1"/>
        <v/>
      </c>
      <c r="B965" s="22" t="str">
        <f t="shared" si="2"/>
        <v/>
      </c>
      <c r="C965" s="14" t="str">
        <f>IF($A965&lt;&gt;"",MINIFS(Merchant!$A:$A,Merchant!$B:$B,$G$2),)</f>
        <v/>
      </c>
      <c r="D965" s="14" t="str">
        <f t="shared" si="3"/>
        <v/>
      </c>
      <c r="E965" s="14" t="str">
        <f t="shared" si="4"/>
        <v/>
      </c>
      <c r="F965" s="6" t="str">
        <f>IF($A965&lt;&gt;"",MAXIFS(#REF!,Token!$A:$A,$D965),)</f>
        <v/>
      </c>
    </row>
    <row r="966">
      <c r="A966" s="35" t="str">
        <f t="shared" si="1"/>
        <v/>
      </c>
      <c r="B966" s="22" t="str">
        <f t="shared" si="2"/>
        <v/>
      </c>
      <c r="C966" s="14" t="str">
        <f>IF($A966&lt;&gt;"",MINIFS(Merchant!$A:$A,Merchant!$B:$B,$G$2),)</f>
        <v/>
      </c>
      <c r="D966" s="14" t="str">
        <f t="shared" si="3"/>
        <v/>
      </c>
      <c r="E966" s="14" t="str">
        <f t="shared" si="4"/>
        <v/>
      </c>
      <c r="F966" s="6" t="str">
        <f>IF($A966&lt;&gt;"",MAXIFS(#REF!,Token!$A:$A,$D966),)</f>
        <v/>
      </c>
    </row>
    <row r="967">
      <c r="A967" s="35" t="str">
        <f t="shared" si="1"/>
        <v/>
      </c>
      <c r="B967" s="22" t="str">
        <f t="shared" si="2"/>
        <v/>
      </c>
      <c r="C967" s="14" t="str">
        <f>IF($A967&lt;&gt;"",MINIFS(Merchant!$A:$A,Merchant!$B:$B,$G$2),)</f>
        <v/>
      </c>
      <c r="D967" s="14" t="str">
        <f t="shared" si="3"/>
        <v/>
      </c>
      <c r="E967" s="14" t="str">
        <f t="shared" si="4"/>
        <v/>
      </c>
      <c r="F967" s="6" t="str">
        <f>IF($A967&lt;&gt;"",MAXIFS(#REF!,Token!$A:$A,$D967),)</f>
        <v/>
      </c>
    </row>
    <row r="968">
      <c r="A968" s="35" t="str">
        <f t="shared" si="1"/>
        <v/>
      </c>
      <c r="B968" s="22" t="str">
        <f t="shared" si="2"/>
        <v/>
      </c>
      <c r="C968" s="14" t="str">
        <f>IF($A968&lt;&gt;"",MINIFS(Merchant!$A:$A,Merchant!$B:$B,$G$2),)</f>
        <v/>
      </c>
      <c r="D968" s="14" t="str">
        <f t="shared" si="3"/>
        <v/>
      </c>
      <c r="E968" s="14" t="str">
        <f t="shared" si="4"/>
        <v/>
      </c>
      <c r="F968" s="6" t="str">
        <f>IF($A968&lt;&gt;"",MAXIFS(#REF!,Token!$A:$A,$D968),)</f>
        <v/>
      </c>
    </row>
    <row r="969">
      <c r="A969" s="35" t="str">
        <f t="shared" si="1"/>
        <v/>
      </c>
      <c r="B969" s="22" t="str">
        <f t="shared" si="2"/>
        <v/>
      </c>
      <c r="C969" s="14" t="str">
        <f>IF($A969&lt;&gt;"",MINIFS(Merchant!$A:$A,Merchant!$B:$B,$G$2),)</f>
        <v/>
      </c>
      <c r="D969" s="14" t="str">
        <f t="shared" si="3"/>
        <v/>
      </c>
      <c r="E969" s="14" t="str">
        <f t="shared" si="4"/>
        <v/>
      </c>
      <c r="F969" s="6" t="str">
        <f>IF($A969&lt;&gt;"",MAXIFS(#REF!,Token!$A:$A,$D969),)</f>
        <v/>
      </c>
    </row>
    <row r="970">
      <c r="A970" s="35" t="str">
        <f t="shared" si="1"/>
        <v/>
      </c>
      <c r="B970" s="22" t="str">
        <f t="shared" si="2"/>
        <v/>
      </c>
      <c r="C970" s="14" t="str">
        <f>IF($A970&lt;&gt;"",MINIFS(Merchant!$A:$A,Merchant!$B:$B,$G$2),)</f>
        <v/>
      </c>
      <c r="D970" s="14" t="str">
        <f t="shared" si="3"/>
        <v/>
      </c>
      <c r="E970" s="14" t="str">
        <f t="shared" si="4"/>
        <v/>
      </c>
      <c r="F970" s="6" t="str">
        <f>IF($A970&lt;&gt;"",MAXIFS(#REF!,Token!$A:$A,$D970),)</f>
        <v/>
      </c>
    </row>
    <row r="971">
      <c r="A971" s="35" t="str">
        <f t="shared" si="1"/>
        <v/>
      </c>
      <c r="B971" s="22" t="str">
        <f t="shared" si="2"/>
        <v/>
      </c>
      <c r="C971" s="14" t="str">
        <f>IF($A971&lt;&gt;"",MINIFS(Merchant!$A:$A,Merchant!$B:$B,$G$2),)</f>
        <v/>
      </c>
      <c r="D971" s="14" t="str">
        <f t="shared" si="3"/>
        <v/>
      </c>
      <c r="E971" s="14" t="str">
        <f t="shared" si="4"/>
        <v/>
      </c>
      <c r="F971" s="6" t="str">
        <f>IF($A971&lt;&gt;"",MAXIFS(#REF!,Token!$A:$A,$D971),)</f>
        <v/>
      </c>
    </row>
    <row r="972">
      <c r="A972" s="35" t="str">
        <f t="shared" si="1"/>
        <v/>
      </c>
      <c r="B972" s="22" t="str">
        <f t="shared" si="2"/>
        <v/>
      </c>
      <c r="C972" s="14" t="str">
        <f>IF($A972&lt;&gt;"",MINIFS(Merchant!$A:$A,Merchant!$B:$B,$G$2),)</f>
        <v/>
      </c>
      <c r="D972" s="14" t="str">
        <f t="shared" si="3"/>
        <v/>
      </c>
      <c r="E972" s="14" t="str">
        <f t="shared" si="4"/>
        <v/>
      </c>
      <c r="F972" s="6" t="str">
        <f>IF($A972&lt;&gt;"",MAXIFS(#REF!,Token!$A:$A,$D972),)</f>
        <v/>
      </c>
    </row>
    <row r="973">
      <c r="A973" s="35" t="str">
        <f t="shared" si="1"/>
        <v/>
      </c>
      <c r="B973" s="22" t="str">
        <f t="shared" si="2"/>
        <v/>
      </c>
      <c r="C973" s="14" t="str">
        <f>IF($A973&lt;&gt;"",MINIFS(Merchant!$A:$A,Merchant!$B:$B,$G$2),)</f>
        <v/>
      </c>
      <c r="D973" s="14" t="str">
        <f t="shared" si="3"/>
        <v/>
      </c>
      <c r="E973" s="14" t="str">
        <f t="shared" si="4"/>
        <v/>
      </c>
      <c r="F973" s="6" t="str">
        <f>IF($A973&lt;&gt;"",MAXIFS(#REF!,Token!$A:$A,$D973),)</f>
        <v/>
      </c>
    </row>
    <row r="974">
      <c r="A974" s="35" t="str">
        <f t="shared" si="1"/>
        <v/>
      </c>
      <c r="B974" s="22" t="str">
        <f t="shared" si="2"/>
        <v/>
      </c>
      <c r="C974" s="14" t="str">
        <f>IF($A974&lt;&gt;"",MINIFS(Merchant!$A:$A,Merchant!$B:$B,$G$2),)</f>
        <v/>
      </c>
      <c r="D974" s="14" t="str">
        <f t="shared" si="3"/>
        <v/>
      </c>
      <c r="E974" s="14" t="str">
        <f t="shared" si="4"/>
        <v/>
      </c>
      <c r="F974" s="6" t="str">
        <f>IF($A974&lt;&gt;"",MAXIFS(#REF!,Token!$A:$A,$D974),)</f>
        <v/>
      </c>
    </row>
    <row r="975">
      <c r="A975" s="35" t="str">
        <f t="shared" si="1"/>
        <v/>
      </c>
      <c r="B975" s="22" t="str">
        <f t="shared" si="2"/>
        <v/>
      </c>
      <c r="C975" s="14" t="str">
        <f>IF($A975&lt;&gt;"",MINIFS(Merchant!$A:$A,Merchant!$B:$B,$G$2),)</f>
        <v/>
      </c>
      <c r="D975" s="14" t="str">
        <f t="shared" si="3"/>
        <v/>
      </c>
      <c r="E975" s="14" t="str">
        <f t="shared" si="4"/>
        <v/>
      </c>
      <c r="F975" s="6" t="str">
        <f>IF($A975&lt;&gt;"",MAXIFS(#REF!,Token!$A:$A,$D975),)</f>
        <v/>
      </c>
    </row>
    <row r="976">
      <c r="A976" s="35" t="str">
        <f t="shared" si="1"/>
        <v/>
      </c>
      <c r="B976" s="22" t="str">
        <f t="shared" si="2"/>
        <v/>
      </c>
      <c r="C976" s="14" t="str">
        <f>IF($A976&lt;&gt;"",MINIFS(Merchant!$A:$A,Merchant!$B:$B,$G$2),)</f>
        <v/>
      </c>
      <c r="D976" s="14" t="str">
        <f t="shared" si="3"/>
        <v/>
      </c>
      <c r="E976" s="14" t="str">
        <f t="shared" si="4"/>
        <v/>
      </c>
      <c r="F976" s="6" t="str">
        <f>IF($A976&lt;&gt;"",MAXIFS(#REF!,Token!$A:$A,$D976),)</f>
        <v/>
      </c>
    </row>
    <row r="977">
      <c r="A977" s="35" t="str">
        <f t="shared" si="1"/>
        <v/>
      </c>
      <c r="B977" s="22" t="str">
        <f t="shared" si="2"/>
        <v/>
      </c>
      <c r="C977" s="14" t="str">
        <f>IF($A977&lt;&gt;"",MINIFS(Merchant!$A:$A,Merchant!$B:$B,$G$2),)</f>
        <v/>
      </c>
      <c r="D977" s="14" t="str">
        <f t="shared" si="3"/>
        <v/>
      </c>
      <c r="E977" s="14" t="str">
        <f t="shared" si="4"/>
        <v/>
      </c>
      <c r="F977" s="6" t="str">
        <f>IF($A977&lt;&gt;"",MAXIFS(#REF!,Token!$A:$A,$D977),)</f>
        <v/>
      </c>
    </row>
    <row r="978">
      <c r="A978" s="35" t="str">
        <f t="shared" si="1"/>
        <v/>
      </c>
      <c r="B978" s="22" t="str">
        <f t="shared" si="2"/>
        <v/>
      </c>
      <c r="C978" s="14" t="str">
        <f>IF($A978&lt;&gt;"",MINIFS(Merchant!$A:$A,Merchant!$B:$B,$G$2),)</f>
        <v/>
      </c>
      <c r="D978" s="14" t="str">
        <f t="shared" si="3"/>
        <v/>
      </c>
      <c r="E978" s="14" t="str">
        <f t="shared" si="4"/>
        <v/>
      </c>
      <c r="F978" s="6" t="str">
        <f>IF($A978&lt;&gt;"",MAXIFS(#REF!,Token!$A:$A,$D978),)</f>
        <v/>
      </c>
    </row>
    <row r="979">
      <c r="A979" s="35" t="str">
        <f t="shared" si="1"/>
        <v/>
      </c>
      <c r="B979" s="22" t="str">
        <f t="shared" si="2"/>
        <v/>
      </c>
      <c r="C979" s="14" t="str">
        <f>IF($A979&lt;&gt;"",MINIFS(Merchant!$A:$A,Merchant!$B:$B,$G$2),)</f>
        <v/>
      </c>
      <c r="D979" s="14" t="str">
        <f t="shared" si="3"/>
        <v/>
      </c>
      <c r="E979" s="14" t="str">
        <f t="shared" si="4"/>
        <v/>
      </c>
      <c r="F979" s="6" t="str">
        <f>IF($A979&lt;&gt;"",MAXIFS(#REF!,Token!$A:$A,$D979),)</f>
        <v/>
      </c>
    </row>
    <row r="980">
      <c r="A980" s="35" t="str">
        <f t="shared" si="1"/>
        <v/>
      </c>
      <c r="B980" s="22" t="str">
        <f t="shared" si="2"/>
        <v/>
      </c>
      <c r="C980" s="14" t="str">
        <f>IF($A980&lt;&gt;"",MINIFS(Merchant!$A:$A,Merchant!$B:$B,$G$2),)</f>
        <v/>
      </c>
      <c r="D980" s="14" t="str">
        <f t="shared" si="3"/>
        <v/>
      </c>
      <c r="E980" s="14" t="str">
        <f t="shared" si="4"/>
        <v/>
      </c>
      <c r="F980" s="6" t="str">
        <f>IF($A980&lt;&gt;"",MAXIFS(#REF!,Token!$A:$A,$D980),)</f>
        <v/>
      </c>
    </row>
    <row r="981">
      <c r="A981" s="35" t="str">
        <f t="shared" si="1"/>
        <v/>
      </c>
      <c r="B981" s="22" t="str">
        <f t="shared" si="2"/>
        <v/>
      </c>
      <c r="C981" s="14" t="str">
        <f>IF($A981&lt;&gt;"",MINIFS(Merchant!$A:$A,Merchant!$B:$B,$G$2),)</f>
        <v/>
      </c>
      <c r="D981" s="14" t="str">
        <f t="shared" si="3"/>
        <v/>
      </c>
      <c r="E981" s="14" t="str">
        <f t="shared" si="4"/>
        <v/>
      </c>
      <c r="F981" s="6" t="str">
        <f>IF($A981&lt;&gt;"",MAXIFS(#REF!,Token!$A:$A,$D981),)</f>
        <v/>
      </c>
    </row>
    <row r="982">
      <c r="A982" s="35" t="str">
        <f t="shared" si="1"/>
        <v/>
      </c>
      <c r="B982" s="22" t="str">
        <f t="shared" si="2"/>
        <v/>
      </c>
      <c r="C982" s="14" t="str">
        <f>IF($A982&lt;&gt;"",MINIFS(Merchant!$A:$A,Merchant!$B:$B,$G$2),)</f>
        <v/>
      </c>
      <c r="D982" s="14" t="str">
        <f t="shared" si="3"/>
        <v/>
      </c>
      <c r="E982" s="14" t="str">
        <f t="shared" si="4"/>
        <v/>
      </c>
      <c r="F982" s="6" t="str">
        <f>IF($A982&lt;&gt;"",MAXIFS(#REF!,Token!$A:$A,$D982),)</f>
        <v/>
      </c>
    </row>
    <row r="983">
      <c r="A983" s="35" t="str">
        <f t="shared" si="1"/>
        <v/>
      </c>
      <c r="B983" s="22" t="str">
        <f t="shared" si="2"/>
        <v/>
      </c>
      <c r="C983" s="14" t="str">
        <f>IF($A983&lt;&gt;"",MINIFS(Merchant!$A:$A,Merchant!$B:$B,$G$2),)</f>
        <v/>
      </c>
      <c r="D983" s="14" t="str">
        <f t="shared" si="3"/>
        <v/>
      </c>
      <c r="E983" s="14" t="str">
        <f t="shared" si="4"/>
        <v/>
      </c>
      <c r="F983" s="6" t="str">
        <f>IF($A983&lt;&gt;"",MAXIFS(#REF!,Token!$A:$A,$D983),)</f>
        <v/>
      </c>
    </row>
    <row r="984">
      <c r="A984" s="35" t="str">
        <f t="shared" si="1"/>
        <v/>
      </c>
      <c r="B984" s="22" t="str">
        <f t="shared" si="2"/>
        <v/>
      </c>
      <c r="C984" s="14" t="str">
        <f>IF($A984&lt;&gt;"",MINIFS(Merchant!$A:$A,Merchant!$B:$B,$G$2),)</f>
        <v/>
      </c>
      <c r="D984" s="14" t="str">
        <f t="shared" si="3"/>
        <v/>
      </c>
      <c r="E984" s="14" t="str">
        <f t="shared" si="4"/>
        <v/>
      </c>
      <c r="F984" s="6" t="str">
        <f>IF($A984&lt;&gt;"",MAXIFS(#REF!,Token!$A:$A,$D984),)</f>
        <v/>
      </c>
    </row>
    <row r="985">
      <c r="A985" s="35" t="str">
        <f t="shared" si="1"/>
        <v/>
      </c>
      <c r="B985" s="22" t="str">
        <f t="shared" si="2"/>
        <v/>
      </c>
      <c r="C985" s="14" t="str">
        <f>IF($A985&lt;&gt;"",MINIFS(Merchant!$A:$A,Merchant!$B:$B,$G$2),)</f>
        <v/>
      </c>
      <c r="D985" s="14" t="str">
        <f t="shared" si="3"/>
        <v/>
      </c>
      <c r="E985" s="14" t="str">
        <f t="shared" si="4"/>
        <v/>
      </c>
      <c r="F985" s="6" t="str">
        <f>IF($A985&lt;&gt;"",MAXIFS(#REF!,Token!$A:$A,$D985),)</f>
        <v/>
      </c>
    </row>
    <row r="986">
      <c r="A986" s="35" t="str">
        <f t="shared" si="1"/>
        <v/>
      </c>
      <c r="B986" s="22" t="str">
        <f t="shared" si="2"/>
        <v/>
      </c>
      <c r="C986" s="14" t="str">
        <f>IF($A986&lt;&gt;"",MINIFS(Merchant!$A:$A,Merchant!$B:$B,$G$2),)</f>
        <v/>
      </c>
      <c r="D986" s="14" t="str">
        <f t="shared" si="3"/>
        <v/>
      </c>
      <c r="E986" s="14" t="str">
        <f t="shared" si="4"/>
        <v/>
      </c>
      <c r="F986" s="6" t="str">
        <f>IF($A986&lt;&gt;"",MAXIFS(#REF!,Token!$A:$A,$D986),)</f>
        <v/>
      </c>
    </row>
    <row r="987">
      <c r="A987" s="35" t="str">
        <f t="shared" si="1"/>
        <v/>
      </c>
      <c r="B987" s="22" t="str">
        <f t="shared" si="2"/>
        <v/>
      </c>
      <c r="C987" s="14" t="str">
        <f>IF($A987&lt;&gt;"",MINIFS(Merchant!$A:$A,Merchant!$B:$B,$G$2),)</f>
        <v/>
      </c>
      <c r="D987" s="14" t="str">
        <f t="shared" si="3"/>
        <v/>
      </c>
      <c r="E987" s="14" t="str">
        <f t="shared" si="4"/>
        <v/>
      </c>
      <c r="F987" s="6" t="str">
        <f>IF($A987&lt;&gt;"",MAXIFS(#REF!,Token!$A:$A,$D987),)</f>
        <v/>
      </c>
    </row>
    <row r="988">
      <c r="A988" s="35" t="str">
        <f t="shared" si="1"/>
        <v/>
      </c>
      <c r="B988" s="22" t="str">
        <f t="shared" si="2"/>
        <v/>
      </c>
      <c r="C988" s="14" t="str">
        <f>IF($A988&lt;&gt;"",MINIFS(Merchant!$A:$A,Merchant!$B:$B,$G$2),)</f>
        <v/>
      </c>
      <c r="D988" s="14" t="str">
        <f t="shared" si="3"/>
        <v/>
      </c>
      <c r="E988" s="14" t="str">
        <f t="shared" si="4"/>
        <v/>
      </c>
      <c r="F988" s="6" t="str">
        <f>IF($A988&lt;&gt;"",MAXIFS(#REF!,Token!$A:$A,$D988),)</f>
        <v/>
      </c>
    </row>
    <row r="989">
      <c r="A989" s="35" t="str">
        <f t="shared" si="1"/>
        <v/>
      </c>
      <c r="B989" s="22" t="str">
        <f t="shared" si="2"/>
        <v/>
      </c>
      <c r="C989" s="14" t="str">
        <f>IF($A989&lt;&gt;"",MINIFS(Merchant!$A:$A,Merchant!$B:$B,$G$2),)</f>
        <v/>
      </c>
      <c r="D989" s="14" t="str">
        <f t="shared" si="3"/>
        <v/>
      </c>
      <c r="E989" s="14" t="str">
        <f t="shared" si="4"/>
        <v/>
      </c>
      <c r="F989" s="6" t="str">
        <f>IF($A989&lt;&gt;"",MAXIFS(#REF!,Token!$A:$A,$D989),)</f>
        <v/>
      </c>
    </row>
    <row r="990">
      <c r="A990" s="35" t="str">
        <f t="shared" si="1"/>
        <v/>
      </c>
      <c r="B990" s="22" t="str">
        <f t="shared" si="2"/>
        <v/>
      </c>
      <c r="C990" s="14" t="str">
        <f>IF($A990&lt;&gt;"",MINIFS(Merchant!$A:$A,Merchant!$B:$B,$G$2),)</f>
        <v/>
      </c>
      <c r="D990" s="14" t="str">
        <f t="shared" si="3"/>
        <v/>
      </c>
      <c r="E990" s="14" t="str">
        <f t="shared" si="4"/>
        <v/>
      </c>
      <c r="F990" s="6" t="str">
        <f>IF($A990&lt;&gt;"",MAXIFS(#REF!,Token!$A:$A,$D990),)</f>
        <v/>
      </c>
    </row>
    <row r="991">
      <c r="A991" s="35" t="str">
        <f t="shared" si="1"/>
        <v/>
      </c>
      <c r="B991" s="22" t="str">
        <f t="shared" si="2"/>
        <v/>
      </c>
      <c r="C991" s="14" t="str">
        <f>IF($A991&lt;&gt;"",MINIFS(Merchant!$A:$A,Merchant!$B:$B,$G$2),)</f>
        <v/>
      </c>
      <c r="D991" s="14" t="str">
        <f t="shared" si="3"/>
        <v/>
      </c>
      <c r="E991" s="14" t="str">
        <f t="shared" si="4"/>
        <v/>
      </c>
      <c r="F991" s="6" t="str">
        <f>IF($A991&lt;&gt;"",MAXIFS(#REF!,Token!$A:$A,$D991),)</f>
        <v/>
      </c>
    </row>
    <row r="992">
      <c r="A992" s="35" t="str">
        <f t="shared" si="1"/>
        <v/>
      </c>
      <c r="B992" s="22" t="str">
        <f t="shared" si="2"/>
        <v/>
      </c>
      <c r="C992" s="14" t="str">
        <f>IF($A992&lt;&gt;"",MINIFS(Merchant!$A:$A,Merchant!$B:$B,$G$2),)</f>
        <v/>
      </c>
      <c r="D992" s="14" t="str">
        <f t="shared" si="3"/>
        <v/>
      </c>
      <c r="E992" s="14" t="str">
        <f t="shared" si="4"/>
        <v/>
      </c>
      <c r="F992" s="6" t="str">
        <f>IF($A992&lt;&gt;"",MAXIFS(#REF!,Token!$A:$A,$D992),)</f>
        <v/>
      </c>
    </row>
    <row r="993">
      <c r="A993" s="35" t="str">
        <f t="shared" si="1"/>
        <v/>
      </c>
      <c r="B993" s="22" t="str">
        <f t="shared" si="2"/>
        <v/>
      </c>
      <c r="C993" s="14" t="str">
        <f>IF($A993&lt;&gt;"",MINIFS(Merchant!$A:$A,Merchant!$B:$B,$G$2),)</f>
        <v/>
      </c>
      <c r="D993" s="14" t="str">
        <f t="shared" si="3"/>
        <v/>
      </c>
      <c r="E993" s="14" t="str">
        <f t="shared" si="4"/>
        <v/>
      </c>
      <c r="F993" s="6" t="str">
        <f>IF($A993&lt;&gt;"",MAXIFS(#REF!,Token!$A:$A,$D993),)</f>
        <v/>
      </c>
    </row>
    <row r="994">
      <c r="A994" s="35" t="str">
        <f t="shared" si="1"/>
        <v/>
      </c>
      <c r="B994" s="22" t="str">
        <f t="shared" si="2"/>
        <v/>
      </c>
      <c r="C994" s="14" t="str">
        <f>IF($A994&lt;&gt;"",MINIFS(Merchant!$A:$A,Merchant!$B:$B,$G$2),)</f>
        <v/>
      </c>
      <c r="D994" s="14" t="str">
        <f t="shared" si="3"/>
        <v/>
      </c>
      <c r="E994" s="14" t="str">
        <f t="shared" si="4"/>
        <v/>
      </c>
      <c r="F994" s="6" t="str">
        <f>IF($A994&lt;&gt;"",MAXIFS(#REF!,Token!$A:$A,$D994),)</f>
        <v/>
      </c>
    </row>
    <row r="995">
      <c r="A995" s="35" t="str">
        <f t="shared" si="1"/>
        <v/>
      </c>
      <c r="B995" s="22" t="str">
        <f t="shared" si="2"/>
        <v/>
      </c>
      <c r="C995" s="14" t="str">
        <f>IF($A995&lt;&gt;"",MINIFS(Merchant!$A:$A,Merchant!$B:$B,$G$2),)</f>
        <v/>
      </c>
      <c r="D995" s="14" t="str">
        <f t="shared" si="3"/>
        <v/>
      </c>
      <c r="E995" s="14" t="str">
        <f t="shared" si="4"/>
        <v/>
      </c>
      <c r="F995" s="6" t="str">
        <f>IF($A995&lt;&gt;"",MAXIFS(#REF!,Token!$A:$A,$D995),)</f>
        <v/>
      </c>
    </row>
    <row r="996">
      <c r="A996" s="35" t="str">
        <f t="shared" si="1"/>
        <v/>
      </c>
      <c r="B996" s="22" t="str">
        <f t="shared" si="2"/>
        <v/>
      </c>
      <c r="C996" s="14" t="str">
        <f>IF($A996&lt;&gt;"",MINIFS(Merchant!$A:$A,Merchant!$B:$B,$G$2),)</f>
        <v/>
      </c>
      <c r="D996" s="14" t="str">
        <f t="shared" si="3"/>
        <v/>
      </c>
      <c r="E996" s="14" t="str">
        <f t="shared" si="4"/>
        <v/>
      </c>
      <c r="F996" s="6" t="str">
        <f>IF($A996&lt;&gt;"",MAXIFS(#REF!,Token!$A:$A,$D996),)</f>
        <v/>
      </c>
    </row>
    <row r="997">
      <c r="A997" s="35" t="str">
        <f t="shared" si="1"/>
        <v/>
      </c>
      <c r="B997" s="22" t="str">
        <f t="shared" si="2"/>
        <v/>
      </c>
      <c r="C997" s="14" t="str">
        <f>IF($A997&lt;&gt;"",MINIFS(Merchant!$A:$A,Merchant!$B:$B,$G$2),)</f>
        <v/>
      </c>
      <c r="D997" s="14" t="str">
        <f t="shared" si="3"/>
        <v/>
      </c>
      <c r="E997" s="14" t="str">
        <f t="shared" si="4"/>
        <v/>
      </c>
      <c r="F997" s="6" t="str">
        <f>IF($A997&lt;&gt;"",MAXIFS(#REF!,Token!$A:$A,$D997),)</f>
        <v/>
      </c>
    </row>
    <row r="998">
      <c r="A998" s="35" t="str">
        <f t="shared" si="1"/>
        <v/>
      </c>
      <c r="B998" s="22" t="str">
        <f t="shared" si="2"/>
        <v/>
      </c>
      <c r="C998" s="14" t="str">
        <f>IF($A998&lt;&gt;"",MINIFS(Merchant!$A:$A,Merchant!$B:$B,$G$2),)</f>
        <v/>
      </c>
      <c r="D998" s="14" t="str">
        <f t="shared" si="3"/>
        <v/>
      </c>
      <c r="E998" s="14" t="str">
        <f t="shared" si="4"/>
        <v/>
      </c>
      <c r="F998" s="6" t="str">
        <f>IF($A998&lt;&gt;"",MAXIFS(#REF!,Token!$A:$A,$D998),)</f>
        <v/>
      </c>
    </row>
    <row r="999">
      <c r="A999" s="35" t="str">
        <f t="shared" si="1"/>
        <v/>
      </c>
      <c r="B999" s="22" t="str">
        <f t="shared" si="2"/>
        <v/>
      </c>
      <c r="C999" s="14" t="str">
        <f>IF($A999&lt;&gt;"",MINIFS(Merchant!$A:$A,Merchant!$B:$B,$G$2),)</f>
        <v/>
      </c>
      <c r="D999" s="14" t="str">
        <f t="shared" si="3"/>
        <v/>
      </c>
      <c r="E999" s="14" t="str">
        <f t="shared" si="4"/>
        <v/>
      </c>
      <c r="F999" s="6" t="str">
        <f>IF($A999&lt;&gt;"",MAXIFS(#REF!,Token!$A:$A,$D999),)</f>
        <v/>
      </c>
    </row>
    <row r="1000">
      <c r="A1000" s="35" t="str">
        <f t="shared" si="1"/>
        <v/>
      </c>
      <c r="B1000" s="22" t="str">
        <f t="shared" si="2"/>
        <v/>
      </c>
      <c r="C1000" s="14" t="str">
        <f>IF($A1000&lt;&gt;"",MINIFS(Merchant!$A:$A,Merchant!$B:$B,$G$2),)</f>
        <v/>
      </c>
      <c r="D1000" s="14" t="str">
        <f t="shared" si="3"/>
        <v/>
      </c>
      <c r="E1000" s="14" t="str">
        <f t="shared" si="4"/>
        <v/>
      </c>
      <c r="F1000" s="6" t="str">
        <f>IF($A1000&lt;&gt;"",MAXIFS(#REF!,Token!$A:$A,$D1000),)</f>
        <v/>
      </c>
    </row>
  </sheetData>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75"/>
    <col customWidth="1" min="7" max="7" width="12.63"/>
  </cols>
  <sheetData>
    <row r="1">
      <c r="A1" s="1" t="s">
        <v>4</v>
      </c>
      <c r="B1" s="1" t="s">
        <v>5</v>
      </c>
      <c r="C1" s="1" t="s">
        <v>6</v>
      </c>
      <c r="D1" s="1" t="s">
        <v>7</v>
      </c>
      <c r="E1" s="1" t="s">
        <v>8</v>
      </c>
      <c r="F1" s="11" t="s">
        <v>9</v>
      </c>
      <c r="G1" s="14">
        <v>4.0</v>
      </c>
      <c r="H1" s="14" t="s">
        <v>105</v>
      </c>
      <c r="I1" s="5" t="s">
        <v>106</v>
      </c>
      <c r="J1" s="5" t="s">
        <v>107</v>
      </c>
      <c r="K1" s="5" t="s">
        <v>108</v>
      </c>
      <c r="L1" s="5" t="s">
        <v>109</v>
      </c>
    </row>
    <row r="2">
      <c r="A2" s="35">
        <f>IF(AND($L2*1&gt;=$G$3,$L2*1&lt;=$G$4,$I2*$J2&gt;0,CONCATENATE($H2:$L2)&lt;&gt;CONCATENATE($H3:$L3),$I2/POW(10,$J2)*MAXIFS(Token!$B:$B,Token!$A:$A,$K2)&gt;0.01),$L2/86400+DATE(1970,1,1)+IF($L2*1&gt;=$G$5,$G$6,0),)</f>
        <v>44806.96091</v>
      </c>
      <c r="B2" s="22">
        <f t="shared" ref="B2:B1000" si="1">IF($A2&lt;&gt;"",$E2*$F2,)</f>
        <v>10</v>
      </c>
      <c r="C2" s="14">
        <f>IF($A2&lt;&gt;"",MINIFS(Merchant!$A:$A,Merchant!$B:$B,$G$2),)</f>
        <v>4</v>
      </c>
      <c r="D2" s="14" t="str">
        <f t="shared" ref="D2:D1000" si="2">IF($A2&lt;&gt;"",$K2,)</f>
        <v>agEUR</v>
      </c>
      <c r="E2" s="14">
        <f t="shared" ref="E2:E1000" si="3">IF($A2&lt;&gt;"",$I2/POW(10,$J2),)</f>
        <v>10</v>
      </c>
      <c r="F2" s="6">
        <f>IF($A2&lt;&gt;"",MAXIFS(Token!$B:$B,Token!$A:$A,$D2),)</f>
        <v>1</v>
      </c>
      <c r="G2" s="14" t="str">
        <f>VLOOKUP($G1,Merchant!$A:$B,2)</f>
        <v>BNnncdQZ9YokyQJX8of4K2YGw3pvLt2SVkXK131E1nFy</v>
      </c>
      <c r="H2" s="5" t="str">
        <f>IFERROR(__xludf.DUMMYFUNCTION("IF(AND($G$11,$G$1&gt;1,INDEX(I:I,ROW()-1)&lt;&gt;""""),ImportJSON(""https://public-api.solscan.io/account/splTransfers?account=""&amp;$G$2&amp;IF($G$5,""&amp;fromTime=""&amp;TO_TEXT($G$3)&amp;""&amp;toTime=""&amp;TO_TEXT($G$4),)&amp;""&amp;offset=""&amp;ROW()-2&amp;""&amp;limit=50""&amp;$G$7,TEXTJOIN("","",1,$H$1:$"&amp;"L$1),""noHeaders""),)"),"124")</f>
        <v>124</v>
      </c>
      <c r="I2" s="5" t="str">
        <f>IFERROR(__xludf.DUMMYFUNCTION("""COMPUTED_VALUE"""),"1000000000")</f>
        <v>1000000000</v>
      </c>
      <c r="J2" s="5" t="str">
        <f>IFERROR(__xludf.DUMMYFUNCTION("""COMPUTED_VALUE"""),"8")</f>
        <v>8</v>
      </c>
      <c r="K2" s="5" t="str">
        <f>IFERROR(__xludf.DUMMYFUNCTION("""COMPUTED_VALUE"""),"agEUR")</f>
        <v>agEUR</v>
      </c>
      <c r="L2" s="5" t="str">
        <f>IFERROR(__xludf.DUMMYFUNCTION("""COMPUTED_VALUE"""),"1662159823")</f>
        <v>1662159823</v>
      </c>
    </row>
    <row r="3">
      <c r="A3" s="35">
        <f>IF(AND($L3*1&gt;=$G$3,$L3*1&lt;=$G$4,$I3*$J3&gt;0,CONCATENATE($H3:$L3)&lt;&gt;CONCATENATE($H4:$L4),$I3/POW(10,$J3)*MAXIFS(Token!$B:$B,Token!$A:$A,$K3)&gt;0.01),$L3/86400+DATE(1970,1,1)+IF($L3*1&gt;=$G$5,$G$6,0),)</f>
        <v>44806.75063</v>
      </c>
      <c r="B3" s="22">
        <f t="shared" si="1"/>
        <v>20</v>
      </c>
      <c r="C3" s="14">
        <f>IF($A3&lt;&gt;"",MINIFS(Merchant!$A:$A,Merchant!$B:$B,$G$2),)</f>
        <v>4</v>
      </c>
      <c r="D3" s="14" t="str">
        <f t="shared" si="2"/>
        <v>agEUR</v>
      </c>
      <c r="E3" s="14">
        <f t="shared" si="3"/>
        <v>20</v>
      </c>
      <c r="F3" s="6">
        <f>IF($A3&lt;&gt;"",MAXIFS(Token!$B:$B,Token!$A:$A,$D3),)</f>
        <v>1</v>
      </c>
      <c r="G3" s="5">
        <f>IFERROR((MIN(TODAY(),VLOOKUP($G$1,Merchant!$A:$L,10))-DATE(1970,1,1)-IF($G$6&lt;&gt;"",$G$6,0))*86400,0)</f>
        <v>1661713810</v>
      </c>
      <c r="H3" s="5" t="str">
        <f>IFERROR(__xludf.DUMMYFUNCTION("""COMPUTED_VALUE"""),"124")</f>
        <v>124</v>
      </c>
      <c r="I3" s="5" t="str">
        <f>IFERROR(__xludf.DUMMYFUNCTION("""COMPUTED_VALUE"""),"2000000000")</f>
        <v>2000000000</v>
      </c>
      <c r="J3" s="5" t="str">
        <f>IFERROR(__xludf.DUMMYFUNCTION("""COMPUTED_VALUE"""),"8")</f>
        <v>8</v>
      </c>
      <c r="K3" s="5" t="str">
        <f>IFERROR(__xludf.DUMMYFUNCTION("""COMPUTED_VALUE"""),"agEUR")</f>
        <v>agEUR</v>
      </c>
      <c r="L3" s="5" t="str">
        <f>IFERROR(__xludf.DUMMYFUNCTION("""COMPUTED_VALUE"""),"1662141654")</f>
        <v>1662141654</v>
      </c>
    </row>
    <row r="4">
      <c r="A4" s="35" t="str">
        <f>IF(AND($L4*1&gt;=$G$3,$L4*1&lt;=$G$4,$I4*$J4&gt;0,CONCATENATE($H4:$L4)&lt;&gt;CONCATENATE($H5:$L5),$I4/POW(10,$J4)*MAXIFS(Token!$B:$B,Token!$A:$A,$K4)&gt;0.01),$L4/86400+DATE(1970,1,1)+IF($L4*1&gt;=$G$5,$G$6,0),)</f>
        <v/>
      </c>
      <c r="B4" s="22" t="str">
        <f t="shared" si="1"/>
        <v/>
      </c>
      <c r="C4" s="14" t="str">
        <f>IF($A4&lt;&gt;"",MINIFS(Merchant!$A:$A,Merchant!$B:$B,$G$2),)</f>
        <v/>
      </c>
      <c r="D4" s="14" t="str">
        <f t="shared" si="2"/>
        <v/>
      </c>
      <c r="E4" s="14" t="str">
        <f t="shared" si="3"/>
        <v/>
      </c>
      <c r="F4" s="6" t="str">
        <f>IF($A4&lt;&gt;"",MAXIFS(Token!$B:$B,Token!$A:$A,$D4),)</f>
        <v/>
      </c>
      <c r="G4" s="5">
        <f>IFERROR((MAX(VLOOKUP($G$1,Merchant!$A:$L,10),VLOOKUP($G$1,Merchant!$A:$L,11))-DATE(1970,1,1)-IF($G$6&lt;&gt;"",$G$6,0))*86400,0)</f>
        <v>1662318000</v>
      </c>
      <c r="H4" s="5" t="str">
        <f>IFERROR(__xludf.DUMMYFUNCTION("""COMPUTED_VALUE"""),"124")</f>
        <v>124</v>
      </c>
      <c r="I4" s="5" t="str">
        <f>IFERROR(__xludf.DUMMYFUNCTION("""COMPUTED_VALUE"""),"-900000000")</f>
        <v>-900000000</v>
      </c>
      <c r="J4" s="5" t="str">
        <f>IFERROR(__xludf.DUMMYFUNCTION("""COMPUTED_VALUE"""),"8")</f>
        <v>8</v>
      </c>
      <c r="K4" s="5" t="str">
        <f>IFERROR(__xludf.DUMMYFUNCTION("""COMPUTED_VALUE"""),"agEUR")</f>
        <v>agEUR</v>
      </c>
      <c r="L4" s="5" t="str">
        <f>IFERROR(__xludf.DUMMYFUNCTION("""COMPUTED_VALUE"""),"1662026953")</f>
        <v>1662026953</v>
      </c>
    </row>
    <row r="5">
      <c r="A5" s="35" t="str">
        <f>IF(AND($L5*1&gt;=$G$3,$L5*1&lt;=$G$4,$I5*$J5&gt;0,CONCATENATE($H5:$L5)&lt;&gt;CONCATENATE($H6:$L6),$I5/POW(10,$J5)*MAXIFS(Token!$B:$B,Token!$A:$A,$K5)&gt;0.01),$L5/86400+DATE(1970,1,1)+IF($L5*1&gt;=$G$5,$G$6,0),)</f>
        <v/>
      </c>
      <c r="B5" s="22" t="str">
        <f t="shared" si="1"/>
        <v/>
      </c>
      <c r="C5" s="14" t="str">
        <f>IF($A5&lt;&gt;"",MINIFS(Merchant!$A:$A,Merchant!$B:$B,$G$2),)</f>
        <v/>
      </c>
      <c r="D5" s="14" t="str">
        <f t="shared" si="2"/>
        <v/>
      </c>
      <c r="E5" s="14" t="str">
        <f t="shared" si="3"/>
        <v/>
      </c>
      <c r="F5" s="6" t="str">
        <f>IF($A5&lt;&gt;"",MAXIFS(Token!$B:$B,Token!$A:$A,$D5),)</f>
        <v/>
      </c>
      <c r="G5" s="36" t="b">
        <f>FALSE</f>
        <v>0</v>
      </c>
      <c r="H5" s="5" t="str">
        <f>IFERROR(__xludf.DUMMYFUNCTION("""COMPUTED_VALUE"""),"124")</f>
        <v>124</v>
      </c>
      <c r="I5" s="5" t="str">
        <f>IFERROR(__xludf.DUMMYFUNCTION("""COMPUTED_VALUE"""),"-900000000")</f>
        <v>-900000000</v>
      </c>
      <c r="J5" s="5" t="str">
        <f>IFERROR(__xludf.DUMMYFUNCTION("""COMPUTED_VALUE"""),"8")</f>
        <v>8</v>
      </c>
      <c r="K5" s="5" t="str">
        <f>IFERROR(__xludf.DUMMYFUNCTION("""COMPUTED_VALUE"""),"agEUR")</f>
        <v>agEUR</v>
      </c>
      <c r="L5" s="5" t="str">
        <f>IFERROR(__xludf.DUMMYFUNCTION("""COMPUTED_VALUE"""),"1662026951")</f>
        <v>1662026951</v>
      </c>
    </row>
    <row r="6">
      <c r="A6" s="35" t="str">
        <f>IF(AND($L6*1&gt;=$G$3,$L6*1&lt;=$G$4,$I6*$J6&gt;0,CONCATENATE($H6:$L6)&lt;&gt;CONCATENATE($H7:$L7),$I6/POW(10,$J6)*MAXIFS(Token!$B:$B,Token!$A:$A,$K6)&gt;0.01),$L6/86400+DATE(1970,1,1)+IF($L6*1&gt;=$G$5,$G$6,0),)</f>
        <v/>
      </c>
      <c r="B6" s="22" t="str">
        <f t="shared" si="1"/>
        <v/>
      </c>
      <c r="C6" s="14" t="str">
        <f>IF($A6&lt;&gt;"",MINIFS(Merchant!$A:$A,Merchant!$B:$B,$G$2),)</f>
        <v/>
      </c>
      <c r="D6" s="14" t="str">
        <f t="shared" si="2"/>
        <v/>
      </c>
      <c r="E6" s="14" t="str">
        <f t="shared" si="3"/>
        <v/>
      </c>
      <c r="F6" s="6" t="str">
        <f>IF($A6&lt;&gt;"",MAXIFS(Token!$B:$B,Token!$A:$A,$D6),)</f>
        <v/>
      </c>
      <c r="G6" s="37">
        <f>TIME(2,0,0)</f>
        <v>0.08333333333</v>
      </c>
      <c r="H6" s="5" t="str">
        <f>IFERROR(__xludf.DUMMYFUNCTION("""COMPUTED_VALUE"""),"124")</f>
        <v>124</v>
      </c>
      <c r="I6" s="5" t="str">
        <f>IFERROR(__xludf.DUMMYFUNCTION("""COMPUTED_VALUE"""),"-700000000")</f>
        <v>-700000000</v>
      </c>
      <c r="J6" s="5" t="str">
        <f>IFERROR(__xludf.DUMMYFUNCTION("""COMPUTED_VALUE"""),"8")</f>
        <v>8</v>
      </c>
      <c r="K6" s="5" t="str">
        <f>IFERROR(__xludf.DUMMYFUNCTION("""COMPUTED_VALUE"""),"agEUR")</f>
        <v>agEUR</v>
      </c>
      <c r="L6" s="5" t="str">
        <f>IFERROR(__xludf.DUMMYFUNCTION("""COMPUTED_VALUE"""),"1662025879")</f>
        <v>1662025879</v>
      </c>
    </row>
    <row r="7">
      <c r="A7" s="35" t="str">
        <f>IF(AND($L7*1&gt;=$G$3,$L7*1&lt;=$G$4,$I7*$J7&gt;0,CONCATENATE($H7:$L7)&lt;&gt;CONCATENATE($H8:$L8),$I7/POW(10,$J7)*MAXIFS(Token!$B:$B,Token!$A:$A,$K7)&gt;0.01),$L7/86400+DATE(1970,1,1)+IF($L7*1&gt;=$G$5,$G$6,0),)</f>
        <v/>
      </c>
      <c r="B7" s="22" t="str">
        <f t="shared" si="1"/>
        <v/>
      </c>
      <c r="C7" s="14" t="str">
        <f>IF($A7&lt;&gt;"",MINIFS(Merchant!$A:$A,Merchant!$B:$B,$G$2),)</f>
        <v/>
      </c>
      <c r="D7" s="14" t="str">
        <f t="shared" si="2"/>
        <v/>
      </c>
      <c r="E7" s="14" t="str">
        <f t="shared" si="3"/>
        <v/>
      </c>
      <c r="F7" s="6" t="str">
        <f>IF($A7&lt;&gt;"",MAXIFS(Token!$B:$B,Token!$A:$A,$D7),)</f>
        <v/>
      </c>
      <c r="G7" s="14" t="s">
        <v>100</v>
      </c>
      <c r="H7" s="5" t="str">
        <f>IFERROR(__xludf.DUMMYFUNCTION("""COMPUTED_VALUE"""),"124")</f>
        <v>124</v>
      </c>
      <c r="I7" s="5" t="str">
        <f>IFERROR(__xludf.DUMMYFUNCTION("""COMPUTED_VALUE"""),"-700000000")</f>
        <v>-700000000</v>
      </c>
      <c r="J7" s="5" t="str">
        <f>IFERROR(__xludf.DUMMYFUNCTION("""COMPUTED_VALUE"""),"8")</f>
        <v>8</v>
      </c>
      <c r="K7" s="5" t="str">
        <f>IFERROR(__xludf.DUMMYFUNCTION("""COMPUTED_VALUE"""),"agEUR")</f>
        <v>agEUR</v>
      </c>
      <c r="L7" s="5" t="str">
        <f>IFERROR(__xludf.DUMMYFUNCTION("""COMPUTED_VALUE"""),"1662025879")</f>
        <v>1662025879</v>
      </c>
    </row>
    <row r="8">
      <c r="A8" s="35" t="str">
        <f>IF(AND($L8*1&gt;=$G$3,$L8*1&lt;=$G$4,$I8*$J8&gt;0,CONCATENATE($H8:$L8)&lt;&gt;CONCATENATE($H9:$L9),$I8/POW(10,$J8)*MAXIFS(Token!$B:$B,Token!$A:$A,$K8)&gt;0.01),$L8/86400+DATE(1970,1,1)+IF($L8*1&gt;=$G$5,$G$6,0),)</f>
        <v/>
      </c>
      <c r="B8" s="22" t="str">
        <f t="shared" si="1"/>
        <v/>
      </c>
      <c r="C8" s="14" t="str">
        <f>IF($A8&lt;&gt;"",MINIFS(Merchant!$A:$A,Merchant!$B:$B,$G$2),)</f>
        <v/>
      </c>
      <c r="D8" s="14" t="str">
        <f t="shared" si="2"/>
        <v/>
      </c>
      <c r="E8" s="14" t="str">
        <f t="shared" si="3"/>
        <v/>
      </c>
      <c r="F8" s="6" t="str">
        <f>IF($A8&lt;&gt;"",MAXIFS(Token!$B:$B,Token!$A:$A,$D8),)</f>
        <v/>
      </c>
      <c r="G8" s="5" t="b">
        <f>COUNTIF(OFFSET($A:$A,1,0),"&lt;&gt;")&lt;&gt;COUNTIF(Transactions!$C:$C,$G$1)</f>
        <v>1</v>
      </c>
      <c r="H8" s="5" t="str">
        <f>IFERROR(__xludf.DUMMYFUNCTION("""COMPUTED_VALUE"""),"124")</f>
        <v>124</v>
      </c>
      <c r="I8" s="5" t="str">
        <f>IFERROR(__xludf.DUMMYFUNCTION("""COMPUTED_VALUE"""),"-700000000")</f>
        <v>-700000000</v>
      </c>
      <c r="J8" s="5" t="str">
        <f>IFERROR(__xludf.DUMMYFUNCTION("""COMPUTED_VALUE"""),"8")</f>
        <v>8</v>
      </c>
      <c r="K8" s="5" t="str">
        <f>IFERROR(__xludf.DUMMYFUNCTION("""COMPUTED_VALUE"""),"agEUR")</f>
        <v>agEUR</v>
      </c>
      <c r="L8" s="5" t="str">
        <f>IFERROR(__xludf.DUMMYFUNCTION("""COMPUTED_VALUE"""),"1662025862")</f>
        <v>1662025862</v>
      </c>
    </row>
    <row r="9">
      <c r="A9" s="35" t="str">
        <f>IF(AND($L9*1&gt;=$G$3,$L9*1&lt;=$G$4,$I9*$J9&gt;0,CONCATENATE($H9:$L9)&lt;&gt;CONCATENATE($H10:$L10),$I9/POW(10,$J9)*MAXIFS(Token!$B:$B,Token!$A:$A,$K9)&gt;0.01),$L9/86400+DATE(1970,1,1)+IF($L9*1&gt;=$G$5,$G$6,0),)</f>
        <v/>
      </c>
      <c r="B9" s="22" t="str">
        <f t="shared" si="1"/>
        <v/>
      </c>
      <c r="C9" s="14" t="str">
        <f>IF($A9&lt;&gt;"",MINIFS(Merchant!$A:$A,Merchant!$B:$B,$G$2),)</f>
        <v/>
      </c>
      <c r="D9" s="14" t="str">
        <f t="shared" si="2"/>
        <v/>
      </c>
      <c r="E9" s="14" t="str">
        <f t="shared" si="3"/>
        <v/>
      </c>
      <c r="F9" s="6" t="str">
        <f>IF($A9&lt;&gt;"",MAXIFS(Token!$B:$B,Token!$A:$A,$D9),)</f>
        <v/>
      </c>
      <c r="G9" s="38">
        <f>TODAY()+TIME(7,0,0)</f>
        <v>44807.29167</v>
      </c>
      <c r="H9" s="5" t="str">
        <f>IFERROR(__xludf.DUMMYFUNCTION("""COMPUTED_VALUE"""),"124")</f>
        <v>124</v>
      </c>
      <c r="I9" s="5" t="str">
        <f>IFERROR(__xludf.DUMMYFUNCTION("""COMPUTED_VALUE"""),"1000000")</f>
        <v>1000000</v>
      </c>
      <c r="J9" s="5" t="str">
        <f>IFERROR(__xludf.DUMMYFUNCTION("""COMPUTED_VALUE"""),"8")</f>
        <v>8</v>
      </c>
      <c r="K9" s="5" t="str">
        <f>IFERROR(__xludf.DUMMYFUNCTION("""COMPUTED_VALUE"""),"agEUR")</f>
        <v>agEUR</v>
      </c>
      <c r="L9" s="5" t="str">
        <f>IFERROR(__xludf.DUMMYFUNCTION("""COMPUTED_VALUE"""),"1661891589")</f>
        <v>1661891589</v>
      </c>
    </row>
    <row r="10">
      <c r="A10" s="35">
        <f>IF(AND($L10*1&gt;=$G$3,$L10*1&lt;=$G$4,$I10*$J10&gt;0,CONCATENATE($H10:$L10)&lt;&gt;CONCATENATE($H11:$L11),$I10/POW(10,$J10)*MAXIFS(Token!$B:$B,Token!$A:$A,$K10)&gt;0.01),$L10/86400+DATE(1970,1,1)+IF($L10*1&gt;=$G$5,$G$6,0),)</f>
        <v>44803.38685</v>
      </c>
      <c r="B10" s="22">
        <f t="shared" si="1"/>
        <v>10.8</v>
      </c>
      <c r="C10" s="14">
        <f>IF($A10&lt;&gt;"",MINIFS(Merchant!$A:$A,Merchant!$B:$B,$G$2),)</f>
        <v>4</v>
      </c>
      <c r="D10" s="14" t="str">
        <f t="shared" si="2"/>
        <v>agEUR</v>
      </c>
      <c r="E10" s="14">
        <f t="shared" si="3"/>
        <v>10.8</v>
      </c>
      <c r="F10" s="6">
        <f>IF($A10&lt;&gt;"",MAXIFS(Token!$B:$B,Token!$A:$A,$D10),)</f>
        <v>1</v>
      </c>
      <c r="G10" s="38">
        <f>TODAY()+TIME(22,0,0)</f>
        <v>44807.91667</v>
      </c>
      <c r="H10" s="5" t="str">
        <f>IFERROR(__xludf.DUMMYFUNCTION("""COMPUTED_VALUE"""),"124")</f>
        <v>124</v>
      </c>
      <c r="I10" s="5" t="str">
        <f>IFERROR(__xludf.DUMMYFUNCTION("""COMPUTED_VALUE"""),"1080000000")</f>
        <v>1080000000</v>
      </c>
      <c r="J10" s="5" t="str">
        <f>IFERROR(__xludf.DUMMYFUNCTION("""COMPUTED_VALUE"""),"8")</f>
        <v>8</v>
      </c>
      <c r="K10" s="5" t="str">
        <f>IFERROR(__xludf.DUMMYFUNCTION("""COMPUTED_VALUE"""),"agEUR")</f>
        <v>agEUR</v>
      </c>
      <c r="L10" s="5" t="str">
        <f>IFERROR(__xludf.DUMMYFUNCTION("""COMPUTED_VALUE"""),"1661851024")</f>
        <v>1661851024</v>
      </c>
    </row>
    <row r="11">
      <c r="A11" s="35" t="str">
        <f>IF(AND($L11*1&gt;=$G$3,$L11*1&lt;=$G$4,$I11*$J11&gt;0,CONCATENATE($H11:$L11)&lt;&gt;CONCATENATE($H12:$L12),$I11/POW(10,$J11)*MAXIFS(Token!$B:$B,Token!$A:$A,$K11)&gt;0.01),$L11/86400+DATE(1970,1,1)+IF($L11*1&gt;=$G$5,$G$6,0),)</f>
        <v/>
      </c>
      <c r="B11" s="22" t="str">
        <f t="shared" si="1"/>
        <v/>
      </c>
      <c r="C11" s="14" t="str">
        <f>IF($A11&lt;&gt;"",MINIFS(Merchant!$A:$A,Merchant!$B:$B,$G$2),)</f>
        <v/>
      </c>
      <c r="D11" s="14" t="str">
        <f t="shared" si="2"/>
        <v/>
      </c>
      <c r="E11" s="14" t="str">
        <f t="shared" si="3"/>
        <v/>
      </c>
      <c r="F11" s="6" t="str">
        <f>IF($A11&lt;&gt;"",MAXIFS(Token!$B:$B,Token!$A:$A,$D11),)</f>
        <v/>
      </c>
      <c r="G11" s="5" t="b">
        <f>OR(TRUE,AND(NOW()&gt;$G$9,NOW()&lt;=$G$10))</f>
        <v>1</v>
      </c>
      <c r="H11" s="5" t="str">
        <f>IFERROR(__xludf.DUMMYFUNCTION("""COMPUTED_VALUE"""),"124")</f>
        <v>124</v>
      </c>
      <c r="I11" s="5" t="str">
        <f>IFERROR(__xludf.DUMMYFUNCTION("""COMPUTED_VALUE"""),"6052000000")</f>
        <v>6052000000</v>
      </c>
      <c r="J11" s="5" t="str">
        <f>IFERROR(__xludf.DUMMYFUNCTION("""COMPUTED_VALUE"""),"8")</f>
        <v>8</v>
      </c>
      <c r="K11" s="5" t="str">
        <f>IFERROR(__xludf.DUMMYFUNCTION("""COMPUTED_VALUE"""),"agEUR")</f>
        <v>agEUR</v>
      </c>
      <c r="L11" s="5" t="str">
        <f>IFERROR(__xludf.DUMMYFUNCTION("""COMPUTED_VALUE"""),"1661193732")</f>
        <v>1661193732</v>
      </c>
    </row>
    <row r="12">
      <c r="A12" s="35" t="str">
        <f>IF(AND($L12*1&gt;=$G$3,$L12*1&lt;=$G$4,$I12*$J12&gt;0,CONCATENATE($H12:$L12)&lt;&gt;CONCATENATE($H13:$L13),$I12/POW(10,$J12)*MAXIFS(Token!$B:$B,Token!$A:$A,$K12)&gt;0.01),$L12/86400+DATE(1970,1,1)+IF($L12*1&gt;=$G$5,$G$6,0),)</f>
        <v/>
      </c>
      <c r="B12" s="22" t="str">
        <f t="shared" si="1"/>
        <v/>
      </c>
      <c r="C12" s="14" t="str">
        <f>IF($A12&lt;&gt;"",MINIFS(Merchant!$A:$A,Merchant!$B:$B,$G$2),)</f>
        <v/>
      </c>
      <c r="D12" s="14" t="str">
        <f t="shared" si="2"/>
        <v/>
      </c>
      <c r="E12" s="14" t="str">
        <f t="shared" si="3"/>
        <v/>
      </c>
      <c r="F12" s="6" t="str">
        <f>IF($A12&lt;&gt;"",MAXIFS(Token!$B:$B,Token!$A:$A,$D12),)</f>
        <v/>
      </c>
      <c r="H12" s="5" t="str">
        <f>IFERROR(__xludf.DUMMYFUNCTION("""COMPUTED_VALUE"""),"124")</f>
        <v>124</v>
      </c>
      <c r="I12" s="5" t="str">
        <f>IFERROR(__xludf.DUMMYFUNCTION("""COMPUTED_VALUE"""),"-2180000000")</f>
        <v>-2180000000</v>
      </c>
      <c r="J12" s="5" t="str">
        <f>IFERROR(__xludf.DUMMYFUNCTION("""COMPUTED_VALUE"""),"8")</f>
        <v>8</v>
      </c>
      <c r="K12" s="5" t="str">
        <f>IFERROR(__xludf.DUMMYFUNCTION("""COMPUTED_VALUE"""),"agEUR")</f>
        <v>agEUR</v>
      </c>
      <c r="L12" s="5" t="str">
        <f>IFERROR(__xludf.DUMMYFUNCTION("""COMPUTED_VALUE"""),"1660982759")</f>
        <v>1660982759</v>
      </c>
    </row>
    <row r="13">
      <c r="A13" s="35" t="str">
        <f>IF(AND($L13*1&gt;=$G$3,$L13*1&lt;=$G$4,$I13*$J13&gt;0,CONCATENATE($H13:$L13)&lt;&gt;CONCATENATE($H14:$L14),$I13/POW(10,$J13)*MAXIFS(Token!$B:$B,Token!$A:$A,$K13)&gt;0.01),$L13/86400+DATE(1970,1,1)+IF($L13*1&gt;=$G$5,$G$6,0),)</f>
        <v/>
      </c>
      <c r="B13" s="22" t="str">
        <f t="shared" si="1"/>
        <v/>
      </c>
      <c r="C13" s="14" t="str">
        <f>IF($A13&lt;&gt;"",MINIFS(Merchant!$A:$A,Merchant!$B:$B,$G$2),)</f>
        <v/>
      </c>
      <c r="D13" s="14" t="str">
        <f t="shared" si="2"/>
        <v/>
      </c>
      <c r="E13" s="14" t="str">
        <f t="shared" si="3"/>
        <v/>
      </c>
      <c r="F13" s="6" t="str">
        <f>IF($A13&lt;&gt;"",MAXIFS(Token!$B:$B,Token!$A:$A,$D13),)</f>
        <v/>
      </c>
      <c r="H13" s="5" t="str">
        <f>IFERROR(__xludf.DUMMYFUNCTION("""COMPUTED_VALUE"""),"124")</f>
        <v>124</v>
      </c>
      <c r="I13" s="5" t="str">
        <f>IFERROR(__xludf.DUMMYFUNCTION("""COMPUTED_VALUE"""),"-2180000000")</f>
        <v>-2180000000</v>
      </c>
      <c r="J13" s="5" t="str">
        <f>IFERROR(__xludf.DUMMYFUNCTION("""COMPUTED_VALUE"""),"8")</f>
        <v>8</v>
      </c>
      <c r="K13" s="5" t="str">
        <f>IFERROR(__xludf.DUMMYFUNCTION("""COMPUTED_VALUE"""),"agEUR")</f>
        <v>agEUR</v>
      </c>
      <c r="L13" s="5" t="str">
        <f>IFERROR(__xludf.DUMMYFUNCTION("""COMPUTED_VALUE"""),"1660982759")</f>
        <v>1660982759</v>
      </c>
    </row>
    <row r="14">
      <c r="A14" s="35" t="str">
        <f>IF(AND($L14*1&gt;=$G$3,$L14*1&lt;=$G$4,$I14*$J14&gt;0,CONCATENATE($H14:$L14)&lt;&gt;CONCATENATE($H15:$L15),$I14/POW(10,$J14)*MAXIFS(Token!$B:$B,Token!$A:$A,$K14)&gt;0.01),$L14/86400+DATE(1970,1,1)+IF($L14*1&gt;=$G$5,$G$6,0),)</f>
        <v/>
      </c>
      <c r="B14" s="22" t="str">
        <f t="shared" si="1"/>
        <v/>
      </c>
      <c r="C14" s="14" t="str">
        <f>IF($A14&lt;&gt;"",MINIFS(Merchant!$A:$A,Merchant!$B:$B,$G$2),)</f>
        <v/>
      </c>
      <c r="D14" s="14" t="str">
        <f t="shared" si="2"/>
        <v/>
      </c>
      <c r="E14" s="14" t="str">
        <f t="shared" si="3"/>
        <v/>
      </c>
      <c r="F14" s="6" t="str">
        <f>IF($A14&lt;&gt;"",MAXIFS(Token!$B:$B,Token!$A:$A,$D14),)</f>
        <v/>
      </c>
      <c r="H14" s="5" t="str">
        <f>IFERROR(__xludf.DUMMYFUNCTION("""COMPUTED_VALUE"""),"124")</f>
        <v>124</v>
      </c>
      <c r="I14" s="5" t="str">
        <f>IFERROR(__xludf.DUMMYFUNCTION("""COMPUTED_VALUE"""),"-500000000")</f>
        <v>-500000000</v>
      </c>
      <c r="J14" s="5" t="str">
        <f>IFERROR(__xludf.DUMMYFUNCTION("""COMPUTED_VALUE"""),"8")</f>
        <v>8</v>
      </c>
      <c r="K14" s="5" t="str">
        <f>IFERROR(__xludf.DUMMYFUNCTION("""COMPUTED_VALUE"""),"agEUR")</f>
        <v>agEUR</v>
      </c>
      <c r="L14" s="5" t="str">
        <f>IFERROR(__xludf.DUMMYFUNCTION("""COMPUTED_VALUE"""),"1660903869")</f>
        <v>1660903869</v>
      </c>
    </row>
    <row r="15">
      <c r="A15" s="35" t="str">
        <f>IF(AND($L15*1&gt;=$G$3,$L15*1&lt;=$G$4,$I15*$J15&gt;0,CONCATENATE($H15:$L15)&lt;&gt;CONCATENATE($H16:$L16),$I15/POW(10,$J15)*MAXIFS(Token!$B:$B,Token!$A:$A,$K15)&gt;0.01),$L15/86400+DATE(1970,1,1)+IF($L15*1&gt;=$G$5,$G$6,0),)</f>
        <v/>
      </c>
      <c r="B15" s="22" t="str">
        <f t="shared" si="1"/>
        <v/>
      </c>
      <c r="C15" s="14" t="str">
        <f>IF($A15&lt;&gt;"",MINIFS(Merchant!$A:$A,Merchant!$B:$B,$G$2),)</f>
        <v/>
      </c>
      <c r="D15" s="14" t="str">
        <f t="shared" si="2"/>
        <v/>
      </c>
      <c r="E15" s="14" t="str">
        <f t="shared" si="3"/>
        <v/>
      </c>
      <c r="F15" s="6" t="str">
        <f>IF($A15&lt;&gt;"",MAXIFS(Token!$B:$B,Token!$A:$A,$D15),)</f>
        <v/>
      </c>
      <c r="G15" s="35"/>
      <c r="H15" s="5" t="str">
        <f>IFERROR(__xludf.DUMMYFUNCTION("""COMPUTED_VALUE"""),"124")</f>
        <v>124</v>
      </c>
      <c r="I15" s="5" t="str">
        <f>IFERROR(__xludf.DUMMYFUNCTION("""COMPUTED_VALUE"""),"-130000000")</f>
        <v>-130000000</v>
      </c>
      <c r="J15" s="5" t="str">
        <f>IFERROR(__xludf.DUMMYFUNCTION("""COMPUTED_VALUE"""),"8")</f>
        <v>8</v>
      </c>
      <c r="K15" s="5" t="str">
        <f>IFERROR(__xludf.DUMMYFUNCTION("""COMPUTED_VALUE"""),"agEUR")</f>
        <v>agEUR</v>
      </c>
      <c r="L15" s="5" t="str">
        <f>IFERROR(__xludf.DUMMYFUNCTION("""COMPUTED_VALUE"""),"1660903076")</f>
        <v>1660903076</v>
      </c>
    </row>
    <row r="16">
      <c r="A16" s="35" t="str">
        <f>IF(AND($L16*1&gt;=$G$3,$L16*1&lt;=$G$4,$I16*$J16&gt;0,CONCATENATE($H16:$L16)&lt;&gt;CONCATENATE($H17:$L17),$I16/POW(10,$J16)*MAXIFS(Token!$B:$B,Token!$A:$A,$K16)&gt;0.01),$L16/86400+DATE(1970,1,1)+IF($L16*1&gt;=$G$5,$G$6,0),)</f>
        <v/>
      </c>
      <c r="B16" s="22" t="str">
        <f t="shared" si="1"/>
        <v/>
      </c>
      <c r="C16" s="14" t="str">
        <f>IF($A16&lt;&gt;"",MINIFS(Merchant!$A:$A,Merchant!$B:$B,$G$2),)</f>
        <v/>
      </c>
      <c r="D16" s="14" t="str">
        <f t="shared" si="2"/>
        <v/>
      </c>
      <c r="E16" s="14" t="str">
        <f t="shared" si="3"/>
        <v/>
      </c>
      <c r="F16" s="6" t="str">
        <f>IF($A16&lt;&gt;"",MAXIFS(Token!$B:$B,Token!$A:$A,$D16),)</f>
        <v/>
      </c>
      <c r="H16" s="5" t="str">
        <f>IFERROR(__xludf.DUMMYFUNCTION("""COMPUTED_VALUE"""),"124")</f>
        <v>124</v>
      </c>
      <c r="I16" s="5" t="str">
        <f>IFERROR(__xludf.DUMMYFUNCTION("""COMPUTED_VALUE"""),"-460000000")</f>
        <v>-460000000</v>
      </c>
      <c r="J16" s="5" t="str">
        <f>IFERROR(__xludf.DUMMYFUNCTION("""COMPUTED_VALUE"""),"8")</f>
        <v>8</v>
      </c>
      <c r="K16" s="5" t="str">
        <f>IFERROR(__xludf.DUMMYFUNCTION("""COMPUTED_VALUE"""),"agEUR")</f>
        <v>agEUR</v>
      </c>
      <c r="L16" s="5" t="str">
        <f>IFERROR(__xludf.DUMMYFUNCTION("""COMPUTED_VALUE"""),"1660897244")</f>
        <v>1660897244</v>
      </c>
    </row>
    <row r="17">
      <c r="A17" s="35" t="str">
        <f>IF(AND($L17*1&gt;=$G$3,$L17*1&lt;=$G$4,$I17*$J17&gt;0,CONCATENATE($H17:$L17)&lt;&gt;CONCATENATE($H18:$L18),$I17/POW(10,$J17)*MAXIFS(Token!$B:$B,Token!$A:$A,$K17)&gt;0.01),$L17/86400+DATE(1970,1,1)+IF($L17*1&gt;=$G$5,$G$6,0),)</f>
        <v/>
      </c>
      <c r="B17" s="22" t="str">
        <f t="shared" si="1"/>
        <v/>
      </c>
      <c r="C17" s="14" t="str">
        <f>IF($A17&lt;&gt;"",MINIFS(Merchant!$A:$A,Merchant!$B:$B,$G$2),)</f>
        <v/>
      </c>
      <c r="D17" s="14" t="str">
        <f t="shared" si="2"/>
        <v/>
      </c>
      <c r="E17" s="14" t="str">
        <f t="shared" si="3"/>
        <v/>
      </c>
      <c r="F17" s="6" t="str">
        <f>IF($A17&lt;&gt;"",MAXIFS(Token!$B:$B,Token!$A:$A,$D17),)</f>
        <v/>
      </c>
      <c r="H17" s="5" t="str">
        <f>IFERROR(__xludf.DUMMYFUNCTION("""COMPUTED_VALUE"""),"124")</f>
        <v>124</v>
      </c>
      <c r="I17" s="5" t="str">
        <f>IFERROR(__xludf.DUMMYFUNCTION("""COMPUTED_VALUE"""),"-1000000")</f>
        <v>-1000000</v>
      </c>
      <c r="J17" s="5" t="str">
        <f>IFERROR(__xludf.DUMMYFUNCTION("""COMPUTED_VALUE"""),"8")</f>
        <v>8</v>
      </c>
      <c r="K17" s="5" t="str">
        <f>IFERROR(__xludf.DUMMYFUNCTION("""COMPUTED_VALUE"""),"agEUR")</f>
        <v>agEUR</v>
      </c>
      <c r="L17" s="5" t="str">
        <f>IFERROR(__xludf.DUMMYFUNCTION("""COMPUTED_VALUE"""),"1660819903")</f>
        <v>1660819903</v>
      </c>
    </row>
    <row r="18">
      <c r="A18" s="35" t="str">
        <f>IF(AND($L18*1&gt;=$G$3,$L18*1&lt;=$G$4,$I18*$J18&gt;0,CONCATENATE($H18:$L18)&lt;&gt;CONCATENATE($H19:$L19),$I18/POW(10,$J18)*MAXIFS(Token!$B:$B,Token!$A:$A,$K18)&gt;0.01),$L18/86400+DATE(1970,1,1)+IF($L18*1&gt;=$G$5,$G$6,0),)</f>
        <v/>
      </c>
      <c r="B18" s="22" t="str">
        <f t="shared" si="1"/>
        <v/>
      </c>
      <c r="C18" s="14" t="str">
        <f>IF($A18&lt;&gt;"",MINIFS(Merchant!$A:$A,Merchant!$B:$B,$G$2),)</f>
        <v/>
      </c>
      <c r="D18" s="14" t="str">
        <f t="shared" si="2"/>
        <v/>
      </c>
      <c r="E18" s="14" t="str">
        <f t="shared" si="3"/>
        <v/>
      </c>
      <c r="F18" s="6" t="str">
        <f>IF($A18&lt;&gt;"",MAXIFS(Token!$B:$B,Token!$A:$A,$D18),)</f>
        <v/>
      </c>
      <c r="H18" s="5" t="str">
        <f>IFERROR(__xludf.DUMMYFUNCTION("""COMPUTED_VALUE"""),"124")</f>
        <v>124</v>
      </c>
      <c r="I18" s="5" t="str">
        <f>IFERROR(__xludf.DUMMYFUNCTION("""COMPUTED_VALUE"""),"-1000000")</f>
        <v>-1000000</v>
      </c>
      <c r="J18" s="5" t="str">
        <f>IFERROR(__xludf.DUMMYFUNCTION("""COMPUTED_VALUE"""),"8")</f>
        <v>8</v>
      </c>
      <c r="K18" s="5" t="str">
        <f>IFERROR(__xludf.DUMMYFUNCTION("""COMPUTED_VALUE"""),"agEUR")</f>
        <v>agEUR</v>
      </c>
      <c r="L18" s="5" t="str">
        <f>IFERROR(__xludf.DUMMYFUNCTION("""COMPUTED_VALUE"""),"1660819899")</f>
        <v>1660819899</v>
      </c>
    </row>
    <row r="19">
      <c r="A19" s="35" t="str">
        <f>IF(AND($L19*1&gt;=$G$3,$L19*1&lt;=$G$4,$I19*$J19&gt;0,CONCATENATE($H19:$L19)&lt;&gt;CONCATENATE($H20:$L20),$I19/POW(10,$J19)*MAXIFS(Token!$B:$B,Token!$A:$A,$K19)&gt;0.01),$L19/86400+DATE(1970,1,1)+IF($L19*1&gt;=$G$5,$G$6,0),)</f>
        <v/>
      </c>
      <c r="B19" s="22" t="str">
        <f t="shared" si="1"/>
        <v/>
      </c>
      <c r="C19" s="14" t="str">
        <f>IF($A19&lt;&gt;"",MINIFS(Merchant!$A:$A,Merchant!$B:$B,$G$2),)</f>
        <v/>
      </c>
      <c r="D19" s="14" t="str">
        <f t="shared" si="2"/>
        <v/>
      </c>
      <c r="E19" s="14" t="str">
        <f t="shared" si="3"/>
        <v/>
      </c>
      <c r="F19" s="6" t="str">
        <f>IF($A19&lt;&gt;"",MAXIFS(Token!$B:$B,Token!$A:$A,$D19),)</f>
        <v/>
      </c>
      <c r="H19" s="5" t="str">
        <f>IFERROR(__xludf.DUMMYFUNCTION("""COMPUTED_VALUE"""),"124")</f>
        <v>124</v>
      </c>
      <c r="I19" s="5" t="str">
        <f>IFERROR(__xludf.DUMMYFUNCTION("""COMPUTED_VALUE"""),"-1100000000")</f>
        <v>-1100000000</v>
      </c>
      <c r="J19" s="5" t="str">
        <f>IFERROR(__xludf.DUMMYFUNCTION("""COMPUTED_VALUE"""),"8")</f>
        <v>8</v>
      </c>
      <c r="K19" s="5" t="str">
        <f>IFERROR(__xludf.DUMMYFUNCTION("""COMPUTED_VALUE"""),"agEUR")</f>
        <v>agEUR</v>
      </c>
      <c r="L19" s="5" t="str">
        <f>IFERROR(__xludf.DUMMYFUNCTION("""COMPUTED_VALUE"""),"1660819316")</f>
        <v>1660819316</v>
      </c>
    </row>
    <row r="20">
      <c r="A20" s="35" t="str">
        <f>IF(AND($L20*1&gt;=$G$3,$L20*1&lt;=$G$4,$I20*$J20&gt;0,CONCATENATE($H20:$L20)&lt;&gt;CONCATENATE($H21:$L21),$I20/POW(10,$J20)*MAXIFS(Token!$B:$B,Token!$A:$A,$K20)&gt;0.01),$L20/86400+DATE(1970,1,1)+IF($L20*1&gt;=$G$5,$G$6,0),)</f>
        <v/>
      </c>
      <c r="B20" s="22" t="str">
        <f t="shared" si="1"/>
        <v/>
      </c>
      <c r="C20" s="14" t="str">
        <f>IF($A20&lt;&gt;"",MINIFS(Merchant!$A:$A,Merchant!$B:$B,$G$2),)</f>
        <v/>
      </c>
      <c r="D20" s="14" t="str">
        <f t="shared" si="2"/>
        <v/>
      </c>
      <c r="E20" s="14" t="str">
        <f t="shared" si="3"/>
        <v/>
      </c>
      <c r="F20" s="6" t="str">
        <f>IF($A20&lt;&gt;"",MAXIFS(Token!$B:$B,Token!$A:$A,$D20),)</f>
        <v/>
      </c>
      <c r="H20" s="5" t="str">
        <f>IFERROR(__xludf.DUMMYFUNCTION("""COMPUTED_VALUE"""),"124")</f>
        <v>124</v>
      </c>
      <c r="I20" s="5" t="str">
        <f>IFERROR(__xludf.DUMMYFUNCTION("""COMPUTED_VALUE"""),"341681520691")</f>
        <v>341681520691</v>
      </c>
      <c r="J20" s="5" t="str">
        <f>IFERROR(__xludf.DUMMYFUNCTION("""COMPUTED_VALUE"""),"9")</f>
        <v>9</v>
      </c>
      <c r="K20" s="5" t="str">
        <f>IFERROR(__xludf.DUMMYFUNCTION("""COMPUTED_VALUE"""),"fcSOL")</f>
        <v>fcSOL</v>
      </c>
      <c r="L20" s="5" t="str">
        <f>IFERROR(__xludf.DUMMYFUNCTION("""COMPUTED_VALUE"""),"1660478844")</f>
        <v>1660478844</v>
      </c>
    </row>
    <row r="21">
      <c r="A21" s="35" t="str">
        <f>IF(AND($L21*1&gt;=$G$3,$L21*1&lt;=$G$4,$I21*$J21&gt;0,CONCATENATE($H21:$L21)&lt;&gt;CONCATENATE($H22:$L22),$I21/POW(10,$J21)*MAXIFS(Token!$B:$B,Token!$A:$A,$K21)&gt;0.01),$L21/86400+DATE(1970,1,1)+IF($L21*1&gt;=$G$5,$G$6,0),)</f>
        <v/>
      </c>
      <c r="B21" s="22" t="str">
        <f t="shared" si="1"/>
        <v/>
      </c>
      <c r="C21" s="14" t="str">
        <f>IF($A21&lt;&gt;"",MINIFS(Merchant!$A:$A,Merchant!$B:$B,$G$2),)</f>
        <v/>
      </c>
      <c r="D21" s="14" t="str">
        <f t="shared" si="2"/>
        <v/>
      </c>
      <c r="E21" s="14" t="str">
        <f t="shared" si="3"/>
        <v/>
      </c>
      <c r="F21" s="6" t="str">
        <f>IF($A21&lt;&gt;"",MAXIFS(Token!$B:$B,Token!$A:$A,$D21),)</f>
        <v/>
      </c>
      <c r="H21" s="5" t="str">
        <f>IFERROR(__xludf.DUMMYFUNCTION("""COMPUTED_VALUE"""),"124")</f>
        <v>124</v>
      </c>
      <c r="I21" s="5" t="str">
        <f>IFERROR(__xludf.DUMMYFUNCTION("""COMPUTED_VALUE"""),"50000000")</f>
        <v>50000000</v>
      </c>
      <c r="J21" s="5" t="str">
        <f>IFERROR(__xludf.DUMMYFUNCTION("""COMPUTED_VALUE"""),"8")</f>
        <v>8</v>
      </c>
      <c r="K21" s="5" t="str">
        <f>IFERROR(__xludf.DUMMYFUNCTION("""COMPUTED_VALUE"""),"agEUR")</f>
        <v>agEUR</v>
      </c>
      <c r="L21" s="5" t="str">
        <f>IFERROR(__xludf.DUMMYFUNCTION("""COMPUTED_VALUE"""),"1659912897")</f>
        <v>1659912897</v>
      </c>
    </row>
    <row r="22">
      <c r="A22" s="35" t="str">
        <f>IF(AND($L22*1&gt;=$G$3,$L22*1&lt;=$G$4,$I22*$J22&gt;0,CONCATENATE($H22:$L22)&lt;&gt;CONCATENATE($H23:$L23),$I22/POW(10,$J22)*MAXIFS(Token!$B:$B,Token!$A:$A,$K22)&gt;0.01),$L22/86400+DATE(1970,1,1)+IF($L22*1&gt;=$G$5,$G$6,0),)</f>
        <v/>
      </c>
      <c r="B22" s="22" t="str">
        <f t="shared" si="1"/>
        <v/>
      </c>
      <c r="C22" s="14" t="str">
        <f>IF($A22&lt;&gt;"",MINIFS(Merchant!$A:$A,Merchant!$B:$B,$G$2),)</f>
        <v/>
      </c>
      <c r="D22" s="14" t="str">
        <f t="shared" si="2"/>
        <v/>
      </c>
      <c r="E22" s="14" t="str">
        <f t="shared" si="3"/>
        <v/>
      </c>
      <c r="F22" s="6" t="str">
        <f>IF($A22&lt;&gt;"",MAXIFS(Token!$B:$B,Token!$A:$A,$D22),)</f>
        <v/>
      </c>
      <c r="H22" s="5" t="str">
        <f>IFERROR(__xludf.DUMMYFUNCTION("""COMPUTED_VALUE"""),"124")</f>
        <v>124</v>
      </c>
      <c r="I22" s="5" t="str">
        <f>IFERROR(__xludf.DUMMYFUNCTION("""COMPUTED_VALUE"""),"3000000000")</f>
        <v>3000000000</v>
      </c>
      <c r="J22" s="5" t="str">
        <f>IFERROR(__xludf.DUMMYFUNCTION("""COMPUTED_VALUE"""),"8")</f>
        <v>8</v>
      </c>
      <c r="K22" s="5" t="str">
        <f>IFERROR(__xludf.DUMMYFUNCTION("""COMPUTED_VALUE"""),"agEUR")</f>
        <v>agEUR</v>
      </c>
      <c r="L22" s="5" t="str">
        <f>IFERROR(__xludf.DUMMYFUNCTION("""COMPUTED_VALUE"""),"1659901719")</f>
        <v>1659901719</v>
      </c>
    </row>
    <row r="23">
      <c r="A23" s="35" t="str">
        <f>IF(AND($L23*1&gt;=$G$3,$L23*1&lt;=$G$4,$I23*$J23&gt;0,CONCATENATE($H23:$L23)&lt;&gt;CONCATENATE($H24:$L24),$I23/POW(10,$J23)*MAXIFS(Token!$B:$B,Token!$A:$A,$K23)&gt;0.01),$L23/86400+DATE(1970,1,1)+IF($L23*1&gt;=$G$5,$G$6,0),)</f>
        <v/>
      </c>
      <c r="B23" s="22" t="str">
        <f t="shared" si="1"/>
        <v/>
      </c>
      <c r="C23" s="14" t="str">
        <f>IF($A23&lt;&gt;"",MINIFS(Merchant!$A:$A,Merchant!$B:$B,$G$2),)</f>
        <v/>
      </c>
      <c r="D23" s="14" t="str">
        <f t="shared" si="2"/>
        <v/>
      </c>
      <c r="E23" s="14" t="str">
        <f t="shared" si="3"/>
        <v/>
      </c>
      <c r="F23" s="6" t="str">
        <f>IF($A23&lt;&gt;"",MAXIFS(Token!$B:$B,Token!$A:$A,$D23),)</f>
        <v/>
      </c>
      <c r="H23" s="5" t="str">
        <f>IFERROR(__xludf.DUMMYFUNCTION("""COMPUTED_VALUE"""),"124")</f>
        <v>124</v>
      </c>
      <c r="I23" s="5" t="str">
        <f>IFERROR(__xludf.DUMMYFUNCTION("""COMPUTED_VALUE"""),"2300000000")</f>
        <v>2300000000</v>
      </c>
      <c r="J23" s="5" t="str">
        <f>IFERROR(__xludf.DUMMYFUNCTION("""COMPUTED_VALUE"""),"8")</f>
        <v>8</v>
      </c>
      <c r="K23" s="5" t="str">
        <f>IFERROR(__xludf.DUMMYFUNCTION("""COMPUTED_VALUE"""),"agEUR")</f>
        <v>agEUR</v>
      </c>
      <c r="L23" s="5" t="str">
        <f>IFERROR(__xludf.DUMMYFUNCTION("""COMPUTED_VALUE"""),"1659865750")</f>
        <v>1659865750</v>
      </c>
    </row>
    <row r="24">
      <c r="A24" s="35" t="str">
        <f>IF(AND($L24*1&gt;=$G$3,$L24*1&lt;=$G$4,$I24*$J24&gt;0,CONCATENATE($H24:$L24)&lt;&gt;CONCATENATE($H25:$L25),$I24/POW(10,$J24)*MAXIFS(Token!$B:$B,Token!$A:$A,$K24)&gt;0.01),$L24/86400+DATE(1970,1,1)+IF($L24*1&gt;=$G$5,$G$6,0),)</f>
        <v/>
      </c>
      <c r="B24" s="22" t="str">
        <f t="shared" si="1"/>
        <v/>
      </c>
      <c r="C24" s="14" t="str">
        <f>IF($A24&lt;&gt;"",MINIFS(Merchant!$A:$A,Merchant!$B:$B,$G$2),)</f>
        <v/>
      </c>
      <c r="D24" s="14" t="str">
        <f t="shared" si="2"/>
        <v/>
      </c>
      <c r="E24" s="14" t="str">
        <f t="shared" si="3"/>
        <v/>
      </c>
      <c r="F24" s="6" t="str">
        <f>IF($A24&lt;&gt;"",MAXIFS(Token!$B:$B,Token!$A:$A,$D24),)</f>
        <v/>
      </c>
      <c r="H24" s="5" t="str">
        <f>IFERROR(__xludf.DUMMYFUNCTION("""COMPUTED_VALUE"""),"124")</f>
        <v>124</v>
      </c>
      <c r="I24" s="5" t="str">
        <f>IFERROR(__xludf.DUMMYFUNCTION("""COMPUTED_VALUE"""),"2000000000")</f>
        <v>2000000000</v>
      </c>
      <c r="J24" s="5" t="str">
        <f>IFERROR(__xludf.DUMMYFUNCTION("""COMPUTED_VALUE"""),"8")</f>
        <v>8</v>
      </c>
      <c r="K24" s="5" t="str">
        <f>IFERROR(__xludf.DUMMYFUNCTION("""COMPUTED_VALUE"""),"agEUR")</f>
        <v>agEUR</v>
      </c>
      <c r="L24" s="5" t="str">
        <f>IFERROR(__xludf.DUMMYFUNCTION("""COMPUTED_VALUE"""),"1659796160")</f>
        <v>1659796160</v>
      </c>
    </row>
    <row r="25">
      <c r="A25" s="35" t="str">
        <f>IF(AND($L25*1&gt;=$G$3,$L25*1&lt;=$G$4,$I25*$J25&gt;0,CONCATENATE($H25:$L25)&lt;&gt;CONCATENATE($H26:$L26),$I25/POW(10,$J25)*MAXIFS(Token!$B:$B,Token!$A:$A,$K25)&gt;0.01),$L25/86400+DATE(1970,1,1)+IF($L25*1&gt;=$G$5,$G$6,0),)</f>
        <v/>
      </c>
      <c r="B25" s="22" t="str">
        <f t="shared" si="1"/>
        <v/>
      </c>
      <c r="C25" s="14" t="str">
        <f>IF($A25&lt;&gt;"",MINIFS(Merchant!$A:$A,Merchant!$B:$B,$G$2),)</f>
        <v/>
      </c>
      <c r="D25" s="14" t="str">
        <f t="shared" si="2"/>
        <v/>
      </c>
      <c r="E25" s="14" t="str">
        <f t="shared" si="3"/>
        <v/>
      </c>
      <c r="F25" s="6" t="str">
        <f>IF($A25&lt;&gt;"",MAXIFS(Token!$B:$B,Token!$A:$A,$D25),)</f>
        <v/>
      </c>
      <c r="H25" s="5" t="str">
        <f>IFERROR(__xludf.DUMMYFUNCTION("""COMPUTED_VALUE"""),"124")</f>
        <v>124</v>
      </c>
      <c r="I25" s="5" t="str">
        <f>IFERROR(__xludf.DUMMYFUNCTION("""COMPUTED_VALUE"""),"2000000000")</f>
        <v>2000000000</v>
      </c>
      <c r="J25" s="5" t="str">
        <f>IFERROR(__xludf.DUMMYFUNCTION("""COMPUTED_VALUE"""),"8")</f>
        <v>8</v>
      </c>
      <c r="K25" s="5" t="str">
        <f>IFERROR(__xludf.DUMMYFUNCTION("""COMPUTED_VALUE"""),"agEUR")</f>
        <v>agEUR</v>
      </c>
      <c r="L25" s="5" t="str">
        <f>IFERROR(__xludf.DUMMYFUNCTION("""COMPUTED_VALUE"""),"1659796160")</f>
        <v>1659796160</v>
      </c>
    </row>
    <row r="26">
      <c r="A26" s="35" t="str">
        <f>IF(AND($L26*1&gt;=$G$3,$L26*1&lt;=$G$4,$I26*$J26&gt;0,CONCATENATE($H26:$L26)&lt;&gt;CONCATENATE($H27:$L27),$I26/POW(10,$J26)*MAXIFS(Token!$B:$B,Token!$A:$A,$K26)&gt;0.01),$L26/86400+DATE(1970,1,1)+IF($L26*1&gt;=$G$5,$G$6,0),)</f>
        <v/>
      </c>
      <c r="B26" s="22" t="str">
        <f t="shared" si="1"/>
        <v/>
      </c>
      <c r="C26" s="14" t="str">
        <f>IF($A26&lt;&gt;"",MINIFS(Merchant!$A:$A,Merchant!$B:$B,$G$2),)</f>
        <v/>
      </c>
      <c r="D26" s="14" t="str">
        <f t="shared" si="2"/>
        <v/>
      </c>
      <c r="E26" s="14" t="str">
        <f t="shared" si="3"/>
        <v/>
      </c>
      <c r="F26" s="6" t="str">
        <f>IF($A26&lt;&gt;"",MAXIFS(Token!$B:$B,Token!$A:$A,$D26),)</f>
        <v/>
      </c>
      <c r="H26" s="5" t="str">
        <f>IFERROR(__xludf.DUMMYFUNCTION("""COMPUTED_VALUE"""),"124")</f>
        <v>124</v>
      </c>
      <c r="I26" s="5" t="str">
        <f>IFERROR(__xludf.DUMMYFUNCTION("""COMPUTED_VALUE"""),"1310000000")</f>
        <v>1310000000</v>
      </c>
      <c r="J26" s="5" t="str">
        <f>IFERROR(__xludf.DUMMYFUNCTION("""COMPUTED_VALUE"""),"8")</f>
        <v>8</v>
      </c>
      <c r="K26" s="5" t="str">
        <f>IFERROR(__xludf.DUMMYFUNCTION("""COMPUTED_VALUE"""),"agEUR")</f>
        <v>agEUR</v>
      </c>
      <c r="L26" s="5" t="str">
        <f>IFERROR(__xludf.DUMMYFUNCTION("""COMPUTED_VALUE"""),"1659373981")</f>
        <v>1659373981</v>
      </c>
    </row>
    <row r="27">
      <c r="A27" s="35" t="str">
        <f>IF(AND($L27*1&gt;=$G$3,$L27*1&lt;=$G$4,$I27*$J27&gt;0,CONCATENATE($H27:$L27)&lt;&gt;CONCATENATE($H28:$L28),$I27/POW(10,$J27)*MAXIFS(Token!$B:$B,Token!$A:$A,$K27)&gt;0.01),$L27/86400+DATE(1970,1,1)+IF($L27*1&gt;=$G$5,$G$6,0),)</f>
        <v/>
      </c>
      <c r="B27" s="22" t="str">
        <f t="shared" si="1"/>
        <v/>
      </c>
      <c r="C27" s="14" t="str">
        <f>IF($A27&lt;&gt;"",MINIFS(Merchant!$A:$A,Merchant!$B:$B,$G$2),)</f>
        <v/>
      </c>
      <c r="D27" s="14" t="str">
        <f t="shared" si="2"/>
        <v/>
      </c>
      <c r="E27" s="14" t="str">
        <f t="shared" si="3"/>
        <v/>
      </c>
      <c r="F27" s="6" t="str">
        <f>IF($A27&lt;&gt;"",MAXIFS(Token!$B:$B,Token!$A:$A,$D27),)</f>
        <v/>
      </c>
      <c r="H27" s="5" t="str">
        <f>IFERROR(__xludf.DUMMYFUNCTION("""COMPUTED_VALUE"""),"124")</f>
        <v>124</v>
      </c>
      <c r="I27" s="5" t="str">
        <f>IFERROR(__xludf.DUMMYFUNCTION("""COMPUTED_VALUE"""),"-1300000000")</f>
        <v>-1300000000</v>
      </c>
      <c r="J27" s="5" t="str">
        <f>IFERROR(__xludf.DUMMYFUNCTION("""COMPUTED_VALUE"""),"8")</f>
        <v>8</v>
      </c>
      <c r="K27" s="5" t="str">
        <f>IFERROR(__xludf.DUMMYFUNCTION("""COMPUTED_VALUE"""),"agEUR")</f>
        <v>agEUR</v>
      </c>
      <c r="L27" s="5" t="str">
        <f>IFERROR(__xludf.DUMMYFUNCTION("""COMPUTED_VALUE"""),"1659243809")</f>
        <v>1659243809</v>
      </c>
    </row>
    <row r="28">
      <c r="A28" s="35" t="str">
        <f>IF(AND($L28*1&gt;=$G$3,$L28*1&lt;=$G$4,$I28*$J28&gt;0,CONCATENATE($H28:$L28)&lt;&gt;CONCATENATE($H29:$L29),$I28/POW(10,$J28)*MAXIFS(Token!$B:$B,Token!$A:$A,$K28)&gt;0.01),$L28/86400+DATE(1970,1,1)+IF($L28*1&gt;=$G$5,$G$6,0),)</f>
        <v/>
      </c>
      <c r="B28" s="22" t="str">
        <f t="shared" si="1"/>
        <v/>
      </c>
      <c r="C28" s="14" t="str">
        <f>IF($A28&lt;&gt;"",MINIFS(Merchant!$A:$A,Merchant!$B:$B,$G$2),)</f>
        <v/>
      </c>
      <c r="D28" s="14" t="str">
        <f t="shared" si="2"/>
        <v/>
      </c>
      <c r="E28" s="14" t="str">
        <f t="shared" si="3"/>
        <v/>
      </c>
      <c r="F28" s="6" t="str">
        <f>IF($A28&lt;&gt;"",MAXIFS(Token!$B:$B,Token!$A:$A,$D28),)</f>
        <v/>
      </c>
      <c r="H28" s="5" t="str">
        <f>IFERROR(__xludf.DUMMYFUNCTION("""COMPUTED_VALUE"""),"124")</f>
        <v>124</v>
      </c>
      <c r="I28" s="5" t="str">
        <f>IFERROR(__xludf.DUMMYFUNCTION("""COMPUTED_VALUE"""),"-4000000000")</f>
        <v>-4000000000</v>
      </c>
      <c r="J28" s="5" t="str">
        <f>IFERROR(__xludf.DUMMYFUNCTION("""COMPUTED_VALUE"""),"8")</f>
        <v>8</v>
      </c>
      <c r="K28" s="5" t="str">
        <f>IFERROR(__xludf.DUMMYFUNCTION("""COMPUTED_VALUE"""),"agEUR")</f>
        <v>agEUR</v>
      </c>
      <c r="L28" s="5" t="str">
        <f>IFERROR(__xludf.DUMMYFUNCTION("""COMPUTED_VALUE"""),"1659202361")</f>
        <v>1659202361</v>
      </c>
    </row>
    <row r="29">
      <c r="A29" s="35" t="str">
        <f>IF(AND($L29*1&gt;=$G$3,$L29*1&lt;=$G$4,$I29*$J29&gt;0,CONCATENATE($H29:$L29)&lt;&gt;CONCATENATE($H30:$L30),$I29/POW(10,$J29)*MAXIFS(Token!$B:$B,Token!$A:$A,$K29)&gt;0.01),$L29/86400+DATE(1970,1,1)+IF($L29*1&gt;=$G$5,$G$6,0),)</f>
        <v/>
      </c>
      <c r="B29" s="22" t="str">
        <f t="shared" si="1"/>
        <v/>
      </c>
      <c r="C29" s="14" t="str">
        <f>IF($A29&lt;&gt;"",MINIFS(Merchant!$A:$A,Merchant!$B:$B,$G$2),)</f>
        <v/>
      </c>
      <c r="D29" s="14" t="str">
        <f t="shared" si="2"/>
        <v/>
      </c>
      <c r="E29" s="14" t="str">
        <f t="shared" si="3"/>
        <v/>
      </c>
      <c r="F29" s="6" t="str">
        <f>IF($A29&lt;&gt;"",MAXIFS(Token!$B:$B,Token!$A:$A,$D29),)</f>
        <v/>
      </c>
      <c r="H29" s="5" t="str">
        <f>IFERROR(__xludf.DUMMYFUNCTION("""COMPUTED_VALUE"""),"124")</f>
        <v>124</v>
      </c>
      <c r="I29" s="5" t="str">
        <f>IFERROR(__xludf.DUMMYFUNCTION("""COMPUTED_VALUE"""),"-1800000000")</f>
        <v>-1800000000</v>
      </c>
      <c r="J29" s="5" t="str">
        <f>IFERROR(__xludf.DUMMYFUNCTION("""COMPUTED_VALUE"""),"8")</f>
        <v>8</v>
      </c>
      <c r="K29" s="5" t="str">
        <f>IFERROR(__xludf.DUMMYFUNCTION("""COMPUTED_VALUE"""),"agEUR")</f>
        <v>agEUR</v>
      </c>
      <c r="L29" s="5" t="str">
        <f>IFERROR(__xludf.DUMMYFUNCTION("""COMPUTED_VALUE"""),"1659176889")</f>
        <v>1659176889</v>
      </c>
    </row>
    <row r="30">
      <c r="A30" s="35" t="str">
        <f>IF(AND($L30*1&gt;=$G$3,$L30*1&lt;=$G$4,$I30*$J30&gt;0,CONCATENATE($H30:$L30)&lt;&gt;CONCATENATE($H31:$L31),$I30/POW(10,$J30)*MAXIFS(Token!$B:$B,Token!$A:$A,$K30)&gt;0.01),$L30/86400+DATE(1970,1,1)+IF($L30*1&gt;=$G$5,$G$6,0),)</f>
        <v/>
      </c>
      <c r="B30" s="22" t="str">
        <f t="shared" si="1"/>
        <v/>
      </c>
      <c r="C30" s="14" t="str">
        <f>IF($A30&lt;&gt;"",MINIFS(Merchant!$A:$A,Merchant!$B:$B,$G$2),)</f>
        <v/>
      </c>
      <c r="D30" s="14" t="str">
        <f t="shared" si="2"/>
        <v/>
      </c>
      <c r="E30" s="14" t="str">
        <f t="shared" si="3"/>
        <v/>
      </c>
      <c r="F30" s="6" t="str">
        <f>IF($A30&lt;&gt;"",MAXIFS(Token!$B:$B,Token!$A:$A,$D30),)</f>
        <v/>
      </c>
      <c r="H30" s="5" t="str">
        <f>IFERROR(__xludf.DUMMYFUNCTION("""COMPUTED_VALUE"""),"124")</f>
        <v>124</v>
      </c>
      <c r="I30" s="5" t="str">
        <f>IFERROR(__xludf.DUMMYFUNCTION("""COMPUTED_VALUE"""),"-300000000")</f>
        <v>-300000000</v>
      </c>
      <c r="J30" s="5" t="str">
        <f>IFERROR(__xludf.DUMMYFUNCTION("""COMPUTED_VALUE"""),"8")</f>
        <v>8</v>
      </c>
      <c r="K30" s="5" t="str">
        <f>IFERROR(__xludf.DUMMYFUNCTION("""COMPUTED_VALUE"""),"agEUR")</f>
        <v>agEUR</v>
      </c>
      <c r="L30" s="5" t="str">
        <f>IFERROR(__xludf.DUMMYFUNCTION("""COMPUTED_VALUE"""),"1659090549")</f>
        <v>1659090549</v>
      </c>
    </row>
    <row r="31">
      <c r="A31" s="35" t="str">
        <f>IF(AND($L31*1&gt;=$G$3,$L31*1&lt;=$G$4,$I31*$J31&gt;0,CONCATENATE($H31:$L31)&lt;&gt;CONCATENATE($H32:$L32),$I31/POW(10,$J31)*MAXIFS(Token!$B:$B,Token!$A:$A,$K31)&gt;0.01),$L31/86400+DATE(1970,1,1)+IF($L31*1&gt;=$G$5,$G$6,0),)</f>
        <v/>
      </c>
      <c r="B31" s="22" t="str">
        <f t="shared" si="1"/>
        <v/>
      </c>
      <c r="C31" s="14" t="str">
        <f>IF($A31&lt;&gt;"",MINIFS(Merchant!$A:$A,Merchant!$B:$B,$G$2),)</f>
        <v/>
      </c>
      <c r="D31" s="14" t="str">
        <f t="shared" si="2"/>
        <v/>
      </c>
      <c r="E31" s="14" t="str">
        <f t="shared" si="3"/>
        <v/>
      </c>
      <c r="F31" s="6" t="str">
        <f>IF($A31&lt;&gt;"",MAXIFS(Token!$B:$B,Token!$A:$A,$D31),)</f>
        <v/>
      </c>
      <c r="H31" s="5" t="str">
        <f>IFERROR(__xludf.DUMMYFUNCTION("""COMPUTED_VALUE"""),"124")</f>
        <v>124</v>
      </c>
      <c r="I31" s="5" t="str">
        <f>IFERROR(__xludf.DUMMYFUNCTION("""COMPUTED_VALUE"""),"-350000000")</f>
        <v>-350000000</v>
      </c>
      <c r="J31" s="5" t="str">
        <f>IFERROR(__xludf.DUMMYFUNCTION("""COMPUTED_VALUE"""),"8")</f>
        <v>8</v>
      </c>
      <c r="K31" s="5" t="str">
        <f>IFERROR(__xludf.DUMMYFUNCTION("""COMPUTED_VALUE"""),"agEUR")</f>
        <v>agEUR</v>
      </c>
      <c r="L31" s="5" t="str">
        <f>IFERROR(__xludf.DUMMYFUNCTION("""COMPUTED_VALUE"""),"1658993653")</f>
        <v>1658993653</v>
      </c>
    </row>
    <row r="32">
      <c r="A32" s="35" t="str">
        <f>IF(AND($L32*1&gt;=$G$3,$L32*1&lt;=$G$4,$I32*$J32&gt;0,CONCATENATE($H32:$L32)&lt;&gt;CONCATENATE($H33:$L33),$I32/POW(10,$J32)*MAXIFS(Token!$B:$B,Token!$A:$A,$K32)&gt;0.01),$L32/86400+DATE(1970,1,1)+IF($L32*1&gt;=$G$5,$G$6,0),)</f>
        <v/>
      </c>
      <c r="B32" s="22" t="str">
        <f t="shared" si="1"/>
        <v/>
      </c>
      <c r="C32" s="14" t="str">
        <f>IF($A32&lt;&gt;"",MINIFS(Merchant!$A:$A,Merchant!$B:$B,$G$2),)</f>
        <v/>
      </c>
      <c r="D32" s="14" t="str">
        <f t="shared" si="2"/>
        <v/>
      </c>
      <c r="E32" s="14" t="str">
        <f t="shared" si="3"/>
        <v/>
      </c>
      <c r="F32" s="6" t="str">
        <f>IF($A32&lt;&gt;"",MAXIFS(Token!$B:$B,Token!$A:$A,$D32),)</f>
        <v/>
      </c>
      <c r="H32" s="5" t="str">
        <f>IFERROR(__xludf.DUMMYFUNCTION("""COMPUTED_VALUE"""),"124")</f>
        <v>124</v>
      </c>
      <c r="I32" s="5" t="str">
        <f>IFERROR(__xludf.DUMMYFUNCTION("""COMPUTED_VALUE"""),"-1080000000")</f>
        <v>-1080000000</v>
      </c>
      <c r="J32" s="5" t="str">
        <f>IFERROR(__xludf.DUMMYFUNCTION("""COMPUTED_VALUE"""),"8")</f>
        <v>8</v>
      </c>
      <c r="K32" s="5" t="str">
        <f>IFERROR(__xludf.DUMMYFUNCTION("""COMPUTED_VALUE"""),"agEUR")</f>
        <v>agEUR</v>
      </c>
      <c r="L32" s="5" t="str">
        <f>IFERROR(__xludf.DUMMYFUNCTION("""COMPUTED_VALUE"""),"1658918301")</f>
        <v>1658918301</v>
      </c>
    </row>
    <row r="33">
      <c r="A33" s="35" t="str">
        <f>IF(AND($L33*1&gt;=$G$3,$L33*1&lt;=$G$4,$I33*$J33&gt;0,CONCATENATE($H33:$L33)&lt;&gt;CONCATENATE($H34:$L34),$I33/POW(10,$J33)*MAXIFS(Token!$B:$B,Token!$A:$A,$K33)&gt;0.01),$L33/86400+DATE(1970,1,1)+IF($L33*1&gt;=$G$5,$G$6,0),)</f>
        <v/>
      </c>
      <c r="B33" s="22" t="str">
        <f t="shared" si="1"/>
        <v/>
      </c>
      <c r="C33" s="14" t="str">
        <f>IF($A33&lt;&gt;"",MINIFS(Merchant!$A:$A,Merchant!$B:$B,$G$2),)</f>
        <v/>
      </c>
      <c r="D33" s="14" t="str">
        <f t="shared" si="2"/>
        <v/>
      </c>
      <c r="E33" s="14" t="str">
        <f t="shared" si="3"/>
        <v/>
      </c>
      <c r="F33" s="6" t="str">
        <f>IF($A33&lt;&gt;"",MAXIFS(Token!$B:$B,Token!$A:$A,$D33),)</f>
        <v/>
      </c>
      <c r="H33" s="5" t="str">
        <f>IFERROR(__xludf.DUMMYFUNCTION("""COMPUTED_VALUE"""),"124")</f>
        <v>124</v>
      </c>
      <c r="I33" s="5" t="str">
        <f>IFERROR(__xludf.DUMMYFUNCTION("""COMPUTED_VALUE"""),"-350000000")</f>
        <v>-350000000</v>
      </c>
      <c r="J33" s="5" t="str">
        <f>IFERROR(__xludf.DUMMYFUNCTION("""COMPUTED_VALUE"""),"8")</f>
        <v>8</v>
      </c>
      <c r="K33" s="5" t="str">
        <f>IFERROR(__xludf.DUMMYFUNCTION("""COMPUTED_VALUE"""),"agEUR")</f>
        <v>agEUR</v>
      </c>
      <c r="L33" s="5" t="str">
        <f>IFERROR(__xludf.DUMMYFUNCTION("""COMPUTED_VALUE"""),"1658738149")</f>
        <v>1658738149</v>
      </c>
    </row>
    <row r="34">
      <c r="A34" s="35" t="str">
        <f>IF(AND($L34*1&gt;=$G$3,$L34*1&lt;=$G$4,$I34*$J34&gt;0,CONCATENATE($H34:$L34)&lt;&gt;CONCATENATE($H35:$L35),$I34/POW(10,$J34)*MAXIFS(Token!$B:$B,Token!$A:$A,$K34)&gt;0.01),$L34/86400+DATE(1970,1,1)+IF($L34*1&gt;=$G$5,$G$6,0),)</f>
        <v/>
      </c>
      <c r="B34" s="22" t="str">
        <f t="shared" si="1"/>
        <v/>
      </c>
      <c r="C34" s="14" t="str">
        <f>IF($A34&lt;&gt;"",MINIFS(Merchant!$A:$A,Merchant!$B:$B,$G$2),)</f>
        <v/>
      </c>
      <c r="D34" s="14" t="str">
        <f t="shared" si="2"/>
        <v/>
      </c>
      <c r="E34" s="14" t="str">
        <f t="shared" si="3"/>
        <v/>
      </c>
      <c r="F34" s="6" t="str">
        <f>IF($A34&lt;&gt;"",MAXIFS(Token!$B:$B,Token!$A:$A,$D34),)</f>
        <v/>
      </c>
      <c r="H34" s="5" t="str">
        <f>IFERROR(__xludf.DUMMYFUNCTION("""COMPUTED_VALUE"""),"124")</f>
        <v>124</v>
      </c>
      <c r="I34" s="5" t="str">
        <f>IFERROR(__xludf.DUMMYFUNCTION("""COMPUTED_VALUE"""),"1920000000")</f>
        <v>1920000000</v>
      </c>
      <c r="J34" s="5" t="str">
        <f>IFERROR(__xludf.DUMMYFUNCTION("""COMPUTED_VALUE"""),"8")</f>
        <v>8</v>
      </c>
      <c r="K34" s="5" t="str">
        <f>IFERROR(__xludf.DUMMYFUNCTION("""COMPUTED_VALUE"""),"agEUR")</f>
        <v>agEUR</v>
      </c>
      <c r="L34" s="5" t="str">
        <f>IFERROR(__xludf.DUMMYFUNCTION("""COMPUTED_VALUE"""),"1658690651")</f>
        <v>1658690651</v>
      </c>
    </row>
    <row r="35">
      <c r="A35" s="35" t="str">
        <f>IF(AND($L35*1&gt;=$G$3,$L35*1&lt;=$G$4,$I35*$J35&gt;0,CONCATENATE($H35:$L35)&lt;&gt;CONCATENATE($H36:$L36),$I35/POW(10,$J35)*MAXIFS(Token!$B:$B,Token!$A:$A,$K35)&gt;0.01),$L35/86400+DATE(1970,1,1)+IF($L35*1&gt;=$G$5,$G$6,0),)</f>
        <v/>
      </c>
      <c r="B35" s="22" t="str">
        <f t="shared" si="1"/>
        <v/>
      </c>
      <c r="C35" s="14" t="str">
        <f>IF($A35&lt;&gt;"",MINIFS(Merchant!$A:$A,Merchant!$B:$B,$G$2),)</f>
        <v/>
      </c>
      <c r="D35" s="14" t="str">
        <f t="shared" si="2"/>
        <v/>
      </c>
      <c r="E35" s="14" t="str">
        <f t="shared" si="3"/>
        <v/>
      </c>
      <c r="F35" s="6" t="str">
        <f>IF($A35&lt;&gt;"",MAXIFS(Token!$B:$B,Token!$A:$A,$D35),)</f>
        <v/>
      </c>
      <c r="H35" s="5" t="str">
        <f>IFERROR(__xludf.DUMMYFUNCTION("""COMPUTED_VALUE"""),"124")</f>
        <v>124</v>
      </c>
      <c r="I35" s="5" t="str">
        <f>IFERROR(__xludf.DUMMYFUNCTION("""COMPUTED_VALUE"""),"-1620000000")</f>
        <v>-1620000000</v>
      </c>
      <c r="J35" s="5" t="str">
        <f>IFERROR(__xludf.DUMMYFUNCTION("""COMPUTED_VALUE"""),"8")</f>
        <v>8</v>
      </c>
      <c r="K35" s="5" t="str">
        <f>IFERROR(__xludf.DUMMYFUNCTION("""COMPUTED_VALUE"""),"agEUR")</f>
        <v>agEUR</v>
      </c>
      <c r="L35" s="5" t="str">
        <f>IFERROR(__xludf.DUMMYFUNCTION("""COMPUTED_VALUE"""),"1658660497")</f>
        <v>1658660497</v>
      </c>
    </row>
    <row r="36">
      <c r="A36" s="35" t="str">
        <f>IF(AND($L36*1&gt;=$G$3,$L36*1&lt;=$G$4,$I36*$J36&gt;0,CONCATENATE($H36:$L36)&lt;&gt;CONCATENATE($H37:$L37),$I36/POW(10,$J36)*MAXIFS(Token!$B:$B,Token!$A:$A,$K36)&gt;0.01),$L36/86400+DATE(1970,1,1)+IF($L36*1&gt;=$G$5,$G$6,0),)</f>
        <v/>
      </c>
      <c r="B36" s="22" t="str">
        <f t="shared" si="1"/>
        <v/>
      </c>
      <c r="C36" s="14" t="str">
        <f>IF($A36&lt;&gt;"",MINIFS(Merchant!$A:$A,Merchant!$B:$B,$G$2),)</f>
        <v/>
      </c>
      <c r="D36" s="14" t="str">
        <f t="shared" si="2"/>
        <v/>
      </c>
      <c r="E36" s="14" t="str">
        <f t="shared" si="3"/>
        <v/>
      </c>
      <c r="F36" s="6" t="str">
        <f>IF($A36&lt;&gt;"",MAXIFS(Token!$B:$B,Token!$A:$A,$D36),)</f>
        <v/>
      </c>
      <c r="H36" s="5" t="str">
        <f>IFERROR(__xludf.DUMMYFUNCTION("""COMPUTED_VALUE"""),"124")</f>
        <v>124</v>
      </c>
      <c r="I36" s="5" t="str">
        <f>IFERROR(__xludf.DUMMYFUNCTION("""COMPUTED_VALUE"""),"-300000000")</f>
        <v>-300000000</v>
      </c>
      <c r="J36" s="5" t="str">
        <f>IFERROR(__xludf.DUMMYFUNCTION("""COMPUTED_VALUE"""),"8")</f>
        <v>8</v>
      </c>
      <c r="K36" s="5" t="str">
        <f>IFERROR(__xludf.DUMMYFUNCTION("""COMPUTED_VALUE"""),"agEUR")</f>
        <v>agEUR</v>
      </c>
      <c r="L36" s="5" t="str">
        <f>IFERROR(__xludf.DUMMYFUNCTION("""COMPUTED_VALUE"""),"1658482665")</f>
        <v>1658482665</v>
      </c>
    </row>
    <row r="37">
      <c r="A37" s="35" t="str">
        <f>IF(AND($L37*1&gt;=$G$3,$L37*1&lt;=$G$4,$I37*$J37&gt;0,CONCATENATE($H37:$L37)&lt;&gt;CONCATENATE($H38:$L38),$I37/POW(10,$J37)*MAXIFS(Token!$B:$B,Token!$A:$A,$K37)&gt;0.01),$L37/86400+DATE(1970,1,1)+IF($L37*1&gt;=$G$5,$G$6,0),)</f>
        <v/>
      </c>
      <c r="B37" s="22" t="str">
        <f t="shared" si="1"/>
        <v/>
      </c>
      <c r="C37" s="14" t="str">
        <f>IF($A37&lt;&gt;"",MINIFS(Merchant!$A:$A,Merchant!$B:$B,$G$2),)</f>
        <v/>
      </c>
      <c r="D37" s="14" t="str">
        <f t="shared" si="2"/>
        <v/>
      </c>
      <c r="E37" s="14" t="str">
        <f t="shared" si="3"/>
        <v/>
      </c>
      <c r="F37" s="6" t="str">
        <f>IF($A37&lt;&gt;"",MAXIFS(Token!$B:$B,Token!$A:$A,$D37),)</f>
        <v/>
      </c>
      <c r="H37" s="5" t="str">
        <f>IFERROR(__xludf.DUMMYFUNCTION("""COMPUTED_VALUE"""),"124")</f>
        <v>124</v>
      </c>
      <c r="I37" s="5" t="str">
        <f>IFERROR(__xludf.DUMMYFUNCTION("""COMPUTED_VALUE"""),"3374999999")</f>
        <v>3374999999</v>
      </c>
      <c r="J37" s="5" t="str">
        <f>IFERROR(__xludf.DUMMYFUNCTION("""COMPUTED_VALUE"""),"8")</f>
        <v>8</v>
      </c>
      <c r="K37" s="5" t="str">
        <f>IFERROR(__xludf.DUMMYFUNCTION("""COMPUTED_VALUE"""),"agEUR")</f>
        <v>agEUR</v>
      </c>
      <c r="L37" s="5" t="str">
        <f>IFERROR(__xludf.DUMMYFUNCTION("""COMPUTED_VALUE"""),"1658096375")</f>
        <v>1658096375</v>
      </c>
    </row>
    <row r="38">
      <c r="A38" s="35" t="str">
        <f>IF(AND($L38*1&gt;=$G$3,$L38*1&lt;=$G$4,$I38*$J38&gt;0,CONCATENATE($H38:$L38)&lt;&gt;CONCATENATE($H39:$L39),$I38/POW(10,$J38)*MAXIFS(Token!$B:$B,Token!$A:$A,$K38)&gt;0.01),$L38/86400+DATE(1970,1,1)+IF($L38*1&gt;=$G$5,$G$6,0),)</f>
        <v/>
      </c>
      <c r="B38" s="22" t="str">
        <f t="shared" si="1"/>
        <v/>
      </c>
      <c r="C38" s="14" t="str">
        <f>IF($A38&lt;&gt;"",MINIFS(Merchant!$A:$A,Merchant!$B:$B,$G$2),)</f>
        <v/>
      </c>
      <c r="D38" s="14" t="str">
        <f t="shared" si="2"/>
        <v/>
      </c>
      <c r="E38" s="14" t="str">
        <f t="shared" si="3"/>
        <v/>
      </c>
      <c r="F38" s="6" t="str">
        <f>IF($A38&lt;&gt;"",MAXIFS(Token!$B:$B,Token!$A:$A,$D38),)</f>
        <v/>
      </c>
      <c r="H38" s="5" t="str">
        <f>IFERROR(__xludf.DUMMYFUNCTION("""COMPUTED_VALUE"""),"124")</f>
        <v>124</v>
      </c>
      <c r="I38" s="5" t="str">
        <f>IFERROR(__xludf.DUMMYFUNCTION("""COMPUTED_VALUE"""),"-2000000000")</f>
        <v>-2000000000</v>
      </c>
      <c r="J38" s="5" t="str">
        <f>IFERROR(__xludf.DUMMYFUNCTION("""COMPUTED_VALUE"""),"8")</f>
        <v>8</v>
      </c>
      <c r="K38" s="5" t="str">
        <f>IFERROR(__xludf.DUMMYFUNCTION("""COMPUTED_VALUE"""),"agEUR")</f>
        <v>agEUR</v>
      </c>
      <c r="L38" s="5" t="str">
        <f>IFERROR(__xludf.DUMMYFUNCTION("""COMPUTED_VALUE"""),"1658078231")</f>
        <v>1658078231</v>
      </c>
    </row>
    <row r="39">
      <c r="A39" s="35" t="str">
        <f>IF(AND($L39*1&gt;=$G$3,$L39*1&lt;=$G$4,$I39*$J39&gt;0,CONCATENATE($H39:$L39)&lt;&gt;CONCATENATE($H40:$L40),$I39/POW(10,$J39)*MAXIFS(Token!$B:$B,Token!$A:$A,$K39)&gt;0.01),$L39/86400+DATE(1970,1,1)+IF($L39*1&gt;=$G$5,$G$6,0),)</f>
        <v/>
      </c>
      <c r="B39" s="22" t="str">
        <f t="shared" si="1"/>
        <v/>
      </c>
      <c r="C39" s="14" t="str">
        <f>IF($A39&lt;&gt;"",MINIFS(Merchant!$A:$A,Merchant!$B:$B,$G$2),)</f>
        <v/>
      </c>
      <c r="D39" s="14" t="str">
        <f t="shared" si="2"/>
        <v/>
      </c>
      <c r="E39" s="14" t="str">
        <f t="shared" si="3"/>
        <v/>
      </c>
      <c r="F39" s="6" t="str">
        <f>IF($A39&lt;&gt;"",MAXIFS(Token!$B:$B,Token!$A:$A,$D39),)</f>
        <v/>
      </c>
      <c r="H39" s="5" t="str">
        <f>IFERROR(__xludf.DUMMYFUNCTION("""COMPUTED_VALUE"""),"124")</f>
        <v>124</v>
      </c>
      <c r="I39" s="5" t="str">
        <f>IFERROR(__xludf.DUMMYFUNCTION("""COMPUTED_VALUE"""),"-1500000000")</f>
        <v>-1500000000</v>
      </c>
      <c r="J39" s="5" t="str">
        <f>IFERROR(__xludf.DUMMYFUNCTION("""COMPUTED_VALUE"""),"8")</f>
        <v>8</v>
      </c>
      <c r="K39" s="5" t="str">
        <f>IFERROR(__xludf.DUMMYFUNCTION("""COMPUTED_VALUE"""),"agEUR")</f>
        <v>agEUR</v>
      </c>
      <c r="L39" s="5" t="str">
        <f>IFERROR(__xludf.DUMMYFUNCTION("""COMPUTED_VALUE"""),"1658055282")</f>
        <v>1658055282</v>
      </c>
    </row>
    <row r="40">
      <c r="A40" s="35" t="str">
        <f>IF(AND($L40*1&gt;=$G$3,$L40*1&lt;=$G$4,$I40*$J40&gt;0,CONCATENATE($H40:$L40)&lt;&gt;CONCATENATE($H41:$L41),$I40/POW(10,$J40)*MAXIFS(Token!$B:$B,Token!$A:$A,$K40)&gt;0.01),$L40/86400+DATE(1970,1,1)+IF($L40*1&gt;=$G$5,$G$6,0),)</f>
        <v/>
      </c>
      <c r="B40" s="22" t="str">
        <f t="shared" si="1"/>
        <v/>
      </c>
      <c r="C40" s="14" t="str">
        <f>IF($A40&lt;&gt;"",MINIFS(Merchant!$A:$A,Merchant!$B:$B,$G$2),)</f>
        <v/>
      </c>
      <c r="D40" s="14" t="str">
        <f t="shared" si="2"/>
        <v/>
      </c>
      <c r="E40" s="14" t="str">
        <f t="shared" si="3"/>
        <v/>
      </c>
      <c r="F40" s="6" t="str">
        <f>IF($A40&lt;&gt;"",MAXIFS(Token!$B:$B,Token!$A:$A,$D40),)</f>
        <v/>
      </c>
      <c r="H40" s="5" t="str">
        <f>IFERROR(__xludf.DUMMYFUNCTION("""COMPUTED_VALUE"""),"124")</f>
        <v>124</v>
      </c>
      <c r="I40" s="5" t="str">
        <f>IFERROR(__xludf.DUMMYFUNCTION("""COMPUTED_VALUE"""),"-819999999")</f>
        <v>-819999999</v>
      </c>
      <c r="J40" s="5" t="str">
        <f>IFERROR(__xludf.DUMMYFUNCTION("""COMPUTED_VALUE"""),"8")</f>
        <v>8</v>
      </c>
      <c r="K40" s="5" t="str">
        <f>IFERROR(__xludf.DUMMYFUNCTION("""COMPUTED_VALUE"""),"agEUR")</f>
        <v>agEUR</v>
      </c>
      <c r="L40" s="5" t="str">
        <f>IFERROR(__xludf.DUMMYFUNCTION("""COMPUTED_VALUE"""),"1657966605")</f>
        <v>1657966605</v>
      </c>
    </row>
    <row r="41">
      <c r="A41" s="35" t="str">
        <f>IF(AND($L41*1&gt;=$G$3,$L41*1&lt;=$G$4,$I41*$J41&gt;0,CONCATENATE($H41:$L41)&lt;&gt;CONCATENATE($H42:$L42),$I41/POW(10,$J41)*MAXIFS(Token!$B:$B,Token!$A:$A,$K41)&gt;0.01),$L41/86400+DATE(1970,1,1)+IF($L41*1&gt;=$G$5,$G$6,0),)</f>
        <v/>
      </c>
      <c r="B41" s="22" t="str">
        <f t="shared" si="1"/>
        <v/>
      </c>
      <c r="C41" s="14" t="str">
        <f>IF($A41&lt;&gt;"",MINIFS(Merchant!$A:$A,Merchant!$B:$B,$G$2),)</f>
        <v/>
      </c>
      <c r="D41" s="14" t="str">
        <f t="shared" si="2"/>
        <v/>
      </c>
      <c r="E41" s="14" t="str">
        <f t="shared" si="3"/>
        <v/>
      </c>
      <c r="F41" s="6" t="str">
        <f>IF($A41&lt;&gt;"",MAXIFS(Token!$B:$B,Token!$A:$A,$D41),)</f>
        <v/>
      </c>
      <c r="H41" s="5" t="str">
        <f>IFERROR(__xludf.DUMMYFUNCTION("""COMPUTED_VALUE"""),"124")</f>
        <v>124</v>
      </c>
      <c r="I41" s="5" t="str">
        <f>IFERROR(__xludf.DUMMYFUNCTION("""COMPUTED_VALUE"""),"-705000000")</f>
        <v>-705000000</v>
      </c>
      <c r="J41" s="5" t="str">
        <f>IFERROR(__xludf.DUMMYFUNCTION("""COMPUTED_VALUE"""),"8")</f>
        <v>8</v>
      </c>
      <c r="K41" s="5" t="str">
        <f>IFERROR(__xludf.DUMMYFUNCTION("""COMPUTED_VALUE"""),"agEUR")</f>
        <v>agEUR</v>
      </c>
      <c r="L41" s="5" t="str">
        <f>IFERROR(__xludf.DUMMYFUNCTION("""COMPUTED_VALUE"""),"1657784481")</f>
        <v>1657784481</v>
      </c>
    </row>
    <row r="42">
      <c r="A42" s="35" t="str">
        <f>IF(AND($L42*1&gt;=$G$3,$L42*1&lt;=$G$4,$I42*$J42&gt;0,CONCATENATE($H42:$L42)&lt;&gt;CONCATENATE($H43:$L43),$I42/POW(10,$J42)*MAXIFS(Token!$B:$B,Token!$A:$A,$K42)&gt;0.01),$L42/86400+DATE(1970,1,1)+IF($L42*1&gt;=$G$5,$G$6,0),)</f>
        <v/>
      </c>
      <c r="B42" s="22" t="str">
        <f t="shared" si="1"/>
        <v/>
      </c>
      <c r="C42" s="14" t="str">
        <f>IF($A42&lt;&gt;"",MINIFS(Merchant!$A:$A,Merchant!$B:$B,$G$2),)</f>
        <v/>
      </c>
      <c r="D42" s="14" t="str">
        <f t="shared" si="2"/>
        <v/>
      </c>
      <c r="E42" s="14" t="str">
        <f t="shared" si="3"/>
        <v/>
      </c>
      <c r="F42" s="6" t="str">
        <f>IF($A42&lt;&gt;"",MAXIFS(Token!$B:$B,Token!$A:$A,$D42),)</f>
        <v/>
      </c>
      <c r="H42" s="5" t="str">
        <f>IFERROR(__xludf.DUMMYFUNCTION("""COMPUTED_VALUE"""),"124")</f>
        <v>124</v>
      </c>
      <c r="I42" s="5" t="str">
        <f>IFERROR(__xludf.DUMMYFUNCTION("""COMPUTED_VALUE"""),"-350000000")</f>
        <v>-350000000</v>
      </c>
      <c r="J42" s="5" t="str">
        <f>IFERROR(__xludf.DUMMYFUNCTION("""COMPUTED_VALUE"""),"8")</f>
        <v>8</v>
      </c>
      <c r="K42" s="5" t="str">
        <f>IFERROR(__xludf.DUMMYFUNCTION("""COMPUTED_VALUE"""),"agEUR")</f>
        <v>agEUR</v>
      </c>
      <c r="L42" s="5" t="str">
        <f>IFERROR(__xludf.DUMMYFUNCTION("""COMPUTED_VALUE"""),"1657701443")</f>
        <v>1657701443</v>
      </c>
    </row>
    <row r="43">
      <c r="A43" s="35" t="str">
        <f>IF(AND($L43*1&gt;=$G$3,$L43*1&lt;=$G$4,$I43*$J43&gt;0,CONCATENATE($H43:$L43)&lt;&gt;CONCATENATE($H44:$L44),$I43/POW(10,$J43)*MAXIFS(Token!$B:$B,Token!$A:$A,$K43)&gt;0.01),$L43/86400+DATE(1970,1,1)+IF($L43*1&gt;=$G$5,$G$6,0),)</f>
        <v/>
      </c>
      <c r="B43" s="22" t="str">
        <f t="shared" si="1"/>
        <v/>
      </c>
      <c r="C43" s="14" t="str">
        <f>IF($A43&lt;&gt;"",MINIFS(Merchant!$A:$A,Merchant!$B:$B,$G$2),)</f>
        <v/>
      </c>
      <c r="D43" s="14" t="str">
        <f t="shared" si="2"/>
        <v/>
      </c>
      <c r="E43" s="14" t="str">
        <f t="shared" si="3"/>
        <v/>
      </c>
      <c r="F43" s="6" t="str">
        <f>IF($A43&lt;&gt;"",MAXIFS(Token!$B:$B,Token!$A:$A,$D43),)</f>
        <v/>
      </c>
      <c r="H43" s="5" t="str">
        <f>IFERROR(__xludf.DUMMYFUNCTION("""COMPUTED_VALUE"""),"124")</f>
        <v>124</v>
      </c>
      <c r="I43" s="5" t="str">
        <f>IFERROR(__xludf.DUMMYFUNCTION("""COMPUTED_VALUE"""),"2599999999")</f>
        <v>2599999999</v>
      </c>
      <c r="J43" s="5" t="str">
        <f>IFERROR(__xludf.DUMMYFUNCTION("""COMPUTED_VALUE"""),"8")</f>
        <v>8</v>
      </c>
      <c r="K43" s="5" t="str">
        <f>IFERROR(__xludf.DUMMYFUNCTION("""COMPUTED_VALUE"""),"agEUR")</f>
        <v>agEUR</v>
      </c>
      <c r="L43" s="5" t="str">
        <f>IFERROR(__xludf.DUMMYFUNCTION("""COMPUTED_VALUE"""),"1657554123")</f>
        <v>1657554123</v>
      </c>
    </row>
    <row r="44">
      <c r="A44" s="35" t="str">
        <f>IF(AND($L44*1&gt;=$G$3,$L44*1&lt;=$G$4,$I44*$J44&gt;0,CONCATENATE($H44:$L44)&lt;&gt;CONCATENATE($H45:$L45),$I44/POW(10,$J44)*MAXIFS(Token!$B:$B,Token!$A:$A,$K44)&gt;0.01),$L44/86400+DATE(1970,1,1)+IF($L44*1&gt;=$G$5,$G$6,0),)</f>
        <v/>
      </c>
      <c r="B44" s="22" t="str">
        <f t="shared" si="1"/>
        <v/>
      </c>
      <c r="C44" s="14" t="str">
        <f>IF($A44&lt;&gt;"",MINIFS(Merchant!$A:$A,Merchant!$B:$B,$G$2),)</f>
        <v/>
      </c>
      <c r="D44" s="14" t="str">
        <f t="shared" si="2"/>
        <v/>
      </c>
      <c r="E44" s="14" t="str">
        <f t="shared" si="3"/>
        <v/>
      </c>
      <c r="F44" s="6" t="str">
        <f>IF($A44&lt;&gt;"",MAXIFS(Token!$B:$B,Token!$A:$A,$D44),)</f>
        <v/>
      </c>
      <c r="H44" s="5" t="str">
        <f>IFERROR(__xludf.DUMMYFUNCTION("""COMPUTED_VALUE"""),"124")</f>
        <v>124</v>
      </c>
      <c r="I44" s="5" t="str">
        <f>IFERROR(__xludf.DUMMYFUNCTION("""COMPUTED_VALUE"""),"-1100000000")</f>
        <v>-1100000000</v>
      </c>
      <c r="J44" s="5" t="str">
        <f>IFERROR(__xludf.DUMMYFUNCTION("""COMPUTED_VALUE"""),"8")</f>
        <v>8</v>
      </c>
      <c r="K44" s="5" t="str">
        <f>IFERROR(__xludf.DUMMYFUNCTION("""COMPUTED_VALUE"""),"agEUR")</f>
        <v>agEUR</v>
      </c>
      <c r="L44" s="5" t="str">
        <f>IFERROR(__xludf.DUMMYFUNCTION("""COMPUTED_VALUE"""),"1657354077")</f>
        <v>1657354077</v>
      </c>
    </row>
    <row r="45">
      <c r="A45" s="35" t="str">
        <f>IF(AND($L45*1&gt;=$G$3,$L45*1&lt;=$G$4,$I45*$J45&gt;0,CONCATENATE($H45:$L45)&lt;&gt;CONCATENATE($H46:$L46),$I45/POW(10,$J45)*MAXIFS(Token!$B:$B,Token!$A:$A,$K45)&gt;0.01),$L45/86400+DATE(1970,1,1)+IF($L45*1&gt;=$G$5,$G$6,0),)</f>
        <v/>
      </c>
      <c r="B45" s="22" t="str">
        <f t="shared" si="1"/>
        <v/>
      </c>
      <c r="C45" s="14" t="str">
        <f>IF($A45&lt;&gt;"",MINIFS(Merchant!$A:$A,Merchant!$B:$B,$G$2),)</f>
        <v/>
      </c>
      <c r="D45" s="14" t="str">
        <f t="shared" si="2"/>
        <v/>
      </c>
      <c r="E45" s="14" t="str">
        <f t="shared" si="3"/>
        <v/>
      </c>
      <c r="F45" s="6" t="str">
        <f>IF($A45&lt;&gt;"",MAXIFS(Token!$B:$B,Token!$A:$A,$D45),)</f>
        <v/>
      </c>
      <c r="H45" s="5" t="str">
        <f>IFERROR(__xludf.DUMMYFUNCTION("""COMPUTED_VALUE"""),"124")</f>
        <v>124</v>
      </c>
      <c r="I45" s="5" t="str">
        <f>IFERROR(__xludf.DUMMYFUNCTION("""COMPUTED_VALUE"""),"-580000000")</f>
        <v>-580000000</v>
      </c>
      <c r="J45" s="5" t="str">
        <f>IFERROR(__xludf.DUMMYFUNCTION("""COMPUTED_VALUE"""),"8")</f>
        <v>8</v>
      </c>
      <c r="K45" s="5" t="str">
        <f>IFERROR(__xludf.DUMMYFUNCTION("""COMPUTED_VALUE"""),"agEUR")</f>
        <v>agEUR</v>
      </c>
      <c r="L45" s="5" t="str">
        <f>IFERROR(__xludf.DUMMYFUNCTION("""COMPUTED_VALUE"""),"1657188516")</f>
        <v>1657188516</v>
      </c>
    </row>
    <row r="46">
      <c r="A46" s="35" t="str">
        <f>IF(AND($L46*1&gt;=$G$3,$L46*1&lt;=$G$4,$I46*$J46&gt;0,CONCATENATE($H46:$L46)&lt;&gt;CONCATENATE($H47:$L47),$I46/POW(10,$J46)*MAXIFS(Token!$B:$B,Token!$A:$A,$K46)&gt;0.01),$L46/86400+DATE(1970,1,1)+IF($L46*1&gt;=$G$5,$G$6,0),)</f>
        <v/>
      </c>
      <c r="B46" s="22" t="str">
        <f t="shared" si="1"/>
        <v/>
      </c>
      <c r="C46" s="14" t="str">
        <f>IF($A46&lt;&gt;"",MINIFS(Merchant!$A:$A,Merchant!$B:$B,$G$2),)</f>
        <v/>
      </c>
      <c r="D46" s="14" t="str">
        <f t="shared" si="2"/>
        <v/>
      </c>
      <c r="E46" s="14" t="str">
        <f t="shared" si="3"/>
        <v/>
      </c>
      <c r="F46" s="6" t="str">
        <f>IF($A46&lt;&gt;"",MAXIFS(Token!$B:$B,Token!$A:$A,$D46),)</f>
        <v/>
      </c>
      <c r="H46" s="5" t="str">
        <f>IFERROR(__xludf.DUMMYFUNCTION("""COMPUTED_VALUE"""),"124")</f>
        <v>124</v>
      </c>
      <c r="I46" s="5" t="str">
        <f>IFERROR(__xludf.DUMMYFUNCTION("""COMPUTED_VALUE"""),"-919999999")</f>
        <v>-919999999</v>
      </c>
      <c r="J46" s="5" t="str">
        <f>IFERROR(__xludf.DUMMYFUNCTION("""COMPUTED_VALUE"""),"8")</f>
        <v>8</v>
      </c>
      <c r="K46" s="5" t="str">
        <f>IFERROR(__xludf.DUMMYFUNCTION("""COMPUTED_VALUE"""),"agEUR")</f>
        <v>agEUR</v>
      </c>
      <c r="L46" s="5" t="str">
        <f>IFERROR(__xludf.DUMMYFUNCTION("""COMPUTED_VALUE"""),"1657101922")</f>
        <v>1657101922</v>
      </c>
    </row>
    <row r="47">
      <c r="A47" s="35" t="str">
        <f>IF(AND($L47*1&gt;=$G$3,$L47*1&lt;=$G$4,$I47*$J47&gt;0,CONCATENATE($H47:$L47)&lt;&gt;CONCATENATE($H48:$L48),$I47/POW(10,$J47)*MAXIFS(Token!$B:$B,Token!$A:$A,$K47)&gt;0.01),$L47/86400+DATE(1970,1,1)+IF($L47*1&gt;=$G$5,$G$6,0),)</f>
        <v/>
      </c>
      <c r="B47" s="22" t="str">
        <f t="shared" si="1"/>
        <v/>
      </c>
      <c r="C47" s="14" t="str">
        <f>IF($A47&lt;&gt;"",MINIFS(Merchant!$A:$A,Merchant!$B:$B,$G$2),)</f>
        <v/>
      </c>
      <c r="D47" s="14" t="str">
        <f t="shared" si="2"/>
        <v/>
      </c>
      <c r="E47" s="14" t="str">
        <f t="shared" si="3"/>
        <v/>
      </c>
      <c r="F47" s="6" t="str">
        <f>IF($A47&lt;&gt;"",MAXIFS(Token!$B:$B,Token!$A:$A,$D47),)</f>
        <v/>
      </c>
      <c r="H47" s="5" t="str">
        <f>IFERROR(__xludf.DUMMYFUNCTION("""COMPUTED_VALUE"""),"124")</f>
        <v>124</v>
      </c>
      <c r="I47" s="5" t="str">
        <f>IFERROR(__xludf.DUMMYFUNCTION("""COMPUTED_VALUE"""),"3595000000")</f>
        <v>3595000000</v>
      </c>
      <c r="J47" s="5" t="str">
        <f>IFERROR(__xludf.DUMMYFUNCTION("""COMPUTED_VALUE"""),"8")</f>
        <v>8</v>
      </c>
      <c r="K47" s="5" t="str">
        <f>IFERROR(__xludf.DUMMYFUNCTION("""COMPUTED_VALUE"""),"agEUR")</f>
        <v>agEUR</v>
      </c>
      <c r="L47" s="5" t="str">
        <f>IFERROR(__xludf.DUMMYFUNCTION("""COMPUTED_VALUE"""),"1656878748")</f>
        <v>1656878748</v>
      </c>
    </row>
    <row r="48">
      <c r="A48" s="35" t="str">
        <f>IF(AND($L48*1&gt;=$G$3,$L48*1&lt;=$G$4,$I48*$J48&gt;0,CONCATENATE($H48:$L48)&lt;&gt;CONCATENATE($H49:$L49),$I48/POW(10,$J48)*MAXIFS(Token!$B:$B,Token!$A:$A,$K48)&gt;0.01),$L48/86400+DATE(1970,1,1)+IF($L48*1&gt;=$G$5,$G$6,0),)</f>
        <v/>
      </c>
      <c r="B48" s="22" t="str">
        <f t="shared" si="1"/>
        <v/>
      </c>
      <c r="C48" s="14" t="str">
        <f>IF($A48&lt;&gt;"",MINIFS(Merchant!$A:$A,Merchant!$B:$B,$G$2),)</f>
        <v/>
      </c>
      <c r="D48" s="14" t="str">
        <f t="shared" si="2"/>
        <v/>
      </c>
      <c r="E48" s="14" t="str">
        <f t="shared" si="3"/>
        <v/>
      </c>
      <c r="F48" s="6" t="str">
        <f>IF($A48&lt;&gt;"",MAXIFS(Token!$B:$B,Token!$A:$A,$D48),)</f>
        <v/>
      </c>
      <c r="H48" s="5" t="str">
        <f>IFERROR(__xludf.DUMMYFUNCTION("""COMPUTED_VALUE"""),"124")</f>
        <v>124</v>
      </c>
      <c r="I48" s="5" t="str">
        <f>IFERROR(__xludf.DUMMYFUNCTION("""COMPUTED_VALUE"""),"-660000000")</f>
        <v>-660000000</v>
      </c>
      <c r="J48" s="5" t="str">
        <f>IFERROR(__xludf.DUMMYFUNCTION("""COMPUTED_VALUE"""),"8")</f>
        <v>8</v>
      </c>
      <c r="K48" s="5" t="str">
        <f>IFERROR(__xludf.DUMMYFUNCTION("""COMPUTED_VALUE"""),"agEUR")</f>
        <v>agEUR</v>
      </c>
      <c r="L48" s="5" t="str">
        <f>IFERROR(__xludf.DUMMYFUNCTION("""COMPUTED_VALUE"""),"1656671612")</f>
        <v>1656671612</v>
      </c>
    </row>
    <row r="49">
      <c r="A49" s="35" t="str">
        <f>IF(AND($L49*1&gt;=$G$3,$L49*1&lt;=$G$4,$I49*$J49&gt;0,CONCATENATE($H49:$L49)&lt;&gt;CONCATENATE($H50:$L50),$I49/POW(10,$J49)*MAXIFS(Token!$B:$B,Token!$A:$A,$K49)&gt;0.01),$L49/86400+DATE(1970,1,1)+IF($L49*1&gt;=$G$5,$G$6,0),)</f>
        <v/>
      </c>
      <c r="B49" s="22" t="str">
        <f t="shared" si="1"/>
        <v/>
      </c>
      <c r="C49" s="14" t="str">
        <f>IF($A49&lt;&gt;"",MINIFS(Merchant!$A:$A,Merchant!$B:$B,$G$2),)</f>
        <v/>
      </c>
      <c r="D49" s="14" t="str">
        <f t="shared" si="2"/>
        <v/>
      </c>
      <c r="E49" s="14" t="str">
        <f t="shared" si="3"/>
        <v/>
      </c>
      <c r="F49" s="6" t="str">
        <f>IF($A49&lt;&gt;"",MAXIFS(Token!$B:$B,Token!$A:$A,$D49),)</f>
        <v/>
      </c>
      <c r="H49" s="5" t="str">
        <f>IFERROR(__xludf.DUMMYFUNCTION("""COMPUTED_VALUE"""),"124")</f>
        <v>124</v>
      </c>
      <c r="I49" s="5" t="str">
        <f>IFERROR(__xludf.DUMMYFUNCTION("""COMPUTED_VALUE"""),"-830000000")</f>
        <v>-830000000</v>
      </c>
      <c r="J49" s="5" t="str">
        <f>IFERROR(__xludf.DUMMYFUNCTION("""COMPUTED_VALUE"""),"8")</f>
        <v>8</v>
      </c>
      <c r="K49" s="5" t="str">
        <f>IFERROR(__xludf.DUMMYFUNCTION("""COMPUTED_VALUE"""),"agEUR")</f>
        <v>agEUR</v>
      </c>
      <c r="L49" s="5" t="str">
        <f>IFERROR(__xludf.DUMMYFUNCTION("""COMPUTED_VALUE"""),"1656569899")</f>
        <v>1656569899</v>
      </c>
    </row>
    <row r="50">
      <c r="A50" s="35" t="str">
        <f>IF(AND($L50*1&gt;=$G$3,$L50*1&lt;=$G$4,$I50*$J50&gt;0,CONCATENATE($H50:$L50)&lt;&gt;CONCATENATE($H51:$L51),$I50/POW(10,$J50)*MAXIFS(Token!$B:$B,Token!$A:$A,$K50)&gt;0.01),$L50/86400+DATE(1970,1,1)+IF($L50*1&gt;=$G$5,$G$6,0),)</f>
        <v/>
      </c>
      <c r="B50" s="22" t="str">
        <f t="shared" si="1"/>
        <v/>
      </c>
      <c r="C50" s="14" t="str">
        <f>IF($A50&lt;&gt;"",MINIFS(Merchant!$A:$A,Merchant!$B:$B,$G$2),)</f>
        <v/>
      </c>
      <c r="D50" s="14" t="str">
        <f t="shared" si="2"/>
        <v/>
      </c>
      <c r="E50" s="14" t="str">
        <f t="shared" si="3"/>
        <v/>
      </c>
      <c r="F50" s="6" t="str">
        <f>IF($A50&lt;&gt;"",MAXIFS(Token!$B:$B,Token!$A:$A,$D50),)</f>
        <v/>
      </c>
      <c r="H50" s="5" t="str">
        <f>IFERROR(__xludf.DUMMYFUNCTION("""COMPUTED_VALUE"""),"124")</f>
        <v>124</v>
      </c>
      <c r="I50" s="5" t="str">
        <f>IFERROR(__xludf.DUMMYFUNCTION("""COMPUTED_VALUE"""),"5366549998")</f>
        <v>5366549998</v>
      </c>
      <c r="J50" s="5" t="str">
        <f>IFERROR(__xludf.DUMMYFUNCTION("""COMPUTED_VALUE"""),"8")</f>
        <v>8</v>
      </c>
      <c r="K50" s="5" t="str">
        <f>IFERROR(__xludf.DUMMYFUNCTION("""COMPUTED_VALUE"""),"agEUR")</f>
        <v>agEUR</v>
      </c>
      <c r="L50" s="5" t="str">
        <f>IFERROR(__xludf.DUMMYFUNCTION("""COMPUTED_VALUE"""),"1656261554")</f>
        <v>1656261554</v>
      </c>
    </row>
    <row r="51">
      <c r="A51" s="35" t="str">
        <f>IF(AND($L51*1&gt;=$G$3,$L51*1&lt;=$G$4,$I51*$J51&gt;0,CONCATENATE($H51:$L51)&lt;&gt;CONCATENATE($H52:$L52),$I51/POW(10,$J51)*MAXIFS(Token!$B:$B,Token!$A:$A,$K51)&gt;0.01),$L51/86400+DATE(1970,1,1)+IF($L51*1&gt;=$G$5,$G$6,0),)</f>
        <v/>
      </c>
      <c r="B51" s="22" t="str">
        <f t="shared" si="1"/>
        <v/>
      </c>
      <c r="C51" s="14" t="str">
        <f>IF($A51&lt;&gt;"",MINIFS(Merchant!$A:$A,Merchant!$B:$B,$G$2),)</f>
        <v/>
      </c>
      <c r="D51" s="14" t="str">
        <f t="shared" si="2"/>
        <v/>
      </c>
      <c r="E51" s="14" t="str">
        <f t="shared" si="3"/>
        <v/>
      </c>
      <c r="F51" s="6" t="str">
        <f>IF($A51&lt;&gt;"",MAXIFS(Token!$B:$B,Token!$A:$A,$D51),)</f>
        <v/>
      </c>
      <c r="H51" s="5" t="str">
        <f>IFERROR(__xludf.DUMMYFUNCTION("""COMPUTED_VALUE"""),"124")</f>
        <v>124</v>
      </c>
      <c r="I51" s="5" t="str">
        <f>IFERROR(__xludf.DUMMYFUNCTION("""COMPUTED_VALUE"""),"-1235000000")</f>
        <v>-1235000000</v>
      </c>
      <c r="J51" s="5" t="str">
        <f>IFERROR(__xludf.DUMMYFUNCTION("""COMPUTED_VALUE"""),"8")</f>
        <v>8</v>
      </c>
      <c r="K51" s="5" t="str">
        <f>IFERROR(__xludf.DUMMYFUNCTION("""COMPUTED_VALUE"""),"agEUR")</f>
        <v>agEUR</v>
      </c>
      <c r="L51" s="5" t="str">
        <f>IFERROR(__xludf.DUMMYFUNCTION("""COMPUTED_VALUE"""),"1656239238")</f>
        <v>1656239238</v>
      </c>
    </row>
    <row r="52">
      <c r="A52" s="35" t="str">
        <f>IF(AND($L52*1&gt;=$G$3,$L52*1&lt;=$G$4,$I52*$J52&gt;0,CONCATENATE($H52:$L52)&lt;&gt;CONCATENATE($H53:$L53),$I52/POW(10,$J52)*MAXIFS(Token!$B:$B,Token!$A:$A,$K52)&gt;0.01),$L52/86400+DATE(1970,1,1)+IF($L52*1&gt;=$G$5,$G$6,0),)</f>
        <v/>
      </c>
      <c r="B52" s="22" t="str">
        <f t="shared" si="1"/>
        <v/>
      </c>
      <c r="C52" s="14" t="str">
        <f>IF($A52&lt;&gt;"",MINIFS(Merchant!$A:$A,Merchant!$B:$B,$G$2),)</f>
        <v/>
      </c>
      <c r="D52" s="14" t="str">
        <f t="shared" si="2"/>
        <v/>
      </c>
      <c r="E52" s="14" t="str">
        <f t="shared" si="3"/>
        <v/>
      </c>
      <c r="F52" s="6" t="str">
        <f>IF($A52&lt;&gt;"",MAXIFS(Token!$B:$B,Token!$A:$A,$D52),)</f>
        <v/>
      </c>
      <c r="H52" s="5" t="str">
        <f>IFERROR(__xludf.DUMMYFUNCTION("IF(AND($G$11,INDEX(L:L,ROW()-1)*1&gt;$G$3),ImportJSON(""https://public-api.solscan.io/account/splTransfers?account=""&amp;$G$2&amp;IF($G$5,""&amp;fromTime=""&amp;TO_TEXT($G$3)&amp;""&amp;toTime=""&amp;TO_TEXT($G$4),)&amp;""&amp;offset=""&amp;ROW()-2&amp;""&amp;limit=50""&amp;$G$7,TEXTJOIN("","",1,$H$1:$L$1),"&amp;"""noHeaders""),)"),"")</f>
        <v/>
      </c>
    </row>
    <row r="53">
      <c r="A53" s="35" t="str">
        <f>IF(AND($L53*1&gt;=$G$3,$L53*1&lt;=$G$4,$I53*$J53&gt;0,CONCATENATE($H53:$L53)&lt;&gt;CONCATENATE($H54:$L54),$I53/POW(10,$J53)*MAXIFS(Token!$B:$B,Token!$A:$A,$K53)&gt;0.01),$L53/86400+DATE(1970,1,1)+IF($L53*1&gt;=$G$5,$G$6,0),)</f>
        <v/>
      </c>
      <c r="B53" s="22" t="str">
        <f t="shared" si="1"/>
        <v/>
      </c>
      <c r="C53" s="14" t="str">
        <f>IF($A53&lt;&gt;"",MINIFS(Merchant!$A:$A,Merchant!$B:$B,$G$2),)</f>
        <v/>
      </c>
      <c r="D53" s="14" t="str">
        <f t="shared" si="2"/>
        <v/>
      </c>
      <c r="E53" s="14" t="str">
        <f t="shared" si="3"/>
        <v/>
      </c>
      <c r="F53" s="6" t="str">
        <f>IF($A53&lt;&gt;"",MAXIFS(Token!$B:$B,Token!$A:$A,$D53),)</f>
        <v/>
      </c>
    </row>
    <row r="54">
      <c r="A54" s="35" t="str">
        <f>IF(AND($L54*1&gt;=$G$3,$L54*1&lt;=$G$4,$I54*$J54&gt;0,CONCATENATE($H54:$L54)&lt;&gt;CONCATENATE($H55:$L55),$I54/POW(10,$J54)*MAXIFS(Token!$B:$B,Token!$A:$A,$K54)&gt;0.01),$L54/86400+DATE(1970,1,1)+IF($L54*1&gt;=$G$5,$G$6,0),)</f>
        <v/>
      </c>
      <c r="B54" s="22" t="str">
        <f t="shared" si="1"/>
        <v/>
      </c>
      <c r="C54" s="14" t="str">
        <f>IF($A54&lt;&gt;"",MINIFS(Merchant!$A:$A,Merchant!$B:$B,$G$2),)</f>
        <v/>
      </c>
      <c r="D54" s="14" t="str">
        <f t="shared" si="2"/>
        <v/>
      </c>
      <c r="E54" s="14" t="str">
        <f t="shared" si="3"/>
        <v/>
      </c>
      <c r="F54" s="6" t="str">
        <f>IF($A54&lt;&gt;"",MAXIFS(Token!$B:$B,Token!$A:$A,$D54),)</f>
        <v/>
      </c>
    </row>
    <row r="55">
      <c r="A55" s="35" t="str">
        <f>IF(AND($L55*1&gt;=$G$3,$L55*1&lt;=$G$4,$I55*$J55&gt;0,CONCATENATE($H55:$L55)&lt;&gt;CONCATENATE($H56:$L56),$I55/POW(10,$J55)*MAXIFS(Token!$B:$B,Token!$A:$A,$K55)&gt;0.01),$L55/86400+DATE(1970,1,1)+IF($L55*1&gt;=$G$5,$G$6,0),)</f>
        <v/>
      </c>
      <c r="B55" s="22" t="str">
        <f t="shared" si="1"/>
        <v/>
      </c>
      <c r="C55" s="14" t="str">
        <f>IF($A55&lt;&gt;"",MINIFS(Merchant!$A:$A,Merchant!$B:$B,$G$2),)</f>
        <v/>
      </c>
      <c r="D55" s="14" t="str">
        <f t="shared" si="2"/>
        <v/>
      </c>
      <c r="E55" s="14" t="str">
        <f t="shared" si="3"/>
        <v/>
      </c>
      <c r="F55" s="6" t="str">
        <f>IF($A55&lt;&gt;"",MAXIFS(Token!$B:$B,Token!$A:$A,$D55),)</f>
        <v/>
      </c>
    </row>
    <row r="56">
      <c r="A56" s="35" t="str">
        <f>IF(AND($L56*1&gt;=$G$3,$L56*1&lt;=$G$4,$I56*$J56&gt;0,CONCATENATE($H56:$L56)&lt;&gt;CONCATENATE($H57:$L57),$I56/POW(10,$J56)*MAXIFS(Token!$B:$B,Token!$A:$A,$K56)&gt;0.01),$L56/86400+DATE(1970,1,1)+IF($L56*1&gt;=$G$5,$G$6,0),)</f>
        <v/>
      </c>
      <c r="B56" s="22" t="str">
        <f t="shared" si="1"/>
        <v/>
      </c>
      <c r="C56" s="14" t="str">
        <f>IF($A56&lt;&gt;"",MINIFS(Merchant!$A:$A,Merchant!$B:$B,$G$2),)</f>
        <v/>
      </c>
      <c r="D56" s="14" t="str">
        <f t="shared" si="2"/>
        <v/>
      </c>
      <c r="E56" s="14" t="str">
        <f t="shared" si="3"/>
        <v/>
      </c>
      <c r="F56" s="6" t="str">
        <f>IF($A56&lt;&gt;"",MAXIFS(Token!$B:$B,Token!$A:$A,$D56),)</f>
        <v/>
      </c>
    </row>
    <row r="57">
      <c r="A57" s="35" t="str">
        <f>IF(AND($L57*1&gt;=$G$3,$L57*1&lt;=$G$4,$I57*$J57&gt;0,CONCATENATE($H57:$L57)&lt;&gt;CONCATENATE($H58:$L58),$I57/POW(10,$J57)*MAXIFS(Token!$B:$B,Token!$A:$A,$K57)&gt;0.01),$L57/86400+DATE(1970,1,1)+IF($L57*1&gt;=$G$5,$G$6,0),)</f>
        <v/>
      </c>
      <c r="B57" s="22" t="str">
        <f t="shared" si="1"/>
        <v/>
      </c>
      <c r="C57" s="14" t="str">
        <f>IF($A57&lt;&gt;"",MINIFS(Merchant!$A:$A,Merchant!$B:$B,$G$2),)</f>
        <v/>
      </c>
      <c r="D57" s="14" t="str">
        <f t="shared" si="2"/>
        <v/>
      </c>
      <c r="E57" s="14" t="str">
        <f t="shared" si="3"/>
        <v/>
      </c>
      <c r="F57" s="6" t="str">
        <f>IF($A57&lt;&gt;"",MAXIFS(Token!$B:$B,Token!$A:$A,$D57),)</f>
        <v/>
      </c>
    </row>
    <row r="58">
      <c r="A58" s="35" t="str">
        <f>IF(AND($L58*1&gt;=$G$3,$L58*1&lt;=$G$4,$I58*$J58&gt;0,CONCATENATE($H58:$L58)&lt;&gt;CONCATENATE($H59:$L59),$I58/POW(10,$J58)*MAXIFS(Token!$B:$B,Token!$A:$A,$K58)&gt;0.01),$L58/86400+DATE(1970,1,1)+IF($L58*1&gt;=$G$5,$G$6,0),)</f>
        <v/>
      </c>
      <c r="B58" s="22" t="str">
        <f t="shared" si="1"/>
        <v/>
      </c>
      <c r="C58" s="14" t="str">
        <f>IF($A58&lt;&gt;"",MINIFS(Merchant!$A:$A,Merchant!$B:$B,$G$2),)</f>
        <v/>
      </c>
      <c r="D58" s="14" t="str">
        <f t="shared" si="2"/>
        <v/>
      </c>
      <c r="E58" s="14" t="str">
        <f t="shared" si="3"/>
        <v/>
      </c>
      <c r="F58" s="6" t="str">
        <f>IF($A58&lt;&gt;"",MAXIFS(Token!$B:$B,Token!$A:$A,$D58),)</f>
        <v/>
      </c>
    </row>
    <row r="59">
      <c r="A59" s="35" t="str">
        <f>IF(AND($L59*1&gt;=$G$3,$L59*1&lt;=$G$4,$I59*$J59&gt;0,CONCATENATE($H59:$L59)&lt;&gt;CONCATENATE($H60:$L60),$I59/POW(10,$J59)*MAXIFS(Token!$B:$B,Token!$A:$A,$K59)&gt;0.01),$L59/86400+DATE(1970,1,1)+IF($L59*1&gt;=$G$5,$G$6,0),)</f>
        <v/>
      </c>
      <c r="B59" s="22" t="str">
        <f t="shared" si="1"/>
        <v/>
      </c>
      <c r="C59" s="14" t="str">
        <f>IF($A59&lt;&gt;"",MINIFS(Merchant!$A:$A,Merchant!$B:$B,$G$2),)</f>
        <v/>
      </c>
      <c r="D59" s="14" t="str">
        <f t="shared" si="2"/>
        <v/>
      </c>
      <c r="E59" s="14" t="str">
        <f t="shared" si="3"/>
        <v/>
      </c>
      <c r="F59" s="6" t="str">
        <f>IF($A59&lt;&gt;"",MAXIFS(Token!$B:$B,Token!$A:$A,$D59),)</f>
        <v/>
      </c>
    </row>
    <row r="60">
      <c r="A60" s="35" t="str">
        <f>IF(AND($L60*1&gt;=$G$3,$L60*1&lt;=$G$4,$I60*$J60&gt;0,CONCATENATE($H60:$L60)&lt;&gt;CONCATENATE($H61:$L61),$I60/POW(10,$J60)*MAXIFS(Token!$B:$B,Token!$A:$A,$K60)&gt;0.01),$L60/86400+DATE(1970,1,1)+IF($L60*1&gt;=$G$5,$G$6,0),)</f>
        <v/>
      </c>
      <c r="B60" s="22" t="str">
        <f t="shared" si="1"/>
        <v/>
      </c>
      <c r="C60" s="14" t="str">
        <f>IF($A60&lt;&gt;"",MINIFS(Merchant!$A:$A,Merchant!$B:$B,$G$2),)</f>
        <v/>
      </c>
      <c r="D60" s="14" t="str">
        <f t="shared" si="2"/>
        <v/>
      </c>
      <c r="E60" s="14" t="str">
        <f t="shared" si="3"/>
        <v/>
      </c>
      <c r="F60" s="6" t="str">
        <f>IF($A60&lt;&gt;"",MAXIFS(Token!$B:$B,Token!$A:$A,$D60),)</f>
        <v/>
      </c>
    </row>
    <row r="61">
      <c r="A61" s="35" t="str">
        <f>IF(AND($L61*1&gt;=$G$3,$L61*1&lt;=$G$4,$I61*$J61&gt;0,CONCATENATE($H61:$L61)&lt;&gt;CONCATENATE($H62:$L62),$I61/POW(10,$J61)*MAXIFS(Token!$B:$B,Token!$A:$A,$K61)&gt;0.01),$L61/86400+DATE(1970,1,1)+IF($L61*1&gt;=$G$5,$G$6,0),)</f>
        <v/>
      </c>
      <c r="B61" s="22" t="str">
        <f t="shared" si="1"/>
        <v/>
      </c>
      <c r="C61" s="14" t="str">
        <f>IF($A61&lt;&gt;"",MINIFS(Merchant!$A:$A,Merchant!$B:$B,$G$2),)</f>
        <v/>
      </c>
      <c r="D61" s="14" t="str">
        <f t="shared" si="2"/>
        <v/>
      </c>
      <c r="E61" s="14" t="str">
        <f t="shared" si="3"/>
        <v/>
      </c>
      <c r="F61" s="6" t="str">
        <f>IF($A61&lt;&gt;"",MAXIFS(Token!$B:$B,Token!$A:$A,$D61),)</f>
        <v/>
      </c>
    </row>
    <row r="62">
      <c r="A62" s="35" t="str">
        <f>IF(AND($L62*1&gt;=$G$3,$L62*1&lt;=$G$4,$I62*$J62&gt;0,CONCATENATE($H62:$L62)&lt;&gt;CONCATENATE($H63:$L63),$I62/POW(10,$J62)*MAXIFS(Token!$B:$B,Token!$A:$A,$K62)&gt;0.01),$L62/86400+DATE(1970,1,1)+IF($L62*1&gt;=$G$5,$G$6,0),)</f>
        <v/>
      </c>
      <c r="B62" s="22" t="str">
        <f t="shared" si="1"/>
        <v/>
      </c>
      <c r="C62" s="14" t="str">
        <f>IF($A62&lt;&gt;"",MINIFS(Merchant!$A:$A,Merchant!$B:$B,$G$2),)</f>
        <v/>
      </c>
      <c r="D62" s="14" t="str">
        <f t="shared" si="2"/>
        <v/>
      </c>
      <c r="E62" s="14" t="str">
        <f t="shared" si="3"/>
        <v/>
      </c>
      <c r="F62" s="6" t="str">
        <f>IF($A62&lt;&gt;"",MAXIFS(Token!$B:$B,Token!$A:$A,$D62),)</f>
        <v/>
      </c>
    </row>
    <row r="63">
      <c r="A63" s="35" t="str">
        <f>IF(AND($L63*1&gt;=$G$3,$L63*1&lt;=$G$4,$I63*$J63&gt;0,CONCATENATE($H63:$L63)&lt;&gt;CONCATENATE($H64:$L64),$I63/POW(10,$J63)*MAXIFS(Token!$B:$B,Token!$A:$A,$K63)&gt;0.01),$L63/86400+DATE(1970,1,1)+IF($L63*1&gt;=$G$5,$G$6,0),)</f>
        <v/>
      </c>
      <c r="B63" s="22" t="str">
        <f t="shared" si="1"/>
        <v/>
      </c>
      <c r="C63" s="14" t="str">
        <f>IF($A63&lt;&gt;"",MINIFS(Merchant!$A:$A,Merchant!$B:$B,$G$2),)</f>
        <v/>
      </c>
      <c r="D63" s="14" t="str">
        <f t="shared" si="2"/>
        <v/>
      </c>
      <c r="E63" s="14" t="str">
        <f t="shared" si="3"/>
        <v/>
      </c>
      <c r="F63" s="6" t="str">
        <f>IF($A63&lt;&gt;"",MAXIFS(Token!$B:$B,Token!$A:$A,$D63),)</f>
        <v/>
      </c>
    </row>
    <row r="64">
      <c r="A64" s="35" t="str">
        <f>IF(AND($L64*1&gt;=$G$3,$L64*1&lt;=$G$4,$I64*$J64&gt;0,CONCATENATE($H64:$L64)&lt;&gt;CONCATENATE($H65:$L65),$I64/POW(10,$J64)*MAXIFS(Token!$B:$B,Token!$A:$A,$K64)&gt;0.01),$L64/86400+DATE(1970,1,1)+IF($L64*1&gt;=$G$5,$G$6,0),)</f>
        <v/>
      </c>
      <c r="B64" s="22" t="str">
        <f t="shared" si="1"/>
        <v/>
      </c>
      <c r="C64" s="14" t="str">
        <f>IF($A64&lt;&gt;"",MINIFS(Merchant!$A:$A,Merchant!$B:$B,$G$2),)</f>
        <v/>
      </c>
      <c r="D64" s="14" t="str">
        <f t="shared" si="2"/>
        <v/>
      </c>
      <c r="E64" s="14" t="str">
        <f t="shared" si="3"/>
        <v/>
      </c>
      <c r="F64" s="6" t="str">
        <f>IF($A64&lt;&gt;"",MAXIFS(Token!$B:$B,Token!$A:$A,$D64),)</f>
        <v/>
      </c>
    </row>
    <row r="65">
      <c r="A65" s="35" t="str">
        <f>IF(AND($L65*1&gt;=$G$3,$L65*1&lt;=$G$4,$I65*$J65&gt;0,CONCATENATE($H65:$L65)&lt;&gt;CONCATENATE($H66:$L66),$I65/POW(10,$J65)*MAXIFS(Token!$B:$B,Token!$A:$A,$K65)&gt;0.01),$L65/86400+DATE(1970,1,1)+IF($L65*1&gt;=$G$5,$G$6,0),)</f>
        <v/>
      </c>
      <c r="B65" s="22" t="str">
        <f t="shared" si="1"/>
        <v/>
      </c>
      <c r="C65" s="14" t="str">
        <f>IF($A65&lt;&gt;"",MINIFS(Merchant!$A:$A,Merchant!$B:$B,$G$2),)</f>
        <v/>
      </c>
      <c r="D65" s="14" t="str">
        <f t="shared" si="2"/>
        <v/>
      </c>
      <c r="E65" s="14" t="str">
        <f t="shared" si="3"/>
        <v/>
      </c>
      <c r="F65" s="6" t="str">
        <f>IF($A65&lt;&gt;"",MAXIFS(Token!$B:$B,Token!$A:$A,$D65),)</f>
        <v/>
      </c>
    </row>
    <row r="66">
      <c r="A66" s="35" t="str">
        <f>IF(AND($L66*1&gt;=$G$3,$L66*1&lt;=$G$4,$I66*$J66&gt;0,CONCATENATE($H66:$L66)&lt;&gt;CONCATENATE($H67:$L67),$I66/POW(10,$J66)*MAXIFS(Token!$B:$B,Token!$A:$A,$K66)&gt;0.01),$L66/86400+DATE(1970,1,1)+IF($L66*1&gt;=$G$5,$G$6,0),)</f>
        <v/>
      </c>
      <c r="B66" s="22" t="str">
        <f t="shared" si="1"/>
        <v/>
      </c>
      <c r="C66" s="14" t="str">
        <f>IF($A66&lt;&gt;"",MINIFS(Merchant!$A:$A,Merchant!$B:$B,$G$2),)</f>
        <v/>
      </c>
      <c r="D66" s="14" t="str">
        <f t="shared" si="2"/>
        <v/>
      </c>
      <c r="E66" s="14" t="str">
        <f t="shared" si="3"/>
        <v/>
      </c>
      <c r="F66" s="6" t="str">
        <f>IF($A66&lt;&gt;"",MAXIFS(Token!$B:$B,Token!$A:$A,$D66),)</f>
        <v/>
      </c>
    </row>
    <row r="67">
      <c r="A67" s="35" t="str">
        <f>IF(AND($L67*1&gt;=$G$3,$L67*1&lt;=$G$4,$I67*$J67&gt;0,CONCATENATE($H67:$L67)&lt;&gt;CONCATENATE($H68:$L68),$I67/POW(10,$J67)*MAXIFS(Token!$B:$B,Token!$A:$A,$K67)&gt;0.01),$L67/86400+DATE(1970,1,1)+IF($L67*1&gt;=$G$5,$G$6,0),)</f>
        <v/>
      </c>
      <c r="B67" s="22" t="str">
        <f t="shared" si="1"/>
        <v/>
      </c>
      <c r="C67" s="14" t="str">
        <f>IF($A67&lt;&gt;"",MINIFS(Merchant!$A:$A,Merchant!$B:$B,$G$2),)</f>
        <v/>
      </c>
      <c r="D67" s="14" t="str">
        <f t="shared" si="2"/>
        <v/>
      </c>
      <c r="E67" s="14" t="str">
        <f t="shared" si="3"/>
        <v/>
      </c>
      <c r="F67" s="6" t="str">
        <f>IF($A67&lt;&gt;"",MAXIFS(Token!$B:$B,Token!$A:$A,$D67),)</f>
        <v/>
      </c>
    </row>
    <row r="68">
      <c r="A68" s="35" t="str">
        <f>IF(AND($L68*1&gt;=$G$3,$L68*1&lt;=$G$4,$I68*$J68&gt;0,CONCATENATE($H68:$L68)&lt;&gt;CONCATENATE($H69:$L69),$I68/POW(10,$J68)*MAXIFS(Token!$B:$B,Token!$A:$A,$K68)&gt;0.01),$L68/86400+DATE(1970,1,1)+IF($L68*1&gt;=$G$5,$G$6,0),)</f>
        <v/>
      </c>
      <c r="B68" s="22" t="str">
        <f t="shared" si="1"/>
        <v/>
      </c>
      <c r="C68" s="14" t="str">
        <f>IF($A68&lt;&gt;"",MINIFS(Merchant!$A:$A,Merchant!$B:$B,$G$2),)</f>
        <v/>
      </c>
      <c r="D68" s="14" t="str">
        <f t="shared" si="2"/>
        <v/>
      </c>
      <c r="E68" s="14" t="str">
        <f t="shared" si="3"/>
        <v/>
      </c>
      <c r="F68" s="6" t="str">
        <f>IF($A68&lt;&gt;"",MAXIFS(Token!$B:$B,Token!$A:$A,$D68),)</f>
        <v/>
      </c>
    </row>
    <row r="69">
      <c r="A69" s="35" t="str">
        <f>IF(AND($L69*1&gt;=$G$3,$L69*1&lt;=$G$4,$I69*$J69&gt;0,CONCATENATE($H69:$L69)&lt;&gt;CONCATENATE($H70:$L70),$I69/POW(10,$J69)*MAXIFS(Token!$B:$B,Token!$A:$A,$K69)&gt;0.01),$L69/86400+DATE(1970,1,1)+IF($L69*1&gt;=$G$5,$G$6,0),)</f>
        <v/>
      </c>
      <c r="B69" s="22" t="str">
        <f t="shared" si="1"/>
        <v/>
      </c>
      <c r="C69" s="14" t="str">
        <f>IF($A69&lt;&gt;"",MINIFS(Merchant!$A:$A,Merchant!$B:$B,$G$2),)</f>
        <v/>
      </c>
      <c r="D69" s="14" t="str">
        <f t="shared" si="2"/>
        <v/>
      </c>
      <c r="E69" s="14" t="str">
        <f t="shared" si="3"/>
        <v/>
      </c>
      <c r="F69" s="6" t="str">
        <f>IF($A69&lt;&gt;"",MAXIFS(Token!$B:$B,Token!$A:$A,$D69),)</f>
        <v/>
      </c>
    </row>
    <row r="70">
      <c r="A70" s="35" t="str">
        <f>IF(AND($L70*1&gt;=$G$3,$L70*1&lt;=$G$4,$I70*$J70&gt;0,CONCATENATE($H70:$L70)&lt;&gt;CONCATENATE($H71:$L71),$I70/POW(10,$J70)*MAXIFS(Token!$B:$B,Token!$A:$A,$K70)&gt;0.01),$L70/86400+DATE(1970,1,1)+IF($L70*1&gt;=$G$5,$G$6,0),)</f>
        <v/>
      </c>
      <c r="B70" s="22" t="str">
        <f t="shared" si="1"/>
        <v/>
      </c>
      <c r="C70" s="14" t="str">
        <f>IF($A70&lt;&gt;"",MINIFS(Merchant!$A:$A,Merchant!$B:$B,$G$2),)</f>
        <v/>
      </c>
      <c r="D70" s="14" t="str">
        <f t="shared" si="2"/>
        <v/>
      </c>
      <c r="E70" s="14" t="str">
        <f t="shared" si="3"/>
        <v/>
      </c>
      <c r="F70" s="6" t="str">
        <f>IF($A70&lt;&gt;"",MAXIFS(Token!$B:$B,Token!$A:$A,$D70),)</f>
        <v/>
      </c>
    </row>
    <row r="71">
      <c r="A71" s="35" t="str">
        <f>IF(AND($L71*1&gt;=$G$3,$L71*1&lt;=$G$4,$I71*$J71&gt;0,CONCATENATE($H71:$L71)&lt;&gt;CONCATENATE($H72:$L72),$I71/POW(10,$J71)*MAXIFS(Token!$B:$B,Token!$A:$A,$K71)&gt;0.01),$L71/86400+DATE(1970,1,1)+IF($L71*1&gt;=$G$5,$G$6,0),)</f>
        <v/>
      </c>
      <c r="B71" s="22" t="str">
        <f t="shared" si="1"/>
        <v/>
      </c>
      <c r="C71" s="14" t="str">
        <f>IF($A71&lt;&gt;"",MINIFS(Merchant!$A:$A,Merchant!$B:$B,$G$2),)</f>
        <v/>
      </c>
      <c r="D71" s="14" t="str">
        <f t="shared" si="2"/>
        <v/>
      </c>
      <c r="E71" s="14" t="str">
        <f t="shared" si="3"/>
        <v/>
      </c>
      <c r="F71" s="6" t="str">
        <f>IF($A71&lt;&gt;"",MAXIFS(Token!$B:$B,Token!$A:$A,$D71),)</f>
        <v/>
      </c>
    </row>
    <row r="72">
      <c r="A72" s="35" t="str">
        <f>IF(AND($L72*1&gt;=$G$3,$L72*1&lt;=$G$4,$I72*$J72&gt;0,CONCATENATE($H72:$L72)&lt;&gt;CONCATENATE($H73:$L73),$I72/POW(10,$J72)*MAXIFS(Token!$B:$B,Token!$A:$A,$K72)&gt;0.01),$L72/86400+DATE(1970,1,1)+IF($L72*1&gt;=$G$5,$G$6,0),)</f>
        <v/>
      </c>
      <c r="B72" s="22" t="str">
        <f t="shared" si="1"/>
        <v/>
      </c>
      <c r="C72" s="14" t="str">
        <f>IF($A72&lt;&gt;"",MINIFS(Merchant!$A:$A,Merchant!$B:$B,$G$2),)</f>
        <v/>
      </c>
      <c r="D72" s="14" t="str">
        <f t="shared" si="2"/>
        <v/>
      </c>
      <c r="E72" s="14" t="str">
        <f t="shared" si="3"/>
        <v/>
      </c>
      <c r="F72" s="6" t="str">
        <f>IF($A72&lt;&gt;"",MAXIFS(Token!$B:$B,Token!$A:$A,$D72),)</f>
        <v/>
      </c>
    </row>
    <row r="73">
      <c r="A73" s="35" t="str">
        <f>IF(AND($L73*1&gt;=$G$3,$L73*1&lt;=$G$4,$I73*$J73&gt;0,CONCATENATE($H73:$L73)&lt;&gt;CONCATENATE($H74:$L74),$I73/POW(10,$J73)*MAXIFS(Token!$B:$B,Token!$A:$A,$K73)&gt;0.01),$L73/86400+DATE(1970,1,1)+IF($L73*1&gt;=$G$5,$G$6,0),)</f>
        <v/>
      </c>
      <c r="B73" s="22" t="str">
        <f t="shared" si="1"/>
        <v/>
      </c>
      <c r="C73" s="14" t="str">
        <f>IF($A73&lt;&gt;"",MINIFS(Merchant!$A:$A,Merchant!$B:$B,$G$2),)</f>
        <v/>
      </c>
      <c r="D73" s="14" t="str">
        <f t="shared" si="2"/>
        <v/>
      </c>
      <c r="E73" s="14" t="str">
        <f t="shared" si="3"/>
        <v/>
      </c>
      <c r="F73" s="6" t="str">
        <f>IF($A73&lt;&gt;"",MAXIFS(Token!$B:$B,Token!$A:$A,$D73),)</f>
        <v/>
      </c>
    </row>
    <row r="74">
      <c r="A74" s="35" t="str">
        <f>IF(AND($L74*1&gt;=$G$3,$L74*1&lt;=$G$4,$I74*$J74&gt;0,CONCATENATE($H74:$L74)&lt;&gt;CONCATENATE($H75:$L75),$I74/POW(10,$J74)*MAXIFS(Token!$B:$B,Token!$A:$A,$K74)&gt;0.01),$L74/86400+DATE(1970,1,1)+IF($L74*1&gt;=$G$5,$G$6,0),)</f>
        <v/>
      </c>
      <c r="B74" s="22" t="str">
        <f t="shared" si="1"/>
        <v/>
      </c>
      <c r="C74" s="14" t="str">
        <f>IF($A74&lt;&gt;"",MINIFS(Merchant!$A:$A,Merchant!$B:$B,$G$2),)</f>
        <v/>
      </c>
      <c r="D74" s="14" t="str">
        <f t="shared" si="2"/>
        <v/>
      </c>
      <c r="E74" s="14" t="str">
        <f t="shared" si="3"/>
        <v/>
      </c>
      <c r="F74" s="6" t="str">
        <f>IF($A74&lt;&gt;"",MAXIFS(Token!$B:$B,Token!$A:$A,$D74),)</f>
        <v/>
      </c>
    </row>
    <row r="75">
      <c r="A75" s="35" t="str">
        <f>IF(AND($L75*1&gt;=$G$3,$L75*1&lt;=$G$4,$I75*$J75&gt;0,CONCATENATE($H75:$L75)&lt;&gt;CONCATENATE($H76:$L76),$I75/POW(10,$J75)*MAXIFS(Token!$B:$B,Token!$A:$A,$K75)&gt;0.01),$L75/86400+DATE(1970,1,1)+IF($L75*1&gt;=$G$5,$G$6,0),)</f>
        <v/>
      </c>
      <c r="B75" s="22" t="str">
        <f t="shared" si="1"/>
        <v/>
      </c>
      <c r="C75" s="14" t="str">
        <f>IF($A75&lt;&gt;"",MINIFS(Merchant!$A:$A,Merchant!$B:$B,$G$2),)</f>
        <v/>
      </c>
      <c r="D75" s="14" t="str">
        <f t="shared" si="2"/>
        <v/>
      </c>
      <c r="E75" s="14" t="str">
        <f t="shared" si="3"/>
        <v/>
      </c>
      <c r="F75" s="6" t="str">
        <f>IF($A75&lt;&gt;"",MAXIFS(Token!$B:$B,Token!$A:$A,$D75),)</f>
        <v/>
      </c>
    </row>
    <row r="76">
      <c r="A76" s="35" t="str">
        <f>IF(AND($L76*1&gt;=$G$3,$L76*1&lt;=$G$4,$I76*$J76&gt;0,CONCATENATE($H76:$L76)&lt;&gt;CONCATENATE($H77:$L77),$I76/POW(10,$J76)*MAXIFS(Token!$B:$B,Token!$A:$A,$K76)&gt;0.01),$L76/86400+DATE(1970,1,1)+IF($L76*1&gt;=$G$5,$G$6,0),)</f>
        <v/>
      </c>
      <c r="B76" s="22" t="str">
        <f t="shared" si="1"/>
        <v/>
      </c>
      <c r="C76" s="14" t="str">
        <f>IF($A76&lt;&gt;"",MINIFS(Merchant!$A:$A,Merchant!$B:$B,$G$2),)</f>
        <v/>
      </c>
      <c r="D76" s="14" t="str">
        <f t="shared" si="2"/>
        <v/>
      </c>
      <c r="E76" s="14" t="str">
        <f t="shared" si="3"/>
        <v/>
      </c>
      <c r="F76" s="6" t="str">
        <f>IF($A76&lt;&gt;"",MAXIFS(Token!$B:$B,Token!$A:$A,$D76),)</f>
        <v/>
      </c>
    </row>
    <row r="77">
      <c r="A77" s="35" t="str">
        <f>IF(AND($L77*1&gt;=$G$3,$L77*1&lt;=$G$4,$I77*$J77&gt;0,CONCATENATE($H77:$L77)&lt;&gt;CONCATENATE($H78:$L78),$I77/POW(10,$J77)*MAXIFS(Token!$B:$B,Token!$A:$A,$K77)&gt;0.01),$L77/86400+DATE(1970,1,1)+IF($L77*1&gt;=$G$5,$G$6,0),)</f>
        <v/>
      </c>
      <c r="B77" s="22" t="str">
        <f t="shared" si="1"/>
        <v/>
      </c>
      <c r="C77" s="14" t="str">
        <f>IF($A77&lt;&gt;"",MINIFS(Merchant!$A:$A,Merchant!$B:$B,$G$2),)</f>
        <v/>
      </c>
      <c r="D77" s="14" t="str">
        <f t="shared" si="2"/>
        <v/>
      </c>
      <c r="E77" s="14" t="str">
        <f t="shared" si="3"/>
        <v/>
      </c>
      <c r="F77" s="6" t="str">
        <f>IF($A77&lt;&gt;"",MAXIFS(Token!$B:$B,Token!$A:$A,$D77),)</f>
        <v/>
      </c>
    </row>
    <row r="78">
      <c r="A78" s="35" t="str">
        <f>IF(AND($L78*1&gt;=$G$3,$L78*1&lt;=$G$4,$I78*$J78&gt;0,CONCATENATE($H78:$L78)&lt;&gt;CONCATENATE($H79:$L79),$I78/POW(10,$J78)*MAXIFS(Token!$B:$B,Token!$A:$A,$K78)&gt;0.01),$L78/86400+DATE(1970,1,1)+IF($L78*1&gt;=$G$5,$G$6,0),)</f>
        <v/>
      </c>
      <c r="B78" s="22" t="str">
        <f t="shared" si="1"/>
        <v/>
      </c>
      <c r="C78" s="14" t="str">
        <f>IF($A78&lt;&gt;"",MINIFS(Merchant!$A:$A,Merchant!$B:$B,$G$2),)</f>
        <v/>
      </c>
      <c r="D78" s="14" t="str">
        <f t="shared" si="2"/>
        <v/>
      </c>
      <c r="E78" s="14" t="str">
        <f t="shared" si="3"/>
        <v/>
      </c>
      <c r="F78" s="6" t="str">
        <f>IF($A78&lt;&gt;"",MAXIFS(Token!$B:$B,Token!$A:$A,$D78),)</f>
        <v/>
      </c>
    </row>
    <row r="79">
      <c r="A79" s="35" t="str">
        <f>IF(AND($L79*1&gt;=$G$3,$L79*1&lt;=$G$4,$I79*$J79&gt;0,CONCATENATE($H79:$L79)&lt;&gt;CONCATENATE($H80:$L80),$I79/POW(10,$J79)*MAXIFS(Token!$B:$B,Token!$A:$A,$K79)&gt;0.01),$L79/86400+DATE(1970,1,1)+IF($L79*1&gt;=$G$5,$G$6,0),)</f>
        <v/>
      </c>
      <c r="B79" s="22" t="str">
        <f t="shared" si="1"/>
        <v/>
      </c>
      <c r="C79" s="14" t="str">
        <f>IF($A79&lt;&gt;"",MINIFS(Merchant!$A:$A,Merchant!$B:$B,$G$2),)</f>
        <v/>
      </c>
      <c r="D79" s="14" t="str">
        <f t="shared" si="2"/>
        <v/>
      </c>
      <c r="E79" s="14" t="str">
        <f t="shared" si="3"/>
        <v/>
      </c>
      <c r="F79" s="6" t="str">
        <f>IF($A79&lt;&gt;"",MAXIFS(Token!$B:$B,Token!$A:$A,$D79),)</f>
        <v/>
      </c>
    </row>
    <row r="80">
      <c r="A80" s="35" t="str">
        <f>IF(AND($L80*1&gt;=$G$3,$L80*1&lt;=$G$4,$I80*$J80&gt;0,CONCATENATE($H80:$L80)&lt;&gt;CONCATENATE($H81:$L81),$I80/POW(10,$J80)*MAXIFS(Token!$B:$B,Token!$A:$A,$K80)&gt;0.01),$L80/86400+DATE(1970,1,1)+IF($L80*1&gt;=$G$5,$G$6,0),)</f>
        <v/>
      </c>
      <c r="B80" s="22" t="str">
        <f t="shared" si="1"/>
        <v/>
      </c>
      <c r="C80" s="14" t="str">
        <f>IF($A80&lt;&gt;"",MINIFS(Merchant!$A:$A,Merchant!$B:$B,$G$2),)</f>
        <v/>
      </c>
      <c r="D80" s="14" t="str">
        <f t="shared" si="2"/>
        <v/>
      </c>
      <c r="E80" s="14" t="str">
        <f t="shared" si="3"/>
        <v/>
      </c>
      <c r="F80" s="6" t="str">
        <f>IF($A80&lt;&gt;"",MAXIFS(Token!$B:$B,Token!$A:$A,$D80),)</f>
        <v/>
      </c>
    </row>
    <row r="81">
      <c r="A81" s="35" t="str">
        <f>IF(AND($L81*1&gt;=$G$3,$L81*1&lt;=$G$4,$I81*$J81&gt;0,CONCATENATE($H81:$L81)&lt;&gt;CONCATENATE($H82:$L82),$I81/POW(10,$J81)*MAXIFS(Token!$B:$B,Token!$A:$A,$K81)&gt;0.01),$L81/86400+DATE(1970,1,1)+IF($L81*1&gt;=$G$5,$G$6,0),)</f>
        <v/>
      </c>
      <c r="B81" s="22" t="str">
        <f t="shared" si="1"/>
        <v/>
      </c>
      <c r="C81" s="14" t="str">
        <f>IF($A81&lt;&gt;"",MINIFS(Merchant!$A:$A,Merchant!$B:$B,$G$2),)</f>
        <v/>
      </c>
      <c r="D81" s="14" t="str">
        <f t="shared" si="2"/>
        <v/>
      </c>
      <c r="E81" s="14" t="str">
        <f t="shared" si="3"/>
        <v/>
      </c>
      <c r="F81" s="6" t="str">
        <f>IF($A81&lt;&gt;"",MAXIFS(Token!$B:$B,Token!$A:$A,$D81),)</f>
        <v/>
      </c>
    </row>
    <row r="82">
      <c r="A82" s="35" t="str">
        <f>IF(AND($L82*1&gt;=$G$3,$L82*1&lt;=$G$4,$I82*$J82&gt;0,CONCATENATE($H82:$L82)&lt;&gt;CONCATENATE($H83:$L83),$I82/POW(10,$J82)*MAXIFS(Token!$B:$B,Token!$A:$A,$K82)&gt;0.01),$L82/86400+DATE(1970,1,1)+IF($L82*1&gt;=$G$5,$G$6,0),)</f>
        <v/>
      </c>
      <c r="B82" s="22" t="str">
        <f t="shared" si="1"/>
        <v/>
      </c>
      <c r="C82" s="14" t="str">
        <f>IF($A82&lt;&gt;"",MINIFS(Merchant!$A:$A,Merchant!$B:$B,$G$2),)</f>
        <v/>
      </c>
      <c r="D82" s="14" t="str">
        <f t="shared" si="2"/>
        <v/>
      </c>
      <c r="E82" s="14" t="str">
        <f t="shared" si="3"/>
        <v/>
      </c>
      <c r="F82" s="6" t="str">
        <f>IF($A82&lt;&gt;"",MAXIFS(Token!$B:$B,Token!$A:$A,$D82),)</f>
        <v/>
      </c>
    </row>
    <row r="83">
      <c r="A83" s="35" t="str">
        <f>IF(AND($L83*1&gt;=$G$3,$L83*1&lt;=$G$4,$I83*$J83&gt;0,CONCATENATE($H83:$L83)&lt;&gt;CONCATENATE($H84:$L84),$I83/POW(10,$J83)*MAXIFS(Token!$B:$B,Token!$A:$A,$K83)&gt;0.01),$L83/86400+DATE(1970,1,1)+IF($L83*1&gt;=$G$5,$G$6,0),)</f>
        <v/>
      </c>
      <c r="B83" s="22" t="str">
        <f t="shared" si="1"/>
        <v/>
      </c>
      <c r="C83" s="14" t="str">
        <f>IF($A83&lt;&gt;"",MINIFS(Merchant!$A:$A,Merchant!$B:$B,$G$2),)</f>
        <v/>
      </c>
      <c r="D83" s="14" t="str">
        <f t="shared" si="2"/>
        <v/>
      </c>
      <c r="E83" s="14" t="str">
        <f t="shared" si="3"/>
        <v/>
      </c>
      <c r="F83" s="6" t="str">
        <f>IF($A83&lt;&gt;"",MAXIFS(Token!$B:$B,Token!$A:$A,$D83),)</f>
        <v/>
      </c>
    </row>
    <row r="84">
      <c r="A84" s="35" t="str">
        <f>IF(AND($L84*1&gt;=$G$3,$L84*1&lt;=$G$4,$I84*$J84&gt;0,CONCATENATE($H84:$L84)&lt;&gt;CONCATENATE($H85:$L85),$I84/POW(10,$J84)*MAXIFS(Token!$B:$B,Token!$A:$A,$K84)&gt;0.01),$L84/86400+DATE(1970,1,1)+IF($L84*1&gt;=$G$5,$G$6,0),)</f>
        <v/>
      </c>
      <c r="B84" s="22" t="str">
        <f t="shared" si="1"/>
        <v/>
      </c>
      <c r="C84" s="14" t="str">
        <f>IF($A84&lt;&gt;"",MINIFS(Merchant!$A:$A,Merchant!$B:$B,$G$2),)</f>
        <v/>
      </c>
      <c r="D84" s="14" t="str">
        <f t="shared" si="2"/>
        <v/>
      </c>
      <c r="E84" s="14" t="str">
        <f t="shared" si="3"/>
        <v/>
      </c>
      <c r="F84" s="6" t="str">
        <f>IF($A84&lt;&gt;"",MAXIFS(Token!$B:$B,Token!$A:$A,$D84),)</f>
        <v/>
      </c>
    </row>
    <row r="85">
      <c r="A85" s="35" t="str">
        <f>IF(AND($L85*1&gt;=$G$3,$L85*1&lt;=$G$4,$I85*$J85&gt;0,CONCATENATE($H85:$L85)&lt;&gt;CONCATENATE($H86:$L86),$I85/POW(10,$J85)*MAXIFS(Token!$B:$B,Token!$A:$A,$K85)&gt;0.01),$L85/86400+DATE(1970,1,1)+IF($L85*1&gt;=$G$5,$G$6,0),)</f>
        <v/>
      </c>
      <c r="B85" s="22" t="str">
        <f t="shared" si="1"/>
        <v/>
      </c>
      <c r="C85" s="14" t="str">
        <f>IF($A85&lt;&gt;"",MINIFS(Merchant!$A:$A,Merchant!$B:$B,$G$2),)</f>
        <v/>
      </c>
      <c r="D85" s="14" t="str">
        <f t="shared" si="2"/>
        <v/>
      </c>
      <c r="E85" s="14" t="str">
        <f t="shared" si="3"/>
        <v/>
      </c>
      <c r="F85" s="6" t="str">
        <f>IF($A85&lt;&gt;"",MAXIFS(Token!$B:$B,Token!$A:$A,$D85),)</f>
        <v/>
      </c>
    </row>
    <row r="86">
      <c r="A86" s="35" t="str">
        <f>IF(AND($L86*1&gt;=$G$3,$L86*1&lt;=$G$4,$I86*$J86&gt;0,CONCATENATE($H86:$L86)&lt;&gt;CONCATENATE($H87:$L87),$I86/POW(10,$J86)*MAXIFS(Token!$B:$B,Token!$A:$A,$K86)&gt;0.01),$L86/86400+DATE(1970,1,1)+IF($L86*1&gt;=$G$5,$G$6,0),)</f>
        <v/>
      </c>
      <c r="B86" s="22" t="str">
        <f t="shared" si="1"/>
        <v/>
      </c>
      <c r="C86" s="14" t="str">
        <f>IF($A86&lt;&gt;"",MINIFS(Merchant!$A:$A,Merchant!$B:$B,$G$2),)</f>
        <v/>
      </c>
      <c r="D86" s="14" t="str">
        <f t="shared" si="2"/>
        <v/>
      </c>
      <c r="E86" s="14" t="str">
        <f t="shared" si="3"/>
        <v/>
      </c>
      <c r="F86" s="6" t="str">
        <f>IF($A86&lt;&gt;"",MAXIFS(Token!$B:$B,Token!$A:$A,$D86),)</f>
        <v/>
      </c>
    </row>
    <row r="87">
      <c r="A87" s="35" t="str">
        <f>IF(AND($L87*1&gt;=$G$3,$L87*1&lt;=$G$4,$I87*$J87&gt;0,CONCATENATE($H87:$L87)&lt;&gt;CONCATENATE($H88:$L88),$I87/POW(10,$J87)*MAXIFS(Token!$B:$B,Token!$A:$A,$K87)&gt;0.01),$L87/86400+DATE(1970,1,1)+IF($L87*1&gt;=$G$5,$G$6,0),)</f>
        <v/>
      </c>
      <c r="B87" s="22" t="str">
        <f t="shared" si="1"/>
        <v/>
      </c>
      <c r="C87" s="14" t="str">
        <f>IF($A87&lt;&gt;"",MINIFS(Merchant!$A:$A,Merchant!$B:$B,$G$2),)</f>
        <v/>
      </c>
      <c r="D87" s="14" t="str">
        <f t="shared" si="2"/>
        <v/>
      </c>
      <c r="E87" s="14" t="str">
        <f t="shared" si="3"/>
        <v/>
      </c>
      <c r="F87" s="6" t="str">
        <f>IF($A87&lt;&gt;"",MAXIFS(Token!$B:$B,Token!$A:$A,$D87),)</f>
        <v/>
      </c>
    </row>
    <row r="88">
      <c r="A88" s="35" t="str">
        <f>IF(AND($L88*1&gt;=$G$3,$L88*1&lt;=$G$4,$I88*$J88&gt;0,CONCATENATE($H88:$L88)&lt;&gt;CONCATENATE($H89:$L89),$I88/POW(10,$J88)*MAXIFS(Token!$B:$B,Token!$A:$A,$K88)&gt;0.01),$L88/86400+DATE(1970,1,1)+IF($L88*1&gt;=$G$5,$G$6,0),)</f>
        <v/>
      </c>
      <c r="B88" s="22" t="str">
        <f t="shared" si="1"/>
        <v/>
      </c>
      <c r="C88" s="14" t="str">
        <f>IF($A88&lt;&gt;"",MINIFS(Merchant!$A:$A,Merchant!$B:$B,$G$2),)</f>
        <v/>
      </c>
      <c r="D88" s="14" t="str">
        <f t="shared" si="2"/>
        <v/>
      </c>
      <c r="E88" s="14" t="str">
        <f t="shared" si="3"/>
        <v/>
      </c>
      <c r="F88" s="6" t="str">
        <f>IF($A88&lt;&gt;"",MAXIFS(Token!$B:$B,Token!$A:$A,$D88),)</f>
        <v/>
      </c>
    </row>
    <row r="89">
      <c r="A89" s="35" t="str">
        <f>IF(AND($L89*1&gt;=$G$3,$L89*1&lt;=$G$4,$I89*$J89&gt;0,CONCATENATE($H89:$L89)&lt;&gt;CONCATENATE($H90:$L90),$I89/POW(10,$J89)*MAXIFS(Token!$B:$B,Token!$A:$A,$K89)&gt;0.01),$L89/86400+DATE(1970,1,1)+IF($L89*1&gt;=$G$5,$G$6,0),)</f>
        <v/>
      </c>
      <c r="B89" s="22" t="str">
        <f t="shared" si="1"/>
        <v/>
      </c>
      <c r="C89" s="14" t="str">
        <f>IF($A89&lt;&gt;"",MINIFS(Merchant!$A:$A,Merchant!$B:$B,$G$2),)</f>
        <v/>
      </c>
      <c r="D89" s="14" t="str">
        <f t="shared" si="2"/>
        <v/>
      </c>
      <c r="E89" s="14" t="str">
        <f t="shared" si="3"/>
        <v/>
      </c>
      <c r="F89" s="6" t="str">
        <f>IF($A89&lt;&gt;"",MAXIFS(Token!$B:$B,Token!$A:$A,$D89),)</f>
        <v/>
      </c>
    </row>
    <row r="90">
      <c r="A90" s="35" t="str">
        <f>IF(AND($L90*1&gt;=$G$3,$L90*1&lt;=$G$4,$I90*$J90&gt;0,CONCATENATE($H90:$L90)&lt;&gt;CONCATENATE($H91:$L91),$I90/POW(10,$J90)*MAXIFS(Token!$B:$B,Token!$A:$A,$K90)&gt;0.01),$L90/86400+DATE(1970,1,1)+IF($L90*1&gt;=$G$5,$G$6,0),)</f>
        <v/>
      </c>
      <c r="B90" s="22" t="str">
        <f t="shared" si="1"/>
        <v/>
      </c>
      <c r="C90" s="14" t="str">
        <f>IF($A90&lt;&gt;"",MINIFS(Merchant!$A:$A,Merchant!$B:$B,$G$2),)</f>
        <v/>
      </c>
      <c r="D90" s="14" t="str">
        <f t="shared" si="2"/>
        <v/>
      </c>
      <c r="E90" s="14" t="str">
        <f t="shared" si="3"/>
        <v/>
      </c>
      <c r="F90" s="6" t="str">
        <f>IF($A90&lt;&gt;"",MAXIFS(Token!$B:$B,Token!$A:$A,$D90),)</f>
        <v/>
      </c>
    </row>
    <row r="91">
      <c r="A91" s="35" t="str">
        <f>IF(AND($L91*1&gt;=$G$3,$L91*1&lt;=$G$4,$I91*$J91&gt;0,CONCATENATE($H91:$L91)&lt;&gt;CONCATENATE($H92:$L92),$I91/POW(10,$J91)*MAXIFS(Token!$B:$B,Token!$A:$A,$K91)&gt;0.01),$L91/86400+DATE(1970,1,1)+IF($L91*1&gt;=$G$5,$G$6,0),)</f>
        <v/>
      </c>
      <c r="B91" s="22" t="str">
        <f t="shared" si="1"/>
        <v/>
      </c>
      <c r="C91" s="14" t="str">
        <f>IF($A91&lt;&gt;"",MINIFS(Merchant!$A:$A,Merchant!$B:$B,$G$2),)</f>
        <v/>
      </c>
      <c r="D91" s="14" t="str">
        <f t="shared" si="2"/>
        <v/>
      </c>
      <c r="E91" s="14" t="str">
        <f t="shared" si="3"/>
        <v/>
      </c>
      <c r="F91" s="6" t="str">
        <f>IF($A91&lt;&gt;"",MAXIFS(Token!$B:$B,Token!$A:$A,$D91),)</f>
        <v/>
      </c>
    </row>
    <row r="92">
      <c r="A92" s="35" t="str">
        <f>IF(AND($L92*1&gt;=$G$3,$L92*1&lt;=$G$4,$I92*$J92&gt;0,CONCATENATE($H92:$L92)&lt;&gt;CONCATENATE($H93:$L93),$I92/POW(10,$J92)*MAXIFS(Token!$B:$B,Token!$A:$A,$K92)&gt;0.01),$L92/86400+DATE(1970,1,1)+IF($L92*1&gt;=$G$5,$G$6,0),)</f>
        <v/>
      </c>
      <c r="B92" s="22" t="str">
        <f t="shared" si="1"/>
        <v/>
      </c>
      <c r="C92" s="14" t="str">
        <f>IF($A92&lt;&gt;"",MINIFS(Merchant!$A:$A,Merchant!$B:$B,$G$2),)</f>
        <v/>
      </c>
      <c r="D92" s="14" t="str">
        <f t="shared" si="2"/>
        <v/>
      </c>
      <c r="E92" s="14" t="str">
        <f t="shared" si="3"/>
        <v/>
      </c>
      <c r="F92" s="6" t="str">
        <f>IF($A92&lt;&gt;"",MAXIFS(Token!$B:$B,Token!$A:$A,$D92),)</f>
        <v/>
      </c>
    </row>
    <row r="93">
      <c r="A93" s="35" t="str">
        <f>IF(AND($L93*1&gt;=$G$3,$L93*1&lt;=$G$4,$I93*$J93&gt;0,CONCATENATE($H93:$L93)&lt;&gt;CONCATENATE($H94:$L94),$I93/POW(10,$J93)*MAXIFS(Token!$B:$B,Token!$A:$A,$K93)&gt;0.01),$L93/86400+DATE(1970,1,1)+IF($L93*1&gt;=$G$5,$G$6,0),)</f>
        <v/>
      </c>
      <c r="B93" s="22" t="str">
        <f t="shared" si="1"/>
        <v/>
      </c>
      <c r="C93" s="14" t="str">
        <f>IF($A93&lt;&gt;"",MINIFS(Merchant!$A:$A,Merchant!$B:$B,$G$2),)</f>
        <v/>
      </c>
      <c r="D93" s="14" t="str">
        <f t="shared" si="2"/>
        <v/>
      </c>
      <c r="E93" s="14" t="str">
        <f t="shared" si="3"/>
        <v/>
      </c>
      <c r="F93" s="6" t="str">
        <f>IF($A93&lt;&gt;"",MAXIFS(Token!$B:$B,Token!$A:$A,$D93),)</f>
        <v/>
      </c>
    </row>
    <row r="94">
      <c r="A94" s="35" t="str">
        <f>IF(AND($L94*1&gt;=$G$3,$L94*1&lt;=$G$4,$I94*$J94&gt;0,CONCATENATE($H94:$L94)&lt;&gt;CONCATENATE($H95:$L95),$I94/POW(10,$J94)*MAXIFS(Token!$B:$B,Token!$A:$A,$K94)&gt;0.01),$L94/86400+DATE(1970,1,1)+IF($L94*1&gt;=$G$5,$G$6,0),)</f>
        <v/>
      </c>
      <c r="B94" s="22" t="str">
        <f t="shared" si="1"/>
        <v/>
      </c>
      <c r="C94" s="14" t="str">
        <f>IF($A94&lt;&gt;"",MINIFS(Merchant!$A:$A,Merchant!$B:$B,$G$2),)</f>
        <v/>
      </c>
      <c r="D94" s="14" t="str">
        <f t="shared" si="2"/>
        <v/>
      </c>
      <c r="E94" s="14" t="str">
        <f t="shared" si="3"/>
        <v/>
      </c>
      <c r="F94" s="6" t="str">
        <f>IF($A94&lt;&gt;"",MAXIFS(Token!$B:$B,Token!$A:$A,$D94),)</f>
        <v/>
      </c>
    </row>
    <row r="95">
      <c r="A95" s="35" t="str">
        <f>IF(AND($L95*1&gt;=$G$3,$L95*1&lt;=$G$4,$I95*$J95&gt;0,CONCATENATE($H95:$L95)&lt;&gt;CONCATENATE($H96:$L96),$I95/POW(10,$J95)*MAXIFS(Token!$B:$B,Token!$A:$A,$K95)&gt;0.01),$L95/86400+DATE(1970,1,1)+IF($L95*1&gt;=$G$5,$G$6,0),)</f>
        <v/>
      </c>
      <c r="B95" s="22" t="str">
        <f t="shared" si="1"/>
        <v/>
      </c>
      <c r="C95" s="14" t="str">
        <f>IF($A95&lt;&gt;"",MINIFS(Merchant!$A:$A,Merchant!$B:$B,$G$2),)</f>
        <v/>
      </c>
      <c r="D95" s="14" t="str">
        <f t="shared" si="2"/>
        <v/>
      </c>
      <c r="E95" s="14" t="str">
        <f t="shared" si="3"/>
        <v/>
      </c>
      <c r="F95" s="6" t="str">
        <f>IF($A95&lt;&gt;"",MAXIFS(Token!$B:$B,Token!$A:$A,$D95),)</f>
        <v/>
      </c>
    </row>
    <row r="96">
      <c r="A96" s="35" t="str">
        <f>IF(AND($L96*1&gt;=$G$3,$L96*1&lt;=$G$4,$I96*$J96&gt;0,CONCATENATE($H96:$L96)&lt;&gt;CONCATENATE($H97:$L97),$I96/POW(10,$J96)*MAXIFS(Token!$B:$B,Token!$A:$A,$K96)&gt;0.01),$L96/86400+DATE(1970,1,1)+IF($L96*1&gt;=$G$5,$G$6,0),)</f>
        <v/>
      </c>
      <c r="B96" s="22" t="str">
        <f t="shared" si="1"/>
        <v/>
      </c>
      <c r="C96" s="14" t="str">
        <f>IF($A96&lt;&gt;"",MINIFS(Merchant!$A:$A,Merchant!$B:$B,$G$2),)</f>
        <v/>
      </c>
      <c r="D96" s="14" t="str">
        <f t="shared" si="2"/>
        <v/>
      </c>
      <c r="E96" s="14" t="str">
        <f t="shared" si="3"/>
        <v/>
      </c>
      <c r="F96" s="6" t="str">
        <f>IF($A96&lt;&gt;"",MAXIFS(Token!$B:$B,Token!$A:$A,$D96),)</f>
        <v/>
      </c>
    </row>
    <row r="97">
      <c r="A97" s="35" t="str">
        <f>IF(AND($L97*1&gt;=$G$3,$L97*1&lt;=$G$4,$I97*$J97&gt;0,CONCATENATE($H97:$L97)&lt;&gt;CONCATENATE($H98:$L98),$I97/POW(10,$J97)*MAXIFS(Token!$B:$B,Token!$A:$A,$K97)&gt;0.01),$L97/86400+DATE(1970,1,1)+IF($L97*1&gt;=$G$5,$G$6,0),)</f>
        <v/>
      </c>
      <c r="B97" s="22" t="str">
        <f t="shared" si="1"/>
        <v/>
      </c>
      <c r="C97" s="14" t="str">
        <f>IF($A97&lt;&gt;"",MINIFS(Merchant!$A:$A,Merchant!$B:$B,$G$2),)</f>
        <v/>
      </c>
      <c r="D97" s="14" t="str">
        <f t="shared" si="2"/>
        <v/>
      </c>
      <c r="E97" s="14" t="str">
        <f t="shared" si="3"/>
        <v/>
      </c>
      <c r="F97" s="6" t="str">
        <f>IF($A97&lt;&gt;"",MAXIFS(Token!$B:$B,Token!$A:$A,$D97),)</f>
        <v/>
      </c>
    </row>
    <row r="98">
      <c r="A98" s="35" t="str">
        <f>IF(AND($L98*1&gt;=$G$3,$L98*1&lt;=$G$4,$I98*$J98&gt;0,CONCATENATE($H98:$L98)&lt;&gt;CONCATENATE($H99:$L99),$I98/POW(10,$J98)*MAXIFS(Token!$B:$B,Token!$A:$A,$K98)&gt;0.01),$L98/86400+DATE(1970,1,1)+IF($L98*1&gt;=$G$5,$G$6,0),)</f>
        <v/>
      </c>
      <c r="B98" s="22" t="str">
        <f t="shared" si="1"/>
        <v/>
      </c>
      <c r="C98" s="14" t="str">
        <f>IF($A98&lt;&gt;"",MINIFS(Merchant!$A:$A,Merchant!$B:$B,$G$2),)</f>
        <v/>
      </c>
      <c r="D98" s="14" t="str">
        <f t="shared" si="2"/>
        <v/>
      </c>
      <c r="E98" s="14" t="str">
        <f t="shared" si="3"/>
        <v/>
      </c>
      <c r="F98" s="6" t="str">
        <f>IF($A98&lt;&gt;"",MAXIFS(Token!$B:$B,Token!$A:$A,$D98),)</f>
        <v/>
      </c>
    </row>
    <row r="99">
      <c r="A99" s="35" t="str">
        <f>IF(AND($L99*1&gt;=$G$3,$L99*1&lt;=$G$4,$I99*$J99&gt;0,CONCATENATE($H99:$L99)&lt;&gt;CONCATENATE($H100:$L100),$I99/POW(10,$J99)*MAXIFS(Token!$B:$B,Token!$A:$A,$K99)&gt;0.01),$L99/86400+DATE(1970,1,1)+IF($L99*1&gt;=$G$5,$G$6,0),)</f>
        <v/>
      </c>
      <c r="B99" s="22" t="str">
        <f t="shared" si="1"/>
        <v/>
      </c>
      <c r="C99" s="14" t="str">
        <f>IF($A99&lt;&gt;"",MINIFS(Merchant!$A:$A,Merchant!$B:$B,$G$2),)</f>
        <v/>
      </c>
      <c r="D99" s="14" t="str">
        <f t="shared" si="2"/>
        <v/>
      </c>
      <c r="E99" s="14" t="str">
        <f t="shared" si="3"/>
        <v/>
      </c>
      <c r="F99" s="6" t="str">
        <f>IF($A99&lt;&gt;"",MAXIFS(Token!$B:$B,Token!$A:$A,$D99),)</f>
        <v/>
      </c>
    </row>
    <row r="100">
      <c r="A100" s="35" t="str">
        <f>IF(AND($L100*1&gt;=$G$3,$L100*1&lt;=$G$4,$I100*$J100&gt;0,CONCATENATE($H100:$L100)&lt;&gt;CONCATENATE($H101:$L101),$I100/POW(10,$J100)*MAXIFS(Token!$B:$B,Token!$A:$A,$K100)&gt;0.01),$L100/86400+DATE(1970,1,1)+IF($L100*1&gt;=$G$5,$G$6,0),)</f>
        <v/>
      </c>
      <c r="B100" s="22" t="str">
        <f t="shared" si="1"/>
        <v/>
      </c>
      <c r="C100" s="14" t="str">
        <f>IF($A100&lt;&gt;"",MINIFS(Merchant!$A:$A,Merchant!$B:$B,$G$2),)</f>
        <v/>
      </c>
      <c r="D100" s="14" t="str">
        <f t="shared" si="2"/>
        <v/>
      </c>
      <c r="E100" s="14" t="str">
        <f t="shared" si="3"/>
        <v/>
      </c>
      <c r="F100" s="6" t="str">
        <f>IF($A100&lt;&gt;"",MAXIFS(Token!$B:$B,Token!$A:$A,$D100),)</f>
        <v/>
      </c>
    </row>
    <row r="101">
      <c r="A101" s="35" t="str">
        <f>IF(AND($L101*1&gt;=$G$3,$L101*1&lt;=$G$4,$I101*$J101&gt;0,CONCATENATE($H101:$L101)&lt;&gt;CONCATENATE($H102:$L102),$I101/POW(10,$J101)*MAXIFS(Token!$B:$B,Token!$A:$A,$K101)&gt;0.01),$L101/86400+DATE(1970,1,1)+IF($L101*1&gt;=$G$5,$G$6,0),)</f>
        <v/>
      </c>
      <c r="B101" s="22" t="str">
        <f t="shared" si="1"/>
        <v/>
      </c>
      <c r="C101" s="14" t="str">
        <f>IF($A101&lt;&gt;"",MINIFS(Merchant!$A:$A,Merchant!$B:$B,$G$2),)</f>
        <v/>
      </c>
      <c r="D101" s="14" t="str">
        <f t="shared" si="2"/>
        <v/>
      </c>
      <c r="E101" s="14" t="str">
        <f t="shared" si="3"/>
        <v/>
      </c>
      <c r="F101" s="6" t="str">
        <f>IF($A101&lt;&gt;"",MAXIFS(Token!$B:$B,Token!$A:$A,$D101),)</f>
        <v/>
      </c>
    </row>
    <row r="102">
      <c r="A102" s="35" t="str">
        <f>IF(AND($L102*1&gt;=$G$3,$L102*1&lt;=$G$4,$I102*$J102&gt;0,CONCATENATE($H102:$L102)&lt;&gt;CONCATENATE($H103:$L103),$I102/POW(10,$J102)*MAXIFS(Token!$B:$B,Token!$A:$A,$K102)&gt;0.01),$L102/86400+DATE(1970,1,1)+IF($L102*1&gt;=$G$5,$G$6,0),)</f>
        <v/>
      </c>
      <c r="B102" s="22" t="str">
        <f t="shared" si="1"/>
        <v/>
      </c>
      <c r="C102" s="14" t="str">
        <f>IF($A102&lt;&gt;"",MINIFS(Merchant!$A:$A,Merchant!$B:$B,$G$2),)</f>
        <v/>
      </c>
      <c r="D102" s="14" t="str">
        <f t="shared" si="2"/>
        <v/>
      </c>
      <c r="E102" s="14" t="str">
        <f t="shared" si="3"/>
        <v/>
      </c>
      <c r="F102" s="6" t="str">
        <f>IF($A102&lt;&gt;"",MAXIFS(Token!$B:$B,Token!$A:$A,$D102),)</f>
        <v/>
      </c>
    </row>
    <row r="103">
      <c r="A103" s="35" t="str">
        <f>IF(AND($L103*1&gt;=$G$3,$L103*1&lt;=$G$4,$I103*$J103&gt;0,CONCATENATE($H103:$L103)&lt;&gt;CONCATENATE($H104:$L104),$I103/POW(10,$J103)*MAXIFS(Token!$B:$B,Token!$A:$A,$K103)&gt;0.01),$L103/86400+DATE(1970,1,1)+IF($L103*1&gt;=$G$5,$G$6,0),)</f>
        <v/>
      </c>
      <c r="B103" s="22" t="str">
        <f t="shared" si="1"/>
        <v/>
      </c>
      <c r="C103" s="14" t="str">
        <f>IF($A103&lt;&gt;"",MINIFS(Merchant!$A:$A,Merchant!$B:$B,$G$2),)</f>
        <v/>
      </c>
      <c r="D103" s="14" t="str">
        <f t="shared" si="2"/>
        <v/>
      </c>
      <c r="E103" s="14" t="str">
        <f t="shared" si="3"/>
        <v/>
      </c>
      <c r="F103" s="6" t="str">
        <f>IF($A103&lt;&gt;"",MAXIFS(Token!$B:$B,Token!$A:$A,$D103),)</f>
        <v/>
      </c>
    </row>
    <row r="104">
      <c r="A104" s="35" t="str">
        <f>IF(AND($L104*1&gt;=$G$3,$L104*1&lt;=$G$4,$I104*$J104&gt;0,CONCATENATE($H104:$L104)&lt;&gt;CONCATENATE($H105:$L105),$I104/POW(10,$J104)*MAXIFS(Token!$B:$B,Token!$A:$A,$K104)&gt;0.01),$L104/86400+DATE(1970,1,1)+IF($L104*1&gt;=$G$5,$G$6,0),)</f>
        <v/>
      </c>
      <c r="B104" s="22" t="str">
        <f t="shared" si="1"/>
        <v/>
      </c>
      <c r="C104" s="14" t="str">
        <f>IF($A104&lt;&gt;"",MINIFS(Merchant!$A:$A,Merchant!$B:$B,$G$2),)</f>
        <v/>
      </c>
      <c r="D104" s="14" t="str">
        <f t="shared" si="2"/>
        <v/>
      </c>
      <c r="E104" s="14" t="str">
        <f t="shared" si="3"/>
        <v/>
      </c>
      <c r="F104" s="6" t="str">
        <f>IF($A104&lt;&gt;"",MAXIFS(Token!$B:$B,Token!$A:$A,$D104),)</f>
        <v/>
      </c>
    </row>
    <row r="105">
      <c r="A105" s="35" t="str">
        <f>IF(AND($L105*1&gt;=$G$3,$L105*1&lt;=$G$4,$I105*$J105&gt;0,CONCATENATE($H105:$L105)&lt;&gt;CONCATENATE($H106:$L106),$I105/POW(10,$J105)*MAXIFS(Token!$B:$B,Token!$A:$A,$K105)&gt;0.01),$L105/86400+DATE(1970,1,1)+IF($L105*1&gt;=$G$5,$G$6,0),)</f>
        <v/>
      </c>
      <c r="B105" s="22" t="str">
        <f t="shared" si="1"/>
        <v/>
      </c>
      <c r="C105" s="14" t="str">
        <f>IF($A105&lt;&gt;"",MINIFS(Merchant!$A:$A,Merchant!$B:$B,$G$2),)</f>
        <v/>
      </c>
      <c r="D105" s="14" t="str">
        <f t="shared" si="2"/>
        <v/>
      </c>
      <c r="E105" s="14" t="str">
        <f t="shared" si="3"/>
        <v/>
      </c>
      <c r="F105" s="6" t="str">
        <f>IF($A105&lt;&gt;"",MAXIFS(Token!$B:$B,Token!$A:$A,$D105),)</f>
        <v/>
      </c>
    </row>
    <row r="106">
      <c r="A106" s="35" t="str">
        <f>IF(AND($L106*1&gt;=$G$3,$L106*1&lt;=$G$4,$I106*$J106&gt;0,CONCATENATE($H106:$L106)&lt;&gt;CONCATENATE($H107:$L107),$I106/POW(10,$J106)*MAXIFS(Token!$B:$B,Token!$A:$A,$K106)&gt;0.01),$L106/86400+DATE(1970,1,1)+IF($L106*1&gt;=$G$5,$G$6,0),)</f>
        <v/>
      </c>
      <c r="B106" s="22" t="str">
        <f t="shared" si="1"/>
        <v/>
      </c>
      <c r="C106" s="14" t="str">
        <f>IF($A106&lt;&gt;"",MINIFS(Merchant!$A:$A,Merchant!$B:$B,$G$2),)</f>
        <v/>
      </c>
      <c r="D106" s="14" t="str">
        <f t="shared" si="2"/>
        <v/>
      </c>
      <c r="E106" s="14" t="str">
        <f t="shared" si="3"/>
        <v/>
      </c>
      <c r="F106" s="6" t="str">
        <f>IF($A106&lt;&gt;"",MAXIFS(Token!$B:$B,Token!$A:$A,$D106),)</f>
        <v/>
      </c>
    </row>
    <row r="107">
      <c r="A107" s="35" t="str">
        <f>IF(AND($L107*1&gt;=$G$3,$L107*1&lt;=$G$4,$I107*$J107&gt;0,CONCATENATE($H107:$L107)&lt;&gt;CONCATENATE($H108:$L108),$I107/POW(10,$J107)*MAXIFS(Token!$B:$B,Token!$A:$A,$K107)&gt;0.01),$L107/86400+DATE(1970,1,1)+IF($L107*1&gt;=$G$5,$G$6,0),)</f>
        <v/>
      </c>
      <c r="B107" s="22" t="str">
        <f t="shared" si="1"/>
        <v/>
      </c>
      <c r="C107" s="14" t="str">
        <f>IF($A107&lt;&gt;"",MINIFS(Merchant!$A:$A,Merchant!$B:$B,$G$2),)</f>
        <v/>
      </c>
      <c r="D107" s="14" t="str">
        <f t="shared" si="2"/>
        <v/>
      </c>
      <c r="E107" s="14" t="str">
        <f t="shared" si="3"/>
        <v/>
      </c>
      <c r="F107" s="6" t="str">
        <f>IF($A107&lt;&gt;"",MAXIFS(Token!$B:$B,Token!$A:$A,$D107),)</f>
        <v/>
      </c>
    </row>
    <row r="108">
      <c r="A108" s="35" t="str">
        <f>IF(AND($L108*1&gt;=$G$3,$L108*1&lt;=$G$4,$I108*$J108&gt;0,CONCATENATE($H108:$L108)&lt;&gt;CONCATENATE($H109:$L109),$I108/POW(10,$J108)*MAXIFS(Token!$B:$B,Token!$A:$A,$K108)&gt;0.01),$L108/86400+DATE(1970,1,1)+IF($L108*1&gt;=$G$5,$G$6,0),)</f>
        <v/>
      </c>
      <c r="B108" s="22" t="str">
        <f t="shared" si="1"/>
        <v/>
      </c>
      <c r="C108" s="14" t="str">
        <f>IF($A108&lt;&gt;"",MINIFS(Merchant!$A:$A,Merchant!$B:$B,$G$2),)</f>
        <v/>
      </c>
      <c r="D108" s="14" t="str">
        <f t="shared" si="2"/>
        <v/>
      </c>
      <c r="E108" s="14" t="str">
        <f t="shared" si="3"/>
        <v/>
      </c>
      <c r="F108" s="6" t="str">
        <f>IF($A108&lt;&gt;"",MAXIFS(Token!$B:$B,Token!$A:$A,$D108),)</f>
        <v/>
      </c>
    </row>
    <row r="109">
      <c r="A109" s="35" t="str">
        <f>IF(AND($L109*1&gt;=$G$3,$L109*1&lt;=$G$4,$I109*$J109&gt;0,CONCATENATE($H109:$L109)&lt;&gt;CONCATENATE($H110:$L110),$I109/POW(10,$J109)*MAXIFS(Token!$B:$B,Token!$A:$A,$K109)&gt;0.01),$L109/86400+DATE(1970,1,1)+IF($L109*1&gt;=$G$5,$G$6,0),)</f>
        <v/>
      </c>
      <c r="B109" s="22" t="str">
        <f t="shared" si="1"/>
        <v/>
      </c>
      <c r="C109" s="14" t="str">
        <f>IF($A109&lt;&gt;"",MINIFS(Merchant!$A:$A,Merchant!$B:$B,$G$2),)</f>
        <v/>
      </c>
      <c r="D109" s="14" t="str">
        <f t="shared" si="2"/>
        <v/>
      </c>
      <c r="E109" s="14" t="str">
        <f t="shared" si="3"/>
        <v/>
      </c>
      <c r="F109" s="6" t="str">
        <f>IF($A109&lt;&gt;"",MAXIFS(Token!$B:$B,Token!$A:$A,$D109),)</f>
        <v/>
      </c>
    </row>
    <row r="110">
      <c r="A110" s="35" t="str">
        <f>IF(AND($L110*1&gt;=$G$3,$L110*1&lt;=$G$4,$I110*$J110&gt;0,CONCATENATE($H110:$L110)&lt;&gt;CONCATENATE($H111:$L111),$I110/POW(10,$J110)*MAXIFS(Token!$B:$B,Token!$A:$A,$K110)&gt;0.01),$L110/86400+DATE(1970,1,1)+IF($L110*1&gt;=$G$5,$G$6,0),)</f>
        <v/>
      </c>
      <c r="B110" s="22" t="str">
        <f t="shared" si="1"/>
        <v/>
      </c>
      <c r="C110" s="14" t="str">
        <f>IF($A110&lt;&gt;"",MINIFS(Merchant!$A:$A,Merchant!$B:$B,$G$2),)</f>
        <v/>
      </c>
      <c r="D110" s="14" t="str">
        <f t="shared" si="2"/>
        <v/>
      </c>
      <c r="E110" s="14" t="str">
        <f t="shared" si="3"/>
        <v/>
      </c>
      <c r="F110" s="6" t="str">
        <f>IF($A110&lt;&gt;"",MAXIFS(Token!$B:$B,Token!$A:$A,$D110),)</f>
        <v/>
      </c>
    </row>
    <row r="111">
      <c r="A111" s="35" t="str">
        <f>IF(AND($L111*1&gt;=$G$3,$L111*1&lt;=$G$4,$I111*$J111&gt;0,CONCATENATE($H111:$L111)&lt;&gt;CONCATENATE($H112:$L112),$I111/POW(10,$J111)*MAXIFS(Token!$B:$B,Token!$A:$A,$K111)&gt;0.01),$L111/86400+DATE(1970,1,1)+IF($L111*1&gt;=$G$5,$G$6,0),)</f>
        <v/>
      </c>
      <c r="B111" s="22" t="str">
        <f t="shared" si="1"/>
        <v/>
      </c>
      <c r="C111" s="14" t="str">
        <f>IF($A111&lt;&gt;"",MINIFS(Merchant!$A:$A,Merchant!$B:$B,$G$2),)</f>
        <v/>
      </c>
      <c r="D111" s="14" t="str">
        <f t="shared" si="2"/>
        <v/>
      </c>
      <c r="E111" s="14" t="str">
        <f t="shared" si="3"/>
        <v/>
      </c>
      <c r="F111" s="6" t="str">
        <f>IF($A111&lt;&gt;"",MAXIFS(Token!$B:$B,Token!$A:$A,$D111),)</f>
        <v/>
      </c>
    </row>
    <row r="112">
      <c r="A112" s="35" t="str">
        <f>IF(AND($L112*1&gt;=$G$3,$L112*1&lt;=$G$4,$I112*$J112&gt;0,CONCATENATE($H112:$L112)&lt;&gt;CONCATENATE($H113:$L113),$I112/POW(10,$J112)*MAXIFS(Token!$B:$B,Token!$A:$A,$K112)&gt;0.01),$L112/86400+DATE(1970,1,1)+IF($L112*1&gt;=$G$5,$G$6,0),)</f>
        <v/>
      </c>
      <c r="B112" s="22" t="str">
        <f t="shared" si="1"/>
        <v/>
      </c>
      <c r="C112" s="14" t="str">
        <f>IF($A112&lt;&gt;"",MINIFS(Merchant!$A:$A,Merchant!$B:$B,$G$2),)</f>
        <v/>
      </c>
      <c r="D112" s="14" t="str">
        <f t="shared" si="2"/>
        <v/>
      </c>
      <c r="E112" s="14" t="str">
        <f t="shared" si="3"/>
        <v/>
      </c>
      <c r="F112" s="6" t="str">
        <f>IF($A112&lt;&gt;"",MAXIFS(Token!$B:$B,Token!$A:$A,$D112),)</f>
        <v/>
      </c>
    </row>
    <row r="113">
      <c r="A113" s="35" t="str">
        <f>IF(AND($L113*1&gt;=$G$3,$L113*1&lt;=$G$4,$I113*$J113&gt;0,CONCATENATE($H113:$L113)&lt;&gt;CONCATENATE($H114:$L114),$I113/POW(10,$J113)*MAXIFS(Token!$B:$B,Token!$A:$A,$K113)&gt;0.01),$L113/86400+DATE(1970,1,1)+IF($L113*1&gt;=$G$5,$G$6,0),)</f>
        <v/>
      </c>
      <c r="B113" s="22" t="str">
        <f t="shared" si="1"/>
        <v/>
      </c>
      <c r="C113" s="14" t="str">
        <f>IF($A113&lt;&gt;"",MINIFS(Merchant!$A:$A,Merchant!$B:$B,$G$2),)</f>
        <v/>
      </c>
      <c r="D113" s="14" t="str">
        <f t="shared" si="2"/>
        <v/>
      </c>
      <c r="E113" s="14" t="str">
        <f t="shared" si="3"/>
        <v/>
      </c>
      <c r="F113" s="6" t="str">
        <f>IF($A113&lt;&gt;"",MAXIFS(Token!$B:$B,Token!$A:$A,$D113),)</f>
        <v/>
      </c>
    </row>
    <row r="114">
      <c r="A114" s="35" t="str">
        <f>IF(AND($L114*1&gt;=$G$3,$L114*1&lt;=$G$4,$I114*$J114&gt;0,CONCATENATE($H114:$L114)&lt;&gt;CONCATENATE($H115:$L115),$I114/POW(10,$J114)*MAXIFS(Token!$B:$B,Token!$A:$A,$K114)&gt;0.01),$L114/86400+DATE(1970,1,1)+IF($L114*1&gt;=$G$5,$G$6,0),)</f>
        <v/>
      </c>
      <c r="B114" s="22" t="str">
        <f t="shared" si="1"/>
        <v/>
      </c>
      <c r="C114" s="14" t="str">
        <f>IF($A114&lt;&gt;"",MINIFS(Merchant!$A:$A,Merchant!$B:$B,$G$2),)</f>
        <v/>
      </c>
      <c r="D114" s="14" t="str">
        <f t="shared" si="2"/>
        <v/>
      </c>
      <c r="E114" s="14" t="str">
        <f t="shared" si="3"/>
        <v/>
      </c>
      <c r="F114" s="6" t="str">
        <f>IF($A114&lt;&gt;"",MAXIFS(Token!$B:$B,Token!$A:$A,$D114),)</f>
        <v/>
      </c>
    </row>
    <row r="115">
      <c r="A115" s="35" t="str">
        <f>IF(AND($L115*1&gt;=$G$3,$L115*1&lt;=$G$4,$I115*$J115&gt;0,CONCATENATE($H115:$L115)&lt;&gt;CONCATENATE($H116:$L116),$I115/POW(10,$J115)*MAXIFS(Token!$B:$B,Token!$A:$A,$K115)&gt;0.01),$L115/86400+DATE(1970,1,1)+IF($L115*1&gt;=$G$5,$G$6,0),)</f>
        <v/>
      </c>
      <c r="B115" s="22" t="str">
        <f t="shared" si="1"/>
        <v/>
      </c>
      <c r="C115" s="14" t="str">
        <f>IF($A115&lt;&gt;"",MINIFS(Merchant!$A:$A,Merchant!$B:$B,$G$2),)</f>
        <v/>
      </c>
      <c r="D115" s="14" t="str">
        <f t="shared" si="2"/>
        <v/>
      </c>
      <c r="E115" s="14" t="str">
        <f t="shared" si="3"/>
        <v/>
      </c>
      <c r="F115" s="6" t="str">
        <f>IF($A115&lt;&gt;"",MAXIFS(Token!$B:$B,Token!$A:$A,$D115),)</f>
        <v/>
      </c>
    </row>
    <row r="116">
      <c r="A116" s="35" t="str">
        <f>IF(AND($L116*1&gt;=$G$3,$L116*1&lt;=$G$4,$I116*$J116&gt;0,CONCATENATE($H116:$L116)&lt;&gt;CONCATENATE($H117:$L117),$I116/POW(10,$J116)*MAXIFS(Token!$B:$B,Token!$A:$A,$K116)&gt;0.01),$L116/86400+DATE(1970,1,1)+IF($L116*1&gt;=$G$5,$G$6,0),)</f>
        <v/>
      </c>
      <c r="B116" s="22" t="str">
        <f t="shared" si="1"/>
        <v/>
      </c>
      <c r="C116" s="14" t="str">
        <f>IF($A116&lt;&gt;"",MINIFS(Merchant!$A:$A,Merchant!$B:$B,$G$2),)</f>
        <v/>
      </c>
      <c r="D116" s="14" t="str">
        <f t="shared" si="2"/>
        <v/>
      </c>
      <c r="E116" s="14" t="str">
        <f t="shared" si="3"/>
        <v/>
      </c>
      <c r="F116" s="6" t="str">
        <f>IF($A116&lt;&gt;"",MAXIFS(Token!$B:$B,Token!$A:$A,$D116),)</f>
        <v/>
      </c>
    </row>
    <row r="117">
      <c r="A117" s="35" t="str">
        <f>IF(AND($L117*1&gt;=$G$3,$L117*1&lt;=$G$4,$I117*$J117&gt;0,CONCATENATE($H117:$L117)&lt;&gt;CONCATENATE($H118:$L118),$I117/POW(10,$J117)*MAXIFS(Token!$B:$B,Token!$A:$A,$K117)&gt;0.01),$L117/86400+DATE(1970,1,1)+IF($L117*1&gt;=$G$5,$G$6,0),)</f>
        <v/>
      </c>
      <c r="B117" s="22" t="str">
        <f t="shared" si="1"/>
        <v/>
      </c>
      <c r="C117" s="14" t="str">
        <f>IF($A117&lt;&gt;"",MINIFS(Merchant!$A:$A,Merchant!$B:$B,$G$2),)</f>
        <v/>
      </c>
      <c r="D117" s="14" t="str">
        <f t="shared" si="2"/>
        <v/>
      </c>
      <c r="E117" s="14" t="str">
        <f t="shared" si="3"/>
        <v/>
      </c>
      <c r="F117" s="6" t="str">
        <f>IF($A117&lt;&gt;"",MAXIFS(Token!$B:$B,Token!$A:$A,$D117),)</f>
        <v/>
      </c>
    </row>
    <row r="118">
      <c r="A118" s="35" t="str">
        <f>IF(AND($L118*1&gt;=$G$3,$L118*1&lt;=$G$4,$I118*$J118&gt;0,CONCATENATE($H118:$L118)&lt;&gt;CONCATENATE($H119:$L119),$I118/POW(10,$J118)*MAXIFS(Token!$B:$B,Token!$A:$A,$K118)&gt;0.01),$L118/86400+DATE(1970,1,1)+IF($L118*1&gt;=$G$5,$G$6,0),)</f>
        <v/>
      </c>
      <c r="B118" s="22" t="str">
        <f t="shared" si="1"/>
        <v/>
      </c>
      <c r="C118" s="14" t="str">
        <f>IF($A118&lt;&gt;"",MINIFS(Merchant!$A:$A,Merchant!$B:$B,$G$2),)</f>
        <v/>
      </c>
      <c r="D118" s="14" t="str">
        <f t="shared" si="2"/>
        <v/>
      </c>
      <c r="E118" s="14" t="str">
        <f t="shared" si="3"/>
        <v/>
      </c>
      <c r="F118" s="6" t="str">
        <f>IF($A118&lt;&gt;"",MAXIFS(Token!$B:$B,Token!$A:$A,$D118),)</f>
        <v/>
      </c>
    </row>
    <row r="119">
      <c r="A119" s="35" t="str">
        <f>IF(AND($L119*1&gt;=$G$3,$L119*1&lt;=$G$4,$I119*$J119&gt;0,CONCATENATE($H119:$L119)&lt;&gt;CONCATENATE($H120:$L120),$I119/POW(10,$J119)*MAXIFS(Token!$B:$B,Token!$A:$A,$K119)&gt;0.01),$L119/86400+DATE(1970,1,1)+IF($L119*1&gt;=$G$5,$G$6,0),)</f>
        <v/>
      </c>
      <c r="B119" s="22" t="str">
        <f t="shared" si="1"/>
        <v/>
      </c>
      <c r="C119" s="14" t="str">
        <f>IF($A119&lt;&gt;"",MINIFS(Merchant!$A:$A,Merchant!$B:$B,$G$2),)</f>
        <v/>
      </c>
      <c r="D119" s="14" t="str">
        <f t="shared" si="2"/>
        <v/>
      </c>
      <c r="E119" s="14" t="str">
        <f t="shared" si="3"/>
        <v/>
      </c>
      <c r="F119" s="6" t="str">
        <f>IF($A119&lt;&gt;"",MAXIFS(Token!$B:$B,Token!$A:$A,$D119),)</f>
        <v/>
      </c>
    </row>
    <row r="120">
      <c r="A120" s="35" t="str">
        <f>IF(AND($L120*1&gt;=$G$3,$L120*1&lt;=$G$4,$I120*$J120&gt;0,CONCATENATE($H120:$L120)&lt;&gt;CONCATENATE($H121:$L121),$I120/POW(10,$J120)*MAXIFS(Token!$B:$B,Token!$A:$A,$K120)&gt;0.01),$L120/86400+DATE(1970,1,1)+IF($L120*1&gt;=$G$5,$G$6,0),)</f>
        <v/>
      </c>
      <c r="B120" s="22" t="str">
        <f t="shared" si="1"/>
        <v/>
      </c>
      <c r="C120" s="14" t="str">
        <f>IF($A120&lt;&gt;"",MINIFS(Merchant!$A:$A,Merchant!$B:$B,$G$2),)</f>
        <v/>
      </c>
      <c r="D120" s="14" t="str">
        <f t="shared" si="2"/>
        <v/>
      </c>
      <c r="E120" s="14" t="str">
        <f t="shared" si="3"/>
        <v/>
      </c>
      <c r="F120" s="6" t="str">
        <f>IF($A120&lt;&gt;"",MAXIFS(Token!$B:$B,Token!$A:$A,$D120),)</f>
        <v/>
      </c>
    </row>
    <row r="121">
      <c r="A121" s="35" t="str">
        <f>IF(AND($L121*1&gt;=$G$3,$L121*1&lt;=$G$4,$I121*$J121&gt;0,CONCATENATE($H121:$L121)&lt;&gt;CONCATENATE($H122:$L122),$I121/POW(10,$J121)*MAXIFS(Token!$B:$B,Token!$A:$A,$K121)&gt;0.01),$L121/86400+DATE(1970,1,1)+IF($L121*1&gt;=$G$5,$G$6,0),)</f>
        <v/>
      </c>
      <c r="B121" s="22" t="str">
        <f t="shared" si="1"/>
        <v/>
      </c>
      <c r="C121" s="14" t="str">
        <f>IF($A121&lt;&gt;"",MINIFS(Merchant!$A:$A,Merchant!$B:$B,$G$2),)</f>
        <v/>
      </c>
      <c r="D121" s="14" t="str">
        <f t="shared" si="2"/>
        <v/>
      </c>
      <c r="E121" s="14" t="str">
        <f t="shared" si="3"/>
        <v/>
      </c>
      <c r="F121" s="6" t="str">
        <f>IF($A121&lt;&gt;"",MAXIFS(Token!$B:$B,Token!$A:$A,$D121),)</f>
        <v/>
      </c>
    </row>
    <row r="122">
      <c r="A122" s="35" t="str">
        <f>IF(AND($L122*1&gt;=$G$3,$L122*1&lt;=$G$4,$I122*$J122&gt;0,CONCATENATE($H122:$L122)&lt;&gt;CONCATENATE($H123:$L123),$I122/POW(10,$J122)*MAXIFS(Token!$B:$B,Token!$A:$A,$K122)&gt;0.01),$L122/86400+DATE(1970,1,1)+IF($L122*1&gt;=$G$5,$G$6,0),)</f>
        <v/>
      </c>
      <c r="B122" s="22" t="str">
        <f t="shared" si="1"/>
        <v/>
      </c>
      <c r="C122" s="14" t="str">
        <f>IF($A122&lt;&gt;"",MINIFS(Merchant!$A:$A,Merchant!$B:$B,$G$2),)</f>
        <v/>
      </c>
      <c r="D122" s="14" t="str">
        <f t="shared" si="2"/>
        <v/>
      </c>
      <c r="E122" s="14" t="str">
        <f t="shared" si="3"/>
        <v/>
      </c>
      <c r="F122" s="6" t="str">
        <f>IF($A122&lt;&gt;"",MAXIFS(Token!$B:$B,Token!$A:$A,$D122),)</f>
        <v/>
      </c>
    </row>
    <row r="123">
      <c r="A123" s="35" t="str">
        <f>IF(AND($L123*1&gt;=$G$3,$L123*1&lt;=$G$4,$I123*$J123&gt;0,CONCATENATE($H123:$L123)&lt;&gt;CONCATENATE($H124:$L124),$I123/POW(10,$J123)*MAXIFS(Token!$B:$B,Token!$A:$A,$K123)&gt;0.01),$L123/86400+DATE(1970,1,1)+IF($L123*1&gt;=$G$5,$G$6,0),)</f>
        <v/>
      </c>
      <c r="B123" s="22" t="str">
        <f t="shared" si="1"/>
        <v/>
      </c>
      <c r="C123" s="14" t="str">
        <f>IF($A123&lt;&gt;"",MINIFS(Merchant!$A:$A,Merchant!$B:$B,$G$2),)</f>
        <v/>
      </c>
      <c r="D123" s="14" t="str">
        <f t="shared" si="2"/>
        <v/>
      </c>
      <c r="E123" s="14" t="str">
        <f t="shared" si="3"/>
        <v/>
      </c>
      <c r="F123" s="6" t="str">
        <f>IF($A123&lt;&gt;"",MAXIFS(Token!$B:$B,Token!$A:$A,$D123),)</f>
        <v/>
      </c>
    </row>
    <row r="124">
      <c r="A124" s="35" t="str">
        <f>IF(AND($L124*1&gt;=$G$3,$L124*1&lt;=$G$4,$I124*$J124&gt;0,CONCATENATE($H124:$L124)&lt;&gt;CONCATENATE($H125:$L125),$I124/POW(10,$J124)*MAXIFS(Token!$B:$B,Token!$A:$A,$K124)&gt;0.01),$L124/86400+DATE(1970,1,1)+IF($L124*1&gt;=$G$5,$G$6,0),)</f>
        <v/>
      </c>
      <c r="B124" s="22" t="str">
        <f t="shared" si="1"/>
        <v/>
      </c>
      <c r="C124" s="14" t="str">
        <f>IF($A124&lt;&gt;"",MINIFS(Merchant!$A:$A,Merchant!$B:$B,$G$2),)</f>
        <v/>
      </c>
      <c r="D124" s="14" t="str">
        <f t="shared" si="2"/>
        <v/>
      </c>
      <c r="E124" s="14" t="str">
        <f t="shared" si="3"/>
        <v/>
      </c>
      <c r="F124" s="6" t="str">
        <f>IF($A124&lt;&gt;"",MAXIFS(Token!$B:$B,Token!$A:$A,$D124),)</f>
        <v/>
      </c>
    </row>
    <row r="125">
      <c r="A125" s="35" t="str">
        <f>IF(AND($L125*1&gt;=$G$3,$L125*1&lt;=$G$4,$I125*$J125&gt;0,CONCATENATE($H125:$L125)&lt;&gt;CONCATENATE($H126:$L126),$I125/POW(10,$J125)*MAXIFS(Token!$B:$B,Token!$A:$A,$K125)&gt;0.01),$L125/86400+DATE(1970,1,1)+IF($L125*1&gt;=$G$5,$G$6,0),)</f>
        <v/>
      </c>
      <c r="B125" s="22" t="str">
        <f t="shared" si="1"/>
        <v/>
      </c>
      <c r="C125" s="14" t="str">
        <f>IF($A125&lt;&gt;"",MINIFS(Merchant!$A:$A,Merchant!$B:$B,$G$2),)</f>
        <v/>
      </c>
      <c r="D125" s="14" t="str">
        <f t="shared" si="2"/>
        <v/>
      </c>
      <c r="E125" s="14" t="str">
        <f t="shared" si="3"/>
        <v/>
      </c>
      <c r="F125" s="6" t="str">
        <f>IF($A125&lt;&gt;"",MAXIFS(Token!$B:$B,Token!$A:$A,$D125),)</f>
        <v/>
      </c>
    </row>
    <row r="126">
      <c r="A126" s="35" t="str">
        <f>IF(AND($L126*1&gt;=$G$3,$L126*1&lt;=$G$4,$I126*$J126&gt;0,CONCATENATE($H126:$L126)&lt;&gt;CONCATENATE($H127:$L127),$I126/POW(10,$J126)*MAXIFS(Token!$B:$B,Token!$A:$A,$K126)&gt;0.01),$L126/86400+DATE(1970,1,1)+IF($L126*1&gt;=$G$5,$G$6,0),)</f>
        <v/>
      </c>
      <c r="B126" s="22" t="str">
        <f t="shared" si="1"/>
        <v/>
      </c>
      <c r="C126" s="14" t="str">
        <f>IF($A126&lt;&gt;"",MINIFS(Merchant!$A:$A,Merchant!$B:$B,$G$2),)</f>
        <v/>
      </c>
      <c r="D126" s="14" t="str">
        <f t="shared" si="2"/>
        <v/>
      </c>
      <c r="E126" s="14" t="str">
        <f t="shared" si="3"/>
        <v/>
      </c>
      <c r="F126" s="6" t="str">
        <f>IF($A126&lt;&gt;"",MAXIFS(Token!$B:$B,Token!$A:$A,$D126),)</f>
        <v/>
      </c>
    </row>
    <row r="127">
      <c r="A127" s="35" t="str">
        <f>IF(AND($L127*1&gt;=$G$3,$L127*1&lt;=$G$4,$I127*$J127&gt;0,CONCATENATE($H127:$L127)&lt;&gt;CONCATENATE($H128:$L128),$I127/POW(10,$J127)*MAXIFS(Token!$B:$B,Token!$A:$A,$K127)&gt;0.01),$L127/86400+DATE(1970,1,1)+IF($L127*1&gt;=$G$5,$G$6,0),)</f>
        <v/>
      </c>
      <c r="B127" s="22" t="str">
        <f t="shared" si="1"/>
        <v/>
      </c>
      <c r="C127" s="14" t="str">
        <f>IF($A127&lt;&gt;"",MINIFS(Merchant!$A:$A,Merchant!$B:$B,$G$2),)</f>
        <v/>
      </c>
      <c r="D127" s="14" t="str">
        <f t="shared" si="2"/>
        <v/>
      </c>
      <c r="E127" s="14" t="str">
        <f t="shared" si="3"/>
        <v/>
      </c>
      <c r="F127" s="6" t="str">
        <f>IF($A127&lt;&gt;"",MAXIFS(Token!$B:$B,Token!$A:$A,$D127),)</f>
        <v/>
      </c>
    </row>
    <row r="128">
      <c r="A128" s="35" t="str">
        <f>IF(AND($L128*1&gt;=$G$3,$L128*1&lt;=$G$4,$I128*$J128&gt;0,CONCATENATE($H128:$L128)&lt;&gt;CONCATENATE($H129:$L129),$I128/POW(10,$J128)*MAXIFS(Token!$B:$B,Token!$A:$A,$K128)&gt;0.01),$L128/86400+DATE(1970,1,1)+IF($L128*1&gt;=$G$5,$G$6,0),)</f>
        <v/>
      </c>
      <c r="B128" s="22" t="str">
        <f t="shared" si="1"/>
        <v/>
      </c>
      <c r="C128" s="14" t="str">
        <f>IF($A128&lt;&gt;"",MINIFS(Merchant!$A:$A,Merchant!$B:$B,$G$2),)</f>
        <v/>
      </c>
      <c r="D128" s="14" t="str">
        <f t="shared" si="2"/>
        <v/>
      </c>
      <c r="E128" s="14" t="str">
        <f t="shared" si="3"/>
        <v/>
      </c>
      <c r="F128" s="6" t="str">
        <f>IF($A128&lt;&gt;"",MAXIFS(Token!$B:$B,Token!$A:$A,$D128),)</f>
        <v/>
      </c>
    </row>
    <row r="129">
      <c r="A129" s="35" t="str">
        <f>IF(AND($L129*1&gt;=$G$3,$L129*1&lt;=$G$4,$I129*$J129&gt;0,CONCATENATE($H129:$L129)&lt;&gt;CONCATENATE($H130:$L130),$I129/POW(10,$J129)*MAXIFS(Token!$B:$B,Token!$A:$A,$K129)&gt;0.01),$L129/86400+DATE(1970,1,1)+IF($L129*1&gt;=$G$5,$G$6,0),)</f>
        <v/>
      </c>
      <c r="B129" s="22" t="str">
        <f t="shared" si="1"/>
        <v/>
      </c>
      <c r="C129" s="14" t="str">
        <f>IF($A129&lt;&gt;"",MINIFS(Merchant!$A:$A,Merchant!$B:$B,$G$2),)</f>
        <v/>
      </c>
      <c r="D129" s="14" t="str">
        <f t="shared" si="2"/>
        <v/>
      </c>
      <c r="E129" s="14" t="str">
        <f t="shared" si="3"/>
        <v/>
      </c>
      <c r="F129" s="6" t="str">
        <f>IF($A129&lt;&gt;"",MAXIFS(Token!$B:$B,Token!$A:$A,$D129),)</f>
        <v/>
      </c>
    </row>
    <row r="130">
      <c r="A130" s="35" t="str">
        <f>IF(AND($L130*1&gt;=$G$3,$L130*1&lt;=$G$4,$I130*$J130&gt;0,CONCATENATE($H130:$L130)&lt;&gt;CONCATENATE($H131:$L131),$I130/POW(10,$J130)*MAXIFS(Token!$B:$B,Token!$A:$A,$K130)&gt;0.01),$L130/86400+DATE(1970,1,1)+IF($L130*1&gt;=$G$5,$G$6,0),)</f>
        <v/>
      </c>
      <c r="B130" s="22" t="str">
        <f t="shared" si="1"/>
        <v/>
      </c>
      <c r="C130" s="14" t="str">
        <f>IF($A130&lt;&gt;"",MINIFS(Merchant!$A:$A,Merchant!$B:$B,$G$2),)</f>
        <v/>
      </c>
      <c r="D130" s="14" t="str">
        <f t="shared" si="2"/>
        <v/>
      </c>
      <c r="E130" s="14" t="str">
        <f t="shared" si="3"/>
        <v/>
      </c>
      <c r="F130" s="6" t="str">
        <f>IF($A130&lt;&gt;"",MAXIFS(Token!$B:$B,Token!$A:$A,$D130),)</f>
        <v/>
      </c>
    </row>
    <row r="131">
      <c r="A131" s="35" t="str">
        <f>IF(AND($L131*1&gt;=$G$3,$L131*1&lt;=$G$4,$I131*$J131&gt;0,CONCATENATE($H131:$L131)&lt;&gt;CONCATENATE($H132:$L132),$I131/POW(10,$J131)*MAXIFS(Token!$B:$B,Token!$A:$A,$K131)&gt;0.01),$L131/86400+DATE(1970,1,1)+IF($L131*1&gt;=$G$5,$G$6,0),)</f>
        <v/>
      </c>
      <c r="B131" s="22" t="str">
        <f t="shared" si="1"/>
        <v/>
      </c>
      <c r="C131" s="14" t="str">
        <f>IF($A131&lt;&gt;"",MINIFS(Merchant!$A:$A,Merchant!$B:$B,$G$2),)</f>
        <v/>
      </c>
      <c r="D131" s="14" t="str">
        <f t="shared" si="2"/>
        <v/>
      </c>
      <c r="E131" s="14" t="str">
        <f t="shared" si="3"/>
        <v/>
      </c>
      <c r="F131" s="6" t="str">
        <f>IF($A131&lt;&gt;"",MAXIFS(Token!$B:$B,Token!$A:$A,$D131),)</f>
        <v/>
      </c>
    </row>
    <row r="132">
      <c r="A132" s="35" t="str">
        <f>IF(AND($L132*1&gt;=$G$3,$L132*1&lt;=$G$4,$I132*$J132&gt;0,CONCATENATE($H132:$L132)&lt;&gt;CONCATENATE($H133:$L133),$I132/POW(10,$J132)*MAXIFS(Token!$B:$B,Token!$A:$A,$K132)&gt;0.01),$L132/86400+DATE(1970,1,1)+IF($L132*1&gt;=$G$5,$G$6,0),)</f>
        <v/>
      </c>
      <c r="B132" s="22" t="str">
        <f t="shared" si="1"/>
        <v/>
      </c>
      <c r="C132" s="14" t="str">
        <f>IF($A132&lt;&gt;"",MINIFS(Merchant!$A:$A,Merchant!$B:$B,$G$2),)</f>
        <v/>
      </c>
      <c r="D132" s="14" t="str">
        <f t="shared" si="2"/>
        <v/>
      </c>
      <c r="E132" s="14" t="str">
        <f t="shared" si="3"/>
        <v/>
      </c>
      <c r="F132" s="6" t="str">
        <f>IF($A132&lt;&gt;"",MAXIFS(Token!$B:$B,Token!$A:$A,$D132),)</f>
        <v/>
      </c>
    </row>
    <row r="133">
      <c r="A133" s="35" t="str">
        <f>IF(AND($L133*1&gt;=$G$3,$L133*1&lt;=$G$4,$I133*$J133&gt;0,CONCATENATE($H133:$L133)&lt;&gt;CONCATENATE($H134:$L134),$I133/POW(10,$J133)*MAXIFS(Token!$B:$B,Token!$A:$A,$K133)&gt;0.01),$L133/86400+DATE(1970,1,1)+IF($L133*1&gt;=$G$5,$G$6,0),)</f>
        <v/>
      </c>
      <c r="B133" s="22" t="str">
        <f t="shared" si="1"/>
        <v/>
      </c>
      <c r="C133" s="14" t="str">
        <f>IF($A133&lt;&gt;"",MINIFS(Merchant!$A:$A,Merchant!$B:$B,$G$2),)</f>
        <v/>
      </c>
      <c r="D133" s="14" t="str">
        <f t="shared" si="2"/>
        <v/>
      </c>
      <c r="E133" s="14" t="str">
        <f t="shared" si="3"/>
        <v/>
      </c>
      <c r="F133" s="6" t="str">
        <f>IF($A133&lt;&gt;"",MAXIFS(Token!$B:$B,Token!$A:$A,$D133),)</f>
        <v/>
      </c>
    </row>
    <row r="134">
      <c r="A134" s="35" t="str">
        <f>IF(AND($L134*1&gt;=$G$3,$L134*1&lt;=$G$4,$I134*$J134&gt;0,CONCATENATE($H134:$L134)&lt;&gt;CONCATENATE($H135:$L135),$I134/POW(10,$J134)*MAXIFS(Token!$B:$B,Token!$A:$A,$K134)&gt;0.01),$L134/86400+DATE(1970,1,1)+IF($L134*1&gt;=$G$5,$G$6,0),)</f>
        <v/>
      </c>
      <c r="B134" s="22" t="str">
        <f t="shared" si="1"/>
        <v/>
      </c>
      <c r="C134" s="14" t="str">
        <f>IF($A134&lt;&gt;"",MINIFS(Merchant!$A:$A,Merchant!$B:$B,$G$2),)</f>
        <v/>
      </c>
      <c r="D134" s="14" t="str">
        <f t="shared" si="2"/>
        <v/>
      </c>
      <c r="E134" s="14" t="str">
        <f t="shared" si="3"/>
        <v/>
      </c>
      <c r="F134" s="6" t="str">
        <f>IF($A134&lt;&gt;"",MAXIFS(Token!$B:$B,Token!$A:$A,$D134),)</f>
        <v/>
      </c>
    </row>
    <row r="135">
      <c r="A135" s="35" t="str">
        <f>IF(AND($L135*1&gt;=$G$3,$L135*1&lt;=$G$4,$I135*$J135&gt;0,CONCATENATE($H135:$L135)&lt;&gt;CONCATENATE($H136:$L136),$I135/POW(10,$J135)*MAXIFS(Token!$B:$B,Token!$A:$A,$K135)&gt;0.01),$L135/86400+DATE(1970,1,1)+IF($L135*1&gt;=$G$5,$G$6,0),)</f>
        <v/>
      </c>
      <c r="B135" s="22" t="str">
        <f t="shared" si="1"/>
        <v/>
      </c>
      <c r="C135" s="14" t="str">
        <f>IF($A135&lt;&gt;"",MINIFS(Merchant!$A:$A,Merchant!$B:$B,$G$2),)</f>
        <v/>
      </c>
      <c r="D135" s="14" t="str">
        <f t="shared" si="2"/>
        <v/>
      </c>
      <c r="E135" s="14" t="str">
        <f t="shared" si="3"/>
        <v/>
      </c>
      <c r="F135" s="6" t="str">
        <f>IF($A135&lt;&gt;"",MAXIFS(Token!$B:$B,Token!$A:$A,$D135),)</f>
        <v/>
      </c>
    </row>
    <row r="136">
      <c r="A136" s="35" t="str">
        <f>IF(AND($L136*1&gt;=$G$3,$L136*1&lt;=$G$4,$I136*$J136&gt;0,CONCATENATE($H136:$L136)&lt;&gt;CONCATENATE($H137:$L137),$I136/POW(10,$J136)*MAXIFS(Token!$B:$B,Token!$A:$A,$K136)&gt;0.01),$L136/86400+DATE(1970,1,1)+IF($L136*1&gt;=$G$5,$G$6,0),)</f>
        <v/>
      </c>
      <c r="B136" s="22" t="str">
        <f t="shared" si="1"/>
        <v/>
      </c>
      <c r="C136" s="14" t="str">
        <f>IF($A136&lt;&gt;"",MINIFS(Merchant!$A:$A,Merchant!$B:$B,$G$2),)</f>
        <v/>
      </c>
      <c r="D136" s="14" t="str">
        <f t="shared" si="2"/>
        <v/>
      </c>
      <c r="E136" s="14" t="str">
        <f t="shared" si="3"/>
        <v/>
      </c>
      <c r="F136" s="6" t="str">
        <f>IF($A136&lt;&gt;"",MAXIFS(Token!$B:$B,Token!$A:$A,$D136),)</f>
        <v/>
      </c>
    </row>
    <row r="137">
      <c r="A137" s="35" t="str">
        <f>IF(AND($L137*1&gt;=$G$3,$L137*1&lt;=$G$4,$I137*$J137&gt;0,CONCATENATE($H137:$L137)&lt;&gt;CONCATENATE($H138:$L138),$I137/POW(10,$J137)*MAXIFS(Token!$B:$B,Token!$A:$A,$K137)&gt;0.01),$L137/86400+DATE(1970,1,1)+IF($L137*1&gt;=$G$5,$G$6,0),)</f>
        <v/>
      </c>
      <c r="B137" s="22" t="str">
        <f t="shared" si="1"/>
        <v/>
      </c>
      <c r="C137" s="14" t="str">
        <f>IF($A137&lt;&gt;"",MINIFS(Merchant!$A:$A,Merchant!$B:$B,$G$2),)</f>
        <v/>
      </c>
      <c r="D137" s="14" t="str">
        <f t="shared" si="2"/>
        <v/>
      </c>
      <c r="E137" s="14" t="str">
        <f t="shared" si="3"/>
        <v/>
      </c>
      <c r="F137" s="6" t="str">
        <f>IF($A137&lt;&gt;"",MAXIFS(Token!$B:$B,Token!$A:$A,$D137),)</f>
        <v/>
      </c>
    </row>
    <row r="138">
      <c r="A138" s="35" t="str">
        <f>IF(AND($L138*1&gt;=$G$3,$L138*1&lt;=$G$4,$I138*$J138&gt;0,CONCATENATE($H138:$L138)&lt;&gt;CONCATENATE($H139:$L139),$I138/POW(10,$J138)*MAXIFS(Token!$B:$B,Token!$A:$A,$K138)&gt;0.01),$L138/86400+DATE(1970,1,1)+IF($L138*1&gt;=$G$5,$G$6,0),)</f>
        <v/>
      </c>
      <c r="B138" s="22" t="str">
        <f t="shared" si="1"/>
        <v/>
      </c>
      <c r="C138" s="14" t="str">
        <f>IF($A138&lt;&gt;"",MINIFS(Merchant!$A:$A,Merchant!$B:$B,$G$2),)</f>
        <v/>
      </c>
      <c r="D138" s="14" t="str">
        <f t="shared" si="2"/>
        <v/>
      </c>
      <c r="E138" s="14" t="str">
        <f t="shared" si="3"/>
        <v/>
      </c>
      <c r="F138" s="6" t="str">
        <f>IF($A138&lt;&gt;"",MAXIFS(Token!$B:$B,Token!$A:$A,$D138),)</f>
        <v/>
      </c>
    </row>
    <row r="139">
      <c r="A139" s="35" t="str">
        <f>IF(AND($L139*1&gt;=$G$3,$L139*1&lt;=$G$4,$I139*$J139&gt;0,CONCATENATE($H139:$L139)&lt;&gt;CONCATENATE($H140:$L140),$I139/POW(10,$J139)*MAXIFS(Token!$B:$B,Token!$A:$A,$K139)&gt;0.01),$L139/86400+DATE(1970,1,1)+IF($L139*1&gt;=$G$5,$G$6,0),)</f>
        <v/>
      </c>
      <c r="B139" s="22" t="str">
        <f t="shared" si="1"/>
        <v/>
      </c>
      <c r="C139" s="14" t="str">
        <f>IF($A139&lt;&gt;"",MINIFS(Merchant!$A:$A,Merchant!$B:$B,$G$2),)</f>
        <v/>
      </c>
      <c r="D139" s="14" t="str">
        <f t="shared" si="2"/>
        <v/>
      </c>
      <c r="E139" s="14" t="str">
        <f t="shared" si="3"/>
        <v/>
      </c>
      <c r="F139" s="6" t="str">
        <f>IF($A139&lt;&gt;"",MAXIFS(Token!$B:$B,Token!$A:$A,$D139),)</f>
        <v/>
      </c>
    </row>
    <row r="140">
      <c r="A140" s="35" t="str">
        <f>IF(AND($L140*1&gt;=$G$3,$L140*1&lt;=$G$4,$I140*$J140&gt;0,CONCATENATE($H140:$L140)&lt;&gt;CONCATENATE($H141:$L141),$I140/POW(10,$J140)*MAXIFS(Token!$B:$B,Token!$A:$A,$K140)&gt;0.01),$L140/86400+DATE(1970,1,1)+IF($L140*1&gt;=$G$5,$G$6,0),)</f>
        <v/>
      </c>
      <c r="B140" s="22" t="str">
        <f t="shared" si="1"/>
        <v/>
      </c>
      <c r="C140" s="14" t="str">
        <f>IF($A140&lt;&gt;"",MINIFS(Merchant!$A:$A,Merchant!$B:$B,$G$2),)</f>
        <v/>
      </c>
      <c r="D140" s="14" t="str">
        <f t="shared" si="2"/>
        <v/>
      </c>
      <c r="E140" s="14" t="str">
        <f t="shared" si="3"/>
        <v/>
      </c>
      <c r="F140" s="6" t="str">
        <f>IF($A140&lt;&gt;"",MAXIFS(Token!$B:$B,Token!$A:$A,$D140),)</f>
        <v/>
      </c>
    </row>
    <row r="141">
      <c r="A141" s="35" t="str">
        <f>IF(AND($L141*1&gt;=$G$3,$L141*1&lt;=$G$4,$I141*$J141&gt;0,CONCATENATE($H141:$L141)&lt;&gt;CONCATENATE($H142:$L142),$I141/POW(10,$J141)*MAXIFS(Token!$B:$B,Token!$A:$A,$K141)&gt;0.01),$L141/86400+DATE(1970,1,1)+IF($L141*1&gt;=$G$5,$G$6,0),)</f>
        <v/>
      </c>
      <c r="B141" s="22" t="str">
        <f t="shared" si="1"/>
        <v/>
      </c>
      <c r="C141" s="14" t="str">
        <f>IF($A141&lt;&gt;"",MINIFS(Merchant!$A:$A,Merchant!$B:$B,$G$2),)</f>
        <v/>
      </c>
      <c r="D141" s="14" t="str">
        <f t="shared" si="2"/>
        <v/>
      </c>
      <c r="E141" s="14" t="str">
        <f t="shared" si="3"/>
        <v/>
      </c>
      <c r="F141" s="6" t="str">
        <f>IF($A141&lt;&gt;"",MAXIFS(Token!$B:$B,Token!$A:$A,$D141),)</f>
        <v/>
      </c>
    </row>
    <row r="142">
      <c r="A142" s="35" t="str">
        <f>IF(AND($L142*1&gt;=$G$3,$L142*1&lt;=$G$4,$I142*$J142&gt;0,CONCATENATE($H142:$L142)&lt;&gt;CONCATENATE($H143:$L143),$I142/POW(10,$J142)*MAXIFS(Token!$B:$B,Token!$A:$A,$K142)&gt;0.01),$L142/86400+DATE(1970,1,1)+IF($L142*1&gt;=$G$5,$G$6,0),)</f>
        <v/>
      </c>
      <c r="B142" s="22" t="str">
        <f t="shared" si="1"/>
        <v/>
      </c>
      <c r="C142" s="14" t="str">
        <f>IF($A142&lt;&gt;"",MINIFS(Merchant!$A:$A,Merchant!$B:$B,$G$2),)</f>
        <v/>
      </c>
      <c r="D142" s="14" t="str">
        <f t="shared" si="2"/>
        <v/>
      </c>
      <c r="E142" s="14" t="str">
        <f t="shared" si="3"/>
        <v/>
      </c>
      <c r="F142" s="6" t="str">
        <f>IF($A142&lt;&gt;"",MAXIFS(Token!$B:$B,Token!$A:$A,$D142),)</f>
        <v/>
      </c>
    </row>
    <row r="143">
      <c r="A143" s="35" t="str">
        <f>IF(AND($L143*1&gt;=$G$3,$L143*1&lt;=$G$4,$I143*$J143&gt;0,CONCATENATE($H143:$L143)&lt;&gt;CONCATENATE($H144:$L144),$I143/POW(10,$J143)*MAXIFS(Token!$B:$B,Token!$A:$A,$K143)&gt;0.01),$L143/86400+DATE(1970,1,1)+IF($L143*1&gt;=$G$5,$G$6,0),)</f>
        <v/>
      </c>
      <c r="B143" s="22" t="str">
        <f t="shared" si="1"/>
        <v/>
      </c>
      <c r="C143" s="14" t="str">
        <f>IF($A143&lt;&gt;"",MINIFS(Merchant!$A:$A,Merchant!$B:$B,$G$2),)</f>
        <v/>
      </c>
      <c r="D143" s="14" t="str">
        <f t="shared" si="2"/>
        <v/>
      </c>
      <c r="E143" s="14" t="str">
        <f t="shared" si="3"/>
        <v/>
      </c>
      <c r="F143" s="6" t="str">
        <f>IF($A143&lt;&gt;"",MAXIFS(Token!$B:$B,Token!$A:$A,$D143),)</f>
        <v/>
      </c>
    </row>
    <row r="144">
      <c r="A144" s="35" t="str">
        <f>IF(AND($L144*1&gt;=$G$3,$L144*1&lt;=$G$4,$I144*$J144&gt;0,CONCATENATE($H144:$L144)&lt;&gt;CONCATENATE($H145:$L145),$I144/POW(10,$J144)*MAXIFS(Token!$B:$B,Token!$A:$A,$K144)&gt;0.01),$L144/86400+DATE(1970,1,1)+IF($L144*1&gt;=$G$5,$G$6,0),)</f>
        <v/>
      </c>
      <c r="B144" s="22" t="str">
        <f t="shared" si="1"/>
        <v/>
      </c>
      <c r="C144" s="14" t="str">
        <f>IF($A144&lt;&gt;"",MINIFS(Merchant!$A:$A,Merchant!$B:$B,$G$2),)</f>
        <v/>
      </c>
      <c r="D144" s="14" t="str">
        <f t="shared" si="2"/>
        <v/>
      </c>
      <c r="E144" s="14" t="str">
        <f t="shared" si="3"/>
        <v/>
      </c>
      <c r="F144" s="6" t="str">
        <f>IF($A144&lt;&gt;"",MAXIFS(Token!$B:$B,Token!$A:$A,$D144),)</f>
        <v/>
      </c>
    </row>
    <row r="145">
      <c r="A145" s="35" t="str">
        <f>IF(AND($L145*1&gt;=$G$3,$L145*1&lt;=$G$4,$I145*$J145&gt;0,CONCATENATE($H145:$L145)&lt;&gt;CONCATENATE($H146:$L146),$I145/POW(10,$J145)*MAXIFS(Token!$B:$B,Token!$A:$A,$K145)&gt;0.01),$L145/86400+DATE(1970,1,1)+IF($L145*1&gt;=$G$5,$G$6,0),)</f>
        <v/>
      </c>
      <c r="B145" s="22" t="str">
        <f t="shared" si="1"/>
        <v/>
      </c>
      <c r="C145" s="14" t="str">
        <f>IF($A145&lt;&gt;"",MINIFS(Merchant!$A:$A,Merchant!$B:$B,$G$2),)</f>
        <v/>
      </c>
      <c r="D145" s="14" t="str">
        <f t="shared" si="2"/>
        <v/>
      </c>
      <c r="E145" s="14" t="str">
        <f t="shared" si="3"/>
        <v/>
      </c>
      <c r="F145" s="6" t="str">
        <f>IF($A145&lt;&gt;"",MAXIFS(Token!$B:$B,Token!$A:$A,$D145),)</f>
        <v/>
      </c>
    </row>
    <row r="146">
      <c r="A146" s="35" t="str">
        <f>IF(AND($L146*1&gt;=$G$3,$L146*1&lt;=$G$4,$I146*$J146&gt;0,CONCATENATE($H146:$L146)&lt;&gt;CONCATENATE($H147:$L147),$I146/POW(10,$J146)*MAXIFS(Token!$B:$B,Token!$A:$A,$K146)&gt;0.01),$L146/86400+DATE(1970,1,1)+IF($L146*1&gt;=$G$5,$G$6,0),)</f>
        <v/>
      </c>
      <c r="B146" s="22" t="str">
        <f t="shared" si="1"/>
        <v/>
      </c>
      <c r="C146" s="14" t="str">
        <f>IF($A146&lt;&gt;"",MINIFS(Merchant!$A:$A,Merchant!$B:$B,$G$2),)</f>
        <v/>
      </c>
      <c r="D146" s="14" t="str">
        <f t="shared" si="2"/>
        <v/>
      </c>
      <c r="E146" s="14" t="str">
        <f t="shared" si="3"/>
        <v/>
      </c>
      <c r="F146" s="6" t="str">
        <f>IF($A146&lt;&gt;"",MAXIFS(Token!$B:$B,Token!$A:$A,$D146),)</f>
        <v/>
      </c>
    </row>
    <row r="147">
      <c r="A147" s="35" t="str">
        <f>IF(AND($L147*1&gt;=$G$3,$L147*1&lt;=$G$4,$I147*$J147&gt;0,CONCATENATE($H147:$L147)&lt;&gt;CONCATENATE($H148:$L148),$I147/POW(10,$J147)*MAXIFS(Token!$B:$B,Token!$A:$A,$K147)&gt;0.01),$L147/86400+DATE(1970,1,1)+IF($L147*1&gt;=$G$5,$G$6,0),)</f>
        <v/>
      </c>
      <c r="B147" s="22" t="str">
        <f t="shared" si="1"/>
        <v/>
      </c>
      <c r="C147" s="14" t="str">
        <f>IF($A147&lt;&gt;"",MINIFS(Merchant!$A:$A,Merchant!$B:$B,$G$2),)</f>
        <v/>
      </c>
      <c r="D147" s="14" t="str">
        <f t="shared" si="2"/>
        <v/>
      </c>
      <c r="E147" s="14" t="str">
        <f t="shared" si="3"/>
        <v/>
      </c>
      <c r="F147" s="6" t="str">
        <f>IF($A147&lt;&gt;"",MAXIFS(Token!$B:$B,Token!$A:$A,$D147),)</f>
        <v/>
      </c>
    </row>
    <row r="148">
      <c r="A148" s="35" t="str">
        <f>IF(AND($L148*1&gt;=$G$3,$L148*1&lt;=$G$4,$I148*$J148&gt;0,CONCATENATE($H148:$L148)&lt;&gt;CONCATENATE($H149:$L149),$I148/POW(10,$J148)*MAXIFS(Token!$B:$B,Token!$A:$A,$K148)&gt;0.01),$L148/86400+DATE(1970,1,1)+IF($L148*1&gt;=$G$5,$G$6,0),)</f>
        <v/>
      </c>
      <c r="B148" s="22" t="str">
        <f t="shared" si="1"/>
        <v/>
      </c>
      <c r="C148" s="14" t="str">
        <f>IF($A148&lt;&gt;"",MINIFS(Merchant!$A:$A,Merchant!$B:$B,$G$2),)</f>
        <v/>
      </c>
      <c r="D148" s="14" t="str">
        <f t="shared" si="2"/>
        <v/>
      </c>
      <c r="E148" s="14" t="str">
        <f t="shared" si="3"/>
        <v/>
      </c>
      <c r="F148" s="6" t="str">
        <f>IF($A148&lt;&gt;"",MAXIFS(Token!$B:$B,Token!$A:$A,$D148),)</f>
        <v/>
      </c>
    </row>
    <row r="149">
      <c r="A149" s="35" t="str">
        <f>IF(AND($L149*1&gt;=$G$3,$L149*1&lt;=$G$4,$I149*$J149&gt;0,CONCATENATE($H149:$L149)&lt;&gt;CONCATENATE($H150:$L150),$I149/POW(10,$J149)*MAXIFS(Token!$B:$B,Token!$A:$A,$K149)&gt;0.01),$L149/86400+DATE(1970,1,1)+IF($L149*1&gt;=$G$5,$G$6,0),)</f>
        <v/>
      </c>
      <c r="B149" s="22" t="str">
        <f t="shared" si="1"/>
        <v/>
      </c>
      <c r="C149" s="14" t="str">
        <f>IF($A149&lt;&gt;"",MINIFS(Merchant!$A:$A,Merchant!$B:$B,$G$2),)</f>
        <v/>
      </c>
      <c r="D149" s="14" t="str">
        <f t="shared" si="2"/>
        <v/>
      </c>
      <c r="E149" s="14" t="str">
        <f t="shared" si="3"/>
        <v/>
      </c>
      <c r="F149" s="6" t="str">
        <f>IF($A149&lt;&gt;"",MAXIFS(Token!$B:$B,Token!$A:$A,$D149),)</f>
        <v/>
      </c>
    </row>
    <row r="150">
      <c r="A150" s="35" t="str">
        <f>IF(AND($L150*1&gt;=$G$3,$L150*1&lt;=$G$4,$I150*$J150&gt;0,CONCATENATE($H150:$L150)&lt;&gt;CONCATENATE($H151:$L151),$I150/POW(10,$J150)*MAXIFS(Token!$B:$B,Token!$A:$A,$K150)&gt;0.01),$L150/86400+DATE(1970,1,1)+IF($L150*1&gt;=$G$5,$G$6,0),)</f>
        <v/>
      </c>
      <c r="B150" s="22" t="str">
        <f t="shared" si="1"/>
        <v/>
      </c>
      <c r="C150" s="14" t="str">
        <f>IF($A150&lt;&gt;"",MINIFS(Merchant!$A:$A,Merchant!$B:$B,$G$2),)</f>
        <v/>
      </c>
      <c r="D150" s="14" t="str">
        <f t="shared" si="2"/>
        <v/>
      </c>
      <c r="E150" s="14" t="str">
        <f t="shared" si="3"/>
        <v/>
      </c>
      <c r="F150" s="6" t="str">
        <f>IF($A150&lt;&gt;"",MAXIFS(Token!$B:$B,Token!$A:$A,$D150),)</f>
        <v/>
      </c>
    </row>
    <row r="151">
      <c r="A151" s="35" t="str">
        <f>IF(AND($L151*1&gt;=$G$3,$L151*1&lt;=$G$4,$I151*$J151&gt;0,CONCATENATE($H151:$L151)&lt;&gt;CONCATENATE($H152:$L152),$I151/POW(10,$J151)*MAXIFS(Token!$B:$B,Token!$A:$A,$K151)&gt;0.01),$L151/86400+DATE(1970,1,1)+IF($L151*1&gt;=$G$5,$G$6,0),)</f>
        <v/>
      </c>
      <c r="B151" s="22" t="str">
        <f t="shared" si="1"/>
        <v/>
      </c>
      <c r="C151" s="14" t="str">
        <f>IF($A151&lt;&gt;"",MINIFS(Merchant!$A:$A,Merchant!$B:$B,$G$2),)</f>
        <v/>
      </c>
      <c r="D151" s="14" t="str">
        <f t="shared" si="2"/>
        <v/>
      </c>
      <c r="E151" s="14" t="str">
        <f t="shared" si="3"/>
        <v/>
      </c>
      <c r="F151" s="6" t="str">
        <f>IF($A151&lt;&gt;"",MAXIFS(Token!$B:$B,Token!$A:$A,$D151),)</f>
        <v/>
      </c>
    </row>
    <row r="152">
      <c r="A152" s="35" t="str">
        <f>IF(AND($L152*1&gt;=$G$3,$L152*1&lt;=$G$4,$I152*$J152&gt;0,CONCATENATE($H152:$L152)&lt;&gt;CONCATENATE($H153:$L153),$I152/POW(10,$J152)*MAXIFS(Token!$B:$B,Token!$A:$A,$K152)&gt;0.01),$L152/86400+DATE(1970,1,1)+IF($L152*1&gt;=$G$5,$G$6,0),)</f>
        <v/>
      </c>
      <c r="B152" s="22" t="str">
        <f t="shared" si="1"/>
        <v/>
      </c>
      <c r="C152" s="14" t="str">
        <f>IF($A152&lt;&gt;"",MINIFS(Merchant!$A:$A,Merchant!$B:$B,$G$2),)</f>
        <v/>
      </c>
      <c r="D152" s="14" t="str">
        <f t="shared" si="2"/>
        <v/>
      </c>
      <c r="E152" s="14" t="str">
        <f t="shared" si="3"/>
        <v/>
      </c>
      <c r="F152" s="6" t="str">
        <f>IF($A152&lt;&gt;"",MAXIFS(Token!$B:$B,Token!$A:$A,$D152),)</f>
        <v/>
      </c>
    </row>
    <row r="153">
      <c r="A153" s="35" t="str">
        <f>IF(AND($L153*1&gt;=$G$3,$L153*1&lt;=$G$4,$I153*$J153&gt;0,CONCATENATE($H153:$L153)&lt;&gt;CONCATENATE($H154:$L154),$I153/POW(10,$J153)*MAXIFS(Token!$B:$B,Token!$A:$A,$K153)&gt;0.01),$L153/86400+DATE(1970,1,1)+IF($L153*1&gt;=$G$5,$G$6,0),)</f>
        <v/>
      </c>
      <c r="B153" s="22" t="str">
        <f t="shared" si="1"/>
        <v/>
      </c>
      <c r="C153" s="14" t="str">
        <f>IF($A153&lt;&gt;"",MINIFS(Merchant!$A:$A,Merchant!$B:$B,$G$2),)</f>
        <v/>
      </c>
      <c r="D153" s="14" t="str">
        <f t="shared" si="2"/>
        <v/>
      </c>
      <c r="E153" s="14" t="str">
        <f t="shared" si="3"/>
        <v/>
      </c>
      <c r="F153" s="6" t="str">
        <f>IF($A153&lt;&gt;"",MAXIFS(Token!$B:$B,Token!$A:$A,$D153),)</f>
        <v/>
      </c>
    </row>
    <row r="154">
      <c r="A154" s="35" t="str">
        <f>IF(AND($L154*1&gt;=$G$3,$L154*1&lt;=$G$4,$I154*$J154&gt;0,CONCATENATE($H154:$L154)&lt;&gt;CONCATENATE($H155:$L155),$I154/POW(10,$J154)*MAXIFS(Token!$B:$B,Token!$A:$A,$K154)&gt;0.01),$L154/86400+DATE(1970,1,1)+IF($L154*1&gt;=$G$5,$G$6,0),)</f>
        <v/>
      </c>
      <c r="B154" s="22" t="str">
        <f t="shared" si="1"/>
        <v/>
      </c>
      <c r="C154" s="14" t="str">
        <f>IF($A154&lt;&gt;"",MINIFS(Merchant!$A:$A,Merchant!$B:$B,$G$2),)</f>
        <v/>
      </c>
      <c r="D154" s="14" t="str">
        <f t="shared" si="2"/>
        <v/>
      </c>
      <c r="E154" s="14" t="str">
        <f t="shared" si="3"/>
        <v/>
      </c>
      <c r="F154" s="6" t="str">
        <f>IF($A154&lt;&gt;"",MAXIFS(Token!$B:$B,Token!$A:$A,$D154),)</f>
        <v/>
      </c>
    </row>
    <row r="155">
      <c r="A155" s="35" t="str">
        <f>IF(AND($L155*1&gt;=$G$3,$L155*1&lt;=$G$4,$I155*$J155&gt;0,CONCATENATE($H155:$L155)&lt;&gt;CONCATENATE($H156:$L156),$I155/POW(10,$J155)*MAXIFS(Token!$B:$B,Token!$A:$A,$K155)&gt;0.01),$L155/86400+DATE(1970,1,1)+IF($L155*1&gt;=$G$5,$G$6,0),)</f>
        <v/>
      </c>
      <c r="B155" s="22" t="str">
        <f t="shared" si="1"/>
        <v/>
      </c>
      <c r="C155" s="14" t="str">
        <f>IF($A155&lt;&gt;"",MINIFS(Merchant!$A:$A,Merchant!$B:$B,$G$2),)</f>
        <v/>
      </c>
      <c r="D155" s="14" t="str">
        <f t="shared" si="2"/>
        <v/>
      </c>
      <c r="E155" s="14" t="str">
        <f t="shared" si="3"/>
        <v/>
      </c>
      <c r="F155" s="6" t="str">
        <f>IF($A155&lt;&gt;"",MAXIFS(Token!$B:$B,Token!$A:$A,$D155),)</f>
        <v/>
      </c>
    </row>
    <row r="156">
      <c r="A156" s="35" t="str">
        <f>IF(AND($L156*1&gt;=$G$3,$L156*1&lt;=$G$4,$I156*$J156&gt;0,CONCATENATE($H156:$L156)&lt;&gt;CONCATENATE($H157:$L157),$I156/POW(10,$J156)*MAXIFS(Token!$B:$B,Token!$A:$A,$K156)&gt;0.01),$L156/86400+DATE(1970,1,1)+IF($L156*1&gt;=$G$5,$G$6,0),)</f>
        <v/>
      </c>
      <c r="B156" s="22" t="str">
        <f t="shared" si="1"/>
        <v/>
      </c>
      <c r="C156" s="14" t="str">
        <f>IF($A156&lt;&gt;"",MINIFS(Merchant!$A:$A,Merchant!$B:$B,$G$2),)</f>
        <v/>
      </c>
      <c r="D156" s="14" t="str">
        <f t="shared" si="2"/>
        <v/>
      </c>
      <c r="E156" s="14" t="str">
        <f t="shared" si="3"/>
        <v/>
      </c>
      <c r="F156" s="6" t="str">
        <f>IF($A156&lt;&gt;"",MAXIFS(Token!$B:$B,Token!$A:$A,$D156),)</f>
        <v/>
      </c>
    </row>
    <row r="157">
      <c r="A157" s="35" t="str">
        <f>IF(AND($L157*1&gt;=$G$3,$L157*1&lt;=$G$4,$I157*$J157&gt;0,CONCATENATE($H157:$L157)&lt;&gt;CONCATENATE($H158:$L158),$I157/POW(10,$J157)*MAXIFS(Token!$B:$B,Token!$A:$A,$K157)&gt;0.01),$L157/86400+DATE(1970,1,1)+IF($L157*1&gt;=$G$5,$G$6,0),)</f>
        <v/>
      </c>
      <c r="B157" s="22" t="str">
        <f t="shared" si="1"/>
        <v/>
      </c>
      <c r="C157" s="14" t="str">
        <f>IF($A157&lt;&gt;"",MINIFS(Merchant!$A:$A,Merchant!$B:$B,$G$2),)</f>
        <v/>
      </c>
      <c r="D157" s="14" t="str">
        <f t="shared" si="2"/>
        <v/>
      </c>
      <c r="E157" s="14" t="str">
        <f t="shared" si="3"/>
        <v/>
      </c>
      <c r="F157" s="6" t="str">
        <f>IF($A157&lt;&gt;"",MAXIFS(Token!$B:$B,Token!$A:$A,$D157),)</f>
        <v/>
      </c>
    </row>
    <row r="158">
      <c r="A158" s="35" t="str">
        <f>IF(AND($L158*1&gt;=$G$3,$L158*1&lt;=$G$4,$I158*$J158&gt;0,CONCATENATE($H158:$L158)&lt;&gt;CONCATENATE($H159:$L159),$I158/POW(10,$J158)*MAXIFS(Token!$B:$B,Token!$A:$A,$K158)&gt;0.01),$L158/86400+DATE(1970,1,1)+IF($L158*1&gt;=$G$5,$G$6,0),)</f>
        <v/>
      </c>
      <c r="B158" s="22" t="str">
        <f t="shared" si="1"/>
        <v/>
      </c>
      <c r="C158" s="14" t="str">
        <f>IF($A158&lt;&gt;"",MINIFS(Merchant!$A:$A,Merchant!$B:$B,$G$2),)</f>
        <v/>
      </c>
      <c r="D158" s="14" t="str">
        <f t="shared" si="2"/>
        <v/>
      </c>
      <c r="E158" s="14" t="str">
        <f t="shared" si="3"/>
        <v/>
      </c>
      <c r="F158" s="6" t="str">
        <f>IF($A158&lt;&gt;"",MAXIFS(Token!$B:$B,Token!$A:$A,$D158),)</f>
        <v/>
      </c>
    </row>
    <row r="159">
      <c r="A159" s="35" t="str">
        <f>IF(AND($L159*1&gt;=$G$3,$L159*1&lt;=$G$4,$I159*$J159&gt;0,CONCATENATE($H159:$L159)&lt;&gt;CONCATENATE($H160:$L160),$I159/POW(10,$J159)*MAXIFS(Token!$B:$B,Token!$A:$A,$K159)&gt;0.01),$L159/86400+DATE(1970,1,1)+IF($L159*1&gt;=$G$5,$G$6,0),)</f>
        <v/>
      </c>
      <c r="B159" s="22" t="str">
        <f t="shared" si="1"/>
        <v/>
      </c>
      <c r="C159" s="14" t="str">
        <f>IF($A159&lt;&gt;"",MINIFS(Merchant!$A:$A,Merchant!$B:$B,$G$2),)</f>
        <v/>
      </c>
      <c r="D159" s="14" t="str">
        <f t="shared" si="2"/>
        <v/>
      </c>
      <c r="E159" s="14" t="str">
        <f t="shared" si="3"/>
        <v/>
      </c>
      <c r="F159" s="6" t="str">
        <f>IF($A159&lt;&gt;"",MAXIFS(Token!$B:$B,Token!$A:$A,$D159),)</f>
        <v/>
      </c>
    </row>
    <row r="160">
      <c r="A160" s="35" t="str">
        <f>IF(AND($L160*1&gt;=$G$3,$L160*1&lt;=$G$4,$I160*$J160&gt;0,CONCATENATE($H160:$L160)&lt;&gt;CONCATENATE($H161:$L161),$I160/POW(10,$J160)*MAXIFS(Token!$B:$B,Token!$A:$A,$K160)&gt;0.01),$L160/86400+DATE(1970,1,1)+IF($L160*1&gt;=$G$5,$G$6,0),)</f>
        <v/>
      </c>
      <c r="B160" s="22" t="str">
        <f t="shared" si="1"/>
        <v/>
      </c>
      <c r="C160" s="14" t="str">
        <f>IF($A160&lt;&gt;"",MINIFS(Merchant!$A:$A,Merchant!$B:$B,$G$2),)</f>
        <v/>
      </c>
      <c r="D160" s="14" t="str">
        <f t="shared" si="2"/>
        <v/>
      </c>
      <c r="E160" s="14" t="str">
        <f t="shared" si="3"/>
        <v/>
      </c>
      <c r="F160" s="6" t="str">
        <f>IF($A160&lt;&gt;"",MAXIFS(Token!$B:$B,Token!$A:$A,$D160),)</f>
        <v/>
      </c>
    </row>
    <row r="161">
      <c r="A161" s="35" t="str">
        <f>IF(AND($L161*1&gt;=$G$3,$L161*1&lt;=$G$4,$I161*$J161&gt;0,CONCATENATE($H161:$L161)&lt;&gt;CONCATENATE($H162:$L162),$I161/POW(10,$J161)*MAXIFS(Token!$B:$B,Token!$A:$A,$K161)&gt;0.01),$L161/86400+DATE(1970,1,1)+IF($L161*1&gt;=$G$5,$G$6,0),)</f>
        <v/>
      </c>
      <c r="B161" s="22" t="str">
        <f t="shared" si="1"/>
        <v/>
      </c>
      <c r="C161" s="14" t="str">
        <f>IF($A161&lt;&gt;"",MINIFS(Merchant!$A:$A,Merchant!$B:$B,$G$2),)</f>
        <v/>
      </c>
      <c r="D161" s="14" t="str">
        <f t="shared" si="2"/>
        <v/>
      </c>
      <c r="E161" s="14" t="str">
        <f t="shared" si="3"/>
        <v/>
      </c>
      <c r="F161" s="6" t="str">
        <f>IF($A161&lt;&gt;"",MAXIFS(Token!$B:$B,Token!$A:$A,$D161),)</f>
        <v/>
      </c>
    </row>
    <row r="162">
      <c r="A162" s="35" t="str">
        <f>IF(AND($L162*1&gt;=$G$3,$L162*1&lt;=$G$4,$I162*$J162&gt;0,CONCATENATE($H162:$L162)&lt;&gt;CONCATENATE($H163:$L163),$I162/POW(10,$J162)*MAXIFS(Token!$B:$B,Token!$A:$A,$K162)&gt;0.01),$L162/86400+DATE(1970,1,1)+IF($L162*1&gt;=$G$5,$G$6,0),)</f>
        <v/>
      </c>
      <c r="B162" s="22" t="str">
        <f t="shared" si="1"/>
        <v/>
      </c>
      <c r="C162" s="14" t="str">
        <f>IF($A162&lt;&gt;"",MINIFS(Merchant!$A:$A,Merchant!$B:$B,$G$2),)</f>
        <v/>
      </c>
      <c r="D162" s="14" t="str">
        <f t="shared" si="2"/>
        <v/>
      </c>
      <c r="E162" s="14" t="str">
        <f t="shared" si="3"/>
        <v/>
      </c>
      <c r="F162" s="6" t="str">
        <f>IF($A162&lt;&gt;"",MAXIFS(Token!$B:$B,Token!$A:$A,$D162),)</f>
        <v/>
      </c>
    </row>
    <row r="163">
      <c r="A163" s="35" t="str">
        <f>IF(AND($L163*1&gt;=$G$3,$L163*1&lt;=$G$4,$I163*$J163&gt;0,CONCATENATE($H163:$L163)&lt;&gt;CONCATENATE($H164:$L164),$I163/POW(10,$J163)*MAXIFS(Token!$B:$B,Token!$A:$A,$K163)&gt;0.01),$L163/86400+DATE(1970,1,1)+IF($L163*1&gt;=$G$5,$G$6,0),)</f>
        <v/>
      </c>
      <c r="B163" s="22" t="str">
        <f t="shared" si="1"/>
        <v/>
      </c>
      <c r="C163" s="14" t="str">
        <f>IF($A163&lt;&gt;"",MINIFS(Merchant!$A:$A,Merchant!$B:$B,$G$2),)</f>
        <v/>
      </c>
      <c r="D163" s="14" t="str">
        <f t="shared" si="2"/>
        <v/>
      </c>
      <c r="E163" s="14" t="str">
        <f t="shared" si="3"/>
        <v/>
      </c>
      <c r="F163" s="6" t="str">
        <f>IF($A163&lt;&gt;"",MAXIFS(Token!$B:$B,Token!$A:$A,$D163),)</f>
        <v/>
      </c>
    </row>
    <row r="164">
      <c r="A164" s="35" t="str">
        <f>IF(AND($L164*1&gt;=$G$3,$L164*1&lt;=$G$4,$I164*$J164&gt;0,CONCATENATE($H164:$L164)&lt;&gt;CONCATENATE($H165:$L165),$I164/POW(10,$J164)*MAXIFS(Token!$B:$B,Token!$A:$A,$K164)&gt;0.01),$L164/86400+DATE(1970,1,1)+IF($L164*1&gt;=$G$5,$G$6,0),)</f>
        <v/>
      </c>
      <c r="B164" s="22" t="str">
        <f t="shared" si="1"/>
        <v/>
      </c>
      <c r="C164" s="14" t="str">
        <f>IF($A164&lt;&gt;"",MINIFS(Merchant!$A:$A,Merchant!$B:$B,$G$2),)</f>
        <v/>
      </c>
      <c r="D164" s="14" t="str">
        <f t="shared" si="2"/>
        <v/>
      </c>
      <c r="E164" s="14" t="str">
        <f t="shared" si="3"/>
        <v/>
      </c>
      <c r="F164" s="6" t="str">
        <f>IF($A164&lt;&gt;"",MAXIFS(Token!$B:$B,Token!$A:$A,$D164),)</f>
        <v/>
      </c>
    </row>
    <row r="165">
      <c r="A165" s="35" t="str">
        <f>IF(AND($L165*1&gt;=$G$3,$L165*1&lt;=$G$4,$I165*$J165&gt;0,CONCATENATE($H165:$L165)&lt;&gt;CONCATENATE($H166:$L166),$I165/POW(10,$J165)*MAXIFS(Token!$B:$B,Token!$A:$A,$K165)&gt;0.01),$L165/86400+DATE(1970,1,1)+IF($L165*1&gt;=$G$5,$G$6,0),)</f>
        <v/>
      </c>
      <c r="B165" s="22" t="str">
        <f t="shared" si="1"/>
        <v/>
      </c>
      <c r="C165" s="14" t="str">
        <f>IF($A165&lt;&gt;"",MINIFS(Merchant!$A:$A,Merchant!$B:$B,$G$2),)</f>
        <v/>
      </c>
      <c r="D165" s="14" t="str">
        <f t="shared" si="2"/>
        <v/>
      </c>
      <c r="E165" s="14" t="str">
        <f t="shared" si="3"/>
        <v/>
      </c>
      <c r="F165" s="6" t="str">
        <f>IF($A165&lt;&gt;"",MAXIFS(Token!$B:$B,Token!$A:$A,$D165),)</f>
        <v/>
      </c>
    </row>
    <row r="166">
      <c r="A166" s="35" t="str">
        <f>IF(AND($L166*1&gt;=$G$3,$L166*1&lt;=$G$4,$I166*$J166&gt;0,CONCATENATE($H166:$L166)&lt;&gt;CONCATENATE($H167:$L167),$I166/POW(10,$J166)*MAXIFS(Token!$B:$B,Token!$A:$A,$K166)&gt;0.01),$L166/86400+DATE(1970,1,1)+IF($L166*1&gt;=$G$5,$G$6,0),)</f>
        <v/>
      </c>
      <c r="B166" s="22" t="str">
        <f t="shared" si="1"/>
        <v/>
      </c>
      <c r="C166" s="14" t="str">
        <f>IF($A166&lt;&gt;"",MINIFS(Merchant!$A:$A,Merchant!$B:$B,$G$2),)</f>
        <v/>
      </c>
      <c r="D166" s="14" t="str">
        <f t="shared" si="2"/>
        <v/>
      </c>
      <c r="E166" s="14" t="str">
        <f t="shared" si="3"/>
        <v/>
      </c>
      <c r="F166" s="6" t="str">
        <f>IF($A166&lt;&gt;"",MAXIFS(Token!$B:$B,Token!$A:$A,$D166),)</f>
        <v/>
      </c>
    </row>
    <row r="167">
      <c r="A167" s="35" t="str">
        <f>IF(AND($L167*1&gt;=$G$3,$L167*1&lt;=$G$4,$I167*$J167&gt;0,CONCATENATE($H167:$L167)&lt;&gt;CONCATENATE($H168:$L168),$I167/POW(10,$J167)*MAXIFS(Token!$B:$B,Token!$A:$A,$K167)&gt;0.01),$L167/86400+DATE(1970,1,1)+IF($L167*1&gt;=$G$5,$G$6,0),)</f>
        <v/>
      </c>
      <c r="B167" s="22" t="str">
        <f t="shared" si="1"/>
        <v/>
      </c>
      <c r="C167" s="14" t="str">
        <f>IF($A167&lt;&gt;"",MINIFS(Merchant!$A:$A,Merchant!$B:$B,$G$2),)</f>
        <v/>
      </c>
      <c r="D167" s="14" t="str">
        <f t="shared" si="2"/>
        <v/>
      </c>
      <c r="E167" s="14" t="str">
        <f t="shared" si="3"/>
        <v/>
      </c>
      <c r="F167" s="6" t="str">
        <f>IF($A167&lt;&gt;"",MAXIFS(Token!$B:$B,Token!$A:$A,$D167),)</f>
        <v/>
      </c>
    </row>
    <row r="168">
      <c r="A168" s="35" t="str">
        <f>IF(AND($L168*1&gt;=$G$3,$L168*1&lt;=$G$4,$I168*$J168&gt;0,CONCATENATE($H168:$L168)&lt;&gt;CONCATENATE($H169:$L169),$I168/POW(10,$J168)*MAXIFS(Token!$B:$B,Token!$A:$A,$K168)&gt;0.01),$L168/86400+DATE(1970,1,1)+IF($L168*1&gt;=$G$5,$G$6,0),)</f>
        <v/>
      </c>
      <c r="B168" s="22" t="str">
        <f t="shared" si="1"/>
        <v/>
      </c>
      <c r="C168" s="14" t="str">
        <f>IF($A168&lt;&gt;"",MINIFS(Merchant!$A:$A,Merchant!$B:$B,$G$2),)</f>
        <v/>
      </c>
      <c r="D168" s="14" t="str">
        <f t="shared" si="2"/>
        <v/>
      </c>
      <c r="E168" s="14" t="str">
        <f t="shared" si="3"/>
        <v/>
      </c>
      <c r="F168" s="6" t="str">
        <f>IF($A168&lt;&gt;"",MAXIFS(Token!$B:$B,Token!$A:$A,$D168),)</f>
        <v/>
      </c>
    </row>
    <row r="169">
      <c r="A169" s="35" t="str">
        <f>IF(AND($L169*1&gt;=$G$3,$L169*1&lt;=$G$4,$I169*$J169&gt;0,CONCATENATE($H169:$L169)&lt;&gt;CONCATENATE($H170:$L170),$I169/POW(10,$J169)*MAXIFS(Token!$B:$B,Token!$A:$A,$K169)&gt;0.01),$L169/86400+DATE(1970,1,1)+IF($L169*1&gt;=$G$5,$G$6,0),)</f>
        <v/>
      </c>
      <c r="B169" s="22" t="str">
        <f t="shared" si="1"/>
        <v/>
      </c>
      <c r="C169" s="14" t="str">
        <f>IF($A169&lt;&gt;"",MINIFS(Merchant!$A:$A,Merchant!$B:$B,$G$2),)</f>
        <v/>
      </c>
      <c r="D169" s="14" t="str">
        <f t="shared" si="2"/>
        <v/>
      </c>
      <c r="E169" s="14" t="str">
        <f t="shared" si="3"/>
        <v/>
      </c>
      <c r="F169" s="6" t="str">
        <f>IF($A169&lt;&gt;"",MAXIFS(Token!$B:$B,Token!$A:$A,$D169),)</f>
        <v/>
      </c>
    </row>
    <row r="170">
      <c r="A170" s="35" t="str">
        <f>IF(AND($L170*1&gt;=$G$3,$L170*1&lt;=$G$4,$I170*$J170&gt;0,CONCATENATE($H170:$L170)&lt;&gt;CONCATENATE($H171:$L171),$I170/POW(10,$J170)*MAXIFS(Token!$B:$B,Token!$A:$A,$K170)&gt;0.01),$L170/86400+DATE(1970,1,1)+IF($L170*1&gt;=$G$5,$G$6,0),)</f>
        <v/>
      </c>
      <c r="B170" s="22" t="str">
        <f t="shared" si="1"/>
        <v/>
      </c>
      <c r="C170" s="14" t="str">
        <f>IF($A170&lt;&gt;"",MINIFS(Merchant!$A:$A,Merchant!$B:$B,$G$2),)</f>
        <v/>
      </c>
      <c r="D170" s="14" t="str">
        <f t="shared" si="2"/>
        <v/>
      </c>
      <c r="E170" s="14" t="str">
        <f t="shared" si="3"/>
        <v/>
      </c>
      <c r="F170" s="6" t="str">
        <f>IF($A170&lt;&gt;"",MAXIFS(Token!$B:$B,Token!$A:$A,$D170),)</f>
        <v/>
      </c>
    </row>
    <row r="171">
      <c r="A171" s="35" t="str">
        <f>IF(AND($L171*1&gt;=$G$3,$L171*1&lt;=$G$4,$I171*$J171&gt;0,CONCATENATE($H171:$L171)&lt;&gt;CONCATENATE($H172:$L172),$I171/POW(10,$J171)*MAXIFS(Token!$B:$B,Token!$A:$A,$K171)&gt;0.01),$L171/86400+DATE(1970,1,1)+IF($L171*1&gt;=$G$5,$G$6,0),)</f>
        <v/>
      </c>
      <c r="B171" s="22" t="str">
        <f t="shared" si="1"/>
        <v/>
      </c>
      <c r="C171" s="14" t="str">
        <f>IF($A171&lt;&gt;"",MINIFS(Merchant!$A:$A,Merchant!$B:$B,$G$2),)</f>
        <v/>
      </c>
      <c r="D171" s="14" t="str">
        <f t="shared" si="2"/>
        <v/>
      </c>
      <c r="E171" s="14" t="str">
        <f t="shared" si="3"/>
        <v/>
      </c>
      <c r="F171" s="6" t="str">
        <f>IF($A171&lt;&gt;"",MAXIFS(Token!$B:$B,Token!$A:$A,$D171),)</f>
        <v/>
      </c>
    </row>
    <row r="172">
      <c r="A172" s="35" t="str">
        <f>IF(AND($L172*1&gt;=$G$3,$L172*1&lt;=$G$4,$I172*$J172&gt;0,CONCATENATE($H172:$L172)&lt;&gt;CONCATENATE($H173:$L173),$I172/POW(10,$J172)*MAXIFS(Token!$B:$B,Token!$A:$A,$K172)&gt;0.01),$L172/86400+DATE(1970,1,1)+IF($L172*1&gt;=$G$5,$G$6,0),)</f>
        <v/>
      </c>
      <c r="B172" s="22" t="str">
        <f t="shared" si="1"/>
        <v/>
      </c>
      <c r="C172" s="14" t="str">
        <f>IF($A172&lt;&gt;"",MINIFS(Merchant!$A:$A,Merchant!$B:$B,$G$2),)</f>
        <v/>
      </c>
      <c r="D172" s="14" t="str">
        <f t="shared" si="2"/>
        <v/>
      </c>
      <c r="E172" s="14" t="str">
        <f t="shared" si="3"/>
        <v/>
      </c>
      <c r="F172" s="6" t="str">
        <f>IF($A172&lt;&gt;"",MAXIFS(Token!$B:$B,Token!$A:$A,$D172),)</f>
        <v/>
      </c>
    </row>
    <row r="173">
      <c r="A173" s="35" t="str">
        <f>IF(AND($L173*1&gt;=$G$3,$L173*1&lt;=$G$4,$I173*$J173&gt;0,CONCATENATE($H173:$L173)&lt;&gt;CONCATENATE($H174:$L174),$I173/POW(10,$J173)*MAXIFS(Token!$B:$B,Token!$A:$A,$K173)&gt;0.01),$L173/86400+DATE(1970,1,1)+IF($L173*1&gt;=$G$5,$G$6,0),)</f>
        <v/>
      </c>
      <c r="B173" s="22" t="str">
        <f t="shared" si="1"/>
        <v/>
      </c>
      <c r="C173" s="14" t="str">
        <f>IF($A173&lt;&gt;"",MINIFS(Merchant!$A:$A,Merchant!$B:$B,$G$2),)</f>
        <v/>
      </c>
      <c r="D173" s="14" t="str">
        <f t="shared" si="2"/>
        <v/>
      </c>
      <c r="E173" s="14" t="str">
        <f t="shared" si="3"/>
        <v/>
      </c>
      <c r="F173" s="6" t="str">
        <f>IF($A173&lt;&gt;"",MAXIFS(Token!$B:$B,Token!$A:$A,$D173),)</f>
        <v/>
      </c>
    </row>
    <row r="174">
      <c r="A174" s="35" t="str">
        <f>IF(AND($L174*1&gt;=$G$3,$L174*1&lt;=$G$4,$I174*$J174&gt;0,CONCATENATE($H174:$L174)&lt;&gt;CONCATENATE($H175:$L175),$I174/POW(10,$J174)*MAXIFS(Token!$B:$B,Token!$A:$A,$K174)&gt;0.01),$L174/86400+DATE(1970,1,1)+IF($L174*1&gt;=$G$5,$G$6,0),)</f>
        <v/>
      </c>
      <c r="B174" s="22" t="str">
        <f t="shared" si="1"/>
        <v/>
      </c>
      <c r="C174" s="14" t="str">
        <f>IF($A174&lt;&gt;"",MINIFS(Merchant!$A:$A,Merchant!$B:$B,$G$2),)</f>
        <v/>
      </c>
      <c r="D174" s="14" t="str">
        <f t="shared" si="2"/>
        <v/>
      </c>
      <c r="E174" s="14" t="str">
        <f t="shared" si="3"/>
        <v/>
      </c>
      <c r="F174" s="6" t="str">
        <f>IF($A174&lt;&gt;"",MAXIFS(Token!$B:$B,Token!$A:$A,$D174),)</f>
        <v/>
      </c>
    </row>
    <row r="175">
      <c r="A175" s="35" t="str">
        <f>IF(AND($L175*1&gt;=$G$3,$L175*1&lt;=$G$4,$I175*$J175&gt;0,CONCATENATE($H175:$L175)&lt;&gt;CONCATENATE($H176:$L176),$I175/POW(10,$J175)*MAXIFS(Token!$B:$B,Token!$A:$A,$K175)&gt;0.01),$L175/86400+DATE(1970,1,1)+IF($L175*1&gt;=$G$5,$G$6,0),)</f>
        <v/>
      </c>
      <c r="B175" s="22" t="str">
        <f t="shared" si="1"/>
        <v/>
      </c>
      <c r="C175" s="14" t="str">
        <f>IF($A175&lt;&gt;"",MINIFS(Merchant!$A:$A,Merchant!$B:$B,$G$2),)</f>
        <v/>
      </c>
      <c r="D175" s="14" t="str">
        <f t="shared" si="2"/>
        <v/>
      </c>
      <c r="E175" s="14" t="str">
        <f t="shared" si="3"/>
        <v/>
      </c>
      <c r="F175" s="6" t="str">
        <f>IF($A175&lt;&gt;"",MAXIFS(Token!$B:$B,Token!$A:$A,$D175),)</f>
        <v/>
      </c>
    </row>
    <row r="176">
      <c r="A176" s="35" t="str">
        <f>IF(AND($L176*1&gt;=$G$3,$L176*1&lt;=$G$4,$I176*$J176&gt;0,CONCATENATE($H176:$L176)&lt;&gt;CONCATENATE($H177:$L177),$I176/POW(10,$J176)*MAXIFS(Token!$B:$B,Token!$A:$A,$K176)&gt;0.01),$L176/86400+DATE(1970,1,1)+IF($L176*1&gt;=$G$5,$G$6,0),)</f>
        <v/>
      </c>
      <c r="B176" s="22" t="str">
        <f t="shared" si="1"/>
        <v/>
      </c>
      <c r="C176" s="14" t="str">
        <f>IF($A176&lt;&gt;"",MINIFS(Merchant!$A:$A,Merchant!$B:$B,$G$2),)</f>
        <v/>
      </c>
      <c r="D176" s="14" t="str">
        <f t="shared" si="2"/>
        <v/>
      </c>
      <c r="E176" s="14" t="str">
        <f t="shared" si="3"/>
        <v/>
      </c>
      <c r="F176" s="6" t="str">
        <f>IF($A176&lt;&gt;"",MAXIFS(Token!$B:$B,Token!$A:$A,$D176),)</f>
        <v/>
      </c>
    </row>
    <row r="177">
      <c r="A177" s="35" t="str">
        <f>IF(AND($L177*1&gt;=$G$3,$L177*1&lt;=$G$4,$I177*$J177&gt;0,CONCATENATE($H177:$L177)&lt;&gt;CONCATENATE($H178:$L178),$I177/POW(10,$J177)*MAXIFS(Token!$B:$B,Token!$A:$A,$K177)&gt;0.01),$L177/86400+DATE(1970,1,1)+IF($L177*1&gt;=$G$5,$G$6,0),)</f>
        <v/>
      </c>
      <c r="B177" s="22" t="str">
        <f t="shared" si="1"/>
        <v/>
      </c>
      <c r="C177" s="14" t="str">
        <f>IF($A177&lt;&gt;"",MINIFS(Merchant!$A:$A,Merchant!$B:$B,$G$2),)</f>
        <v/>
      </c>
      <c r="D177" s="14" t="str">
        <f t="shared" si="2"/>
        <v/>
      </c>
      <c r="E177" s="14" t="str">
        <f t="shared" si="3"/>
        <v/>
      </c>
      <c r="F177" s="6" t="str">
        <f>IF($A177&lt;&gt;"",MAXIFS(Token!$B:$B,Token!$A:$A,$D177),)</f>
        <v/>
      </c>
    </row>
    <row r="178">
      <c r="A178" s="35" t="str">
        <f>IF(AND($L178*1&gt;=$G$3,$L178*1&lt;=$G$4,$I178*$J178&gt;0,CONCATENATE($H178:$L178)&lt;&gt;CONCATENATE($H179:$L179),$I178/POW(10,$J178)*MAXIFS(Token!$B:$B,Token!$A:$A,$K178)&gt;0.01),$L178/86400+DATE(1970,1,1)+IF($L178*1&gt;=$G$5,$G$6,0),)</f>
        <v/>
      </c>
      <c r="B178" s="22" t="str">
        <f t="shared" si="1"/>
        <v/>
      </c>
      <c r="C178" s="14" t="str">
        <f>IF($A178&lt;&gt;"",MINIFS(Merchant!$A:$A,Merchant!$B:$B,$G$2),)</f>
        <v/>
      </c>
      <c r="D178" s="14" t="str">
        <f t="shared" si="2"/>
        <v/>
      </c>
      <c r="E178" s="14" t="str">
        <f t="shared" si="3"/>
        <v/>
      </c>
      <c r="F178" s="6" t="str">
        <f>IF($A178&lt;&gt;"",MAXIFS(Token!$B:$B,Token!$A:$A,$D178),)</f>
        <v/>
      </c>
    </row>
    <row r="179">
      <c r="A179" s="35" t="str">
        <f>IF(AND($L179*1&gt;=$G$3,$L179*1&lt;=$G$4,$I179*$J179&gt;0,CONCATENATE($H179:$L179)&lt;&gt;CONCATENATE($H180:$L180),$I179/POW(10,$J179)*MAXIFS(Token!$B:$B,Token!$A:$A,$K179)&gt;0.01),$L179/86400+DATE(1970,1,1)+IF($L179*1&gt;=$G$5,$G$6,0),)</f>
        <v/>
      </c>
      <c r="B179" s="22" t="str">
        <f t="shared" si="1"/>
        <v/>
      </c>
      <c r="C179" s="14" t="str">
        <f>IF($A179&lt;&gt;"",MINIFS(Merchant!$A:$A,Merchant!$B:$B,$G$2),)</f>
        <v/>
      </c>
      <c r="D179" s="14" t="str">
        <f t="shared" si="2"/>
        <v/>
      </c>
      <c r="E179" s="14" t="str">
        <f t="shared" si="3"/>
        <v/>
      </c>
      <c r="F179" s="6" t="str">
        <f>IF($A179&lt;&gt;"",MAXIFS(Token!$B:$B,Token!$A:$A,$D179),)</f>
        <v/>
      </c>
    </row>
    <row r="180">
      <c r="A180" s="35" t="str">
        <f>IF(AND($L180*1&gt;=$G$3,$L180*1&lt;=$G$4,$I180*$J180&gt;0,CONCATENATE($H180:$L180)&lt;&gt;CONCATENATE($H181:$L181),$I180/POW(10,$J180)*MAXIFS(Token!$B:$B,Token!$A:$A,$K180)&gt;0.01),$L180/86400+DATE(1970,1,1)+IF($L180*1&gt;=$G$5,$G$6,0),)</f>
        <v/>
      </c>
      <c r="B180" s="22" t="str">
        <f t="shared" si="1"/>
        <v/>
      </c>
      <c r="C180" s="14" t="str">
        <f>IF($A180&lt;&gt;"",MINIFS(Merchant!$A:$A,Merchant!$B:$B,$G$2),)</f>
        <v/>
      </c>
      <c r="D180" s="14" t="str">
        <f t="shared" si="2"/>
        <v/>
      </c>
      <c r="E180" s="14" t="str">
        <f t="shared" si="3"/>
        <v/>
      </c>
      <c r="F180" s="6" t="str">
        <f>IF($A180&lt;&gt;"",MAXIFS(Token!$B:$B,Token!$A:$A,$D180),)</f>
        <v/>
      </c>
    </row>
    <row r="181">
      <c r="A181" s="35" t="str">
        <f>IF(AND($L181*1&gt;=$G$3,$L181*1&lt;=$G$4,$I181*$J181&gt;0,CONCATENATE($H181:$L181)&lt;&gt;CONCATENATE($H182:$L182),$I181/POW(10,$J181)*MAXIFS(Token!$B:$B,Token!$A:$A,$K181)&gt;0.01),$L181/86400+DATE(1970,1,1)+IF($L181*1&gt;=$G$5,$G$6,0),)</f>
        <v/>
      </c>
      <c r="B181" s="22" t="str">
        <f t="shared" si="1"/>
        <v/>
      </c>
      <c r="C181" s="14" t="str">
        <f>IF($A181&lt;&gt;"",MINIFS(Merchant!$A:$A,Merchant!$B:$B,$G$2),)</f>
        <v/>
      </c>
      <c r="D181" s="14" t="str">
        <f t="shared" si="2"/>
        <v/>
      </c>
      <c r="E181" s="14" t="str">
        <f t="shared" si="3"/>
        <v/>
      </c>
      <c r="F181" s="6" t="str">
        <f>IF($A181&lt;&gt;"",MAXIFS(Token!$B:$B,Token!$A:$A,$D181),)</f>
        <v/>
      </c>
    </row>
    <row r="182">
      <c r="A182" s="35" t="str">
        <f>IF(AND($L182*1&gt;=$G$3,$L182*1&lt;=$G$4,$I182*$J182&gt;0,CONCATENATE($H182:$L182)&lt;&gt;CONCATENATE($H183:$L183),$I182/POW(10,$J182)*MAXIFS(Token!$B:$B,Token!$A:$A,$K182)&gt;0.01),$L182/86400+DATE(1970,1,1)+IF($L182*1&gt;=$G$5,$G$6,0),)</f>
        <v/>
      </c>
      <c r="B182" s="22" t="str">
        <f t="shared" si="1"/>
        <v/>
      </c>
      <c r="C182" s="14" t="str">
        <f>IF($A182&lt;&gt;"",MINIFS(Merchant!$A:$A,Merchant!$B:$B,$G$2),)</f>
        <v/>
      </c>
      <c r="D182" s="14" t="str">
        <f t="shared" si="2"/>
        <v/>
      </c>
      <c r="E182" s="14" t="str">
        <f t="shared" si="3"/>
        <v/>
      </c>
      <c r="F182" s="6" t="str">
        <f>IF($A182&lt;&gt;"",MAXIFS(Token!$B:$B,Token!$A:$A,$D182),)</f>
        <v/>
      </c>
    </row>
    <row r="183">
      <c r="A183" s="35" t="str">
        <f>IF(AND($L183*1&gt;=$G$3,$L183*1&lt;=$G$4,$I183*$J183&gt;0,CONCATENATE($H183:$L183)&lt;&gt;CONCATENATE($H184:$L184),$I183/POW(10,$J183)*MAXIFS(Token!$B:$B,Token!$A:$A,$K183)&gt;0.01),$L183/86400+DATE(1970,1,1)+IF($L183*1&gt;=$G$5,$G$6,0),)</f>
        <v/>
      </c>
      <c r="B183" s="22" t="str">
        <f t="shared" si="1"/>
        <v/>
      </c>
      <c r="C183" s="14" t="str">
        <f>IF($A183&lt;&gt;"",MINIFS(Merchant!$A:$A,Merchant!$B:$B,$G$2),)</f>
        <v/>
      </c>
      <c r="D183" s="14" t="str">
        <f t="shared" si="2"/>
        <v/>
      </c>
      <c r="E183" s="14" t="str">
        <f t="shared" si="3"/>
        <v/>
      </c>
      <c r="F183" s="6" t="str">
        <f>IF($A183&lt;&gt;"",MAXIFS(Token!$B:$B,Token!$A:$A,$D183),)</f>
        <v/>
      </c>
    </row>
    <row r="184">
      <c r="A184" s="35" t="str">
        <f>IF(AND($L184*1&gt;=$G$3,$L184*1&lt;=$G$4,$I184*$J184&gt;0,CONCATENATE($H184:$L184)&lt;&gt;CONCATENATE($H185:$L185),$I184/POW(10,$J184)*MAXIFS(Token!$B:$B,Token!$A:$A,$K184)&gt;0.01),$L184/86400+DATE(1970,1,1)+IF($L184*1&gt;=$G$5,$G$6,0),)</f>
        <v/>
      </c>
      <c r="B184" s="22" t="str">
        <f t="shared" si="1"/>
        <v/>
      </c>
      <c r="C184" s="14" t="str">
        <f>IF($A184&lt;&gt;"",MINIFS(Merchant!$A:$A,Merchant!$B:$B,$G$2),)</f>
        <v/>
      </c>
      <c r="D184" s="14" t="str">
        <f t="shared" si="2"/>
        <v/>
      </c>
      <c r="E184" s="14" t="str">
        <f t="shared" si="3"/>
        <v/>
      </c>
      <c r="F184" s="6" t="str">
        <f>IF($A184&lt;&gt;"",MAXIFS(Token!$B:$B,Token!$A:$A,$D184),)</f>
        <v/>
      </c>
    </row>
    <row r="185">
      <c r="A185" s="35" t="str">
        <f>IF(AND($L185*1&gt;=$G$3,$L185*1&lt;=$G$4,$I185*$J185&gt;0,CONCATENATE($H185:$L185)&lt;&gt;CONCATENATE($H186:$L186),$I185/POW(10,$J185)*MAXIFS(Token!$B:$B,Token!$A:$A,$K185)&gt;0.01),$L185/86400+DATE(1970,1,1)+IF($L185*1&gt;=$G$5,$G$6,0),)</f>
        <v/>
      </c>
      <c r="B185" s="22" t="str">
        <f t="shared" si="1"/>
        <v/>
      </c>
      <c r="C185" s="14" t="str">
        <f>IF($A185&lt;&gt;"",MINIFS(Merchant!$A:$A,Merchant!$B:$B,$G$2),)</f>
        <v/>
      </c>
      <c r="D185" s="14" t="str">
        <f t="shared" si="2"/>
        <v/>
      </c>
      <c r="E185" s="14" t="str">
        <f t="shared" si="3"/>
        <v/>
      </c>
      <c r="F185" s="6" t="str">
        <f>IF($A185&lt;&gt;"",MAXIFS(Token!$B:$B,Token!$A:$A,$D185),)</f>
        <v/>
      </c>
    </row>
    <row r="186">
      <c r="A186" s="35" t="str">
        <f>IF(AND($L186*1&gt;=$G$3,$L186*1&lt;=$G$4,$I186*$J186&gt;0,CONCATENATE($H186:$L186)&lt;&gt;CONCATENATE($H187:$L187),$I186/POW(10,$J186)*MAXIFS(Token!$B:$B,Token!$A:$A,$K186)&gt;0.01),$L186/86400+DATE(1970,1,1)+IF($L186*1&gt;=$G$5,$G$6,0),)</f>
        <v/>
      </c>
      <c r="B186" s="22" t="str">
        <f t="shared" si="1"/>
        <v/>
      </c>
      <c r="C186" s="14" t="str">
        <f>IF($A186&lt;&gt;"",MINIFS(Merchant!$A:$A,Merchant!$B:$B,$G$2),)</f>
        <v/>
      </c>
      <c r="D186" s="14" t="str">
        <f t="shared" si="2"/>
        <v/>
      </c>
      <c r="E186" s="14" t="str">
        <f t="shared" si="3"/>
        <v/>
      </c>
      <c r="F186" s="6" t="str">
        <f>IF($A186&lt;&gt;"",MAXIFS(Token!$B:$B,Token!$A:$A,$D186),)</f>
        <v/>
      </c>
    </row>
    <row r="187">
      <c r="A187" s="35" t="str">
        <f>IF(AND($L187*1&gt;=$G$3,$L187*1&lt;=$G$4,$I187*$J187&gt;0,CONCATENATE($H187:$L187)&lt;&gt;CONCATENATE($H188:$L188),$I187/POW(10,$J187)*MAXIFS(Token!$B:$B,Token!$A:$A,$K187)&gt;0.01),$L187/86400+DATE(1970,1,1)+IF($L187*1&gt;=$G$5,$G$6,0),)</f>
        <v/>
      </c>
      <c r="B187" s="22" t="str">
        <f t="shared" si="1"/>
        <v/>
      </c>
      <c r="C187" s="14" t="str">
        <f>IF($A187&lt;&gt;"",MINIFS(Merchant!$A:$A,Merchant!$B:$B,$G$2),)</f>
        <v/>
      </c>
      <c r="D187" s="14" t="str">
        <f t="shared" si="2"/>
        <v/>
      </c>
      <c r="E187" s="14" t="str">
        <f t="shared" si="3"/>
        <v/>
      </c>
      <c r="F187" s="6" t="str">
        <f>IF($A187&lt;&gt;"",MAXIFS(Token!$B:$B,Token!$A:$A,$D187),)</f>
        <v/>
      </c>
    </row>
    <row r="188">
      <c r="A188" s="35" t="str">
        <f>IF(AND($L188*1&gt;=$G$3,$L188*1&lt;=$G$4,$I188*$J188&gt;0,CONCATENATE($H188:$L188)&lt;&gt;CONCATENATE($H189:$L189),$I188/POW(10,$J188)*MAXIFS(Token!$B:$B,Token!$A:$A,$K188)&gt;0.01),$L188/86400+DATE(1970,1,1)+IF($L188*1&gt;=$G$5,$G$6,0),)</f>
        <v/>
      </c>
      <c r="B188" s="22" t="str">
        <f t="shared" si="1"/>
        <v/>
      </c>
      <c r="C188" s="14" t="str">
        <f>IF($A188&lt;&gt;"",MINIFS(Merchant!$A:$A,Merchant!$B:$B,$G$2),)</f>
        <v/>
      </c>
      <c r="D188" s="14" t="str">
        <f t="shared" si="2"/>
        <v/>
      </c>
      <c r="E188" s="14" t="str">
        <f t="shared" si="3"/>
        <v/>
      </c>
      <c r="F188" s="6" t="str">
        <f>IF($A188&lt;&gt;"",MAXIFS(Token!$B:$B,Token!$A:$A,$D188),)</f>
        <v/>
      </c>
    </row>
    <row r="189">
      <c r="A189" s="35" t="str">
        <f>IF(AND($L189*1&gt;=$G$3,$L189*1&lt;=$G$4,$I189*$J189&gt;0,CONCATENATE($H189:$L189)&lt;&gt;CONCATENATE($H190:$L190),$I189/POW(10,$J189)*MAXIFS(Token!$B:$B,Token!$A:$A,$K189)&gt;0.01),$L189/86400+DATE(1970,1,1)+IF($L189*1&gt;=$G$5,$G$6,0),)</f>
        <v/>
      </c>
      <c r="B189" s="22" t="str">
        <f t="shared" si="1"/>
        <v/>
      </c>
      <c r="C189" s="14" t="str">
        <f>IF($A189&lt;&gt;"",MINIFS(Merchant!$A:$A,Merchant!$B:$B,$G$2),)</f>
        <v/>
      </c>
      <c r="D189" s="14" t="str">
        <f t="shared" si="2"/>
        <v/>
      </c>
      <c r="E189" s="14" t="str">
        <f t="shared" si="3"/>
        <v/>
      </c>
      <c r="F189" s="6" t="str">
        <f>IF($A189&lt;&gt;"",MAXIFS(Token!$B:$B,Token!$A:$A,$D189),)</f>
        <v/>
      </c>
    </row>
    <row r="190">
      <c r="A190" s="35" t="str">
        <f>IF(AND($L190*1&gt;=$G$3,$L190*1&lt;=$G$4,$I190*$J190&gt;0,CONCATENATE($H190:$L190)&lt;&gt;CONCATENATE($H191:$L191),$I190/POW(10,$J190)*MAXIFS(Token!$B:$B,Token!$A:$A,$K190)&gt;0.01),$L190/86400+DATE(1970,1,1)+IF($L190*1&gt;=$G$5,$G$6,0),)</f>
        <v/>
      </c>
      <c r="B190" s="22" t="str">
        <f t="shared" si="1"/>
        <v/>
      </c>
      <c r="C190" s="14" t="str">
        <f>IF($A190&lt;&gt;"",MINIFS(Merchant!$A:$A,Merchant!$B:$B,$G$2),)</f>
        <v/>
      </c>
      <c r="D190" s="14" t="str">
        <f t="shared" si="2"/>
        <v/>
      </c>
      <c r="E190" s="14" t="str">
        <f t="shared" si="3"/>
        <v/>
      </c>
      <c r="F190" s="6" t="str">
        <f>IF($A190&lt;&gt;"",MAXIFS(Token!$B:$B,Token!$A:$A,$D190),)</f>
        <v/>
      </c>
    </row>
    <row r="191">
      <c r="A191" s="35" t="str">
        <f>IF(AND($L191*1&gt;=$G$3,$L191*1&lt;=$G$4,$I191*$J191&gt;0,CONCATENATE($H191:$L191)&lt;&gt;CONCATENATE($H192:$L192),$I191/POW(10,$J191)*MAXIFS(Token!$B:$B,Token!$A:$A,$K191)&gt;0.01),$L191/86400+DATE(1970,1,1)+IF($L191*1&gt;=$G$5,$G$6,0),)</f>
        <v/>
      </c>
      <c r="B191" s="22" t="str">
        <f t="shared" si="1"/>
        <v/>
      </c>
      <c r="C191" s="14" t="str">
        <f>IF($A191&lt;&gt;"",MINIFS(Merchant!$A:$A,Merchant!$B:$B,$G$2),)</f>
        <v/>
      </c>
      <c r="D191" s="14" t="str">
        <f t="shared" si="2"/>
        <v/>
      </c>
      <c r="E191" s="14" t="str">
        <f t="shared" si="3"/>
        <v/>
      </c>
      <c r="F191" s="6" t="str">
        <f>IF($A191&lt;&gt;"",MAXIFS(Token!$B:$B,Token!$A:$A,$D191),)</f>
        <v/>
      </c>
    </row>
    <row r="192">
      <c r="A192" s="35" t="str">
        <f>IF(AND($L192*1&gt;=$G$3,$L192*1&lt;=$G$4,$I192*$J192&gt;0,CONCATENATE($H192:$L192)&lt;&gt;CONCATENATE($H193:$L193),$I192/POW(10,$J192)*MAXIFS(Token!$B:$B,Token!$A:$A,$K192)&gt;0.01),$L192/86400+DATE(1970,1,1)+IF($L192*1&gt;=$G$5,$G$6,0),)</f>
        <v/>
      </c>
      <c r="B192" s="22" t="str">
        <f t="shared" si="1"/>
        <v/>
      </c>
      <c r="C192" s="14" t="str">
        <f>IF($A192&lt;&gt;"",MINIFS(Merchant!$A:$A,Merchant!$B:$B,$G$2),)</f>
        <v/>
      </c>
      <c r="D192" s="14" t="str">
        <f t="shared" si="2"/>
        <v/>
      </c>
      <c r="E192" s="14" t="str">
        <f t="shared" si="3"/>
        <v/>
      </c>
      <c r="F192" s="6" t="str">
        <f>IF($A192&lt;&gt;"",MAXIFS(Token!$B:$B,Token!$A:$A,$D192),)</f>
        <v/>
      </c>
    </row>
    <row r="193">
      <c r="A193" s="35" t="str">
        <f>IF(AND($L193*1&gt;=$G$3,$L193*1&lt;=$G$4,$I193*$J193&gt;0,CONCATENATE($H193:$L193)&lt;&gt;CONCATENATE($H194:$L194),$I193/POW(10,$J193)*MAXIFS(Token!$B:$B,Token!$A:$A,$K193)&gt;0.01),$L193/86400+DATE(1970,1,1)+IF($L193*1&gt;=$G$5,$G$6,0),)</f>
        <v/>
      </c>
      <c r="B193" s="22" t="str">
        <f t="shared" si="1"/>
        <v/>
      </c>
      <c r="C193" s="14" t="str">
        <f>IF($A193&lt;&gt;"",MINIFS(Merchant!$A:$A,Merchant!$B:$B,$G$2),)</f>
        <v/>
      </c>
      <c r="D193" s="14" t="str">
        <f t="shared" si="2"/>
        <v/>
      </c>
      <c r="E193" s="14" t="str">
        <f t="shared" si="3"/>
        <v/>
      </c>
      <c r="F193" s="6" t="str">
        <f>IF($A193&lt;&gt;"",MAXIFS(Token!$B:$B,Token!$A:$A,$D193),)</f>
        <v/>
      </c>
    </row>
    <row r="194">
      <c r="A194" s="35" t="str">
        <f>IF(AND($L194*1&gt;=$G$3,$L194*1&lt;=$G$4,$I194*$J194&gt;0,CONCATENATE($H194:$L194)&lt;&gt;CONCATENATE($H195:$L195),$I194/POW(10,$J194)*MAXIFS(Token!$B:$B,Token!$A:$A,$K194)&gt;0.01),$L194/86400+DATE(1970,1,1)+IF($L194*1&gt;=$G$5,$G$6,0),)</f>
        <v/>
      </c>
      <c r="B194" s="22" t="str">
        <f t="shared" si="1"/>
        <v/>
      </c>
      <c r="C194" s="14" t="str">
        <f>IF($A194&lt;&gt;"",MINIFS(Merchant!$A:$A,Merchant!$B:$B,$G$2),)</f>
        <v/>
      </c>
      <c r="D194" s="14" t="str">
        <f t="shared" si="2"/>
        <v/>
      </c>
      <c r="E194" s="14" t="str">
        <f t="shared" si="3"/>
        <v/>
      </c>
      <c r="F194" s="6" t="str">
        <f>IF($A194&lt;&gt;"",MAXIFS(Token!$B:$B,Token!$A:$A,$D194),)</f>
        <v/>
      </c>
    </row>
    <row r="195">
      <c r="A195" s="35" t="str">
        <f>IF(AND($L195*1&gt;=$G$3,$L195*1&lt;=$G$4,$I195*$J195&gt;0,CONCATENATE($H195:$L195)&lt;&gt;CONCATENATE($H196:$L196),$I195/POW(10,$J195)*MAXIFS(Token!$B:$B,Token!$A:$A,$K195)&gt;0.01),$L195/86400+DATE(1970,1,1)+IF($L195*1&gt;=$G$5,$G$6,0),)</f>
        <v/>
      </c>
      <c r="B195" s="22" t="str">
        <f t="shared" si="1"/>
        <v/>
      </c>
      <c r="C195" s="14" t="str">
        <f>IF($A195&lt;&gt;"",MINIFS(Merchant!$A:$A,Merchant!$B:$B,$G$2),)</f>
        <v/>
      </c>
      <c r="D195" s="14" t="str">
        <f t="shared" si="2"/>
        <v/>
      </c>
      <c r="E195" s="14" t="str">
        <f t="shared" si="3"/>
        <v/>
      </c>
      <c r="F195" s="6" t="str">
        <f>IF($A195&lt;&gt;"",MAXIFS(Token!$B:$B,Token!$A:$A,$D195),)</f>
        <v/>
      </c>
    </row>
    <row r="196">
      <c r="A196" s="35" t="str">
        <f>IF(AND($L196*1&gt;=$G$3,$L196*1&lt;=$G$4,$I196*$J196&gt;0,CONCATENATE($H196:$L196)&lt;&gt;CONCATENATE($H197:$L197),$I196/POW(10,$J196)*MAXIFS(Token!$B:$B,Token!$A:$A,$K196)&gt;0.01),$L196/86400+DATE(1970,1,1)+IF($L196*1&gt;=$G$5,$G$6,0),)</f>
        <v/>
      </c>
      <c r="B196" s="22" t="str">
        <f t="shared" si="1"/>
        <v/>
      </c>
      <c r="C196" s="14" t="str">
        <f>IF($A196&lt;&gt;"",MINIFS(Merchant!$A:$A,Merchant!$B:$B,$G$2),)</f>
        <v/>
      </c>
      <c r="D196" s="14" t="str">
        <f t="shared" si="2"/>
        <v/>
      </c>
      <c r="E196" s="14" t="str">
        <f t="shared" si="3"/>
        <v/>
      </c>
      <c r="F196" s="6" t="str">
        <f>IF($A196&lt;&gt;"",MAXIFS(Token!$B:$B,Token!$A:$A,$D196),)</f>
        <v/>
      </c>
    </row>
    <row r="197">
      <c r="A197" s="35" t="str">
        <f>IF(AND($L197*1&gt;=$G$3,$L197*1&lt;=$G$4,$I197*$J197&gt;0,CONCATENATE($H197:$L197)&lt;&gt;CONCATENATE($H198:$L198),$I197/POW(10,$J197)*MAXIFS(Token!$B:$B,Token!$A:$A,$K197)&gt;0.01),$L197/86400+DATE(1970,1,1)+IF($L197*1&gt;=$G$5,$G$6,0),)</f>
        <v/>
      </c>
      <c r="B197" s="22" t="str">
        <f t="shared" si="1"/>
        <v/>
      </c>
      <c r="C197" s="14" t="str">
        <f>IF($A197&lt;&gt;"",MINIFS(Merchant!$A:$A,Merchant!$B:$B,$G$2),)</f>
        <v/>
      </c>
      <c r="D197" s="14" t="str">
        <f t="shared" si="2"/>
        <v/>
      </c>
      <c r="E197" s="14" t="str">
        <f t="shared" si="3"/>
        <v/>
      </c>
      <c r="F197" s="6" t="str">
        <f>IF($A197&lt;&gt;"",MAXIFS(Token!$B:$B,Token!$A:$A,$D197),)</f>
        <v/>
      </c>
    </row>
    <row r="198">
      <c r="A198" s="35" t="str">
        <f>IF(AND($L198*1&gt;=$G$3,$L198*1&lt;=$G$4,$I198*$J198&gt;0,CONCATENATE($H198:$L198)&lt;&gt;CONCATENATE($H199:$L199),$I198/POW(10,$J198)*MAXIFS(Token!$B:$B,Token!$A:$A,$K198)&gt;0.01),$L198/86400+DATE(1970,1,1)+IF($L198*1&gt;=$G$5,$G$6,0),)</f>
        <v/>
      </c>
      <c r="B198" s="22" t="str">
        <f t="shared" si="1"/>
        <v/>
      </c>
      <c r="C198" s="14" t="str">
        <f>IF($A198&lt;&gt;"",MINIFS(Merchant!$A:$A,Merchant!$B:$B,$G$2),)</f>
        <v/>
      </c>
      <c r="D198" s="14" t="str">
        <f t="shared" si="2"/>
        <v/>
      </c>
      <c r="E198" s="14" t="str">
        <f t="shared" si="3"/>
        <v/>
      </c>
      <c r="F198" s="6" t="str">
        <f>IF($A198&lt;&gt;"",MAXIFS(Token!$B:$B,Token!$A:$A,$D198),)</f>
        <v/>
      </c>
    </row>
    <row r="199">
      <c r="A199" s="35" t="str">
        <f>IF(AND($L199*1&gt;=$G$3,$L199*1&lt;=$G$4,$I199*$J199&gt;0,CONCATENATE($H199:$L199)&lt;&gt;CONCATENATE($H200:$L200),$I199/POW(10,$J199)*MAXIFS(Token!$B:$B,Token!$A:$A,$K199)&gt;0.01),$L199/86400+DATE(1970,1,1)+IF($L199*1&gt;=$G$5,$G$6,0),)</f>
        <v/>
      </c>
      <c r="B199" s="22" t="str">
        <f t="shared" si="1"/>
        <v/>
      </c>
      <c r="C199" s="14" t="str">
        <f>IF($A199&lt;&gt;"",MINIFS(Merchant!$A:$A,Merchant!$B:$B,$G$2),)</f>
        <v/>
      </c>
      <c r="D199" s="14" t="str">
        <f t="shared" si="2"/>
        <v/>
      </c>
      <c r="E199" s="14" t="str">
        <f t="shared" si="3"/>
        <v/>
      </c>
      <c r="F199" s="6" t="str">
        <f>IF($A199&lt;&gt;"",MAXIFS(Token!$B:$B,Token!$A:$A,$D199),)</f>
        <v/>
      </c>
    </row>
    <row r="200">
      <c r="A200" s="35" t="str">
        <f>IF(AND($L200*1&gt;=$G$3,$L200*1&lt;=$G$4,$I200*$J200&gt;0,CONCATENATE($H200:$L200)&lt;&gt;CONCATENATE($H201:$L201),$I200/POW(10,$J200)*MAXIFS(Token!$B:$B,Token!$A:$A,$K200)&gt;0.01),$L200/86400+DATE(1970,1,1)+IF($L200*1&gt;=$G$5,$G$6,0),)</f>
        <v/>
      </c>
      <c r="B200" s="22" t="str">
        <f t="shared" si="1"/>
        <v/>
      </c>
      <c r="C200" s="14" t="str">
        <f>IF($A200&lt;&gt;"",MINIFS(Merchant!$A:$A,Merchant!$B:$B,$G$2),)</f>
        <v/>
      </c>
      <c r="D200" s="14" t="str">
        <f t="shared" si="2"/>
        <v/>
      </c>
      <c r="E200" s="14" t="str">
        <f t="shared" si="3"/>
        <v/>
      </c>
      <c r="F200" s="6" t="str">
        <f>IF($A200&lt;&gt;"",MAXIFS(Token!$B:$B,Token!$A:$A,$D200),)</f>
        <v/>
      </c>
    </row>
    <row r="201">
      <c r="A201" s="35" t="str">
        <f>IF(AND($L201*1&gt;=$G$3,$L201*1&lt;=$G$4,$I201*$J201&gt;0,CONCATENATE($H201:$L201)&lt;&gt;CONCATENATE($H202:$L202),$I201/POW(10,$J201)*MAXIFS(Token!$B:$B,Token!$A:$A,$K201)&gt;0.01),$L201/86400+DATE(1970,1,1)+IF($L201*1&gt;=$G$5,$G$6,0),)</f>
        <v/>
      </c>
      <c r="B201" s="22" t="str">
        <f t="shared" si="1"/>
        <v/>
      </c>
      <c r="C201" s="14" t="str">
        <f>IF($A201&lt;&gt;"",MINIFS(Merchant!$A:$A,Merchant!$B:$B,$G$2),)</f>
        <v/>
      </c>
      <c r="D201" s="14" t="str">
        <f t="shared" si="2"/>
        <v/>
      </c>
      <c r="E201" s="14" t="str">
        <f t="shared" si="3"/>
        <v/>
      </c>
      <c r="F201" s="6" t="str">
        <f>IF($A201&lt;&gt;"",MAXIFS(Token!$B:$B,Token!$A:$A,$D201),)</f>
        <v/>
      </c>
    </row>
    <row r="202">
      <c r="A202" s="35" t="str">
        <f>IF(AND($L202*1&gt;=$G$3,$L202*1&lt;=$G$4,$I202*$J202&gt;0,CONCATENATE($H202:$L202)&lt;&gt;CONCATENATE($H203:$L203),$I202/POW(10,$J202)*MAXIFS(Token!$B:$B,Token!$A:$A,$K202)&gt;0.01),$L202/86400+DATE(1970,1,1)+IF($L202*1&gt;=$G$5,$G$6,0),)</f>
        <v/>
      </c>
      <c r="B202" s="22" t="str">
        <f t="shared" si="1"/>
        <v/>
      </c>
      <c r="C202" s="14" t="str">
        <f>IF($A202&lt;&gt;"",MINIFS(Merchant!$A:$A,Merchant!$B:$B,$G$2),)</f>
        <v/>
      </c>
      <c r="D202" s="14" t="str">
        <f t="shared" si="2"/>
        <v/>
      </c>
      <c r="E202" s="14" t="str">
        <f t="shared" si="3"/>
        <v/>
      </c>
      <c r="F202" s="6" t="str">
        <f>IF($A202&lt;&gt;"",MAXIFS(Token!$B:$B,Token!$A:$A,$D202),)</f>
        <v/>
      </c>
    </row>
    <row r="203">
      <c r="A203" s="35" t="str">
        <f>IF(AND($L203*1&gt;=$G$3,$L203*1&lt;=$G$4,$I203*$J203&gt;0,CONCATENATE($H203:$L203)&lt;&gt;CONCATENATE($H204:$L204),$I203/POW(10,$J203)*MAXIFS(Token!$B:$B,Token!$A:$A,$K203)&gt;0.01),$L203/86400+DATE(1970,1,1)+IF($L203*1&gt;=$G$5,$G$6,0),)</f>
        <v/>
      </c>
      <c r="B203" s="22" t="str">
        <f t="shared" si="1"/>
        <v/>
      </c>
      <c r="C203" s="14" t="str">
        <f>IF($A203&lt;&gt;"",MINIFS(Merchant!$A:$A,Merchant!$B:$B,$G$2),)</f>
        <v/>
      </c>
      <c r="D203" s="14" t="str">
        <f t="shared" si="2"/>
        <v/>
      </c>
      <c r="E203" s="14" t="str">
        <f t="shared" si="3"/>
        <v/>
      </c>
      <c r="F203" s="6" t="str">
        <f>IF($A203&lt;&gt;"",MAXIFS(Token!$B:$B,Token!$A:$A,$D203),)</f>
        <v/>
      </c>
    </row>
    <row r="204">
      <c r="A204" s="35" t="str">
        <f>IF(AND($L204*1&gt;=$G$3,$L204*1&lt;=$G$4,$I204*$J204&gt;0,CONCATENATE($H204:$L204)&lt;&gt;CONCATENATE($H205:$L205),$I204/POW(10,$J204)*MAXIFS(Token!$B:$B,Token!$A:$A,$K204)&gt;0.01),$L204/86400+DATE(1970,1,1)+IF($L204*1&gt;=$G$5,$G$6,0),)</f>
        <v/>
      </c>
      <c r="B204" s="22" t="str">
        <f t="shared" si="1"/>
        <v/>
      </c>
      <c r="C204" s="14" t="str">
        <f>IF($A204&lt;&gt;"",MINIFS(Merchant!$A:$A,Merchant!$B:$B,$G$2),)</f>
        <v/>
      </c>
      <c r="D204" s="14" t="str">
        <f t="shared" si="2"/>
        <v/>
      </c>
      <c r="E204" s="14" t="str">
        <f t="shared" si="3"/>
        <v/>
      </c>
      <c r="F204" s="6" t="str">
        <f>IF($A204&lt;&gt;"",MAXIFS(Token!$B:$B,Token!$A:$A,$D204),)</f>
        <v/>
      </c>
    </row>
    <row r="205">
      <c r="A205" s="35" t="str">
        <f>IF(AND($L205*1&gt;=$G$3,$L205*1&lt;=$G$4,$I205*$J205&gt;0,CONCATENATE($H205:$L205)&lt;&gt;CONCATENATE($H206:$L206),$I205/POW(10,$J205)*MAXIFS(Token!$B:$B,Token!$A:$A,$K205)&gt;0.01),$L205/86400+DATE(1970,1,1)+IF($L205*1&gt;=$G$5,$G$6,0),)</f>
        <v/>
      </c>
      <c r="B205" s="22" t="str">
        <f t="shared" si="1"/>
        <v/>
      </c>
      <c r="C205" s="14" t="str">
        <f>IF($A205&lt;&gt;"",MINIFS(Merchant!$A:$A,Merchant!$B:$B,$G$2),)</f>
        <v/>
      </c>
      <c r="D205" s="14" t="str">
        <f t="shared" si="2"/>
        <v/>
      </c>
      <c r="E205" s="14" t="str">
        <f t="shared" si="3"/>
        <v/>
      </c>
      <c r="F205" s="6" t="str">
        <f>IF($A205&lt;&gt;"",MAXIFS(Token!$B:$B,Token!$A:$A,$D205),)</f>
        <v/>
      </c>
    </row>
    <row r="206">
      <c r="A206" s="35" t="str">
        <f>IF(AND($L206*1&gt;=$G$3,$L206*1&lt;=$G$4,$I206*$J206&gt;0,CONCATENATE($H206:$L206)&lt;&gt;CONCATENATE($H207:$L207),$I206/POW(10,$J206)*MAXIFS(Token!$B:$B,Token!$A:$A,$K206)&gt;0.01),$L206/86400+DATE(1970,1,1)+IF($L206*1&gt;=$G$5,$G$6,0),)</f>
        <v/>
      </c>
      <c r="B206" s="22" t="str">
        <f t="shared" si="1"/>
        <v/>
      </c>
      <c r="C206" s="14" t="str">
        <f>IF($A206&lt;&gt;"",MINIFS(Merchant!$A:$A,Merchant!$B:$B,$G$2),)</f>
        <v/>
      </c>
      <c r="D206" s="14" t="str">
        <f t="shared" si="2"/>
        <v/>
      </c>
      <c r="E206" s="14" t="str">
        <f t="shared" si="3"/>
        <v/>
      </c>
      <c r="F206" s="6" t="str">
        <f>IF($A206&lt;&gt;"",MAXIFS(Token!$B:$B,Token!$A:$A,$D206),)</f>
        <v/>
      </c>
    </row>
    <row r="207">
      <c r="A207" s="35" t="str">
        <f>IF(AND($L207*1&gt;=$G$3,$L207*1&lt;=$G$4,$I207*$J207&gt;0,CONCATENATE($H207:$L207)&lt;&gt;CONCATENATE($H208:$L208),$I207/POW(10,$J207)*MAXIFS(Token!$B:$B,Token!$A:$A,$K207)&gt;0.01),$L207/86400+DATE(1970,1,1)+IF($L207*1&gt;=$G$5,$G$6,0),)</f>
        <v/>
      </c>
      <c r="B207" s="22" t="str">
        <f t="shared" si="1"/>
        <v/>
      </c>
      <c r="C207" s="14" t="str">
        <f>IF($A207&lt;&gt;"",MINIFS(Merchant!$A:$A,Merchant!$B:$B,$G$2),)</f>
        <v/>
      </c>
      <c r="D207" s="14" t="str">
        <f t="shared" si="2"/>
        <v/>
      </c>
      <c r="E207" s="14" t="str">
        <f t="shared" si="3"/>
        <v/>
      </c>
      <c r="F207" s="6" t="str">
        <f>IF($A207&lt;&gt;"",MAXIFS(Token!$B:$B,Token!$A:$A,$D207),)</f>
        <v/>
      </c>
    </row>
    <row r="208">
      <c r="A208" s="35" t="str">
        <f>IF(AND($L208*1&gt;=$G$3,$L208*1&lt;=$G$4,$I208*$J208&gt;0,CONCATENATE($H208:$L208)&lt;&gt;CONCATENATE($H209:$L209),$I208/POW(10,$J208)*MAXIFS(Token!$B:$B,Token!$A:$A,$K208)&gt;0.01),$L208/86400+DATE(1970,1,1)+IF($L208*1&gt;=$G$5,$G$6,0),)</f>
        <v/>
      </c>
      <c r="B208" s="22" t="str">
        <f t="shared" si="1"/>
        <v/>
      </c>
      <c r="C208" s="14" t="str">
        <f>IF($A208&lt;&gt;"",MINIFS(Merchant!$A:$A,Merchant!$B:$B,$G$2),)</f>
        <v/>
      </c>
      <c r="D208" s="14" t="str">
        <f t="shared" si="2"/>
        <v/>
      </c>
      <c r="E208" s="14" t="str">
        <f t="shared" si="3"/>
        <v/>
      </c>
      <c r="F208" s="6" t="str">
        <f>IF($A208&lt;&gt;"",MAXIFS(Token!$B:$B,Token!$A:$A,$D208),)</f>
        <v/>
      </c>
    </row>
    <row r="209">
      <c r="A209" s="35" t="str">
        <f>IF(AND($L209*1&gt;=$G$3,$L209*1&lt;=$G$4,$I209*$J209&gt;0,CONCATENATE($H209:$L209)&lt;&gt;CONCATENATE($H210:$L210),$I209/POW(10,$J209)*MAXIFS(Token!$B:$B,Token!$A:$A,$K209)&gt;0.01),$L209/86400+DATE(1970,1,1)+IF($L209*1&gt;=$G$5,$G$6,0),)</f>
        <v/>
      </c>
      <c r="B209" s="22" t="str">
        <f t="shared" si="1"/>
        <v/>
      </c>
      <c r="C209" s="14" t="str">
        <f>IF($A209&lt;&gt;"",MINIFS(Merchant!$A:$A,Merchant!$B:$B,$G$2),)</f>
        <v/>
      </c>
      <c r="D209" s="14" t="str">
        <f t="shared" si="2"/>
        <v/>
      </c>
      <c r="E209" s="14" t="str">
        <f t="shared" si="3"/>
        <v/>
      </c>
      <c r="F209" s="6" t="str">
        <f>IF($A209&lt;&gt;"",MAXIFS(Token!$B:$B,Token!$A:$A,$D209),)</f>
        <v/>
      </c>
    </row>
    <row r="210">
      <c r="A210" s="35" t="str">
        <f>IF(AND($L210*1&gt;=$G$3,$L210*1&lt;=$G$4,$I210*$J210&gt;0,CONCATENATE($H210:$L210)&lt;&gt;CONCATENATE($H211:$L211),$I210/POW(10,$J210)*MAXIFS(Token!$B:$B,Token!$A:$A,$K210)&gt;0.01),$L210/86400+DATE(1970,1,1)+IF($L210*1&gt;=$G$5,$G$6,0),)</f>
        <v/>
      </c>
      <c r="B210" s="22" t="str">
        <f t="shared" si="1"/>
        <v/>
      </c>
      <c r="C210" s="14" t="str">
        <f>IF($A210&lt;&gt;"",MINIFS(Merchant!$A:$A,Merchant!$B:$B,$G$2),)</f>
        <v/>
      </c>
      <c r="D210" s="14" t="str">
        <f t="shared" si="2"/>
        <v/>
      </c>
      <c r="E210" s="14" t="str">
        <f t="shared" si="3"/>
        <v/>
      </c>
      <c r="F210" s="6" t="str">
        <f>IF($A210&lt;&gt;"",MAXIFS(Token!$B:$B,Token!$A:$A,$D210),)</f>
        <v/>
      </c>
    </row>
    <row r="211">
      <c r="A211" s="35" t="str">
        <f>IF(AND($L211*1&gt;=$G$3,$L211*1&lt;=$G$4,$I211*$J211&gt;0,CONCATENATE($H211:$L211)&lt;&gt;CONCATENATE($H212:$L212),$I211/POW(10,$J211)*MAXIFS(Token!$B:$B,Token!$A:$A,$K211)&gt;0.01),$L211/86400+DATE(1970,1,1)+IF($L211*1&gt;=$G$5,$G$6,0),)</f>
        <v/>
      </c>
      <c r="B211" s="22" t="str">
        <f t="shared" si="1"/>
        <v/>
      </c>
      <c r="C211" s="14" t="str">
        <f>IF($A211&lt;&gt;"",MINIFS(Merchant!$A:$A,Merchant!$B:$B,$G$2),)</f>
        <v/>
      </c>
      <c r="D211" s="14" t="str">
        <f t="shared" si="2"/>
        <v/>
      </c>
      <c r="E211" s="14" t="str">
        <f t="shared" si="3"/>
        <v/>
      </c>
      <c r="F211" s="6" t="str">
        <f>IF($A211&lt;&gt;"",MAXIFS(Token!$B:$B,Token!$A:$A,$D211),)</f>
        <v/>
      </c>
    </row>
    <row r="212">
      <c r="A212" s="35" t="str">
        <f>IF(AND($L212*1&gt;=$G$3,$L212*1&lt;=$G$4,$I212*$J212&gt;0,CONCATENATE($H212:$L212)&lt;&gt;CONCATENATE($H213:$L213),$I212/POW(10,$J212)*MAXIFS(Token!$B:$B,Token!$A:$A,$K212)&gt;0.01),$L212/86400+DATE(1970,1,1)+IF($L212*1&gt;=$G$5,$G$6,0),)</f>
        <v/>
      </c>
      <c r="B212" s="22" t="str">
        <f t="shared" si="1"/>
        <v/>
      </c>
      <c r="C212" s="14" t="str">
        <f>IF($A212&lt;&gt;"",MINIFS(Merchant!$A:$A,Merchant!$B:$B,$G$2),)</f>
        <v/>
      </c>
      <c r="D212" s="14" t="str">
        <f t="shared" si="2"/>
        <v/>
      </c>
      <c r="E212" s="14" t="str">
        <f t="shared" si="3"/>
        <v/>
      </c>
      <c r="F212" s="6" t="str">
        <f>IF($A212&lt;&gt;"",MAXIFS(Token!$B:$B,Token!$A:$A,$D212),)</f>
        <v/>
      </c>
    </row>
    <row r="213">
      <c r="A213" s="35" t="str">
        <f>IF(AND($L213*1&gt;=$G$3,$L213*1&lt;=$G$4,$I213*$J213&gt;0,CONCATENATE($H213:$L213)&lt;&gt;CONCATENATE($H214:$L214),$I213/POW(10,$J213)*MAXIFS(Token!$B:$B,Token!$A:$A,$K213)&gt;0.01),$L213/86400+DATE(1970,1,1)+IF($L213*1&gt;=$G$5,$G$6,0),)</f>
        <v/>
      </c>
      <c r="B213" s="22" t="str">
        <f t="shared" si="1"/>
        <v/>
      </c>
      <c r="C213" s="14" t="str">
        <f>IF($A213&lt;&gt;"",MINIFS(Merchant!$A:$A,Merchant!$B:$B,$G$2),)</f>
        <v/>
      </c>
      <c r="D213" s="14" t="str">
        <f t="shared" si="2"/>
        <v/>
      </c>
      <c r="E213" s="14" t="str">
        <f t="shared" si="3"/>
        <v/>
      </c>
      <c r="F213" s="6" t="str">
        <f>IF($A213&lt;&gt;"",MAXIFS(Token!$B:$B,Token!$A:$A,$D213),)</f>
        <v/>
      </c>
    </row>
    <row r="214">
      <c r="A214" s="35" t="str">
        <f>IF(AND($L214*1&gt;=$G$3,$L214*1&lt;=$G$4,$I214*$J214&gt;0,CONCATENATE($H214:$L214)&lt;&gt;CONCATENATE($H215:$L215),$I214/POW(10,$J214)*MAXIFS(Token!$B:$B,Token!$A:$A,$K214)&gt;0.01),$L214/86400+DATE(1970,1,1)+IF($L214*1&gt;=$G$5,$G$6,0),)</f>
        <v/>
      </c>
      <c r="B214" s="22" t="str">
        <f t="shared" si="1"/>
        <v/>
      </c>
      <c r="C214" s="14" t="str">
        <f>IF($A214&lt;&gt;"",MINIFS(Merchant!$A:$A,Merchant!$B:$B,$G$2),)</f>
        <v/>
      </c>
      <c r="D214" s="14" t="str">
        <f t="shared" si="2"/>
        <v/>
      </c>
      <c r="E214" s="14" t="str">
        <f t="shared" si="3"/>
        <v/>
      </c>
      <c r="F214" s="6" t="str">
        <f>IF($A214&lt;&gt;"",MAXIFS(Token!$B:$B,Token!$A:$A,$D214),)</f>
        <v/>
      </c>
    </row>
    <row r="215">
      <c r="A215" s="35" t="str">
        <f>IF(AND($L215*1&gt;=$G$3,$L215*1&lt;=$G$4,$I215*$J215&gt;0,CONCATENATE($H215:$L215)&lt;&gt;CONCATENATE($H216:$L216),$I215/POW(10,$J215)*MAXIFS(Token!$B:$B,Token!$A:$A,$K215)&gt;0.01),$L215/86400+DATE(1970,1,1)+IF($L215*1&gt;=$G$5,$G$6,0),)</f>
        <v/>
      </c>
      <c r="B215" s="22" t="str">
        <f t="shared" si="1"/>
        <v/>
      </c>
      <c r="C215" s="14" t="str">
        <f>IF($A215&lt;&gt;"",MINIFS(Merchant!$A:$A,Merchant!$B:$B,$G$2),)</f>
        <v/>
      </c>
      <c r="D215" s="14" t="str">
        <f t="shared" si="2"/>
        <v/>
      </c>
      <c r="E215" s="14" t="str">
        <f t="shared" si="3"/>
        <v/>
      </c>
      <c r="F215" s="6" t="str">
        <f>IF($A215&lt;&gt;"",MAXIFS(Token!$B:$B,Token!$A:$A,$D215),)</f>
        <v/>
      </c>
    </row>
    <row r="216">
      <c r="A216" s="35" t="str">
        <f>IF(AND($L216*1&gt;=$G$3,$L216*1&lt;=$G$4,$I216*$J216&gt;0,CONCATENATE($H216:$L216)&lt;&gt;CONCATENATE($H217:$L217),$I216/POW(10,$J216)*MAXIFS(Token!$B:$B,Token!$A:$A,$K216)&gt;0.01),$L216/86400+DATE(1970,1,1)+IF($L216*1&gt;=$G$5,$G$6,0),)</f>
        <v/>
      </c>
      <c r="B216" s="22" t="str">
        <f t="shared" si="1"/>
        <v/>
      </c>
      <c r="C216" s="14" t="str">
        <f>IF($A216&lt;&gt;"",MINIFS(Merchant!$A:$A,Merchant!$B:$B,$G$2),)</f>
        <v/>
      </c>
      <c r="D216" s="14" t="str">
        <f t="shared" si="2"/>
        <v/>
      </c>
      <c r="E216" s="14" t="str">
        <f t="shared" si="3"/>
        <v/>
      </c>
      <c r="F216" s="6" t="str">
        <f>IF($A216&lt;&gt;"",MAXIFS(Token!$B:$B,Token!$A:$A,$D216),)</f>
        <v/>
      </c>
    </row>
    <row r="217">
      <c r="A217" s="35" t="str">
        <f>IF(AND($L217*1&gt;=$G$3,$L217*1&lt;=$G$4,$I217*$J217&gt;0,CONCATENATE($H217:$L217)&lt;&gt;CONCATENATE($H218:$L218),$I217/POW(10,$J217)*MAXIFS(Token!$B:$B,Token!$A:$A,$K217)&gt;0.01),$L217/86400+DATE(1970,1,1)+IF($L217*1&gt;=$G$5,$G$6,0),)</f>
        <v/>
      </c>
      <c r="B217" s="22" t="str">
        <f t="shared" si="1"/>
        <v/>
      </c>
      <c r="C217" s="14" t="str">
        <f>IF($A217&lt;&gt;"",MINIFS(Merchant!$A:$A,Merchant!$B:$B,$G$2),)</f>
        <v/>
      </c>
      <c r="D217" s="14" t="str">
        <f t="shared" si="2"/>
        <v/>
      </c>
      <c r="E217" s="14" t="str">
        <f t="shared" si="3"/>
        <v/>
      </c>
      <c r="F217" s="6" t="str">
        <f>IF($A217&lt;&gt;"",MAXIFS(Token!$B:$B,Token!$A:$A,$D217),)</f>
        <v/>
      </c>
    </row>
    <row r="218">
      <c r="A218" s="35" t="str">
        <f>IF(AND($L218*1&gt;=$G$3,$L218*1&lt;=$G$4,$I218*$J218&gt;0,CONCATENATE($H218:$L218)&lt;&gt;CONCATENATE($H219:$L219),$I218/POW(10,$J218)*MAXIFS(Token!$B:$B,Token!$A:$A,$K218)&gt;0.01),$L218/86400+DATE(1970,1,1)+IF($L218*1&gt;=$G$5,$G$6,0),)</f>
        <v/>
      </c>
      <c r="B218" s="22" t="str">
        <f t="shared" si="1"/>
        <v/>
      </c>
      <c r="C218" s="14" t="str">
        <f>IF($A218&lt;&gt;"",MINIFS(Merchant!$A:$A,Merchant!$B:$B,$G$2),)</f>
        <v/>
      </c>
      <c r="D218" s="14" t="str">
        <f t="shared" si="2"/>
        <v/>
      </c>
      <c r="E218" s="14" t="str">
        <f t="shared" si="3"/>
        <v/>
      </c>
      <c r="F218" s="6" t="str">
        <f>IF($A218&lt;&gt;"",MAXIFS(Token!$B:$B,Token!$A:$A,$D218),)</f>
        <v/>
      </c>
    </row>
    <row r="219">
      <c r="A219" s="35" t="str">
        <f>IF(AND($L219*1&gt;=$G$3,$L219*1&lt;=$G$4,$I219*$J219&gt;0,CONCATENATE($H219:$L219)&lt;&gt;CONCATENATE($H220:$L220),$I219/POW(10,$J219)*MAXIFS(Token!$B:$B,Token!$A:$A,$K219)&gt;0.01),$L219/86400+DATE(1970,1,1)+IF($L219*1&gt;=$G$5,$G$6,0),)</f>
        <v/>
      </c>
      <c r="B219" s="22" t="str">
        <f t="shared" si="1"/>
        <v/>
      </c>
      <c r="C219" s="14" t="str">
        <f>IF($A219&lt;&gt;"",MINIFS(Merchant!$A:$A,Merchant!$B:$B,$G$2),)</f>
        <v/>
      </c>
      <c r="D219" s="14" t="str">
        <f t="shared" si="2"/>
        <v/>
      </c>
      <c r="E219" s="14" t="str">
        <f t="shared" si="3"/>
        <v/>
      </c>
      <c r="F219" s="6" t="str">
        <f>IF($A219&lt;&gt;"",MAXIFS(Token!$B:$B,Token!$A:$A,$D219),)</f>
        <v/>
      </c>
    </row>
    <row r="220">
      <c r="A220" s="35" t="str">
        <f>IF(AND($L220*1&gt;=$G$3,$L220*1&lt;=$G$4,$I220*$J220&gt;0,CONCATENATE($H220:$L220)&lt;&gt;CONCATENATE($H221:$L221),$I220/POW(10,$J220)*MAXIFS(Token!$B:$B,Token!$A:$A,$K220)&gt;0.01),$L220/86400+DATE(1970,1,1)+IF($L220*1&gt;=$G$5,$G$6,0),)</f>
        <v/>
      </c>
      <c r="B220" s="22" t="str">
        <f t="shared" si="1"/>
        <v/>
      </c>
      <c r="C220" s="14" t="str">
        <f>IF($A220&lt;&gt;"",MINIFS(Merchant!$A:$A,Merchant!$B:$B,$G$2),)</f>
        <v/>
      </c>
      <c r="D220" s="14" t="str">
        <f t="shared" si="2"/>
        <v/>
      </c>
      <c r="E220" s="14" t="str">
        <f t="shared" si="3"/>
        <v/>
      </c>
      <c r="F220" s="6" t="str">
        <f>IF($A220&lt;&gt;"",MAXIFS(Token!$B:$B,Token!$A:$A,$D220),)</f>
        <v/>
      </c>
    </row>
    <row r="221">
      <c r="A221" s="35" t="str">
        <f>IF(AND($L221*1&gt;=$G$3,$L221*1&lt;=$G$4,$I221*$J221&gt;0,CONCATENATE($H221:$L221)&lt;&gt;CONCATENATE($H222:$L222),$I221/POW(10,$J221)*MAXIFS(Token!$B:$B,Token!$A:$A,$K221)&gt;0.01),$L221/86400+DATE(1970,1,1)+IF($L221*1&gt;=$G$5,$G$6,0),)</f>
        <v/>
      </c>
      <c r="B221" s="22" t="str">
        <f t="shared" si="1"/>
        <v/>
      </c>
      <c r="C221" s="14" t="str">
        <f>IF($A221&lt;&gt;"",MINIFS(Merchant!$A:$A,Merchant!$B:$B,$G$2),)</f>
        <v/>
      </c>
      <c r="D221" s="14" t="str">
        <f t="shared" si="2"/>
        <v/>
      </c>
      <c r="E221" s="14" t="str">
        <f t="shared" si="3"/>
        <v/>
      </c>
      <c r="F221" s="6" t="str">
        <f>IF($A221&lt;&gt;"",MAXIFS(Token!$B:$B,Token!$A:$A,$D221),)</f>
        <v/>
      </c>
    </row>
    <row r="222">
      <c r="A222" s="35" t="str">
        <f>IF(AND($L222*1&gt;=$G$3,$L222*1&lt;=$G$4,$I222*$J222&gt;0,CONCATENATE($H222:$L222)&lt;&gt;CONCATENATE($H223:$L223),$I222/POW(10,$J222)*MAXIFS(Token!$B:$B,Token!$A:$A,$K222)&gt;0.01),$L222/86400+DATE(1970,1,1)+IF($L222*1&gt;=$G$5,$G$6,0),)</f>
        <v/>
      </c>
      <c r="B222" s="22" t="str">
        <f t="shared" si="1"/>
        <v/>
      </c>
      <c r="C222" s="14" t="str">
        <f>IF($A222&lt;&gt;"",MINIFS(Merchant!$A:$A,Merchant!$B:$B,$G$2),)</f>
        <v/>
      </c>
      <c r="D222" s="14" t="str">
        <f t="shared" si="2"/>
        <v/>
      </c>
      <c r="E222" s="14" t="str">
        <f t="shared" si="3"/>
        <v/>
      </c>
      <c r="F222" s="6" t="str">
        <f>IF($A222&lt;&gt;"",MAXIFS(Token!$B:$B,Token!$A:$A,$D222),)</f>
        <v/>
      </c>
    </row>
    <row r="223">
      <c r="A223" s="35" t="str">
        <f>IF(AND($L223*1&gt;=$G$3,$L223*1&lt;=$G$4,$I223*$J223&gt;0,CONCATENATE($H223:$L223)&lt;&gt;CONCATENATE($H224:$L224),$I223/POW(10,$J223)*MAXIFS(Token!$B:$B,Token!$A:$A,$K223)&gt;0.01),$L223/86400+DATE(1970,1,1)+IF($L223*1&gt;=$G$5,$G$6,0),)</f>
        <v/>
      </c>
      <c r="B223" s="22" t="str">
        <f t="shared" si="1"/>
        <v/>
      </c>
      <c r="C223" s="14" t="str">
        <f>IF($A223&lt;&gt;"",MINIFS(Merchant!$A:$A,Merchant!$B:$B,$G$2),)</f>
        <v/>
      </c>
      <c r="D223" s="14" t="str">
        <f t="shared" si="2"/>
        <v/>
      </c>
      <c r="E223" s="14" t="str">
        <f t="shared" si="3"/>
        <v/>
      </c>
      <c r="F223" s="6" t="str">
        <f>IF($A223&lt;&gt;"",MAXIFS(Token!$B:$B,Token!$A:$A,$D223),)</f>
        <v/>
      </c>
    </row>
    <row r="224">
      <c r="A224" s="35" t="str">
        <f>IF(AND($L224*1&gt;=$G$3,$L224*1&lt;=$G$4,$I224*$J224&gt;0,CONCATENATE($H224:$L224)&lt;&gt;CONCATENATE($H225:$L225),$I224/POW(10,$J224)*MAXIFS(Token!$B:$B,Token!$A:$A,$K224)&gt;0.01),$L224/86400+DATE(1970,1,1)+IF($L224*1&gt;=$G$5,$G$6,0),)</f>
        <v/>
      </c>
      <c r="B224" s="22" t="str">
        <f t="shared" si="1"/>
        <v/>
      </c>
      <c r="C224" s="14" t="str">
        <f>IF($A224&lt;&gt;"",MINIFS(Merchant!$A:$A,Merchant!$B:$B,$G$2),)</f>
        <v/>
      </c>
      <c r="D224" s="14" t="str">
        <f t="shared" si="2"/>
        <v/>
      </c>
      <c r="E224" s="14" t="str">
        <f t="shared" si="3"/>
        <v/>
      </c>
      <c r="F224" s="6" t="str">
        <f>IF($A224&lt;&gt;"",MAXIFS(Token!$B:$B,Token!$A:$A,$D224),)</f>
        <v/>
      </c>
    </row>
    <row r="225">
      <c r="A225" s="35" t="str">
        <f>IF(AND($L225*1&gt;=$G$3,$L225*1&lt;=$G$4,$I225*$J225&gt;0,CONCATENATE($H225:$L225)&lt;&gt;CONCATENATE($H226:$L226),$I225/POW(10,$J225)*MAXIFS(Token!$B:$B,Token!$A:$A,$K225)&gt;0.01),$L225/86400+DATE(1970,1,1)+IF($L225*1&gt;=$G$5,$G$6,0),)</f>
        <v/>
      </c>
      <c r="B225" s="22" t="str">
        <f t="shared" si="1"/>
        <v/>
      </c>
      <c r="C225" s="14" t="str">
        <f>IF($A225&lt;&gt;"",MINIFS(Merchant!$A:$A,Merchant!$B:$B,$G$2),)</f>
        <v/>
      </c>
      <c r="D225" s="14" t="str">
        <f t="shared" si="2"/>
        <v/>
      </c>
      <c r="E225" s="14" t="str">
        <f t="shared" si="3"/>
        <v/>
      </c>
      <c r="F225" s="6" t="str">
        <f>IF($A225&lt;&gt;"",MAXIFS(Token!$B:$B,Token!$A:$A,$D225),)</f>
        <v/>
      </c>
    </row>
    <row r="226">
      <c r="A226" s="35" t="str">
        <f>IF(AND($L226*1&gt;=$G$3,$L226*1&lt;=$G$4,$I226*$J226&gt;0,CONCATENATE($H226:$L226)&lt;&gt;CONCATENATE($H227:$L227),$I226/POW(10,$J226)*MAXIFS(Token!$B:$B,Token!$A:$A,$K226)&gt;0.01),$L226/86400+DATE(1970,1,1)+IF($L226*1&gt;=$G$5,$G$6,0),)</f>
        <v/>
      </c>
      <c r="B226" s="22" t="str">
        <f t="shared" si="1"/>
        <v/>
      </c>
      <c r="C226" s="14" t="str">
        <f>IF($A226&lt;&gt;"",MINIFS(Merchant!$A:$A,Merchant!$B:$B,$G$2),)</f>
        <v/>
      </c>
      <c r="D226" s="14" t="str">
        <f t="shared" si="2"/>
        <v/>
      </c>
      <c r="E226" s="14" t="str">
        <f t="shared" si="3"/>
        <v/>
      </c>
      <c r="F226" s="6" t="str">
        <f>IF($A226&lt;&gt;"",MAXIFS(Token!$B:$B,Token!$A:$A,$D226),)</f>
        <v/>
      </c>
    </row>
    <row r="227">
      <c r="A227" s="35" t="str">
        <f>IF(AND($L227*1&gt;=$G$3,$L227*1&lt;=$G$4,$I227*$J227&gt;0,CONCATENATE($H227:$L227)&lt;&gt;CONCATENATE($H228:$L228),$I227/POW(10,$J227)*MAXIFS(Token!$B:$B,Token!$A:$A,$K227)&gt;0.01),$L227/86400+DATE(1970,1,1)+IF($L227*1&gt;=$G$5,$G$6,0),)</f>
        <v/>
      </c>
      <c r="B227" s="22" t="str">
        <f t="shared" si="1"/>
        <v/>
      </c>
      <c r="C227" s="14" t="str">
        <f>IF($A227&lt;&gt;"",MINIFS(Merchant!$A:$A,Merchant!$B:$B,$G$2),)</f>
        <v/>
      </c>
      <c r="D227" s="14" t="str">
        <f t="shared" si="2"/>
        <v/>
      </c>
      <c r="E227" s="14" t="str">
        <f t="shared" si="3"/>
        <v/>
      </c>
      <c r="F227" s="6" t="str">
        <f>IF($A227&lt;&gt;"",MAXIFS(Token!$B:$B,Token!$A:$A,$D227),)</f>
        <v/>
      </c>
    </row>
    <row r="228">
      <c r="A228" s="35" t="str">
        <f>IF(AND($L228*1&gt;=$G$3,$L228*1&lt;=$G$4,$I228*$J228&gt;0,CONCATENATE($H228:$L228)&lt;&gt;CONCATENATE($H229:$L229),$I228/POW(10,$J228)*MAXIFS(Token!$B:$B,Token!$A:$A,$K228)&gt;0.01),$L228/86400+DATE(1970,1,1)+IF($L228*1&gt;=$G$5,$G$6,0),)</f>
        <v/>
      </c>
      <c r="B228" s="22" t="str">
        <f t="shared" si="1"/>
        <v/>
      </c>
      <c r="C228" s="14" t="str">
        <f>IF($A228&lt;&gt;"",MINIFS(Merchant!$A:$A,Merchant!$B:$B,$G$2),)</f>
        <v/>
      </c>
      <c r="D228" s="14" t="str">
        <f t="shared" si="2"/>
        <v/>
      </c>
      <c r="E228" s="14" t="str">
        <f t="shared" si="3"/>
        <v/>
      </c>
      <c r="F228" s="6" t="str">
        <f>IF($A228&lt;&gt;"",MAXIFS(Token!$B:$B,Token!$A:$A,$D228),)</f>
        <v/>
      </c>
    </row>
    <row r="229">
      <c r="A229" s="35" t="str">
        <f>IF(AND($L229*1&gt;=$G$3,$L229*1&lt;=$G$4,$I229*$J229&gt;0,CONCATENATE($H229:$L229)&lt;&gt;CONCATENATE($H230:$L230),$I229/POW(10,$J229)*MAXIFS(Token!$B:$B,Token!$A:$A,$K229)&gt;0.01),$L229/86400+DATE(1970,1,1)+IF($L229*1&gt;=$G$5,$G$6,0),)</f>
        <v/>
      </c>
      <c r="B229" s="22" t="str">
        <f t="shared" si="1"/>
        <v/>
      </c>
      <c r="C229" s="14" t="str">
        <f>IF($A229&lt;&gt;"",MINIFS(Merchant!$A:$A,Merchant!$B:$B,$G$2),)</f>
        <v/>
      </c>
      <c r="D229" s="14" t="str">
        <f t="shared" si="2"/>
        <v/>
      </c>
      <c r="E229" s="14" t="str">
        <f t="shared" si="3"/>
        <v/>
      </c>
      <c r="F229" s="6" t="str">
        <f>IF($A229&lt;&gt;"",MAXIFS(Token!$B:$B,Token!$A:$A,$D229),)</f>
        <v/>
      </c>
    </row>
    <row r="230">
      <c r="A230" s="35" t="str">
        <f>IF(AND($L230*1&gt;=$G$3,$L230*1&lt;=$G$4,$I230*$J230&gt;0,CONCATENATE($H230:$L230)&lt;&gt;CONCATENATE($H231:$L231),$I230/POW(10,$J230)*MAXIFS(Token!$B:$B,Token!$A:$A,$K230)&gt;0.01),$L230/86400+DATE(1970,1,1)+IF($L230*1&gt;=$G$5,$G$6,0),)</f>
        <v/>
      </c>
      <c r="B230" s="22" t="str">
        <f t="shared" si="1"/>
        <v/>
      </c>
      <c r="C230" s="14" t="str">
        <f>IF($A230&lt;&gt;"",MINIFS(Merchant!$A:$A,Merchant!$B:$B,$G$2),)</f>
        <v/>
      </c>
      <c r="D230" s="14" t="str">
        <f t="shared" si="2"/>
        <v/>
      </c>
      <c r="E230" s="14" t="str">
        <f t="shared" si="3"/>
        <v/>
      </c>
      <c r="F230" s="6" t="str">
        <f>IF($A230&lt;&gt;"",MAXIFS(Token!$B:$B,Token!$A:$A,$D230),)</f>
        <v/>
      </c>
    </row>
    <row r="231">
      <c r="A231" s="35" t="str">
        <f>IF(AND($L231*1&gt;=$G$3,$L231*1&lt;=$G$4,$I231*$J231&gt;0,CONCATENATE($H231:$L231)&lt;&gt;CONCATENATE($H232:$L232),$I231/POW(10,$J231)*MAXIFS(Token!$B:$B,Token!$A:$A,$K231)&gt;0.01),$L231/86400+DATE(1970,1,1)+IF($L231*1&gt;=$G$5,$G$6,0),)</f>
        <v/>
      </c>
      <c r="B231" s="22" t="str">
        <f t="shared" si="1"/>
        <v/>
      </c>
      <c r="C231" s="14" t="str">
        <f>IF($A231&lt;&gt;"",MINIFS(Merchant!$A:$A,Merchant!$B:$B,$G$2),)</f>
        <v/>
      </c>
      <c r="D231" s="14" t="str">
        <f t="shared" si="2"/>
        <v/>
      </c>
      <c r="E231" s="14" t="str">
        <f t="shared" si="3"/>
        <v/>
      </c>
      <c r="F231" s="6" t="str">
        <f>IF($A231&lt;&gt;"",MAXIFS(Token!$B:$B,Token!$A:$A,$D231),)</f>
        <v/>
      </c>
    </row>
    <row r="232">
      <c r="A232" s="35" t="str">
        <f>IF(AND($L232*1&gt;=$G$3,$L232*1&lt;=$G$4,$I232*$J232&gt;0,CONCATENATE($H232:$L232)&lt;&gt;CONCATENATE($H233:$L233),$I232/POW(10,$J232)*MAXIFS(Token!$B:$B,Token!$A:$A,$K232)&gt;0.01),$L232/86400+DATE(1970,1,1)+IF($L232*1&gt;=$G$5,$G$6,0),)</f>
        <v/>
      </c>
      <c r="B232" s="22" t="str">
        <f t="shared" si="1"/>
        <v/>
      </c>
      <c r="C232" s="14" t="str">
        <f>IF($A232&lt;&gt;"",MINIFS(Merchant!$A:$A,Merchant!$B:$B,$G$2),)</f>
        <v/>
      </c>
      <c r="D232" s="14" t="str">
        <f t="shared" si="2"/>
        <v/>
      </c>
      <c r="E232" s="14" t="str">
        <f t="shared" si="3"/>
        <v/>
      </c>
      <c r="F232" s="6" t="str">
        <f>IF($A232&lt;&gt;"",MAXIFS(Token!$B:$B,Token!$A:$A,$D232),)</f>
        <v/>
      </c>
    </row>
    <row r="233">
      <c r="A233" s="35" t="str">
        <f>IF(AND($L233*1&gt;=$G$3,$L233*1&lt;=$G$4,$I233*$J233&gt;0,CONCATENATE($H233:$L233)&lt;&gt;CONCATENATE($H234:$L234),$I233/POW(10,$J233)*MAXIFS(Token!$B:$B,Token!$A:$A,$K233)&gt;0.01),$L233/86400+DATE(1970,1,1)+IF($L233*1&gt;=$G$5,$G$6,0),)</f>
        <v/>
      </c>
      <c r="B233" s="22" t="str">
        <f t="shared" si="1"/>
        <v/>
      </c>
      <c r="C233" s="14" t="str">
        <f>IF($A233&lt;&gt;"",MINIFS(Merchant!$A:$A,Merchant!$B:$B,$G$2),)</f>
        <v/>
      </c>
      <c r="D233" s="14" t="str">
        <f t="shared" si="2"/>
        <v/>
      </c>
      <c r="E233" s="14" t="str">
        <f t="shared" si="3"/>
        <v/>
      </c>
      <c r="F233" s="6" t="str">
        <f>IF($A233&lt;&gt;"",MAXIFS(Token!$B:$B,Token!$A:$A,$D233),)</f>
        <v/>
      </c>
    </row>
    <row r="234">
      <c r="A234" s="35" t="str">
        <f>IF(AND($L234*1&gt;=$G$3,$L234*1&lt;=$G$4,$I234*$J234&gt;0,CONCATENATE($H234:$L234)&lt;&gt;CONCATENATE($H235:$L235),$I234/POW(10,$J234)*MAXIFS(Token!$B:$B,Token!$A:$A,$K234)&gt;0.01),$L234/86400+DATE(1970,1,1)+IF($L234*1&gt;=$G$5,$G$6,0),)</f>
        <v/>
      </c>
      <c r="B234" s="22" t="str">
        <f t="shared" si="1"/>
        <v/>
      </c>
      <c r="C234" s="14" t="str">
        <f>IF($A234&lt;&gt;"",MINIFS(Merchant!$A:$A,Merchant!$B:$B,$G$2),)</f>
        <v/>
      </c>
      <c r="D234" s="14" t="str">
        <f t="shared" si="2"/>
        <v/>
      </c>
      <c r="E234" s="14" t="str">
        <f t="shared" si="3"/>
        <v/>
      </c>
      <c r="F234" s="6" t="str">
        <f>IF($A234&lt;&gt;"",MAXIFS(Token!$B:$B,Token!$A:$A,$D234),)</f>
        <v/>
      </c>
    </row>
    <row r="235">
      <c r="A235" s="35" t="str">
        <f>IF(AND($L235*1&gt;=$G$3,$L235*1&lt;=$G$4,$I235*$J235&gt;0,CONCATENATE($H235:$L235)&lt;&gt;CONCATENATE($H236:$L236),$I235/POW(10,$J235)*MAXIFS(Token!$B:$B,Token!$A:$A,$K235)&gt;0.01),$L235/86400+DATE(1970,1,1)+IF($L235*1&gt;=$G$5,$G$6,0),)</f>
        <v/>
      </c>
      <c r="B235" s="22" t="str">
        <f t="shared" si="1"/>
        <v/>
      </c>
      <c r="C235" s="14" t="str">
        <f>IF($A235&lt;&gt;"",MINIFS(Merchant!$A:$A,Merchant!$B:$B,$G$2),)</f>
        <v/>
      </c>
      <c r="D235" s="14" t="str">
        <f t="shared" si="2"/>
        <v/>
      </c>
      <c r="E235" s="14" t="str">
        <f t="shared" si="3"/>
        <v/>
      </c>
      <c r="F235" s="6" t="str">
        <f>IF($A235&lt;&gt;"",MAXIFS(Token!$B:$B,Token!$A:$A,$D235),)</f>
        <v/>
      </c>
    </row>
    <row r="236">
      <c r="A236" s="35" t="str">
        <f>IF(AND($L236*1&gt;=$G$3,$L236*1&lt;=$G$4,$I236*$J236&gt;0,CONCATENATE($H236:$L236)&lt;&gt;CONCATENATE($H237:$L237),$I236/POW(10,$J236)*MAXIFS(Token!$B:$B,Token!$A:$A,$K236)&gt;0.01),$L236/86400+DATE(1970,1,1)+IF($L236*1&gt;=$G$5,$G$6,0),)</f>
        <v/>
      </c>
      <c r="B236" s="22" t="str">
        <f t="shared" si="1"/>
        <v/>
      </c>
      <c r="C236" s="14" t="str">
        <f>IF($A236&lt;&gt;"",MINIFS(Merchant!$A:$A,Merchant!$B:$B,$G$2),)</f>
        <v/>
      </c>
      <c r="D236" s="14" t="str">
        <f t="shared" si="2"/>
        <v/>
      </c>
      <c r="E236" s="14" t="str">
        <f t="shared" si="3"/>
        <v/>
      </c>
      <c r="F236" s="6" t="str">
        <f>IF($A236&lt;&gt;"",MAXIFS(Token!$B:$B,Token!$A:$A,$D236),)</f>
        <v/>
      </c>
    </row>
    <row r="237">
      <c r="A237" s="35" t="str">
        <f>IF(AND($L237*1&gt;=$G$3,$L237*1&lt;=$G$4,$I237*$J237&gt;0,CONCATENATE($H237:$L237)&lt;&gt;CONCATENATE($H238:$L238),$I237/POW(10,$J237)*MAXIFS(Token!$B:$B,Token!$A:$A,$K237)&gt;0.01),$L237/86400+DATE(1970,1,1)+IF($L237*1&gt;=$G$5,$G$6,0),)</f>
        <v/>
      </c>
      <c r="B237" s="22" t="str">
        <f t="shared" si="1"/>
        <v/>
      </c>
      <c r="C237" s="14" t="str">
        <f>IF($A237&lt;&gt;"",MINIFS(Merchant!$A:$A,Merchant!$B:$B,$G$2),)</f>
        <v/>
      </c>
      <c r="D237" s="14" t="str">
        <f t="shared" si="2"/>
        <v/>
      </c>
      <c r="E237" s="14" t="str">
        <f t="shared" si="3"/>
        <v/>
      </c>
      <c r="F237" s="6" t="str">
        <f>IF($A237&lt;&gt;"",MAXIFS(Token!$B:$B,Token!$A:$A,$D237),)</f>
        <v/>
      </c>
    </row>
    <row r="238">
      <c r="A238" s="35" t="str">
        <f>IF(AND($L238*1&gt;=$G$3,$L238*1&lt;=$G$4,$I238*$J238&gt;0,CONCATENATE($H238:$L238)&lt;&gt;CONCATENATE($H239:$L239),$I238/POW(10,$J238)*MAXIFS(Token!$B:$B,Token!$A:$A,$K238)&gt;0.01),$L238/86400+DATE(1970,1,1)+IF($L238*1&gt;=$G$5,$G$6,0),)</f>
        <v/>
      </c>
      <c r="B238" s="22" t="str">
        <f t="shared" si="1"/>
        <v/>
      </c>
      <c r="C238" s="14" t="str">
        <f>IF($A238&lt;&gt;"",MINIFS(Merchant!$A:$A,Merchant!$B:$B,$G$2),)</f>
        <v/>
      </c>
      <c r="D238" s="14" t="str">
        <f t="shared" si="2"/>
        <v/>
      </c>
      <c r="E238" s="14" t="str">
        <f t="shared" si="3"/>
        <v/>
      </c>
      <c r="F238" s="6" t="str">
        <f>IF($A238&lt;&gt;"",MAXIFS(Token!$B:$B,Token!$A:$A,$D238),)</f>
        <v/>
      </c>
    </row>
    <row r="239">
      <c r="A239" s="35" t="str">
        <f>IF(AND($L239*1&gt;=$G$3,$L239*1&lt;=$G$4,$I239*$J239&gt;0,CONCATENATE($H239:$L239)&lt;&gt;CONCATENATE($H240:$L240),$I239/POW(10,$J239)*MAXIFS(Token!$B:$B,Token!$A:$A,$K239)&gt;0.01),$L239/86400+DATE(1970,1,1)+IF($L239*1&gt;=$G$5,$G$6,0),)</f>
        <v/>
      </c>
      <c r="B239" s="22" t="str">
        <f t="shared" si="1"/>
        <v/>
      </c>
      <c r="C239" s="14" t="str">
        <f>IF($A239&lt;&gt;"",MINIFS(Merchant!$A:$A,Merchant!$B:$B,$G$2),)</f>
        <v/>
      </c>
      <c r="D239" s="14" t="str">
        <f t="shared" si="2"/>
        <v/>
      </c>
      <c r="E239" s="14" t="str">
        <f t="shared" si="3"/>
        <v/>
      </c>
      <c r="F239" s="6" t="str">
        <f>IF($A239&lt;&gt;"",MAXIFS(Token!$B:$B,Token!$A:$A,$D239),)</f>
        <v/>
      </c>
    </row>
    <row r="240">
      <c r="A240" s="35" t="str">
        <f>IF(AND($L240*1&gt;=$G$3,$L240*1&lt;=$G$4,$I240*$J240&gt;0,CONCATENATE($H240:$L240)&lt;&gt;CONCATENATE($H241:$L241),$I240/POW(10,$J240)*MAXIFS(Token!$B:$B,Token!$A:$A,$K240)&gt;0.01),$L240/86400+DATE(1970,1,1)+IF($L240*1&gt;=$G$5,$G$6,0),)</f>
        <v/>
      </c>
      <c r="B240" s="22" t="str">
        <f t="shared" si="1"/>
        <v/>
      </c>
      <c r="C240" s="14" t="str">
        <f>IF($A240&lt;&gt;"",MINIFS(Merchant!$A:$A,Merchant!$B:$B,$G$2),)</f>
        <v/>
      </c>
      <c r="D240" s="14" t="str">
        <f t="shared" si="2"/>
        <v/>
      </c>
      <c r="E240" s="14" t="str">
        <f t="shared" si="3"/>
        <v/>
      </c>
      <c r="F240" s="6" t="str">
        <f>IF($A240&lt;&gt;"",MAXIFS(Token!$B:$B,Token!$A:$A,$D240),)</f>
        <v/>
      </c>
    </row>
    <row r="241">
      <c r="A241" s="35" t="str">
        <f>IF(AND($L241*1&gt;=$G$3,$L241*1&lt;=$G$4,$I241*$J241&gt;0,CONCATENATE($H241:$L241)&lt;&gt;CONCATENATE($H242:$L242),$I241/POW(10,$J241)*MAXIFS(Token!$B:$B,Token!$A:$A,$K241)&gt;0.01),$L241/86400+DATE(1970,1,1)+IF($L241*1&gt;=$G$5,$G$6,0),)</f>
        <v/>
      </c>
      <c r="B241" s="22" t="str">
        <f t="shared" si="1"/>
        <v/>
      </c>
      <c r="C241" s="14" t="str">
        <f>IF($A241&lt;&gt;"",MINIFS(Merchant!$A:$A,Merchant!$B:$B,$G$2),)</f>
        <v/>
      </c>
      <c r="D241" s="14" t="str">
        <f t="shared" si="2"/>
        <v/>
      </c>
      <c r="E241" s="14" t="str">
        <f t="shared" si="3"/>
        <v/>
      </c>
      <c r="F241" s="6" t="str">
        <f>IF($A241&lt;&gt;"",MAXIFS(Token!$B:$B,Token!$A:$A,$D241),)</f>
        <v/>
      </c>
    </row>
    <row r="242">
      <c r="A242" s="35" t="str">
        <f>IF(AND($L242*1&gt;=$G$3,$L242*1&lt;=$G$4,$I242*$J242&gt;0,CONCATENATE($H242:$L242)&lt;&gt;CONCATENATE($H243:$L243),$I242/POW(10,$J242)*MAXIFS(Token!$B:$B,Token!$A:$A,$K242)&gt;0.01),$L242/86400+DATE(1970,1,1)+IF($L242*1&gt;=$G$5,$G$6,0),)</f>
        <v/>
      </c>
      <c r="B242" s="22" t="str">
        <f t="shared" si="1"/>
        <v/>
      </c>
      <c r="C242" s="14" t="str">
        <f>IF($A242&lt;&gt;"",MINIFS(Merchant!$A:$A,Merchant!$B:$B,$G$2),)</f>
        <v/>
      </c>
      <c r="D242" s="14" t="str">
        <f t="shared" si="2"/>
        <v/>
      </c>
      <c r="E242" s="14" t="str">
        <f t="shared" si="3"/>
        <v/>
      </c>
      <c r="F242" s="6" t="str">
        <f>IF($A242&lt;&gt;"",MAXIFS(Token!$B:$B,Token!$A:$A,$D242),)</f>
        <v/>
      </c>
    </row>
    <row r="243">
      <c r="A243" s="35" t="str">
        <f>IF(AND($L243*1&gt;=$G$3,$L243*1&lt;=$G$4,$I243*$J243&gt;0,CONCATENATE($H243:$L243)&lt;&gt;CONCATENATE($H244:$L244),$I243/POW(10,$J243)*MAXIFS(Token!$B:$B,Token!$A:$A,$K243)&gt;0.01),$L243/86400+DATE(1970,1,1)+IF($L243*1&gt;=$G$5,$G$6,0),)</f>
        <v/>
      </c>
      <c r="B243" s="22" t="str">
        <f t="shared" si="1"/>
        <v/>
      </c>
      <c r="C243" s="14" t="str">
        <f>IF($A243&lt;&gt;"",MINIFS(Merchant!$A:$A,Merchant!$B:$B,$G$2),)</f>
        <v/>
      </c>
      <c r="D243" s="14" t="str">
        <f t="shared" si="2"/>
        <v/>
      </c>
      <c r="E243" s="14" t="str">
        <f t="shared" si="3"/>
        <v/>
      </c>
      <c r="F243" s="6" t="str">
        <f>IF($A243&lt;&gt;"",MAXIFS(Token!$B:$B,Token!$A:$A,$D243),)</f>
        <v/>
      </c>
    </row>
    <row r="244">
      <c r="A244" s="35" t="str">
        <f>IF(AND($L244*1&gt;=$G$3,$L244*1&lt;=$G$4,$I244*$J244&gt;0,CONCATENATE($H244:$L244)&lt;&gt;CONCATENATE($H245:$L245),$I244/POW(10,$J244)*MAXIFS(Token!$B:$B,Token!$A:$A,$K244)&gt;0.01),$L244/86400+DATE(1970,1,1)+IF($L244*1&gt;=$G$5,$G$6,0),)</f>
        <v/>
      </c>
      <c r="B244" s="22" t="str">
        <f t="shared" si="1"/>
        <v/>
      </c>
      <c r="C244" s="14" t="str">
        <f>IF($A244&lt;&gt;"",MINIFS(Merchant!$A:$A,Merchant!$B:$B,$G$2),)</f>
        <v/>
      </c>
      <c r="D244" s="14" t="str">
        <f t="shared" si="2"/>
        <v/>
      </c>
      <c r="E244" s="14" t="str">
        <f t="shared" si="3"/>
        <v/>
      </c>
      <c r="F244" s="6" t="str">
        <f>IF($A244&lt;&gt;"",MAXIFS(Token!$B:$B,Token!$A:$A,$D244),)</f>
        <v/>
      </c>
    </row>
    <row r="245">
      <c r="A245" s="35" t="str">
        <f>IF(AND($L245*1&gt;=$G$3,$L245*1&lt;=$G$4,$I245*$J245&gt;0,CONCATENATE($H245:$L245)&lt;&gt;CONCATENATE($H246:$L246),$I245/POW(10,$J245)*MAXIFS(Token!$B:$B,Token!$A:$A,$K245)&gt;0.01),$L245/86400+DATE(1970,1,1)+IF($L245*1&gt;=$G$5,$G$6,0),)</f>
        <v/>
      </c>
      <c r="B245" s="22" t="str">
        <f t="shared" si="1"/>
        <v/>
      </c>
      <c r="C245" s="14" t="str">
        <f>IF($A245&lt;&gt;"",MINIFS(Merchant!$A:$A,Merchant!$B:$B,$G$2),)</f>
        <v/>
      </c>
      <c r="D245" s="14" t="str">
        <f t="shared" si="2"/>
        <v/>
      </c>
      <c r="E245" s="14" t="str">
        <f t="shared" si="3"/>
        <v/>
      </c>
      <c r="F245" s="6" t="str">
        <f>IF($A245&lt;&gt;"",MAXIFS(Token!$B:$B,Token!$A:$A,$D245),)</f>
        <v/>
      </c>
    </row>
    <row r="246">
      <c r="A246" s="35" t="str">
        <f>IF(AND($L246*1&gt;=$G$3,$L246*1&lt;=$G$4,$I246*$J246&gt;0,CONCATENATE($H246:$L246)&lt;&gt;CONCATENATE($H247:$L247),$I246/POW(10,$J246)*MAXIFS(Token!$B:$B,Token!$A:$A,$K246)&gt;0.01),$L246/86400+DATE(1970,1,1)+IF($L246*1&gt;=$G$5,$G$6,0),)</f>
        <v/>
      </c>
      <c r="B246" s="22" t="str">
        <f t="shared" si="1"/>
        <v/>
      </c>
      <c r="C246" s="14" t="str">
        <f>IF($A246&lt;&gt;"",MINIFS(Merchant!$A:$A,Merchant!$B:$B,$G$2),)</f>
        <v/>
      </c>
      <c r="D246" s="14" t="str">
        <f t="shared" si="2"/>
        <v/>
      </c>
      <c r="E246" s="14" t="str">
        <f t="shared" si="3"/>
        <v/>
      </c>
      <c r="F246" s="6" t="str">
        <f>IF($A246&lt;&gt;"",MAXIFS(Token!$B:$B,Token!$A:$A,$D246),)</f>
        <v/>
      </c>
    </row>
    <row r="247">
      <c r="A247" s="35" t="str">
        <f>IF(AND($L247*1&gt;=$G$3,$L247*1&lt;=$G$4,$I247*$J247&gt;0,CONCATENATE($H247:$L247)&lt;&gt;CONCATENATE($H248:$L248),$I247/POW(10,$J247)*MAXIFS(Token!$B:$B,Token!$A:$A,$K247)&gt;0.01),$L247/86400+DATE(1970,1,1)+IF($L247*1&gt;=$G$5,$G$6,0),)</f>
        <v/>
      </c>
      <c r="B247" s="22" t="str">
        <f t="shared" si="1"/>
        <v/>
      </c>
      <c r="C247" s="14" t="str">
        <f>IF($A247&lt;&gt;"",MINIFS(Merchant!$A:$A,Merchant!$B:$B,$G$2),)</f>
        <v/>
      </c>
      <c r="D247" s="14" t="str">
        <f t="shared" si="2"/>
        <v/>
      </c>
      <c r="E247" s="14" t="str">
        <f t="shared" si="3"/>
        <v/>
      </c>
      <c r="F247" s="6" t="str">
        <f>IF($A247&lt;&gt;"",MAXIFS(Token!$B:$B,Token!$A:$A,$D247),)</f>
        <v/>
      </c>
    </row>
    <row r="248">
      <c r="A248" s="35" t="str">
        <f>IF(AND($L248*1&gt;=$G$3,$L248*1&lt;=$G$4,$I248*$J248&gt;0,CONCATENATE($H248:$L248)&lt;&gt;CONCATENATE($H249:$L249),$I248/POW(10,$J248)*MAXIFS(Token!$B:$B,Token!$A:$A,$K248)&gt;0.01),$L248/86400+DATE(1970,1,1)+IF($L248*1&gt;=$G$5,$G$6,0),)</f>
        <v/>
      </c>
      <c r="B248" s="22" t="str">
        <f t="shared" si="1"/>
        <v/>
      </c>
      <c r="C248" s="14" t="str">
        <f>IF($A248&lt;&gt;"",MINIFS(Merchant!$A:$A,Merchant!$B:$B,$G$2),)</f>
        <v/>
      </c>
      <c r="D248" s="14" t="str">
        <f t="shared" si="2"/>
        <v/>
      </c>
      <c r="E248" s="14" t="str">
        <f t="shared" si="3"/>
        <v/>
      </c>
      <c r="F248" s="6" t="str">
        <f>IF($A248&lt;&gt;"",MAXIFS(Token!$B:$B,Token!$A:$A,$D248),)</f>
        <v/>
      </c>
    </row>
    <row r="249">
      <c r="A249" s="35" t="str">
        <f>IF(AND($L249*1&gt;=$G$3,$L249*1&lt;=$G$4,$I249*$J249&gt;0,CONCATENATE($H249:$L249)&lt;&gt;CONCATENATE($H250:$L250),$I249/POW(10,$J249)*MAXIFS(Token!$B:$B,Token!$A:$A,$K249)&gt;0.01),$L249/86400+DATE(1970,1,1)+IF($L249*1&gt;=$G$5,$G$6,0),)</f>
        <v/>
      </c>
      <c r="B249" s="22" t="str">
        <f t="shared" si="1"/>
        <v/>
      </c>
      <c r="C249" s="14" t="str">
        <f>IF($A249&lt;&gt;"",MINIFS(Merchant!$A:$A,Merchant!$B:$B,$G$2),)</f>
        <v/>
      </c>
      <c r="D249" s="14" t="str">
        <f t="shared" si="2"/>
        <v/>
      </c>
      <c r="E249" s="14" t="str">
        <f t="shared" si="3"/>
        <v/>
      </c>
      <c r="F249" s="6" t="str">
        <f>IF($A249&lt;&gt;"",MAXIFS(Token!$B:$B,Token!$A:$A,$D249),)</f>
        <v/>
      </c>
    </row>
    <row r="250">
      <c r="A250" s="35" t="str">
        <f>IF(AND($L250*1&gt;=$G$3,$L250*1&lt;=$G$4,$I250*$J250&gt;0,CONCATENATE($H250:$L250)&lt;&gt;CONCATENATE($H251:$L251),$I250/POW(10,$J250)*MAXIFS(Token!$B:$B,Token!$A:$A,$K250)&gt;0.01),$L250/86400+DATE(1970,1,1)+IF($L250*1&gt;=$G$5,$G$6,0),)</f>
        <v/>
      </c>
      <c r="B250" s="22" t="str">
        <f t="shared" si="1"/>
        <v/>
      </c>
      <c r="C250" s="14" t="str">
        <f>IF($A250&lt;&gt;"",MINIFS(Merchant!$A:$A,Merchant!$B:$B,$G$2),)</f>
        <v/>
      </c>
      <c r="D250" s="14" t="str">
        <f t="shared" si="2"/>
        <v/>
      </c>
      <c r="E250" s="14" t="str">
        <f t="shared" si="3"/>
        <v/>
      </c>
      <c r="F250" s="6" t="str">
        <f>IF($A250&lt;&gt;"",MAXIFS(Token!$B:$B,Token!$A:$A,$D250),)</f>
        <v/>
      </c>
    </row>
    <row r="251">
      <c r="A251" s="35" t="str">
        <f>IF(AND($L251*1&gt;=$G$3,$L251*1&lt;=$G$4,$I251*$J251&gt;0,CONCATENATE($H251:$L251)&lt;&gt;CONCATENATE($H252:$L252),$I251/POW(10,$J251)*MAXIFS(Token!$B:$B,Token!$A:$A,$K251)&gt;0.01),$L251/86400+DATE(1970,1,1)+IF($L251*1&gt;=$G$5,$G$6,0),)</f>
        <v/>
      </c>
      <c r="B251" s="22" t="str">
        <f t="shared" si="1"/>
        <v/>
      </c>
      <c r="C251" s="14" t="str">
        <f>IF($A251&lt;&gt;"",MINIFS(Merchant!$A:$A,Merchant!$B:$B,$G$2),)</f>
        <v/>
      </c>
      <c r="D251" s="14" t="str">
        <f t="shared" si="2"/>
        <v/>
      </c>
      <c r="E251" s="14" t="str">
        <f t="shared" si="3"/>
        <v/>
      </c>
      <c r="F251" s="6" t="str">
        <f>IF($A251&lt;&gt;"",MAXIFS(Token!$B:$B,Token!$A:$A,$D251),)</f>
        <v/>
      </c>
    </row>
    <row r="252">
      <c r="A252" s="35" t="str">
        <f>IF(AND($L252*1&gt;=$G$3,$L252*1&lt;=$G$4,$I252*$J252&gt;0,CONCATENATE($H252:$L252)&lt;&gt;CONCATENATE($H253:$L253),$I252/POW(10,$J252)*MAXIFS(Token!$B:$B,Token!$A:$A,$K252)&gt;0.01),$L252/86400+DATE(1970,1,1)+IF($L252*1&gt;=$G$5,$G$6,0),)</f>
        <v/>
      </c>
      <c r="B252" s="22" t="str">
        <f t="shared" si="1"/>
        <v/>
      </c>
      <c r="C252" s="14" t="str">
        <f>IF($A252&lt;&gt;"",MINIFS(Merchant!$A:$A,Merchant!$B:$B,$G$2),)</f>
        <v/>
      </c>
      <c r="D252" s="14" t="str">
        <f t="shared" si="2"/>
        <v/>
      </c>
      <c r="E252" s="14" t="str">
        <f t="shared" si="3"/>
        <v/>
      </c>
      <c r="F252" s="6" t="str">
        <f>IF($A252&lt;&gt;"",MAXIFS(Token!$B:$B,Token!$A:$A,$D252),)</f>
        <v/>
      </c>
    </row>
    <row r="253">
      <c r="A253" s="35" t="str">
        <f>IF(AND($L253*1&gt;=$G$3,$L253*1&lt;=$G$4,$I253*$J253&gt;0,CONCATENATE($H253:$L253)&lt;&gt;CONCATENATE($H254:$L254),$I253/POW(10,$J253)*MAXIFS(Token!$B:$B,Token!$A:$A,$K253)&gt;0.01),$L253/86400+DATE(1970,1,1)+IF($L253*1&gt;=$G$5,$G$6,0),)</f>
        <v/>
      </c>
      <c r="B253" s="22" t="str">
        <f t="shared" si="1"/>
        <v/>
      </c>
      <c r="C253" s="14" t="str">
        <f>IF($A253&lt;&gt;"",MINIFS(Merchant!$A:$A,Merchant!$B:$B,$G$2),)</f>
        <v/>
      </c>
      <c r="D253" s="14" t="str">
        <f t="shared" si="2"/>
        <v/>
      </c>
      <c r="E253" s="14" t="str">
        <f t="shared" si="3"/>
        <v/>
      </c>
      <c r="F253" s="6" t="str">
        <f>IF($A253&lt;&gt;"",MAXIFS(Token!$B:$B,Token!$A:$A,$D253),)</f>
        <v/>
      </c>
    </row>
    <row r="254">
      <c r="A254" s="35" t="str">
        <f>IF(AND($L254*1&gt;=$G$3,$L254*1&lt;=$G$4,$I254*$J254&gt;0,CONCATENATE($H254:$L254)&lt;&gt;CONCATENATE($H255:$L255),$I254/POW(10,$J254)*MAXIFS(Token!$B:$B,Token!$A:$A,$K254)&gt;0.01),$L254/86400+DATE(1970,1,1)+IF($L254*1&gt;=$G$5,$G$6,0),)</f>
        <v/>
      </c>
      <c r="B254" s="22" t="str">
        <f t="shared" si="1"/>
        <v/>
      </c>
      <c r="C254" s="14" t="str">
        <f>IF($A254&lt;&gt;"",MINIFS(Merchant!$A:$A,Merchant!$B:$B,$G$2),)</f>
        <v/>
      </c>
      <c r="D254" s="14" t="str">
        <f t="shared" si="2"/>
        <v/>
      </c>
      <c r="E254" s="14" t="str">
        <f t="shared" si="3"/>
        <v/>
      </c>
      <c r="F254" s="6" t="str">
        <f>IF($A254&lt;&gt;"",MAXIFS(Token!$B:$B,Token!$A:$A,$D254),)</f>
        <v/>
      </c>
    </row>
    <row r="255">
      <c r="A255" s="35" t="str">
        <f>IF(AND($L255*1&gt;=$G$3,$L255*1&lt;=$G$4,$I255*$J255&gt;0,CONCATENATE($H255:$L255)&lt;&gt;CONCATENATE($H256:$L256),$I255/POW(10,$J255)*MAXIFS(Token!$B:$B,Token!$A:$A,$K255)&gt;0.01),$L255/86400+DATE(1970,1,1)+IF($L255*1&gt;=$G$5,$G$6,0),)</f>
        <v/>
      </c>
      <c r="B255" s="22" t="str">
        <f t="shared" si="1"/>
        <v/>
      </c>
      <c r="C255" s="14" t="str">
        <f>IF($A255&lt;&gt;"",MINIFS(Merchant!$A:$A,Merchant!$B:$B,$G$2),)</f>
        <v/>
      </c>
      <c r="D255" s="14" t="str">
        <f t="shared" si="2"/>
        <v/>
      </c>
      <c r="E255" s="14" t="str">
        <f t="shared" si="3"/>
        <v/>
      </c>
      <c r="F255" s="6" t="str">
        <f>IF($A255&lt;&gt;"",MAXIFS(Token!$B:$B,Token!$A:$A,$D255),)</f>
        <v/>
      </c>
    </row>
    <row r="256">
      <c r="A256" s="35" t="str">
        <f>IF(AND($L256*1&gt;=$G$3,$L256*1&lt;=$G$4,$I256*$J256&gt;0,CONCATENATE($H256:$L256)&lt;&gt;CONCATENATE($H257:$L257),$I256/POW(10,$J256)*MAXIFS(Token!$B:$B,Token!$A:$A,$K256)&gt;0.01),$L256/86400+DATE(1970,1,1)+IF($L256*1&gt;=$G$5,$G$6,0),)</f>
        <v/>
      </c>
      <c r="B256" s="22" t="str">
        <f t="shared" si="1"/>
        <v/>
      </c>
      <c r="C256" s="14" t="str">
        <f>IF($A256&lt;&gt;"",MINIFS(Merchant!$A:$A,Merchant!$B:$B,$G$2),)</f>
        <v/>
      </c>
      <c r="D256" s="14" t="str">
        <f t="shared" si="2"/>
        <v/>
      </c>
      <c r="E256" s="14" t="str">
        <f t="shared" si="3"/>
        <v/>
      </c>
      <c r="F256" s="6" t="str">
        <f>IF($A256&lt;&gt;"",MAXIFS(Token!$B:$B,Token!$A:$A,$D256),)</f>
        <v/>
      </c>
    </row>
    <row r="257">
      <c r="A257" s="35" t="str">
        <f>IF(AND($L257*1&gt;=$G$3,$L257*1&lt;=$G$4,$I257*$J257&gt;0,CONCATENATE($H257:$L257)&lt;&gt;CONCATENATE($H258:$L258),$I257/POW(10,$J257)*MAXIFS(Token!$B:$B,Token!$A:$A,$K257)&gt;0.01),$L257/86400+DATE(1970,1,1)+IF($L257*1&gt;=$G$5,$G$6,0),)</f>
        <v/>
      </c>
      <c r="B257" s="22" t="str">
        <f t="shared" si="1"/>
        <v/>
      </c>
      <c r="C257" s="14" t="str">
        <f>IF($A257&lt;&gt;"",MINIFS(Merchant!$A:$A,Merchant!$B:$B,$G$2),)</f>
        <v/>
      </c>
      <c r="D257" s="14" t="str">
        <f t="shared" si="2"/>
        <v/>
      </c>
      <c r="E257" s="14" t="str">
        <f t="shared" si="3"/>
        <v/>
      </c>
      <c r="F257" s="6" t="str">
        <f>IF($A257&lt;&gt;"",MAXIFS(Token!$B:$B,Token!$A:$A,$D257),)</f>
        <v/>
      </c>
    </row>
    <row r="258">
      <c r="A258" s="35" t="str">
        <f>IF(AND($L258*1&gt;=$G$3,$L258*1&lt;=$G$4,$I258*$J258&gt;0,CONCATENATE($H258:$L258)&lt;&gt;CONCATENATE($H259:$L259),$I258/POW(10,$J258)*MAXIFS(Token!$B:$B,Token!$A:$A,$K258)&gt;0.01),$L258/86400+DATE(1970,1,1)+IF($L258*1&gt;=$G$5,$G$6,0),)</f>
        <v/>
      </c>
      <c r="B258" s="22" t="str">
        <f t="shared" si="1"/>
        <v/>
      </c>
      <c r="C258" s="14" t="str">
        <f>IF($A258&lt;&gt;"",MINIFS(Merchant!$A:$A,Merchant!$B:$B,$G$2),)</f>
        <v/>
      </c>
      <c r="D258" s="14" t="str">
        <f t="shared" si="2"/>
        <v/>
      </c>
      <c r="E258" s="14" t="str">
        <f t="shared" si="3"/>
        <v/>
      </c>
      <c r="F258" s="6" t="str">
        <f>IF($A258&lt;&gt;"",MAXIFS(Token!$B:$B,Token!$A:$A,$D258),)</f>
        <v/>
      </c>
    </row>
    <row r="259">
      <c r="A259" s="35" t="str">
        <f>IF(AND($L259*1&gt;=$G$3,$L259*1&lt;=$G$4,$I259*$J259&gt;0,CONCATENATE($H259:$L259)&lt;&gt;CONCATENATE($H260:$L260),$I259/POW(10,$J259)*MAXIFS(Token!$B:$B,Token!$A:$A,$K259)&gt;0.01),$L259/86400+DATE(1970,1,1)+IF($L259*1&gt;=$G$5,$G$6,0),)</f>
        <v/>
      </c>
      <c r="B259" s="22" t="str">
        <f t="shared" si="1"/>
        <v/>
      </c>
      <c r="C259" s="14" t="str">
        <f>IF($A259&lt;&gt;"",MINIFS(Merchant!$A:$A,Merchant!$B:$B,$G$2),)</f>
        <v/>
      </c>
      <c r="D259" s="14" t="str">
        <f t="shared" si="2"/>
        <v/>
      </c>
      <c r="E259" s="14" t="str">
        <f t="shared" si="3"/>
        <v/>
      </c>
      <c r="F259" s="6" t="str">
        <f>IF($A259&lt;&gt;"",MAXIFS(Token!$B:$B,Token!$A:$A,$D259),)</f>
        <v/>
      </c>
    </row>
    <row r="260">
      <c r="A260" s="35" t="str">
        <f>IF(AND($L260*1&gt;=$G$3,$L260*1&lt;=$G$4,$I260*$J260&gt;0,CONCATENATE($H260:$L260)&lt;&gt;CONCATENATE($H261:$L261),$I260/POW(10,$J260)*MAXIFS(Token!$B:$B,Token!$A:$A,$K260)&gt;0.01),$L260/86400+DATE(1970,1,1)+IF($L260*1&gt;=$G$5,$G$6,0),)</f>
        <v/>
      </c>
      <c r="B260" s="22" t="str">
        <f t="shared" si="1"/>
        <v/>
      </c>
      <c r="C260" s="14" t="str">
        <f>IF($A260&lt;&gt;"",MINIFS(Merchant!$A:$A,Merchant!$B:$B,$G$2),)</f>
        <v/>
      </c>
      <c r="D260" s="14" t="str">
        <f t="shared" si="2"/>
        <v/>
      </c>
      <c r="E260" s="14" t="str">
        <f t="shared" si="3"/>
        <v/>
      </c>
      <c r="F260" s="6" t="str">
        <f>IF($A260&lt;&gt;"",MAXIFS(Token!$B:$B,Token!$A:$A,$D260),)</f>
        <v/>
      </c>
    </row>
    <row r="261">
      <c r="A261" s="35" t="str">
        <f>IF(AND($L261*1&gt;=$G$3,$L261*1&lt;=$G$4,$I261*$J261&gt;0,CONCATENATE($H261:$L261)&lt;&gt;CONCATENATE($H262:$L262),$I261/POW(10,$J261)*MAXIFS(Token!$B:$B,Token!$A:$A,$K261)&gt;0.01),$L261/86400+DATE(1970,1,1)+IF($L261*1&gt;=$G$5,$G$6,0),)</f>
        <v/>
      </c>
      <c r="B261" s="22" t="str">
        <f t="shared" si="1"/>
        <v/>
      </c>
      <c r="C261" s="14" t="str">
        <f>IF($A261&lt;&gt;"",MINIFS(Merchant!$A:$A,Merchant!$B:$B,$G$2),)</f>
        <v/>
      </c>
      <c r="D261" s="14" t="str">
        <f t="shared" si="2"/>
        <v/>
      </c>
      <c r="E261" s="14" t="str">
        <f t="shared" si="3"/>
        <v/>
      </c>
      <c r="F261" s="6" t="str">
        <f>IF($A261&lt;&gt;"",MAXIFS(Token!$B:$B,Token!$A:$A,$D261),)</f>
        <v/>
      </c>
    </row>
    <row r="262">
      <c r="A262" s="35" t="str">
        <f>IF(AND($L262*1&gt;=$G$3,$L262*1&lt;=$G$4,$I262*$J262&gt;0,CONCATENATE($H262:$L262)&lt;&gt;CONCATENATE($H263:$L263),$I262/POW(10,$J262)*MAXIFS(Token!$B:$B,Token!$A:$A,$K262)&gt;0.01),$L262/86400+DATE(1970,1,1)+IF($L262*1&gt;=$G$5,$G$6,0),)</f>
        <v/>
      </c>
      <c r="B262" s="22" t="str">
        <f t="shared" si="1"/>
        <v/>
      </c>
      <c r="C262" s="14" t="str">
        <f>IF($A262&lt;&gt;"",MINIFS(Merchant!$A:$A,Merchant!$B:$B,$G$2),)</f>
        <v/>
      </c>
      <c r="D262" s="14" t="str">
        <f t="shared" si="2"/>
        <v/>
      </c>
      <c r="E262" s="14" t="str">
        <f t="shared" si="3"/>
        <v/>
      </c>
      <c r="F262" s="6" t="str">
        <f>IF($A262&lt;&gt;"",MAXIFS(Token!$B:$B,Token!$A:$A,$D262),)</f>
        <v/>
      </c>
    </row>
    <row r="263">
      <c r="A263" s="35" t="str">
        <f>IF(AND($L263*1&gt;=$G$3,$L263*1&lt;=$G$4,$I263*$J263&gt;0,CONCATENATE($H263:$L263)&lt;&gt;CONCATENATE($H264:$L264),$I263/POW(10,$J263)*MAXIFS(Token!$B:$B,Token!$A:$A,$K263)&gt;0.01),$L263/86400+DATE(1970,1,1)+IF($L263*1&gt;=$G$5,$G$6,0),)</f>
        <v/>
      </c>
      <c r="B263" s="22" t="str">
        <f t="shared" si="1"/>
        <v/>
      </c>
      <c r="C263" s="14" t="str">
        <f>IF($A263&lt;&gt;"",MINIFS(Merchant!$A:$A,Merchant!$B:$B,$G$2),)</f>
        <v/>
      </c>
      <c r="D263" s="14" t="str">
        <f t="shared" si="2"/>
        <v/>
      </c>
      <c r="E263" s="14" t="str">
        <f t="shared" si="3"/>
        <v/>
      </c>
      <c r="F263" s="6" t="str">
        <f>IF($A263&lt;&gt;"",MAXIFS(Token!$B:$B,Token!$A:$A,$D263),)</f>
        <v/>
      </c>
    </row>
    <row r="264">
      <c r="A264" s="35" t="str">
        <f>IF(AND($L264*1&gt;=$G$3,$L264*1&lt;=$G$4,$I264*$J264&gt;0,CONCATENATE($H264:$L264)&lt;&gt;CONCATENATE($H265:$L265),$I264/POW(10,$J264)*MAXIFS(Token!$B:$B,Token!$A:$A,$K264)&gt;0.01),$L264/86400+DATE(1970,1,1)+IF($L264*1&gt;=$G$5,$G$6,0),)</f>
        <v/>
      </c>
      <c r="B264" s="22" t="str">
        <f t="shared" si="1"/>
        <v/>
      </c>
      <c r="C264" s="14" t="str">
        <f>IF($A264&lt;&gt;"",MINIFS(Merchant!$A:$A,Merchant!$B:$B,$G$2),)</f>
        <v/>
      </c>
      <c r="D264" s="14" t="str">
        <f t="shared" si="2"/>
        <v/>
      </c>
      <c r="E264" s="14" t="str">
        <f t="shared" si="3"/>
        <v/>
      </c>
      <c r="F264" s="6" t="str">
        <f>IF($A264&lt;&gt;"",MAXIFS(Token!$B:$B,Token!$A:$A,$D264),)</f>
        <v/>
      </c>
    </row>
    <row r="265">
      <c r="A265" s="35" t="str">
        <f>IF(AND($L265*1&gt;=$G$3,$L265*1&lt;=$G$4,$I265*$J265&gt;0,CONCATENATE($H265:$L265)&lt;&gt;CONCATENATE($H266:$L266),$I265/POW(10,$J265)*MAXIFS(Token!$B:$B,Token!$A:$A,$K265)&gt;0.01),$L265/86400+DATE(1970,1,1)+IF($L265*1&gt;=$G$5,$G$6,0),)</f>
        <v/>
      </c>
      <c r="B265" s="22" t="str">
        <f t="shared" si="1"/>
        <v/>
      </c>
      <c r="C265" s="14" t="str">
        <f>IF($A265&lt;&gt;"",MINIFS(Merchant!$A:$A,Merchant!$B:$B,$G$2),)</f>
        <v/>
      </c>
      <c r="D265" s="14" t="str">
        <f t="shared" si="2"/>
        <v/>
      </c>
      <c r="E265" s="14" t="str">
        <f t="shared" si="3"/>
        <v/>
      </c>
      <c r="F265" s="6" t="str">
        <f>IF($A265&lt;&gt;"",MAXIFS(Token!$B:$B,Token!$A:$A,$D265),)</f>
        <v/>
      </c>
    </row>
    <row r="266">
      <c r="A266" s="35" t="str">
        <f>IF(AND($L266*1&gt;=$G$3,$L266*1&lt;=$G$4,$I266*$J266&gt;0,CONCATENATE($H266:$L266)&lt;&gt;CONCATENATE($H267:$L267),$I266/POW(10,$J266)*MAXIFS(Token!$B:$B,Token!$A:$A,$K266)&gt;0.01),$L266/86400+DATE(1970,1,1)+IF($L266*1&gt;=$G$5,$G$6,0),)</f>
        <v/>
      </c>
      <c r="B266" s="22" t="str">
        <f t="shared" si="1"/>
        <v/>
      </c>
      <c r="C266" s="14" t="str">
        <f>IF($A266&lt;&gt;"",MINIFS(Merchant!$A:$A,Merchant!$B:$B,$G$2),)</f>
        <v/>
      </c>
      <c r="D266" s="14" t="str">
        <f t="shared" si="2"/>
        <v/>
      </c>
      <c r="E266" s="14" t="str">
        <f t="shared" si="3"/>
        <v/>
      </c>
      <c r="F266" s="6" t="str">
        <f>IF($A266&lt;&gt;"",MAXIFS(Token!$B:$B,Token!$A:$A,$D266),)</f>
        <v/>
      </c>
    </row>
    <row r="267">
      <c r="A267" s="35" t="str">
        <f>IF(AND($L267*1&gt;=$G$3,$L267*1&lt;=$G$4,$I267*$J267&gt;0,CONCATENATE($H267:$L267)&lt;&gt;CONCATENATE($H268:$L268),$I267/POW(10,$J267)*MAXIFS(Token!$B:$B,Token!$A:$A,$K267)&gt;0.01),$L267/86400+DATE(1970,1,1)+IF($L267*1&gt;=$G$5,$G$6,0),)</f>
        <v/>
      </c>
      <c r="B267" s="22" t="str">
        <f t="shared" si="1"/>
        <v/>
      </c>
      <c r="C267" s="14" t="str">
        <f>IF($A267&lt;&gt;"",MINIFS(Merchant!$A:$A,Merchant!$B:$B,$G$2),)</f>
        <v/>
      </c>
      <c r="D267" s="14" t="str">
        <f t="shared" si="2"/>
        <v/>
      </c>
      <c r="E267" s="14" t="str">
        <f t="shared" si="3"/>
        <v/>
      </c>
      <c r="F267" s="6" t="str">
        <f>IF($A267&lt;&gt;"",MAXIFS(Token!$B:$B,Token!$A:$A,$D267),)</f>
        <v/>
      </c>
    </row>
    <row r="268">
      <c r="A268" s="35" t="str">
        <f>IF(AND($L268*1&gt;=$G$3,$L268*1&lt;=$G$4,$I268*$J268&gt;0,CONCATENATE($H268:$L268)&lt;&gt;CONCATENATE($H269:$L269),$I268/POW(10,$J268)*MAXIFS(Token!$B:$B,Token!$A:$A,$K268)&gt;0.01),$L268/86400+DATE(1970,1,1)+IF($L268*1&gt;=$G$5,$G$6,0),)</f>
        <v/>
      </c>
      <c r="B268" s="22" t="str">
        <f t="shared" si="1"/>
        <v/>
      </c>
      <c r="C268" s="14" t="str">
        <f>IF($A268&lt;&gt;"",MINIFS(Merchant!$A:$A,Merchant!$B:$B,$G$2),)</f>
        <v/>
      </c>
      <c r="D268" s="14" t="str">
        <f t="shared" si="2"/>
        <v/>
      </c>
      <c r="E268" s="14" t="str">
        <f t="shared" si="3"/>
        <v/>
      </c>
      <c r="F268" s="6" t="str">
        <f>IF($A268&lt;&gt;"",MAXIFS(Token!$B:$B,Token!$A:$A,$D268),)</f>
        <v/>
      </c>
    </row>
    <row r="269">
      <c r="A269" s="35" t="str">
        <f>IF(AND($L269*1&gt;=$G$3,$L269*1&lt;=$G$4,$I269*$J269&gt;0,CONCATENATE($H269:$L269)&lt;&gt;CONCATENATE($H270:$L270),$I269/POW(10,$J269)*MAXIFS(Token!$B:$B,Token!$A:$A,$K269)&gt;0.01),$L269/86400+DATE(1970,1,1)+IF($L269*1&gt;=$G$5,$G$6,0),)</f>
        <v/>
      </c>
      <c r="B269" s="22" t="str">
        <f t="shared" si="1"/>
        <v/>
      </c>
      <c r="C269" s="14" t="str">
        <f>IF($A269&lt;&gt;"",MINIFS(Merchant!$A:$A,Merchant!$B:$B,$G$2),)</f>
        <v/>
      </c>
      <c r="D269" s="14" t="str">
        <f t="shared" si="2"/>
        <v/>
      </c>
      <c r="E269" s="14" t="str">
        <f t="shared" si="3"/>
        <v/>
      </c>
      <c r="F269" s="6" t="str">
        <f>IF($A269&lt;&gt;"",MAXIFS(Token!$B:$B,Token!$A:$A,$D269),)</f>
        <v/>
      </c>
    </row>
    <row r="270">
      <c r="A270" s="35" t="str">
        <f>IF(AND($L270*1&gt;=$G$3,$L270*1&lt;=$G$4,$I270*$J270&gt;0,CONCATENATE($H270:$L270)&lt;&gt;CONCATENATE($H271:$L271),$I270/POW(10,$J270)*MAXIFS(Token!$B:$B,Token!$A:$A,$K270)&gt;0.01),$L270/86400+DATE(1970,1,1)+IF($L270*1&gt;=$G$5,$G$6,0),)</f>
        <v/>
      </c>
      <c r="B270" s="22" t="str">
        <f t="shared" si="1"/>
        <v/>
      </c>
      <c r="C270" s="14" t="str">
        <f>IF($A270&lt;&gt;"",MINIFS(Merchant!$A:$A,Merchant!$B:$B,$G$2),)</f>
        <v/>
      </c>
      <c r="D270" s="14" t="str">
        <f t="shared" si="2"/>
        <v/>
      </c>
      <c r="E270" s="14" t="str">
        <f t="shared" si="3"/>
        <v/>
      </c>
      <c r="F270" s="6" t="str">
        <f>IF($A270&lt;&gt;"",MAXIFS(Token!$B:$B,Token!$A:$A,$D270),)</f>
        <v/>
      </c>
    </row>
    <row r="271">
      <c r="A271" s="35" t="str">
        <f>IF(AND($L271*1&gt;=$G$3,$L271*1&lt;=$G$4,$I271*$J271&gt;0,CONCATENATE($H271:$L271)&lt;&gt;CONCATENATE($H272:$L272),$I271/POW(10,$J271)*MAXIFS(Token!$B:$B,Token!$A:$A,$K271)&gt;0.01),$L271/86400+DATE(1970,1,1)+IF($L271*1&gt;=$G$5,$G$6,0),)</f>
        <v/>
      </c>
      <c r="B271" s="22" t="str">
        <f t="shared" si="1"/>
        <v/>
      </c>
      <c r="C271" s="14" t="str">
        <f>IF($A271&lt;&gt;"",MINIFS(Merchant!$A:$A,Merchant!$B:$B,$G$2),)</f>
        <v/>
      </c>
      <c r="D271" s="14" t="str">
        <f t="shared" si="2"/>
        <v/>
      </c>
      <c r="E271" s="14" t="str">
        <f t="shared" si="3"/>
        <v/>
      </c>
      <c r="F271" s="6" t="str">
        <f>IF($A271&lt;&gt;"",MAXIFS(Token!$B:$B,Token!$A:$A,$D271),)</f>
        <v/>
      </c>
    </row>
    <row r="272">
      <c r="A272" s="35" t="str">
        <f>IF(AND($L272*1&gt;=$G$3,$L272*1&lt;=$G$4,$I272*$J272&gt;0,CONCATENATE($H272:$L272)&lt;&gt;CONCATENATE($H273:$L273),$I272/POW(10,$J272)*MAXIFS(Token!$B:$B,Token!$A:$A,$K272)&gt;0.01),$L272/86400+DATE(1970,1,1)+IF($L272*1&gt;=$G$5,$G$6,0),)</f>
        <v/>
      </c>
      <c r="B272" s="22" t="str">
        <f t="shared" si="1"/>
        <v/>
      </c>
      <c r="C272" s="14" t="str">
        <f>IF($A272&lt;&gt;"",MINIFS(Merchant!$A:$A,Merchant!$B:$B,$G$2),)</f>
        <v/>
      </c>
      <c r="D272" s="14" t="str">
        <f t="shared" si="2"/>
        <v/>
      </c>
      <c r="E272" s="14" t="str">
        <f t="shared" si="3"/>
        <v/>
      </c>
      <c r="F272" s="6" t="str">
        <f>IF($A272&lt;&gt;"",MAXIFS(Token!$B:$B,Token!$A:$A,$D272),)</f>
        <v/>
      </c>
    </row>
    <row r="273">
      <c r="A273" s="35" t="str">
        <f>IF(AND($L273*1&gt;=$G$3,$L273*1&lt;=$G$4,$I273*$J273&gt;0,CONCATENATE($H273:$L273)&lt;&gt;CONCATENATE($H274:$L274),$I273/POW(10,$J273)*MAXIFS(Token!$B:$B,Token!$A:$A,$K273)&gt;0.01),$L273/86400+DATE(1970,1,1)+IF($L273*1&gt;=$G$5,$G$6,0),)</f>
        <v/>
      </c>
      <c r="B273" s="22" t="str">
        <f t="shared" si="1"/>
        <v/>
      </c>
      <c r="C273" s="14" t="str">
        <f>IF($A273&lt;&gt;"",MINIFS(Merchant!$A:$A,Merchant!$B:$B,$G$2),)</f>
        <v/>
      </c>
      <c r="D273" s="14" t="str">
        <f t="shared" si="2"/>
        <v/>
      </c>
      <c r="E273" s="14" t="str">
        <f t="shared" si="3"/>
        <v/>
      </c>
      <c r="F273" s="6" t="str">
        <f>IF($A273&lt;&gt;"",MAXIFS(Token!$B:$B,Token!$A:$A,$D273),)</f>
        <v/>
      </c>
    </row>
    <row r="274">
      <c r="A274" s="35" t="str">
        <f>IF(AND($L274*1&gt;=$G$3,$L274*1&lt;=$G$4,$I274*$J274&gt;0,CONCATENATE($H274:$L274)&lt;&gt;CONCATENATE($H275:$L275),$I274/POW(10,$J274)*MAXIFS(Token!$B:$B,Token!$A:$A,$K274)&gt;0.01),$L274/86400+DATE(1970,1,1)+IF($L274*1&gt;=$G$5,$G$6,0),)</f>
        <v/>
      </c>
      <c r="B274" s="22" t="str">
        <f t="shared" si="1"/>
        <v/>
      </c>
      <c r="C274" s="14" t="str">
        <f>IF($A274&lt;&gt;"",MINIFS(Merchant!$A:$A,Merchant!$B:$B,$G$2),)</f>
        <v/>
      </c>
      <c r="D274" s="14" t="str">
        <f t="shared" si="2"/>
        <v/>
      </c>
      <c r="E274" s="14" t="str">
        <f t="shared" si="3"/>
        <v/>
      </c>
      <c r="F274" s="6" t="str">
        <f>IF($A274&lt;&gt;"",MAXIFS(Token!$B:$B,Token!$A:$A,$D274),)</f>
        <v/>
      </c>
    </row>
    <row r="275">
      <c r="A275" s="35" t="str">
        <f>IF(AND($L275*1&gt;=$G$3,$L275*1&lt;=$G$4,$I275*$J275&gt;0,CONCATENATE($H275:$L275)&lt;&gt;CONCATENATE($H276:$L276),$I275/POW(10,$J275)*MAXIFS(Token!$B:$B,Token!$A:$A,$K275)&gt;0.01),$L275/86400+DATE(1970,1,1)+IF($L275*1&gt;=$G$5,$G$6,0),)</f>
        <v/>
      </c>
      <c r="B275" s="22" t="str">
        <f t="shared" si="1"/>
        <v/>
      </c>
      <c r="C275" s="14" t="str">
        <f>IF($A275&lt;&gt;"",MINIFS(Merchant!$A:$A,Merchant!$B:$B,$G$2),)</f>
        <v/>
      </c>
      <c r="D275" s="14" t="str">
        <f t="shared" si="2"/>
        <v/>
      </c>
      <c r="E275" s="14" t="str">
        <f t="shared" si="3"/>
        <v/>
      </c>
      <c r="F275" s="6" t="str">
        <f>IF($A275&lt;&gt;"",MAXIFS(Token!$B:$B,Token!$A:$A,$D275),)</f>
        <v/>
      </c>
    </row>
    <row r="276">
      <c r="A276" s="35" t="str">
        <f>IF(AND($L276*1&gt;=$G$3,$L276*1&lt;=$G$4,$I276*$J276&gt;0,CONCATENATE($H276:$L276)&lt;&gt;CONCATENATE($H277:$L277),$I276/POW(10,$J276)*MAXIFS(Token!$B:$B,Token!$A:$A,$K276)&gt;0.01),$L276/86400+DATE(1970,1,1)+IF($L276*1&gt;=$G$5,$G$6,0),)</f>
        <v/>
      </c>
      <c r="B276" s="22" t="str">
        <f t="shared" si="1"/>
        <v/>
      </c>
      <c r="C276" s="14" t="str">
        <f>IF($A276&lt;&gt;"",MINIFS(Merchant!$A:$A,Merchant!$B:$B,$G$2),)</f>
        <v/>
      </c>
      <c r="D276" s="14" t="str">
        <f t="shared" si="2"/>
        <v/>
      </c>
      <c r="E276" s="14" t="str">
        <f t="shared" si="3"/>
        <v/>
      </c>
      <c r="F276" s="6" t="str">
        <f>IF($A276&lt;&gt;"",MAXIFS(Token!$B:$B,Token!$A:$A,$D276),)</f>
        <v/>
      </c>
    </row>
    <row r="277">
      <c r="A277" s="35" t="str">
        <f>IF(AND($L277*1&gt;=$G$3,$L277*1&lt;=$G$4,$I277*$J277&gt;0,CONCATENATE($H277:$L277)&lt;&gt;CONCATENATE($H278:$L278),$I277/POW(10,$J277)*MAXIFS(Token!$B:$B,Token!$A:$A,$K277)&gt;0.01),$L277/86400+DATE(1970,1,1)+IF($L277*1&gt;=$G$5,$G$6,0),)</f>
        <v/>
      </c>
      <c r="B277" s="22" t="str">
        <f t="shared" si="1"/>
        <v/>
      </c>
      <c r="C277" s="14" t="str">
        <f>IF($A277&lt;&gt;"",MINIFS(Merchant!$A:$A,Merchant!$B:$B,$G$2),)</f>
        <v/>
      </c>
      <c r="D277" s="14" t="str">
        <f t="shared" si="2"/>
        <v/>
      </c>
      <c r="E277" s="14" t="str">
        <f t="shared" si="3"/>
        <v/>
      </c>
      <c r="F277" s="6" t="str">
        <f>IF($A277&lt;&gt;"",MAXIFS(Token!$B:$B,Token!$A:$A,$D277),)</f>
        <v/>
      </c>
    </row>
    <row r="278">
      <c r="A278" s="35" t="str">
        <f>IF(AND($L278*1&gt;=$G$3,$L278*1&lt;=$G$4,$I278*$J278&gt;0,CONCATENATE($H278:$L278)&lt;&gt;CONCATENATE($H279:$L279),$I278/POW(10,$J278)*MAXIFS(Token!$B:$B,Token!$A:$A,$K278)&gt;0.01),$L278/86400+DATE(1970,1,1)+IF($L278*1&gt;=$G$5,$G$6,0),)</f>
        <v/>
      </c>
      <c r="B278" s="22" t="str">
        <f t="shared" si="1"/>
        <v/>
      </c>
      <c r="C278" s="14" t="str">
        <f>IF($A278&lt;&gt;"",MINIFS(Merchant!$A:$A,Merchant!$B:$B,$G$2),)</f>
        <v/>
      </c>
      <c r="D278" s="14" t="str">
        <f t="shared" si="2"/>
        <v/>
      </c>
      <c r="E278" s="14" t="str">
        <f t="shared" si="3"/>
        <v/>
      </c>
      <c r="F278" s="6" t="str">
        <f>IF($A278&lt;&gt;"",MAXIFS(Token!$B:$B,Token!$A:$A,$D278),)</f>
        <v/>
      </c>
    </row>
    <row r="279">
      <c r="A279" s="35" t="str">
        <f>IF(AND($L279*1&gt;=$G$3,$L279*1&lt;=$G$4,$I279*$J279&gt;0,CONCATENATE($H279:$L279)&lt;&gt;CONCATENATE($H280:$L280),$I279/POW(10,$J279)*MAXIFS(Token!$B:$B,Token!$A:$A,$K279)&gt;0.01),$L279/86400+DATE(1970,1,1)+IF($L279*1&gt;=$G$5,$G$6,0),)</f>
        <v/>
      </c>
      <c r="B279" s="22" t="str">
        <f t="shared" si="1"/>
        <v/>
      </c>
      <c r="C279" s="14" t="str">
        <f>IF($A279&lt;&gt;"",MINIFS(Merchant!$A:$A,Merchant!$B:$B,$G$2),)</f>
        <v/>
      </c>
      <c r="D279" s="14" t="str">
        <f t="shared" si="2"/>
        <v/>
      </c>
      <c r="E279" s="14" t="str">
        <f t="shared" si="3"/>
        <v/>
      </c>
      <c r="F279" s="6" t="str">
        <f>IF($A279&lt;&gt;"",MAXIFS(Token!$B:$B,Token!$A:$A,$D279),)</f>
        <v/>
      </c>
    </row>
    <row r="280">
      <c r="A280" s="35" t="str">
        <f>IF(AND($L280*1&gt;=$G$3,$L280*1&lt;=$G$4,$I280*$J280&gt;0,CONCATENATE($H280:$L280)&lt;&gt;CONCATENATE($H281:$L281),$I280/POW(10,$J280)*MAXIFS(Token!$B:$B,Token!$A:$A,$K280)&gt;0.01),$L280/86400+DATE(1970,1,1)+IF($L280*1&gt;=$G$5,$G$6,0),)</f>
        <v/>
      </c>
      <c r="B280" s="22" t="str">
        <f t="shared" si="1"/>
        <v/>
      </c>
      <c r="C280" s="14" t="str">
        <f>IF($A280&lt;&gt;"",MINIFS(Merchant!$A:$A,Merchant!$B:$B,$G$2),)</f>
        <v/>
      </c>
      <c r="D280" s="14" t="str">
        <f t="shared" si="2"/>
        <v/>
      </c>
      <c r="E280" s="14" t="str">
        <f t="shared" si="3"/>
        <v/>
      </c>
      <c r="F280" s="6" t="str">
        <f>IF($A280&lt;&gt;"",MAXIFS(Token!$B:$B,Token!$A:$A,$D280),)</f>
        <v/>
      </c>
    </row>
    <row r="281">
      <c r="A281" s="35" t="str">
        <f>IF(AND($L281*1&gt;=$G$3,$L281*1&lt;=$G$4,$I281*$J281&gt;0,CONCATENATE($H281:$L281)&lt;&gt;CONCATENATE($H282:$L282),$I281/POW(10,$J281)*MAXIFS(Token!$B:$B,Token!$A:$A,$K281)&gt;0.01),$L281/86400+DATE(1970,1,1)+IF($L281*1&gt;=$G$5,$G$6,0),)</f>
        <v/>
      </c>
      <c r="B281" s="22" t="str">
        <f t="shared" si="1"/>
        <v/>
      </c>
      <c r="C281" s="14" t="str">
        <f>IF($A281&lt;&gt;"",MINIFS(Merchant!$A:$A,Merchant!$B:$B,$G$2),)</f>
        <v/>
      </c>
      <c r="D281" s="14" t="str">
        <f t="shared" si="2"/>
        <v/>
      </c>
      <c r="E281" s="14" t="str">
        <f t="shared" si="3"/>
        <v/>
      </c>
      <c r="F281" s="6" t="str">
        <f>IF($A281&lt;&gt;"",MAXIFS(Token!$B:$B,Token!$A:$A,$D281),)</f>
        <v/>
      </c>
    </row>
    <row r="282">
      <c r="A282" s="35" t="str">
        <f>IF(AND($L282*1&gt;=$G$3,$L282*1&lt;=$G$4,$I282*$J282&gt;0,CONCATENATE($H282:$L282)&lt;&gt;CONCATENATE($H283:$L283),$I282/POW(10,$J282)*MAXIFS(Token!$B:$B,Token!$A:$A,$K282)&gt;0.01),$L282/86400+DATE(1970,1,1)+IF($L282*1&gt;=$G$5,$G$6,0),)</f>
        <v/>
      </c>
      <c r="B282" s="22" t="str">
        <f t="shared" si="1"/>
        <v/>
      </c>
      <c r="C282" s="14" t="str">
        <f>IF($A282&lt;&gt;"",MINIFS(Merchant!$A:$A,Merchant!$B:$B,$G$2),)</f>
        <v/>
      </c>
      <c r="D282" s="14" t="str">
        <f t="shared" si="2"/>
        <v/>
      </c>
      <c r="E282" s="14" t="str">
        <f t="shared" si="3"/>
        <v/>
      </c>
      <c r="F282" s="6" t="str">
        <f>IF($A282&lt;&gt;"",MAXIFS(Token!$B:$B,Token!$A:$A,$D282),)</f>
        <v/>
      </c>
    </row>
    <row r="283">
      <c r="A283" s="35" t="str">
        <f>IF(AND($L283*1&gt;=$G$3,$L283*1&lt;=$G$4,$I283*$J283&gt;0,CONCATENATE($H283:$L283)&lt;&gt;CONCATENATE($H284:$L284),$I283/POW(10,$J283)*MAXIFS(Token!$B:$B,Token!$A:$A,$K283)&gt;0.01),$L283/86400+DATE(1970,1,1)+IF($L283*1&gt;=$G$5,$G$6,0),)</f>
        <v/>
      </c>
      <c r="B283" s="22" t="str">
        <f t="shared" si="1"/>
        <v/>
      </c>
      <c r="C283" s="14" t="str">
        <f>IF($A283&lt;&gt;"",MINIFS(Merchant!$A:$A,Merchant!$B:$B,$G$2),)</f>
        <v/>
      </c>
      <c r="D283" s="14" t="str">
        <f t="shared" si="2"/>
        <v/>
      </c>
      <c r="E283" s="14" t="str">
        <f t="shared" si="3"/>
        <v/>
      </c>
      <c r="F283" s="6" t="str">
        <f>IF($A283&lt;&gt;"",MAXIFS(Token!$B:$B,Token!$A:$A,$D283),)</f>
        <v/>
      </c>
    </row>
    <row r="284">
      <c r="A284" s="35" t="str">
        <f>IF(AND($L284*1&gt;=$G$3,$L284*1&lt;=$G$4,$I284*$J284&gt;0,CONCATENATE($H284:$L284)&lt;&gt;CONCATENATE($H285:$L285),$I284/POW(10,$J284)*MAXIFS(Token!$B:$B,Token!$A:$A,$K284)&gt;0.01),$L284/86400+DATE(1970,1,1)+IF($L284*1&gt;=$G$5,$G$6,0),)</f>
        <v/>
      </c>
      <c r="B284" s="22" t="str">
        <f t="shared" si="1"/>
        <v/>
      </c>
      <c r="C284" s="14" t="str">
        <f>IF($A284&lt;&gt;"",MINIFS(Merchant!$A:$A,Merchant!$B:$B,$G$2),)</f>
        <v/>
      </c>
      <c r="D284" s="14" t="str">
        <f t="shared" si="2"/>
        <v/>
      </c>
      <c r="E284" s="14" t="str">
        <f t="shared" si="3"/>
        <v/>
      </c>
      <c r="F284" s="6" t="str">
        <f>IF($A284&lt;&gt;"",MAXIFS(Token!$B:$B,Token!$A:$A,$D284),)</f>
        <v/>
      </c>
    </row>
    <row r="285">
      <c r="A285" s="35" t="str">
        <f>IF(AND($L285*1&gt;=$G$3,$L285*1&lt;=$G$4,$I285*$J285&gt;0,CONCATENATE($H285:$L285)&lt;&gt;CONCATENATE($H286:$L286),$I285/POW(10,$J285)*MAXIFS(Token!$B:$B,Token!$A:$A,$K285)&gt;0.01),$L285/86400+DATE(1970,1,1)+IF($L285*1&gt;=$G$5,$G$6,0),)</f>
        <v/>
      </c>
      <c r="B285" s="22" t="str">
        <f t="shared" si="1"/>
        <v/>
      </c>
      <c r="C285" s="14" t="str">
        <f>IF($A285&lt;&gt;"",MINIFS(Merchant!$A:$A,Merchant!$B:$B,$G$2),)</f>
        <v/>
      </c>
      <c r="D285" s="14" t="str">
        <f t="shared" si="2"/>
        <v/>
      </c>
      <c r="E285" s="14" t="str">
        <f t="shared" si="3"/>
        <v/>
      </c>
      <c r="F285" s="6" t="str">
        <f>IF($A285&lt;&gt;"",MAXIFS(Token!$B:$B,Token!$A:$A,$D285),)</f>
        <v/>
      </c>
    </row>
    <row r="286">
      <c r="A286" s="35" t="str">
        <f>IF(AND($L286*1&gt;=$G$3,$L286*1&lt;=$G$4,$I286*$J286&gt;0,CONCATENATE($H286:$L286)&lt;&gt;CONCATENATE($H287:$L287),$I286/POW(10,$J286)*MAXIFS(Token!$B:$B,Token!$A:$A,$K286)&gt;0.01),$L286/86400+DATE(1970,1,1)+IF($L286*1&gt;=$G$5,$G$6,0),)</f>
        <v/>
      </c>
      <c r="B286" s="22" t="str">
        <f t="shared" si="1"/>
        <v/>
      </c>
      <c r="C286" s="14" t="str">
        <f>IF($A286&lt;&gt;"",MINIFS(Merchant!$A:$A,Merchant!$B:$B,$G$2),)</f>
        <v/>
      </c>
      <c r="D286" s="14" t="str">
        <f t="shared" si="2"/>
        <v/>
      </c>
      <c r="E286" s="14" t="str">
        <f t="shared" si="3"/>
        <v/>
      </c>
      <c r="F286" s="6" t="str">
        <f>IF($A286&lt;&gt;"",MAXIFS(Token!$B:$B,Token!$A:$A,$D286),)</f>
        <v/>
      </c>
    </row>
    <row r="287">
      <c r="A287" s="35" t="str">
        <f>IF(AND($L287*1&gt;=$G$3,$L287*1&lt;=$G$4,$I287*$J287&gt;0,CONCATENATE($H287:$L287)&lt;&gt;CONCATENATE($H288:$L288),$I287/POW(10,$J287)*MAXIFS(Token!$B:$B,Token!$A:$A,$K287)&gt;0.01),$L287/86400+DATE(1970,1,1)+IF($L287*1&gt;=$G$5,$G$6,0),)</f>
        <v/>
      </c>
      <c r="B287" s="22" t="str">
        <f t="shared" si="1"/>
        <v/>
      </c>
      <c r="C287" s="14" t="str">
        <f>IF($A287&lt;&gt;"",MINIFS(Merchant!$A:$A,Merchant!$B:$B,$G$2),)</f>
        <v/>
      </c>
      <c r="D287" s="14" t="str">
        <f t="shared" si="2"/>
        <v/>
      </c>
      <c r="E287" s="14" t="str">
        <f t="shared" si="3"/>
        <v/>
      </c>
      <c r="F287" s="6" t="str">
        <f>IF($A287&lt;&gt;"",MAXIFS(Token!$B:$B,Token!$A:$A,$D287),)</f>
        <v/>
      </c>
    </row>
    <row r="288">
      <c r="A288" s="35" t="str">
        <f>IF(AND($L288*1&gt;=$G$3,$L288*1&lt;=$G$4,$I288*$J288&gt;0,CONCATENATE($H288:$L288)&lt;&gt;CONCATENATE($H289:$L289),$I288/POW(10,$J288)*MAXIFS(Token!$B:$B,Token!$A:$A,$K288)&gt;0.01),$L288/86400+DATE(1970,1,1)+IF($L288*1&gt;=$G$5,$G$6,0),)</f>
        <v/>
      </c>
      <c r="B288" s="22" t="str">
        <f t="shared" si="1"/>
        <v/>
      </c>
      <c r="C288" s="14" t="str">
        <f>IF($A288&lt;&gt;"",MINIFS(Merchant!$A:$A,Merchant!$B:$B,$G$2),)</f>
        <v/>
      </c>
      <c r="D288" s="14" t="str">
        <f t="shared" si="2"/>
        <v/>
      </c>
      <c r="E288" s="14" t="str">
        <f t="shared" si="3"/>
        <v/>
      </c>
      <c r="F288" s="6" t="str">
        <f>IF($A288&lt;&gt;"",MAXIFS(Token!$B:$B,Token!$A:$A,$D288),)</f>
        <v/>
      </c>
    </row>
    <row r="289">
      <c r="A289" s="35" t="str">
        <f>IF(AND($L289*1&gt;=$G$3,$L289*1&lt;=$G$4,$I289*$J289&gt;0,CONCATENATE($H289:$L289)&lt;&gt;CONCATENATE($H290:$L290),$I289/POW(10,$J289)*MAXIFS(Token!$B:$B,Token!$A:$A,$K289)&gt;0.01),$L289/86400+DATE(1970,1,1)+IF($L289*1&gt;=$G$5,$G$6,0),)</f>
        <v/>
      </c>
      <c r="B289" s="22" t="str">
        <f t="shared" si="1"/>
        <v/>
      </c>
      <c r="C289" s="14" t="str">
        <f>IF($A289&lt;&gt;"",MINIFS(Merchant!$A:$A,Merchant!$B:$B,$G$2),)</f>
        <v/>
      </c>
      <c r="D289" s="14" t="str">
        <f t="shared" si="2"/>
        <v/>
      </c>
      <c r="E289" s="14" t="str">
        <f t="shared" si="3"/>
        <v/>
      </c>
      <c r="F289" s="6" t="str">
        <f>IF($A289&lt;&gt;"",MAXIFS(Token!$B:$B,Token!$A:$A,$D289),)</f>
        <v/>
      </c>
    </row>
    <row r="290">
      <c r="A290" s="35" t="str">
        <f>IF(AND($L290*1&gt;=$G$3,$L290*1&lt;=$G$4,$I290*$J290&gt;0,CONCATENATE($H290:$L290)&lt;&gt;CONCATENATE($H291:$L291),$I290/POW(10,$J290)*MAXIFS(Token!$B:$B,Token!$A:$A,$K290)&gt;0.01),$L290/86400+DATE(1970,1,1)+IF($L290*1&gt;=$G$5,$G$6,0),)</f>
        <v/>
      </c>
      <c r="B290" s="22" t="str">
        <f t="shared" si="1"/>
        <v/>
      </c>
      <c r="C290" s="14" t="str">
        <f>IF($A290&lt;&gt;"",MINIFS(Merchant!$A:$A,Merchant!$B:$B,$G$2),)</f>
        <v/>
      </c>
      <c r="D290" s="14" t="str">
        <f t="shared" si="2"/>
        <v/>
      </c>
      <c r="E290" s="14" t="str">
        <f t="shared" si="3"/>
        <v/>
      </c>
      <c r="F290" s="6" t="str">
        <f>IF($A290&lt;&gt;"",MAXIFS(Token!$B:$B,Token!$A:$A,$D290),)</f>
        <v/>
      </c>
    </row>
    <row r="291">
      <c r="A291" s="35" t="str">
        <f>IF(AND($L291*1&gt;=$G$3,$L291*1&lt;=$G$4,$I291*$J291&gt;0,CONCATENATE($H291:$L291)&lt;&gt;CONCATENATE($H292:$L292),$I291/POW(10,$J291)*MAXIFS(Token!$B:$B,Token!$A:$A,$K291)&gt;0.01),$L291/86400+DATE(1970,1,1)+IF($L291*1&gt;=$G$5,$G$6,0),)</f>
        <v/>
      </c>
      <c r="B291" s="22" t="str">
        <f t="shared" si="1"/>
        <v/>
      </c>
      <c r="C291" s="14" t="str">
        <f>IF($A291&lt;&gt;"",MINIFS(Merchant!$A:$A,Merchant!$B:$B,$G$2),)</f>
        <v/>
      </c>
      <c r="D291" s="14" t="str">
        <f t="shared" si="2"/>
        <v/>
      </c>
      <c r="E291" s="14" t="str">
        <f t="shared" si="3"/>
        <v/>
      </c>
      <c r="F291" s="6" t="str">
        <f>IF($A291&lt;&gt;"",MAXIFS(Token!$B:$B,Token!$A:$A,$D291),)</f>
        <v/>
      </c>
    </row>
    <row r="292">
      <c r="A292" s="35" t="str">
        <f>IF(AND($L292*1&gt;=$G$3,$L292*1&lt;=$G$4,$I292*$J292&gt;0,CONCATENATE($H292:$L292)&lt;&gt;CONCATENATE($H293:$L293),$I292/POW(10,$J292)*MAXIFS(Token!$B:$B,Token!$A:$A,$K292)&gt;0.01),$L292/86400+DATE(1970,1,1)+IF($L292*1&gt;=$G$5,$G$6,0),)</f>
        <v/>
      </c>
      <c r="B292" s="22" t="str">
        <f t="shared" si="1"/>
        <v/>
      </c>
      <c r="C292" s="14" t="str">
        <f>IF($A292&lt;&gt;"",MINIFS(Merchant!$A:$A,Merchant!$B:$B,$G$2),)</f>
        <v/>
      </c>
      <c r="D292" s="14" t="str">
        <f t="shared" si="2"/>
        <v/>
      </c>
      <c r="E292" s="14" t="str">
        <f t="shared" si="3"/>
        <v/>
      </c>
      <c r="F292" s="6" t="str">
        <f>IF($A292&lt;&gt;"",MAXIFS(Token!$B:$B,Token!$A:$A,$D292),)</f>
        <v/>
      </c>
    </row>
    <row r="293">
      <c r="A293" s="35" t="str">
        <f>IF(AND($L293*1&gt;=$G$3,$L293*1&lt;=$G$4,$I293*$J293&gt;0,CONCATENATE($H293:$L293)&lt;&gt;CONCATENATE($H294:$L294),$I293/POW(10,$J293)*MAXIFS(Token!$B:$B,Token!$A:$A,$K293)&gt;0.01),$L293/86400+DATE(1970,1,1)+IF($L293*1&gt;=$G$5,$G$6,0),)</f>
        <v/>
      </c>
      <c r="B293" s="22" t="str">
        <f t="shared" si="1"/>
        <v/>
      </c>
      <c r="C293" s="14" t="str">
        <f>IF($A293&lt;&gt;"",MINIFS(Merchant!$A:$A,Merchant!$B:$B,$G$2),)</f>
        <v/>
      </c>
      <c r="D293" s="14" t="str">
        <f t="shared" si="2"/>
        <v/>
      </c>
      <c r="E293" s="14" t="str">
        <f t="shared" si="3"/>
        <v/>
      </c>
      <c r="F293" s="6" t="str">
        <f>IF($A293&lt;&gt;"",MAXIFS(Token!$B:$B,Token!$A:$A,$D293),)</f>
        <v/>
      </c>
    </row>
    <row r="294">
      <c r="A294" s="35" t="str">
        <f>IF(AND($L294*1&gt;=$G$3,$L294*1&lt;=$G$4,$I294*$J294&gt;0,CONCATENATE($H294:$L294)&lt;&gt;CONCATENATE($H295:$L295),$I294/POW(10,$J294)*MAXIFS(Token!$B:$B,Token!$A:$A,$K294)&gt;0.01),$L294/86400+DATE(1970,1,1)+IF($L294*1&gt;=$G$5,$G$6,0),)</f>
        <v/>
      </c>
      <c r="B294" s="22" t="str">
        <f t="shared" si="1"/>
        <v/>
      </c>
      <c r="C294" s="14" t="str">
        <f>IF($A294&lt;&gt;"",MINIFS(Merchant!$A:$A,Merchant!$B:$B,$G$2),)</f>
        <v/>
      </c>
      <c r="D294" s="14" t="str">
        <f t="shared" si="2"/>
        <v/>
      </c>
      <c r="E294" s="14" t="str">
        <f t="shared" si="3"/>
        <v/>
      </c>
      <c r="F294" s="6" t="str">
        <f>IF($A294&lt;&gt;"",MAXIFS(Token!$B:$B,Token!$A:$A,$D294),)</f>
        <v/>
      </c>
    </row>
    <row r="295">
      <c r="A295" s="35" t="str">
        <f>IF(AND($L295*1&gt;=$G$3,$L295*1&lt;=$G$4,$I295*$J295&gt;0,CONCATENATE($H295:$L295)&lt;&gt;CONCATENATE($H296:$L296),$I295/POW(10,$J295)*MAXIFS(Token!$B:$B,Token!$A:$A,$K295)&gt;0.01),$L295/86400+DATE(1970,1,1)+IF($L295*1&gt;=$G$5,$G$6,0),)</f>
        <v/>
      </c>
      <c r="B295" s="22" t="str">
        <f t="shared" si="1"/>
        <v/>
      </c>
      <c r="C295" s="14" t="str">
        <f>IF($A295&lt;&gt;"",MINIFS(Merchant!$A:$A,Merchant!$B:$B,$G$2),)</f>
        <v/>
      </c>
      <c r="D295" s="14" t="str">
        <f t="shared" si="2"/>
        <v/>
      </c>
      <c r="E295" s="14" t="str">
        <f t="shared" si="3"/>
        <v/>
      </c>
      <c r="F295" s="6" t="str">
        <f>IF($A295&lt;&gt;"",MAXIFS(Token!$B:$B,Token!$A:$A,$D295),)</f>
        <v/>
      </c>
    </row>
    <row r="296">
      <c r="A296" s="35" t="str">
        <f>IF(AND($L296*1&gt;=$G$3,$L296*1&lt;=$G$4,$I296*$J296&gt;0,CONCATENATE($H296:$L296)&lt;&gt;CONCATENATE($H297:$L297),$I296/POW(10,$J296)*MAXIFS(Token!$B:$B,Token!$A:$A,$K296)&gt;0.01),$L296/86400+DATE(1970,1,1)+IF($L296*1&gt;=$G$5,$G$6,0),)</f>
        <v/>
      </c>
      <c r="B296" s="22" t="str">
        <f t="shared" si="1"/>
        <v/>
      </c>
      <c r="C296" s="14" t="str">
        <f>IF($A296&lt;&gt;"",MINIFS(Merchant!$A:$A,Merchant!$B:$B,$G$2),)</f>
        <v/>
      </c>
      <c r="D296" s="14" t="str">
        <f t="shared" si="2"/>
        <v/>
      </c>
      <c r="E296" s="14" t="str">
        <f t="shared" si="3"/>
        <v/>
      </c>
      <c r="F296" s="6" t="str">
        <f>IF($A296&lt;&gt;"",MAXIFS(Token!$B:$B,Token!$A:$A,$D296),)</f>
        <v/>
      </c>
    </row>
    <row r="297">
      <c r="A297" s="35" t="str">
        <f>IF(AND($L297*1&gt;=$G$3,$L297*1&lt;=$G$4,$I297*$J297&gt;0,CONCATENATE($H297:$L297)&lt;&gt;CONCATENATE($H298:$L298),$I297/POW(10,$J297)*MAXIFS(Token!$B:$B,Token!$A:$A,$K297)&gt;0.01),$L297/86400+DATE(1970,1,1)+IF($L297*1&gt;=$G$5,$G$6,0),)</f>
        <v/>
      </c>
      <c r="B297" s="22" t="str">
        <f t="shared" si="1"/>
        <v/>
      </c>
      <c r="C297" s="14" t="str">
        <f>IF($A297&lt;&gt;"",MINIFS(Merchant!$A:$A,Merchant!$B:$B,$G$2),)</f>
        <v/>
      </c>
      <c r="D297" s="14" t="str">
        <f t="shared" si="2"/>
        <v/>
      </c>
      <c r="E297" s="14" t="str">
        <f t="shared" si="3"/>
        <v/>
      </c>
      <c r="F297" s="6" t="str">
        <f>IF($A297&lt;&gt;"",MAXIFS(Token!$B:$B,Token!$A:$A,$D297),)</f>
        <v/>
      </c>
    </row>
    <row r="298">
      <c r="A298" s="35" t="str">
        <f>IF(AND($L298*1&gt;=$G$3,$L298*1&lt;=$G$4,$I298*$J298&gt;0,CONCATENATE($H298:$L298)&lt;&gt;CONCATENATE($H299:$L299),$I298/POW(10,$J298)*MAXIFS(Token!$B:$B,Token!$A:$A,$K298)&gt;0.01),$L298/86400+DATE(1970,1,1)+IF($L298*1&gt;=$G$5,$G$6,0),)</f>
        <v/>
      </c>
      <c r="B298" s="22" t="str">
        <f t="shared" si="1"/>
        <v/>
      </c>
      <c r="C298" s="14" t="str">
        <f>IF($A298&lt;&gt;"",MINIFS(Merchant!$A:$A,Merchant!$B:$B,$G$2),)</f>
        <v/>
      </c>
      <c r="D298" s="14" t="str">
        <f t="shared" si="2"/>
        <v/>
      </c>
      <c r="E298" s="14" t="str">
        <f t="shared" si="3"/>
        <v/>
      </c>
      <c r="F298" s="6" t="str">
        <f>IF($A298&lt;&gt;"",MAXIFS(Token!$B:$B,Token!$A:$A,$D298),)</f>
        <v/>
      </c>
    </row>
    <row r="299">
      <c r="A299" s="35" t="str">
        <f>IF(AND($L299*1&gt;=$G$3,$L299*1&lt;=$G$4,$I299*$J299&gt;0,CONCATENATE($H299:$L299)&lt;&gt;CONCATENATE($H300:$L300),$I299/POW(10,$J299)*MAXIFS(Token!$B:$B,Token!$A:$A,$K299)&gt;0.01),$L299/86400+DATE(1970,1,1)+IF($L299*1&gt;=$G$5,$G$6,0),)</f>
        <v/>
      </c>
      <c r="B299" s="22" t="str">
        <f t="shared" si="1"/>
        <v/>
      </c>
      <c r="C299" s="14" t="str">
        <f>IF($A299&lt;&gt;"",MINIFS(Merchant!$A:$A,Merchant!$B:$B,$G$2),)</f>
        <v/>
      </c>
      <c r="D299" s="14" t="str">
        <f t="shared" si="2"/>
        <v/>
      </c>
      <c r="E299" s="14" t="str">
        <f t="shared" si="3"/>
        <v/>
      </c>
      <c r="F299" s="6" t="str">
        <f>IF($A299&lt;&gt;"",MAXIFS(Token!$B:$B,Token!$A:$A,$D299),)</f>
        <v/>
      </c>
    </row>
    <row r="300">
      <c r="A300" s="35" t="str">
        <f>IF(AND($L300*1&gt;=$G$3,$L300*1&lt;=$G$4,$I300*$J300&gt;0,CONCATENATE($H300:$L300)&lt;&gt;CONCATENATE($H301:$L301),$I300/POW(10,$J300)*MAXIFS(Token!$B:$B,Token!$A:$A,$K300)&gt;0.01),$L300/86400+DATE(1970,1,1)+IF($L300*1&gt;=$G$5,$G$6,0),)</f>
        <v/>
      </c>
      <c r="B300" s="22" t="str">
        <f t="shared" si="1"/>
        <v/>
      </c>
      <c r="C300" s="14" t="str">
        <f>IF($A300&lt;&gt;"",MINIFS(Merchant!$A:$A,Merchant!$B:$B,$G$2),)</f>
        <v/>
      </c>
      <c r="D300" s="14" t="str">
        <f t="shared" si="2"/>
        <v/>
      </c>
      <c r="E300" s="14" t="str">
        <f t="shared" si="3"/>
        <v/>
      </c>
      <c r="F300" s="6" t="str">
        <f>IF($A300&lt;&gt;"",MAXIFS(Token!$B:$B,Token!$A:$A,$D300),)</f>
        <v/>
      </c>
    </row>
    <row r="301">
      <c r="A301" s="35" t="str">
        <f>IF(AND($L301*1&gt;=$G$3,$L301*1&lt;=$G$4,$I301*$J301&gt;0,CONCATENATE($H301:$L301)&lt;&gt;CONCATENATE($H302:$L302),$I301/POW(10,$J301)*MAXIFS(Token!$B:$B,Token!$A:$A,$K301)&gt;0.01),$L301/86400+DATE(1970,1,1)+IF($L301*1&gt;=$G$5,$G$6,0),)</f>
        <v/>
      </c>
      <c r="B301" s="22" t="str">
        <f t="shared" si="1"/>
        <v/>
      </c>
      <c r="C301" s="14" t="str">
        <f>IF($A301&lt;&gt;"",MINIFS(Merchant!$A:$A,Merchant!$B:$B,$G$2),)</f>
        <v/>
      </c>
      <c r="D301" s="14" t="str">
        <f t="shared" si="2"/>
        <v/>
      </c>
      <c r="E301" s="14" t="str">
        <f t="shared" si="3"/>
        <v/>
      </c>
      <c r="F301" s="6" t="str">
        <f>IF($A301&lt;&gt;"",MAXIFS(Token!$B:$B,Token!$A:$A,$D301),)</f>
        <v/>
      </c>
    </row>
    <row r="302">
      <c r="A302" s="35" t="str">
        <f>IF(AND($L302*1&gt;=$G$3,$L302*1&lt;=$G$4,$I302*$J302&gt;0,CONCATENATE($H302:$L302)&lt;&gt;CONCATENATE($H303:$L303),$I302/POW(10,$J302)*MAXIFS(Token!$B:$B,Token!$A:$A,$K302)&gt;0.01),$L302/86400+DATE(1970,1,1)+IF($L302*1&gt;=$G$5,$G$6,0),)</f>
        <v/>
      </c>
      <c r="B302" s="22" t="str">
        <f t="shared" si="1"/>
        <v/>
      </c>
      <c r="C302" s="14" t="str">
        <f>IF($A302&lt;&gt;"",MINIFS(Merchant!$A:$A,Merchant!$B:$B,$G$2),)</f>
        <v/>
      </c>
      <c r="D302" s="14" t="str">
        <f t="shared" si="2"/>
        <v/>
      </c>
      <c r="E302" s="14" t="str">
        <f t="shared" si="3"/>
        <v/>
      </c>
      <c r="F302" s="6" t="str">
        <f>IF($A302&lt;&gt;"",MAXIFS(Token!$B:$B,Token!$A:$A,$D302),)</f>
        <v/>
      </c>
    </row>
    <row r="303">
      <c r="A303" s="35" t="str">
        <f>IF(AND($L303*1&gt;=$G$3,$L303*1&lt;=$G$4,$I303*$J303&gt;0,CONCATENATE($H303:$L303)&lt;&gt;CONCATENATE($H304:$L304),$I303/POW(10,$J303)*MAXIFS(Token!$B:$B,Token!$A:$A,$K303)&gt;0.01),$L303/86400+DATE(1970,1,1)+IF($L303*1&gt;=$G$5,$G$6,0),)</f>
        <v/>
      </c>
      <c r="B303" s="22" t="str">
        <f t="shared" si="1"/>
        <v/>
      </c>
      <c r="C303" s="14" t="str">
        <f>IF($A303&lt;&gt;"",MINIFS(Merchant!$A:$A,Merchant!$B:$B,$G$2),)</f>
        <v/>
      </c>
      <c r="D303" s="14" t="str">
        <f t="shared" si="2"/>
        <v/>
      </c>
      <c r="E303" s="14" t="str">
        <f t="shared" si="3"/>
        <v/>
      </c>
      <c r="F303" s="6" t="str">
        <f>IF($A303&lt;&gt;"",MAXIFS(Token!$B:$B,Token!$A:$A,$D303),)</f>
        <v/>
      </c>
    </row>
    <row r="304">
      <c r="A304" s="35" t="str">
        <f>IF(AND($L304*1&gt;=$G$3,$L304*1&lt;=$G$4,$I304*$J304&gt;0,CONCATENATE($H304:$L304)&lt;&gt;CONCATENATE($H305:$L305),$I304/POW(10,$J304)*MAXIFS(Token!$B:$B,Token!$A:$A,$K304)&gt;0.01),$L304/86400+DATE(1970,1,1)+IF($L304*1&gt;=$G$5,$G$6,0),)</f>
        <v/>
      </c>
      <c r="B304" s="22" t="str">
        <f t="shared" si="1"/>
        <v/>
      </c>
      <c r="C304" s="14" t="str">
        <f>IF($A304&lt;&gt;"",MINIFS(Merchant!$A:$A,Merchant!$B:$B,$G$2),)</f>
        <v/>
      </c>
      <c r="D304" s="14" t="str">
        <f t="shared" si="2"/>
        <v/>
      </c>
      <c r="E304" s="14" t="str">
        <f t="shared" si="3"/>
        <v/>
      </c>
      <c r="F304" s="6" t="str">
        <f>IF($A304&lt;&gt;"",MAXIFS(Token!$B:$B,Token!$A:$A,$D304),)</f>
        <v/>
      </c>
    </row>
    <row r="305">
      <c r="A305" s="35" t="str">
        <f>IF(AND($L305*1&gt;=$G$3,$L305*1&lt;=$G$4,$I305*$J305&gt;0,CONCATENATE($H305:$L305)&lt;&gt;CONCATENATE($H306:$L306),$I305/POW(10,$J305)*MAXIFS(Token!$B:$B,Token!$A:$A,$K305)&gt;0.01),$L305/86400+DATE(1970,1,1)+IF($L305*1&gt;=$G$5,$G$6,0),)</f>
        <v/>
      </c>
      <c r="B305" s="22" t="str">
        <f t="shared" si="1"/>
        <v/>
      </c>
      <c r="C305" s="14" t="str">
        <f>IF($A305&lt;&gt;"",MINIFS(Merchant!$A:$A,Merchant!$B:$B,$G$2),)</f>
        <v/>
      </c>
      <c r="D305" s="14" t="str">
        <f t="shared" si="2"/>
        <v/>
      </c>
      <c r="E305" s="14" t="str">
        <f t="shared" si="3"/>
        <v/>
      </c>
      <c r="F305" s="6" t="str">
        <f>IF($A305&lt;&gt;"",MAXIFS(Token!$B:$B,Token!$A:$A,$D305),)</f>
        <v/>
      </c>
    </row>
    <row r="306">
      <c r="A306" s="35" t="str">
        <f>IF(AND($L306*1&gt;=$G$3,$L306*1&lt;=$G$4,$I306*$J306&gt;0,CONCATENATE($H306:$L306)&lt;&gt;CONCATENATE($H307:$L307),$I306/POW(10,$J306)*MAXIFS(Token!$B:$B,Token!$A:$A,$K306)&gt;0.01),$L306/86400+DATE(1970,1,1)+IF($L306*1&gt;=$G$5,$G$6,0),)</f>
        <v/>
      </c>
      <c r="B306" s="22" t="str">
        <f t="shared" si="1"/>
        <v/>
      </c>
      <c r="C306" s="14" t="str">
        <f>IF($A306&lt;&gt;"",MINIFS(Merchant!$A:$A,Merchant!$B:$B,$G$2),)</f>
        <v/>
      </c>
      <c r="D306" s="14" t="str">
        <f t="shared" si="2"/>
        <v/>
      </c>
      <c r="E306" s="14" t="str">
        <f t="shared" si="3"/>
        <v/>
      </c>
      <c r="F306" s="6" t="str">
        <f>IF($A306&lt;&gt;"",MAXIFS(Token!$B:$B,Token!$A:$A,$D306),)</f>
        <v/>
      </c>
    </row>
    <row r="307">
      <c r="A307" s="35" t="str">
        <f>IF(AND($L307*1&gt;=$G$3,$L307*1&lt;=$G$4,$I307*$J307&gt;0,CONCATENATE($H307:$L307)&lt;&gt;CONCATENATE($H308:$L308),$I307/POW(10,$J307)*MAXIFS(Token!$B:$B,Token!$A:$A,$K307)&gt;0.01),$L307/86400+DATE(1970,1,1)+IF($L307*1&gt;=$G$5,$G$6,0),)</f>
        <v/>
      </c>
      <c r="B307" s="22" t="str">
        <f t="shared" si="1"/>
        <v/>
      </c>
      <c r="C307" s="14" t="str">
        <f>IF($A307&lt;&gt;"",MINIFS(Merchant!$A:$A,Merchant!$B:$B,$G$2),)</f>
        <v/>
      </c>
      <c r="D307" s="14" t="str">
        <f t="shared" si="2"/>
        <v/>
      </c>
      <c r="E307" s="14" t="str">
        <f t="shared" si="3"/>
        <v/>
      </c>
      <c r="F307" s="6" t="str">
        <f>IF($A307&lt;&gt;"",MAXIFS(Token!$B:$B,Token!$A:$A,$D307),)</f>
        <v/>
      </c>
    </row>
    <row r="308">
      <c r="A308" s="35" t="str">
        <f>IF(AND($L308*1&gt;=$G$3,$L308*1&lt;=$G$4,$I308*$J308&gt;0,CONCATENATE($H308:$L308)&lt;&gt;CONCATENATE($H309:$L309),$I308/POW(10,$J308)*MAXIFS(Token!$B:$B,Token!$A:$A,$K308)&gt;0.01),$L308/86400+DATE(1970,1,1)+IF($L308*1&gt;=$G$5,$G$6,0),)</f>
        <v/>
      </c>
      <c r="B308" s="22" t="str">
        <f t="shared" si="1"/>
        <v/>
      </c>
      <c r="C308" s="14" t="str">
        <f>IF($A308&lt;&gt;"",MINIFS(Merchant!$A:$A,Merchant!$B:$B,$G$2),)</f>
        <v/>
      </c>
      <c r="D308" s="14" t="str">
        <f t="shared" si="2"/>
        <v/>
      </c>
      <c r="E308" s="14" t="str">
        <f t="shared" si="3"/>
        <v/>
      </c>
      <c r="F308" s="6" t="str">
        <f>IF($A308&lt;&gt;"",MAXIFS(Token!$B:$B,Token!$A:$A,$D308),)</f>
        <v/>
      </c>
    </row>
    <row r="309">
      <c r="A309" s="35" t="str">
        <f>IF(AND($L309*1&gt;=$G$3,$L309*1&lt;=$G$4,$I309*$J309&gt;0,CONCATENATE($H309:$L309)&lt;&gt;CONCATENATE($H310:$L310),$I309/POW(10,$J309)*MAXIFS(Token!$B:$B,Token!$A:$A,$K309)&gt;0.01),$L309/86400+DATE(1970,1,1)+IF($L309*1&gt;=$G$5,$G$6,0),)</f>
        <v/>
      </c>
      <c r="B309" s="22" t="str">
        <f t="shared" si="1"/>
        <v/>
      </c>
      <c r="C309" s="14" t="str">
        <f>IF($A309&lt;&gt;"",MINIFS(Merchant!$A:$A,Merchant!$B:$B,$G$2),)</f>
        <v/>
      </c>
      <c r="D309" s="14" t="str">
        <f t="shared" si="2"/>
        <v/>
      </c>
      <c r="E309" s="14" t="str">
        <f t="shared" si="3"/>
        <v/>
      </c>
      <c r="F309" s="6" t="str">
        <f>IF($A309&lt;&gt;"",MAXIFS(Token!$B:$B,Token!$A:$A,$D309),)</f>
        <v/>
      </c>
    </row>
    <row r="310">
      <c r="A310" s="35" t="str">
        <f>IF(AND($L310*1&gt;=$G$3,$L310*1&lt;=$G$4,$I310*$J310&gt;0,CONCATENATE($H310:$L310)&lt;&gt;CONCATENATE($H311:$L311),$I310/POW(10,$J310)*MAXIFS(Token!$B:$B,Token!$A:$A,$K310)&gt;0.01),$L310/86400+DATE(1970,1,1)+IF($L310*1&gt;=$G$5,$G$6,0),)</f>
        <v/>
      </c>
      <c r="B310" s="22" t="str">
        <f t="shared" si="1"/>
        <v/>
      </c>
      <c r="C310" s="14" t="str">
        <f>IF($A310&lt;&gt;"",MINIFS(Merchant!$A:$A,Merchant!$B:$B,$G$2),)</f>
        <v/>
      </c>
      <c r="D310" s="14" t="str">
        <f t="shared" si="2"/>
        <v/>
      </c>
      <c r="E310" s="14" t="str">
        <f t="shared" si="3"/>
        <v/>
      </c>
      <c r="F310" s="6" t="str">
        <f>IF($A310&lt;&gt;"",MAXIFS(Token!$B:$B,Token!$A:$A,$D310),)</f>
        <v/>
      </c>
    </row>
    <row r="311">
      <c r="A311" s="35" t="str">
        <f>IF(AND($L311*1&gt;=$G$3,$L311*1&lt;=$G$4,$I311*$J311&gt;0,CONCATENATE($H311:$L311)&lt;&gt;CONCATENATE($H312:$L312),$I311/POW(10,$J311)*MAXIFS(Token!$B:$B,Token!$A:$A,$K311)&gt;0.01),$L311/86400+DATE(1970,1,1)+IF($L311*1&gt;=$G$5,$G$6,0),)</f>
        <v/>
      </c>
      <c r="B311" s="22" t="str">
        <f t="shared" si="1"/>
        <v/>
      </c>
      <c r="C311" s="14" t="str">
        <f>IF($A311&lt;&gt;"",MINIFS(Merchant!$A:$A,Merchant!$B:$B,$G$2),)</f>
        <v/>
      </c>
      <c r="D311" s="14" t="str">
        <f t="shared" si="2"/>
        <v/>
      </c>
      <c r="E311" s="14" t="str">
        <f t="shared" si="3"/>
        <v/>
      </c>
      <c r="F311" s="6" t="str">
        <f>IF($A311&lt;&gt;"",MAXIFS(Token!$B:$B,Token!$A:$A,$D311),)</f>
        <v/>
      </c>
    </row>
    <row r="312">
      <c r="A312" s="35" t="str">
        <f>IF(AND($L312*1&gt;=$G$3,$L312*1&lt;=$G$4,$I312*$J312&gt;0,CONCATENATE($H312:$L312)&lt;&gt;CONCATENATE($H313:$L313),$I312/POW(10,$J312)*MAXIFS(Token!$B:$B,Token!$A:$A,$K312)&gt;0.01),$L312/86400+DATE(1970,1,1)+IF($L312*1&gt;=$G$5,$G$6,0),)</f>
        <v/>
      </c>
      <c r="B312" s="22" t="str">
        <f t="shared" si="1"/>
        <v/>
      </c>
      <c r="C312" s="14" t="str">
        <f>IF($A312&lt;&gt;"",MINIFS(Merchant!$A:$A,Merchant!$B:$B,$G$2),)</f>
        <v/>
      </c>
      <c r="D312" s="14" t="str">
        <f t="shared" si="2"/>
        <v/>
      </c>
      <c r="E312" s="14" t="str">
        <f t="shared" si="3"/>
        <v/>
      </c>
      <c r="F312" s="6" t="str">
        <f>IF($A312&lt;&gt;"",MAXIFS(Token!$B:$B,Token!$A:$A,$D312),)</f>
        <v/>
      </c>
    </row>
    <row r="313">
      <c r="A313" s="35" t="str">
        <f>IF(AND($L313*1&gt;=$G$3,$L313*1&lt;=$G$4,$I313*$J313&gt;0,CONCATENATE($H313:$L313)&lt;&gt;CONCATENATE($H314:$L314),$I313/POW(10,$J313)*MAXIFS(Token!$B:$B,Token!$A:$A,$K313)&gt;0.01),$L313/86400+DATE(1970,1,1)+IF($L313*1&gt;=$G$5,$G$6,0),)</f>
        <v/>
      </c>
      <c r="B313" s="22" t="str">
        <f t="shared" si="1"/>
        <v/>
      </c>
      <c r="C313" s="14" t="str">
        <f>IF($A313&lt;&gt;"",MINIFS(Merchant!$A:$A,Merchant!$B:$B,$G$2),)</f>
        <v/>
      </c>
      <c r="D313" s="14" t="str">
        <f t="shared" si="2"/>
        <v/>
      </c>
      <c r="E313" s="14" t="str">
        <f t="shared" si="3"/>
        <v/>
      </c>
      <c r="F313" s="6" t="str">
        <f>IF($A313&lt;&gt;"",MAXIFS(Token!$B:$B,Token!$A:$A,$D313),)</f>
        <v/>
      </c>
    </row>
    <row r="314">
      <c r="A314" s="35" t="str">
        <f>IF(AND($L314*1&gt;=$G$3,$L314*1&lt;=$G$4,$I314*$J314&gt;0,CONCATENATE($H314:$L314)&lt;&gt;CONCATENATE($H315:$L315),$I314/POW(10,$J314)*MAXIFS(Token!$B:$B,Token!$A:$A,$K314)&gt;0.01),$L314/86400+DATE(1970,1,1)+IF($L314*1&gt;=$G$5,$G$6,0),)</f>
        <v/>
      </c>
      <c r="B314" s="22" t="str">
        <f t="shared" si="1"/>
        <v/>
      </c>
      <c r="C314" s="14" t="str">
        <f>IF($A314&lt;&gt;"",MINIFS(Merchant!$A:$A,Merchant!$B:$B,$G$2),)</f>
        <v/>
      </c>
      <c r="D314" s="14" t="str">
        <f t="shared" si="2"/>
        <v/>
      </c>
      <c r="E314" s="14" t="str">
        <f t="shared" si="3"/>
        <v/>
      </c>
      <c r="F314" s="6" t="str">
        <f>IF($A314&lt;&gt;"",MAXIFS(Token!$B:$B,Token!$A:$A,$D314),)</f>
        <v/>
      </c>
    </row>
    <row r="315">
      <c r="A315" s="35" t="str">
        <f>IF(AND($L315*1&gt;=$G$3,$L315*1&lt;=$G$4,$I315*$J315&gt;0,CONCATENATE($H315:$L315)&lt;&gt;CONCATENATE($H316:$L316),$I315/POW(10,$J315)*MAXIFS(Token!$B:$B,Token!$A:$A,$K315)&gt;0.01),$L315/86400+DATE(1970,1,1)+IF($L315*1&gt;=$G$5,$G$6,0),)</f>
        <v/>
      </c>
      <c r="B315" s="22" t="str">
        <f t="shared" si="1"/>
        <v/>
      </c>
      <c r="C315" s="14" t="str">
        <f>IF($A315&lt;&gt;"",MINIFS(Merchant!$A:$A,Merchant!$B:$B,$G$2),)</f>
        <v/>
      </c>
      <c r="D315" s="14" t="str">
        <f t="shared" si="2"/>
        <v/>
      </c>
      <c r="E315" s="14" t="str">
        <f t="shared" si="3"/>
        <v/>
      </c>
      <c r="F315" s="6" t="str">
        <f>IF($A315&lt;&gt;"",MAXIFS(Token!$B:$B,Token!$A:$A,$D315),)</f>
        <v/>
      </c>
    </row>
    <row r="316">
      <c r="A316" s="35" t="str">
        <f>IF(AND($L316*1&gt;=$G$3,$L316*1&lt;=$G$4,$I316*$J316&gt;0,CONCATENATE($H316:$L316)&lt;&gt;CONCATENATE($H317:$L317),$I316/POW(10,$J316)*MAXIFS(Token!$B:$B,Token!$A:$A,$K316)&gt;0.01),$L316/86400+DATE(1970,1,1)+IF($L316*1&gt;=$G$5,$G$6,0),)</f>
        <v/>
      </c>
      <c r="B316" s="22" t="str">
        <f t="shared" si="1"/>
        <v/>
      </c>
      <c r="C316" s="14" t="str">
        <f>IF($A316&lt;&gt;"",MINIFS(Merchant!$A:$A,Merchant!$B:$B,$G$2),)</f>
        <v/>
      </c>
      <c r="D316" s="14" t="str">
        <f t="shared" si="2"/>
        <v/>
      </c>
      <c r="E316" s="14" t="str">
        <f t="shared" si="3"/>
        <v/>
      </c>
      <c r="F316" s="6" t="str">
        <f>IF($A316&lt;&gt;"",MAXIFS(Token!$B:$B,Token!$A:$A,$D316),)</f>
        <v/>
      </c>
    </row>
    <row r="317">
      <c r="A317" s="35" t="str">
        <f>IF(AND($L317*1&gt;=$G$3,$L317*1&lt;=$G$4,$I317*$J317&gt;0,CONCATENATE($H317:$L317)&lt;&gt;CONCATENATE($H318:$L318),$I317/POW(10,$J317)*MAXIFS(Token!$B:$B,Token!$A:$A,$K317)&gt;0.01),$L317/86400+DATE(1970,1,1)+IF($L317*1&gt;=$G$5,$G$6,0),)</f>
        <v/>
      </c>
      <c r="B317" s="22" t="str">
        <f t="shared" si="1"/>
        <v/>
      </c>
      <c r="C317" s="14" t="str">
        <f>IF($A317&lt;&gt;"",MINIFS(Merchant!$A:$A,Merchant!$B:$B,$G$2),)</f>
        <v/>
      </c>
      <c r="D317" s="14" t="str">
        <f t="shared" si="2"/>
        <v/>
      </c>
      <c r="E317" s="14" t="str">
        <f t="shared" si="3"/>
        <v/>
      </c>
      <c r="F317" s="6" t="str">
        <f>IF($A317&lt;&gt;"",MAXIFS(Token!$B:$B,Token!$A:$A,$D317),)</f>
        <v/>
      </c>
    </row>
    <row r="318">
      <c r="A318" s="35" t="str">
        <f>IF(AND($L318*1&gt;=$G$3,$L318*1&lt;=$G$4,$I318*$J318&gt;0,CONCATENATE($H318:$L318)&lt;&gt;CONCATENATE($H319:$L319),$I318/POW(10,$J318)*MAXIFS(Token!$B:$B,Token!$A:$A,$K318)&gt;0.01),$L318/86400+DATE(1970,1,1)+IF($L318*1&gt;=$G$5,$G$6,0),)</f>
        <v/>
      </c>
      <c r="B318" s="22" t="str">
        <f t="shared" si="1"/>
        <v/>
      </c>
      <c r="C318" s="14" t="str">
        <f>IF($A318&lt;&gt;"",MINIFS(Merchant!$A:$A,Merchant!$B:$B,$G$2),)</f>
        <v/>
      </c>
      <c r="D318" s="14" t="str">
        <f t="shared" si="2"/>
        <v/>
      </c>
      <c r="E318" s="14" t="str">
        <f t="shared" si="3"/>
        <v/>
      </c>
      <c r="F318" s="6" t="str">
        <f>IF($A318&lt;&gt;"",MAXIFS(Token!$B:$B,Token!$A:$A,$D318),)</f>
        <v/>
      </c>
    </row>
    <row r="319">
      <c r="A319" s="35" t="str">
        <f>IF(AND($L319*1&gt;=$G$3,$L319*1&lt;=$G$4,$I319*$J319&gt;0,CONCATENATE($H319:$L319)&lt;&gt;CONCATENATE($H320:$L320),$I319/POW(10,$J319)*MAXIFS(Token!$B:$B,Token!$A:$A,$K319)&gt;0.01),$L319/86400+DATE(1970,1,1)+IF($L319*1&gt;=$G$5,$G$6,0),)</f>
        <v/>
      </c>
      <c r="B319" s="22" t="str">
        <f t="shared" si="1"/>
        <v/>
      </c>
      <c r="C319" s="14" t="str">
        <f>IF($A319&lt;&gt;"",MINIFS(Merchant!$A:$A,Merchant!$B:$B,$G$2),)</f>
        <v/>
      </c>
      <c r="D319" s="14" t="str">
        <f t="shared" si="2"/>
        <v/>
      </c>
      <c r="E319" s="14" t="str">
        <f t="shared" si="3"/>
        <v/>
      </c>
      <c r="F319" s="6" t="str">
        <f>IF($A319&lt;&gt;"",MAXIFS(Token!$B:$B,Token!$A:$A,$D319),)</f>
        <v/>
      </c>
    </row>
    <row r="320">
      <c r="A320" s="35" t="str">
        <f>IF(AND($L320*1&gt;=$G$3,$L320*1&lt;=$G$4,$I320*$J320&gt;0,CONCATENATE($H320:$L320)&lt;&gt;CONCATENATE($H321:$L321),$I320/POW(10,$J320)*MAXIFS(Token!$B:$B,Token!$A:$A,$K320)&gt;0.01),$L320/86400+DATE(1970,1,1)+IF($L320*1&gt;=$G$5,$G$6,0),)</f>
        <v/>
      </c>
      <c r="B320" s="22" t="str">
        <f t="shared" si="1"/>
        <v/>
      </c>
      <c r="C320" s="14" t="str">
        <f>IF($A320&lt;&gt;"",MINIFS(Merchant!$A:$A,Merchant!$B:$B,$G$2),)</f>
        <v/>
      </c>
      <c r="D320" s="14" t="str">
        <f t="shared" si="2"/>
        <v/>
      </c>
      <c r="E320" s="14" t="str">
        <f t="shared" si="3"/>
        <v/>
      </c>
      <c r="F320" s="6" t="str">
        <f>IF($A320&lt;&gt;"",MAXIFS(Token!$B:$B,Token!$A:$A,$D320),)</f>
        <v/>
      </c>
    </row>
    <row r="321">
      <c r="A321" s="35" t="str">
        <f>IF(AND($L321*1&gt;=$G$3,$L321*1&lt;=$G$4,$I321*$J321&gt;0,CONCATENATE($H321:$L321)&lt;&gt;CONCATENATE($H322:$L322),$I321/POW(10,$J321)*MAXIFS(Token!$B:$B,Token!$A:$A,$K321)&gt;0.01),$L321/86400+DATE(1970,1,1)+IF($L321*1&gt;=$G$5,$G$6,0),)</f>
        <v/>
      </c>
      <c r="B321" s="22" t="str">
        <f t="shared" si="1"/>
        <v/>
      </c>
      <c r="C321" s="14" t="str">
        <f>IF($A321&lt;&gt;"",MINIFS(Merchant!$A:$A,Merchant!$B:$B,$G$2),)</f>
        <v/>
      </c>
      <c r="D321" s="14" t="str">
        <f t="shared" si="2"/>
        <v/>
      </c>
      <c r="E321" s="14" t="str">
        <f t="shared" si="3"/>
        <v/>
      </c>
      <c r="F321" s="6" t="str">
        <f>IF($A321&lt;&gt;"",MAXIFS(Token!$B:$B,Token!$A:$A,$D321),)</f>
        <v/>
      </c>
    </row>
    <row r="322">
      <c r="A322" s="35" t="str">
        <f>IF(AND($L322*1&gt;=$G$3,$L322*1&lt;=$G$4,$I322*$J322&gt;0,CONCATENATE($H322:$L322)&lt;&gt;CONCATENATE($H323:$L323),$I322/POW(10,$J322)*MAXIFS(Token!$B:$B,Token!$A:$A,$K322)&gt;0.01),$L322/86400+DATE(1970,1,1)+IF($L322*1&gt;=$G$5,$G$6,0),)</f>
        <v/>
      </c>
      <c r="B322" s="22" t="str">
        <f t="shared" si="1"/>
        <v/>
      </c>
      <c r="C322" s="14" t="str">
        <f>IF($A322&lt;&gt;"",MINIFS(Merchant!$A:$A,Merchant!$B:$B,$G$2),)</f>
        <v/>
      </c>
      <c r="D322" s="14" t="str">
        <f t="shared" si="2"/>
        <v/>
      </c>
      <c r="E322" s="14" t="str">
        <f t="shared" si="3"/>
        <v/>
      </c>
      <c r="F322" s="6" t="str">
        <f>IF($A322&lt;&gt;"",MAXIFS(Token!$B:$B,Token!$A:$A,$D322),)</f>
        <v/>
      </c>
    </row>
    <row r="323">
      <c r="A323" s="35" t="str">
        <f>IF(AND($L323*1&gt;=$G$3,$L323*1&lt;=$G$4,$I323*$J323&gt;0,CONCATENATE($H323:$L323)&lt;&gt;CONCATENATE($H324:$L324),$I323/POW(10,$J323)*MAXIFS(Token!$B:$B,Token!$A:$A,$K323)&gt;0.01),$L323/86400+DATE(1970,1,1)+IF($L323*1&gt;=$G$5,$G$6,0),)</f>
        <v/>
      </c>
      <c r="B323" s="22" t="str">
        <f t="shared" si="1"/>
        <v/>
      </c>
      <c r="C323" s="14" t="str">
        <f>IF($A323&lt;&gt;"",MINIFS(Merchant!$A:$A,Merchant!$B:$B,$G$2),)</f>
        <v/>
      </c>
      <c r="D323" s="14" t="str">
        <f t="shared" si="2"/>
        <v/>
      </c>
      <c r="E323" s="14" t="str">
        <f t="shared" si="3"/>
        <v/>
      </c>
      <c r="F323" s="6" t="str">
        <f>IF($A323&lt;&gt;"",MAXIFS(Token!$B:$B,Token!$A:$A,$D323),)</f>
        <v/>
      </c>
    </row>
    <row r="324">
      <c r="A324" s="35" t="str">
        <f>IF(AND($L324*1&gt;=$G$3,$L324*1&lt;=$G$4,$I324*$J324&gt;0,CONCATENATE($H324:$L324)&lt;&gt;CONCATENATE($H325:$L325),$I324/POW(10,$J324)*MAXIFS(Token!$B:$B,Token!$A:$A,$K324)&gt;0.01),$L324/86400+DATE(1970,1,1)+IF($L324*1&gt;=$G$5,$G$6,0),)</f>
        <v/>
      </c>
      <c r="B324" s="22" t="str">
        <f t="shared" si="1"/>
        <v/>
      </c>
      <c r="C324" s="14" t="str">
        <f>IF($A324&lt;&gt;"",MINIFS(Merchant!$A:$A,Merchant!$B:$B,$G$2),)</f>
        <v/>
      </c>
      <c r="D324" s="14" t="str">
        <f t="shared" si="2"/>
        <v/>
      </c>
      <c r="E324" s="14" t="str">
        <f t="shared" si="3"/>
        <v/>
      </c>
      <c r="F324" s="6" t="str">
        <f>IF($A324&lt;&gt;"",MAXIFS(Token!$B:$B,Token!$A:$A,$D324),)</f>
        <v/>
      </c>
    </row>
    <row r="325">
      <c r="A325" s="35" t="str">
        <f>IF(AND($L325*1&gt;=$G$3,$L325*1&lt;=$G$4,$I325*$J325&gt;0,CONCATENATE($H325:$L325)&lt;&gt;CONCATENATE($H326:$L326),$I325/POW(10,$J325)*MAXIFS(Token!$B:$B,Token!$A:$A,$K325)&gt;0.01),$L325/86400+DATE(1970,1,1)+IF($L325*1&gt;=$G$5,$G$6,0),)</f>
        <v/>
      </c>
      <c r="B325" s="22" t="str">
        <f t="shared" si="1"/>
        <v/>
      </c>
      <c r="C325" s="14" t="str">
        <f>IF($A325&lt;&gt;"",MINIFS(Merchant!$A:$A,Merchant!$B:$B,$G$2),)</f>
        <v/>
      </c>
      <c r="D325" s="14" t="str">
        <f t="shared" si="2"/>
        <v/>
      </c>
      <c r="E325" s="14" t="str">
        <f t="shared" si="3"/>
        <v/>
      </c>
      <c r="F325" s="6" t="str">
        <f>IF($A325&lt;&gt;"",MAXIFS(Token!$B:$B,Token!$A:$A,$D325),)</f>
        <v/>
      </c>
    </row>
    <row r="326">
      <c r="A326" s="35" t="str">
        <f>IF(AND($L326*1&gt;=$G$3,$L326*1&lt;=$G$4,$I326*$J326&gt;0,CONCATENATE($H326:$L326)&lt;&gt;CONCATENATE($H327:$L327),$I326/POW(10,$J326)*MAXIFS(Token!$B:$B,Token!$A:$A,$K326)&gt;0.01),$L326/86400+DATE(1970,1,1)+IF($L326*1&gt;=$G$5,$G$6,0),)</f>
        <v/>
      </c>
      <c r="B326" s="22" t="str">
        <f t="shared" si="1"/>
        <v/>
      </c>
      <c r="C326" s="14" t="str">
        <f>IF($A326&lt;&gt;"",MINIFS(Merchant!$A:$A,Merchant!$B:$B,$G$2),)</f>
        <v/>
      </c>
      <c r="D326" s="14" t="str">
        <f t="shared" si="2"/>
        <v/>
      </c>
      <c r="E326" s="14" t="str">
        <f t="shared" si="3"/>
        <v/>
      </c>
      <c r="F326" s="6" t="str">
        <f>IF($A326&lt;&gt;"",MAXIFS(Token!$B:$B,Token!$A:$A,$D326),)</f>
        <v/>
      </c>
    </row>
    <row r="327">
      <c r="A327" s="35" t="str">
        <f>IF(AND($L327*1&gt;=$G$3,$L327*1&lt;=$G$4,$I327*$J327&gt;0,CONCATENATE($H327:$L327)&lt;&gt;CONCATENATE($H328:$L328),$I327/POW(10,$J327)*MAXIFS(Token!$B:$B,Token!$A:$A,$K327)&gt;0.01),$L327/86400+DATE(1970,1,1)+IF($L327*1&gt;=$G$5,$G$6,0),)</f>
        <v/>
      </c>
      <c r="B327" s="22" t="str">
        <f t="shared" si="1"/>
        <v/>
      </c>
      <c r="C327" s="14" t="str">
        <f>IF($A327&lt;&gt;"",MINIFS(Merchant!$A:$A,Merchant!$B:$B,$G$2),)</f>
        <v/>
      </c>
      <c r="D327" s="14" t="str">
        <f t="shared" si="2"/>
        <v/>
      </c>
      <c r="E327" s="14" t="str">
        <f t="shared" si="3"/>
        <v/>
      </c>
      <c r="F327" s="6" t="str">
        <f>IF($A327&lt;&gt;"",MAXIFS(Token!$B:$B,Token!$A:$A,$D327),)</f>
        <v/>
      </c>
    </row>
    <row r="328">
      <c r="A328" s="35" t="str">
        <f>IF(AND($L328*1&gt;=$G$3,$L328*1&lt;=$G$4,$I328*$J328&gt;0,CONCATENATE($H328:$L328)&lt;&gt;CONCATENATE($H329:$L329),$I328/POW(10,$J328)*MAXIFS(Token!$B:$B,Token!$A:$A,$K328)&gt;0.01),$L328/86400+DATE(1970,1,1)+IF($L328*1&gt;=$G$5,$G$6,0),)</f>
        <v/>
      </c>
      <c r="B328" s="22" t="str">
        <f t="shared" si="1"/>
        <v/>
      </c>
      <c r="C328" s="14" t="str">
        <f>IF($A328&lt;&gt;"",MINIFS(Merchant!$A:$A,Merchant!$B:$B,$G$2),)</f>
        <v/>
      </c>
      <c r="D328" s="14" t="str">
        <f t="shared" si="2"/>
        <v/>
      </c>
      <c r="E328" s="14" t="str">
        <f t="shared" si="3"/>
        <v/>
      </c>
      <c r="F328" s="6" t="str">
        <f>IF($A328&lt;&gt;"",MAXIFS(Token!$B:$B,Token!$A:$A,$D328),)</f>
        <v/>
      </c>
    </row>
    <row r="329">
      <c r="A329" s="35" t="str">
        <f>IF(AND($L329*1&gt;=$G$3,$L329*1&lt;=$G$4,$I329*$J329&gt;0,CONCATENATE($H329:$L329)&lt;&gt;CONCATENATE($H330:$L330),$I329/POW(10,$J329)*MAXIFS(Token!$B:$B,Token!$A:$A,$K329)&gt;0.01),$L329/86400+DATE(1970,1,1)+IF($L329*1&gt;=$G$5,$G$6,0),)</f>
        <v/>
      </c>
      <c r="B329" s="22" t="str">
        <f t="shared" si="1"/>
        <v/>
      </c>
      <c r="C329" s="14" t="str">
        <f>IF($A329&lt;&gt;"",MINIFS(Merchant!$A:$A,Merchant!$B:$B,$G$2),)</f>
        <v/>
      </c>
      <c r="D329" s="14" t="str">
        <f t="shared" si="2"/>
        <v/>
      </c>
      <c r="E329" s="14" t="str">
        <f t="shared" si="3"/>
        <v/>
      </c>
      <c r="F329" s="6" t="str">
        <f>IF($A329&lt;&gt;"",MAXIFS(Token!$B:$B,Token!$A:$A,$D329),)</f>
        <v/>
      </c>
    </row>
    <row r="330">
      <c r="A330" s="35" t="str">
        <f>IF(AND($L330*1&gt;=$G$3,$L330*1&lt;=$G$4,$I330*$J330&gt;0,CONCATENATE($H330:$L330)&lt;&gt;CONCATENATE($H331:$L331),$I330/POW(10,$J330)*MAXIFS(Token!$B:$B,Token!$A:$A,$K330)&gt;0.01),$L330/86400+DATE(1970,1,1)+IF($L330*1&gt;=$G$5,$G$6,0),)</f>
        <v/>
      </c>
      <c r="B330" s="22" t="str">
        <f t="shared" si="1"/>
        <v/>
      </c>
      <c r="C330" s="14" t="str">
        <f>IF($A330&lt;&gt;"",MINIFS(Merchant!$A:$A,Merchant!$B:$B,$G$2),)</f>
        <v/>
      </c>
      <c r="D330" s="14" t="str">
        <f t="shared" si="2"/>
        <v/>
      </c>
      <c r="E330" s="14" t="str">
        <f t="shared" si="3"/>
        <v/>
      </c>
      <c r="F330" s="6" t="str">
        <f>IF($A330&lt;&gt;"",MAXIFS(Token!$B:$B,Token!$A:$A,$D330),)</f>
        <v/>
      </c>
    </row>
    <row r="331">
      <c r="A331" s="35" t="str">
        <f>IF(AND($L331*1&gt;=$G$3,$L331*1&lt;=$G$4,$I331*$J331&gt;0,CONCATENATE($H331:$L331)&lt;&gt;CONCATENATE($H332:$L332),$I331/POW(10,$J331)*MAXIFS(Token!$B:$B,Token!$A:$A,$K331)&gt;0.01),$L331/86400+DATE(1970,1,1)+IF($L331*1&gt;=$G$5,$G$6,0),)</f>
        <v/>
      </c>
      <c r="B331" s="22" t="str">
        <f t="shared" si="1"/>
        <v/>
      </c>
      <c r="C331" s="14" t="str">
        <f>IF($A331&lt;&gt;"",MINIFS(Merchant!$A:$A,Merchant!$B:$B,$G$2),)</f>
        <v/>
      </c>
      <c r="D331" s="14" t="str">
        <f t="shared" si="2"/>
        <v/>
      </c>
      <c r="E331" s="14" t="str">
        <f t="shared" si="3"/>
        <v/>
      </c>
      <c r="F331" s="6" t="str">
        <f>IF($A331&lt;&gt;"",MAXIFS(Token!$B:$B,Token!$A:$A,$D331),)</f>
        <v/>
      </c>
    </row>
    <row r="332">
      <c r="A332" s="35" t="str">
        <f>IF(AND($L332*1&gt;=$G$3,$L332*1&lt;=$G$4,$I332*$J332&gt;0,CONCATENATE($H332:$L332)&lt;&gt;CONCATENATE($H333:$L333),$I332/POW(10,$J332)*MAXIFS(Token!$B:$B,Token!$A:$A,$K332)&gt;0.01),$L332/86400+DATE(1970,1,1)+IF($L332*1&gt;=$G$5,$G$6,0),)</f>
        <v/>
      </c>
      <c r="B332" s="22" t="str">
        <f t="shared" si="1"/>
        <v/>
      </c>
      <c r="C332" s="14" t="str">
        <f>IF($A332&lt;&gt;"",MINIFS(Merchant!$A:$A,Merchant!$B:$B,$G$2),)</f>
        <v/>
      </c>
      <c r="D332" s="14" t="str">
        <f t="shared" si="2"/>
        <v/>
      </c>
      <c r="E332" s="14" t="str">
        <f t="shared" si="3"/>
        <v/>
      </c>
      <c r="F332" s="6" t="str">
        <f>IF($A332&lt;&gt;"",MAXIFS(Token!$B:$B,Token!$A:$A,$D332),)</f>
        <v/>
      </c>
    </row>
    <row r="333">
      <c r="A333" s="35" t="str">
        <f>IF(AND($L333*1&gt;=$G$3,$L333*1&lt;=$G$4,$I333*$J333&gt;0,CONCATENATE($H333:$L333)&lt;&gt;CONCATENATE($H334:$L334),$I333/POW(10,$J333)*MAXIFS(Token!$B:$B,Token!$A:$A,$K333)&gt;0.01),$L333/86400+DATE(1970,1,1)+IF($L333*1&gt;=$G$5,$G$6,0),)</f>
        <v/>
      </c>
      <c r="B333" s="22" t="str">
        <f t="shared" si="1"/>
        <v/>
      </c>
      <c r="C333" s="14" t="str">
        <f>IF($A333&lt;&gt;"",MINIFS(Merchant!$A:$A,Merchant!$B:$B,$G$2),)</f>
        <v/>
      </c>
      <c r="D333" s="14" t="str">
        <f t="shared" si="2"/>
        <v/>
      </c>
      <c r="E333" s="14" t="str">
        <f t="shared" si="3"/>
        <v/>
      </c>
      <c r="F333" s="6" t="str">
        <f>IF($A333&lt;&gt;"",MAXIFS(Token!$B:$B,Token!$A:$A,$D333),)</f>
        <v/>
      </c>
    </row>
    <row r="334">
      <c r="A334" s="35" t="str">
        <f>IF(AND($L334*1&gt;=$G$3,$L334*1&lt;=$G$4,$I334*$J334&gt;0,CONCATENATE($H334:$L334)&lt;&gt;CONCATENATE($H335:$L335),$I334/POW(10,$J334)*MAXIFS(Token!$B:$B,Token!$A:$A,$K334)&gt;0.01),$L334/86400+DATE(1970,1,1)+IF($L334*1&gt;=$G$5,$G$6,0),)</f>
        <v/>
      </c>
      <c r="B334" s="22" t="str">
        <f t="shared" si="1"/>
        <v/>
      </c>
      <c r="C334" s="14" t="str">
        <f>IF($A334&lt;&gt;"",MINIFS(Merchant!$A:$A,Merchant!$B:$B,$G$2),)</f>
        <v/>
      </c>
      <c r="D334" s="14" t="str">
        <f t="shared" si="2"/>
        <v/>
      </c>
      <c r="E334" s="14" t="str">
        <f t="shared" si="3"/>
        <v/>
      </c>
      <c r="F334" s="6" t="str">
        <f>IF($A334&lt;&gt;"",MAXIFS(Token!$B:$B,Token!$A:$A,$D334),)</f>
        <v/>
      </c>
    </row>
    <row r="335">
      <c r="A335" s="35" t="str">
        <f>IF(AND($L335*1&gt;=$G$3,$L335*1&lt;=$G$4,$I335*$J335&gt;0,CONCATENATE($H335:$L335)&lt;&gt;CONCATENATE($H336:$L336),$I335/POW(10,$J335)*MAXIFS(Token!$B:$B,Token!$A:$A,$K335)&gt;0.01),$L335/86400+DATE(1970,1,1)+IF($L335*1&gt;=$G$5,$G$6,0),)</f>
        <v/>
      </c>
      <c r="B335" s="22" t="str">
        <f t="shared" si="1"/>
        <v/>
      </c>
      <c r="C335" s="14" t="str">
        <f>IF($A335&lt;&gt;"",MINIFS(Merchant!$A:$A,Merchant!$B:$B,$G$2),)</f>
        <v/>
      </c>
      <c r="D335" s="14" t="str">
        <f t="shared" si="2"/>
        <v/>
      </c>
      <c r="E335" s="14" t="str">
        <f t="shared" si="3"/>
        <v/>
      </c>
      <c r="F335" s="6" t="str">
        <f>IF($A335&lt;&gt;"",MAXIFS(Token!$B:$B,Token!$A:$A,$D335),)</f>
        <v/>
      </c>
    </row>
    <row r="336">
      <c r="A336" s="35" t="str">
        <f>IF(AND($L336*1&gt;=$G$3,$L336*1&lt;=$G$4,$I336*$J336&gt;0,CONCATENATE($H336:$L336)&lt;&gt;CONCATENATE($H337:$L337),$I336/POW(10,$J336)*MAXIFS(Token!$B:$B,Token!$A:$A,$K336)&gt;0.01),$L336/86400+DATE(1970,1,1)+IF($L336*1&gt;=$G$5,$G$6,0),)</f>
        <v/>
      </c>
      <c r="B336" s="22" t="str">
        <f t="shared" si="1"/>
        <v/>
      </c>
      <c r="C336" s="14" t="str">
        <f>IF($A336&lt;&gt;"",MINIFS(Merchant!$A:$A,Merchant!$B:$B,$G$2),)</f>
        <v/>
      </c>
      <c r="D336" s="14" t="str">
        <f t="shared" si="2"/>
        <v/>
      </c>
      <c r="E336" s="14" t="str">
        <f t="shared" si="3"/>
        <v/>
      </c>
      <c r="F336" s="6" t="str">
        <f>IF($A336&lt;&gt;"",MAXIFS(Token!$B:$B,Token!$A:$A,$D336),)</f>
        <v/>
      </c>
    </row>
    <row r="337">
      <c r="A337" s="35" t="str">
        <f>IF(AND($L337*1&gt;=$G$3,$L337*1&lt;=$G$4,$I337*$J337&gt;0,CONCATENATE($H337:$L337)&lt;&gt;CONCATENATE($H338:$L338),$I337/POW(10,$J337)*MAXIFS(Token!$B:$B,Token!$A:$A,$K337)&gt;0.01),$L337/86400+DATE(1970,1,1)+IF($L337*1&gt;=$G$5,$G$6,0),)</f>
        <v/>
      </c>
      <c r="B337" s="22" t="str">
        <f t="shared" si="1"/>
        <v/>
      </c>
      <c r="C337" s="14" t="str">
        <f>IF($A337&lt;&gt;"",MINIFS(Merchant!$A:$A,Merchant!$B:$B,$G$2),)</f>
        <v/>
      </c>
      <c r="D337" s="14" t="str">
        <f t="shared" si="2"/>
        <v/>
      </c>
      <c r="E337" s="14" t="str">
        <f t="shared" si="3"/>
        <v/>
      </c>
      <c r="F337" s="6" t="str">
        <f>IF($A337&lt;&gt;"",MAXIFS(Token!$B:$B,Token!$A:$A,$D337),)</f>
        <v/>
      </c>
    </row>
    <row r="338">
      <c r="A338" s="35" t="str">
        <f>IF(AND($L338*1&gt;=$G$3,$L338*1&lt;=$G$4,$I338*$J338&gt;0,CONCATENATE($H338:$L338)&lt;&gt;CONCATENATE($H339:$L339),$I338/POW(10,$J338)*MAXIFS(Token!$B:$B,Token!$A:$A,$K338)&gt;0.01),$L338/86400+DATE(1970,1,1)+IF($L338*1&gt;=$G$5,$G$6,0),)</f>
        <v/>
      </c>
      <c r="B338" s="22" t="str">
        <f t="shared" si="1"/>
        <v/>
      </c>
      <c r="C338" s="14" t="str">
        <f>IF($A338&lt;&gt;"",MINIFS(Merchant!$A:$A,Merchant!$B:$B,$G$2),)</f>
        <v/>
      </c>
      <c r="D338" s="14" t="str">
        <f t="shared" si="2"/>
        <v/>
      </c>
      <c r="E338" s="14" t="str">
        <f t="shared" si="3"/>
        <v/>
      </c>
      <c r="F338" s="6" t="str">
        <f>IF($A338&lt;&gt;"",MAXIFS(Token!$B:$B,Token!$A:$A,$D338),)</f>
        <v/>
      </c>
    </row>
    <row r="339">
      <c r="A339" s="35" t="str">
        <f>IF(AND($L339*1&gt;=$G$3,$L339*1&lt;=$G$4,$I339*$J339&gt;0,CONCATENATE($H339:$L339)&lt;&gt;CONCATENATE($H340:$L340),$I339/POW(10,$J339)*MAXIFS(Token!$B:$B,Token!$A:$A,$K339)&gt;0.01),$L339/86400+DATE(1970,1,1)+IF($L339*1&gt;=$G$5,$G$6,0),)</f>
        <v/>
      </c>
      <c r="B339" s="22" t="str">
        <f t="shared" si="1"/>
        <v/>
      </c>
      <c r="C339" s="14" t="str">
        <f>IF($A339&lt;&gt;"",MINIFS(Merchant!$A:$A,Merchant!$B:$B,$G$2),)</f>
        <v/>
      </c>
      <c r="D339" s="14" t="str">
        <f t="shared" si="2"/>
        <v/>
      </c>
      <c r="E339" s="14" t="str">
        <f t="shared" si="3"/>
        <v/>
      </c>
      <c r="F339" s="6" t="str">
        <f>IF($A339&lt;&gt;"",MAXIFS(Token!$B:$B,Token!$A:$A,$D339),)</f>
        <v/>
      </c>
    </row>
    <row r="340">
      <c r="A340" s="35" t="str">
        <f>IF(AND($L340*1&gt;=$G$3,$L340*1&lt;=$G$4,$I340*$J340&gt;0,CONCATENATE($H340:$L340)&lt;&gt;CONCATENATE($H341:$L341),$I340/POW(10,$J340)*MAXIFS(Token!$B:$B,Token!$A:$A,$K340)&gt;0.01),$L340/86400+DATE(1970,1,1)+IF($L340*1&gt;=$G$5,$G$6,0),)</f>
        <v/>
      </c>
      <c r="B340" s="22" t="str">
        <f t="shared" si="1"/>
        <v/>
      </c>
      <c r="C340" s="14" t="str">
        <f>IF($A340&lt;&gt;"",MINIFS(Merchant!$A:$A,Merchant!$B:$B,$G$2),)</f>
        <v/>
      </c>
      <c r="D340" s="14" t="str">
        <f t="shared" si="2"/>
        <v/>
      </c>
      <c r="E340" s="14" t="str">
        <f t="shared" si="3"/>
        <v/>
      </c>
      <c r="F340" s="6" t="str">
        <f>IF($A340&lt;&gt;"",MAXIFS(Token!$B:$B,Token!$A:$A,$D340),)</f>
        <v/>
      </c>
    </row>
    <row r="341">
      <c r="A341" s="35" t="str">
        <f>IF(AND($L341*1&gt;=$G$3,$L341*1&lt;=$G$4,$I341*$J341&gt;0,CONCATENATE($H341:$L341)&lt;&gt;CONCATENATE($H342:$L342),$I341/POW(10,$J341)*MAXIFS(Token!$B:$B,Token!$A:$A,$K341)&gt;0.01),$L341/86400+DATE(1970,1,1)+IF($L341*1&gt;=$G$5,$G$6,0),)</f>
        <v/>
      </c>
      <c r="B341" s="22" t="str">
        <f t="shared" si="1"/>
        <v/>
      </c>
      <c r="C341" s="14" t="str">
        <f>IF($A341&lt;&gt;"",MINIFS(Merchant!$A:$A,Merchant!$B:$B,$G$2),)</f>
        <v/>
      </c>
      <c r="D341" s="14" t="str">
        <f t="shared" si="2"/>
        <v/>
      </c>
      <c r="E341" s="14" t="str">
        <f t="shared" si="3"/>
        <v/>
      </c>
      <c r="F341" s="6" t="str">
        <f>IF($A341&lt;&gt;"",MAXIFS(Token!$B:$B,Token!$A:$A,$D341),)</f>
        <v/>
      </c>
    </row>
    <row r="342">
      <c r="A342" s="35" t="str">
        <f>IF(AND($L342*1&gt;=$G$3,$L342*1&lt;=$G$4,$I342*$J342&gt;0,CONCATENATE($H342:$L342)&lt;&gt;CONCATENATE($H343:$L343),$I342/POW(10,$J342)*MAXIFS(Token!$B:$B,Token!$A:$A,$K342)&gt;0.01),$L342/86400+DATE(1970,1,1)+IF($L342*1&gt;=$G$5,$G$6,0),)</f>
        <v/>
      </c>
      <c r="B342" s="22" t="str">
        <f t="shared" si="1"/>
        <v/>
      </c>
      <c r="C342" s="14" t="str">
        <f>IF($A342&lt;&gt;"",MINIFS(Merchant!$A:$A,Merchant!$B:$B,$G$2),)</f>
        <v/>
      </c>
      <c r="D342" s="14" t="str">
        <f t="shared" si="2"/>
        <v/>
      </c>
      <c r="E342" s="14" t="str">
        <f t="shared" si="3"/>
        <v/>
      </c>
      <c r="F342" s="6" t="str">
        <f>IF($A342&lt;&gt;"",MAXIFS(Token!$B:$B,Token!$A:$A,$D342),)</f>
        <v/>
      </c>
    </row>
    <row r="343">
      <c r="A343" s="35" t="str">
        <f>IF(AND($L343*1&gt;=$G$3,$L343*1&lt;=$G$4,$I343*$J343&gt;0,CONCATENATE($H343:$L343)&lt;&gt;CONCATENATE($H344:$L344),$I343/POW(10,$J343)*MAXIFS(Token!$B:$B,Token!$A:$A,$K343)&gt;0.01),$L343/86400+DATE(1970,1,1)+IF($L343*1&gt;=$G$5,$G$6,0),)</f>
        <v/>
      </c>
      <c r="B343" s="22" t="str">
        <f t="shared" si="1"/>
        <v/>
      </c>
      <c r="C343" s="14" t="str">
        <f>IF($A343&lt;&gt;"",MINIFS(Merchant!$A:$A,Merchant!$B:$B,$G$2),)</f>
        <v/>
      </c>
      <c r="D343" s="14" t="str">
        <f t="shared" si="2"/>
        <v/>
      </c>
      <c r="E343" s="14" t="str">
        <f t="shared" si="3"/>
        <v/>
      </c>
      <c r="F343" s="6" t="str">
        <f>IF($A343&lt;&gt;"",MAXIFS(Token!$B:$B,Token!$A:$A,$D343),)</f>
        <v/>
      </c>
    </row>
    <row r="344">
      <c r="A344" s="35" t="str">
        <f>IF(AND($L344*1&gt;=$G$3,$L344*1&lt;=$G$4,$I344*$J344&gt;0,CONCATENATE($H344:$L344)&lt;&gt;CONCATENATE($H345:$L345),$I344/POW(10,$J344)*MAXIFS(Token!$B:$B,Token!$A:$A,$K344)&gt;0.01),$L344/86400+DATE(1970,1,1)+IF($L344*1&gt;=$G$5,$G$6,0),)</f>
        <v/>
      </c>
      <c r="B344" s="22" t="str">
        <f t="shared" si="1"/>
        <v/>
      </c>
      <c r="C344" s="14" t="str">
        <f>IF($A344&lt;&gt;"",MINIFS(Merchant!$A:$A,Merchant!$B:$B,$G$2),)</f>
        <v/>
      </c>
      <c r="D344" s="14" t="str">
        <f t="shared" si="2"/>
        <v/>
      </c>
      <c r="E344" s="14" t="str">
        <f t="shared" si="3"/>
        <v/>
      </c>
      <c r="F344" s="6" t="str">
        <f>IF($A344&lt;&gt;"",MAXIFS(Token!$B:$B,Token!$A:$A,$D344),)</f>
        <v/>
      </c>
    </row>
    <row r="345">
      <c r="A345" s="35" t="str">
        <f>IF(AND($L345*1&gt;=$G$3,$L345*1&lt;=$G$4,$I345*$J345&gt;0,CONCATENATE($H345:$L345)&lt;&gt;CONCATENATE($H346:$L346),$I345/POW(10,$J345)*MAXIFS(Token!$B:$B,Token!$A:$A,$K345)&gt;0.01),$L345/86400+DATE(1970,1,1)+IF($L345*1&gt;=$G$5,$G$6,0),)</f>
        <v/>
      </c>
      <c r="B345" s="22" t="str">
        <f t="shared" si="1"/>
        <v/>
      </c>
      <c r="C345" s="14" t="str">
        <f>IF($A345&lt;&gt;"",MINIFS(Merchant!$A:$A,Merchant!$B:$B,$G$2),)</f>
        <v/>
      </c>
      <c r="D345" s="14" t="str">
        <f t="shared" si="2"/>
        <v/>
      </c>
      <c r="E345" s="14" t="str">
        <f t="shared" si="3"/>
        <v/>
      </c>
      <c r="F345" s="6" t="str">
        <f>IF($A345&lt;&gt;"",MAXIFS(Token!$B:$B,Token!$A:$A,$D345),)</f>
        <v/>
      </c>
    </row>
    <row r="346">
      <c r="A346" s="35" t="str">
        <f>IF(AND($L346*1&gt;=$G$3,$L346*1&lt;=$G$4,$I346*$J346&gt;0,CONCATENATE($H346:$L346)&lt;&gt;CONCATENATE($H347:$L347),$I346/POW(10,$J346)*MAXIFS(Token!$B:$B,Token!$A:$A,$K346)&gt;0.01),$L346/86400+DATE(1970,1,1)+IF($L346*1&gt;=$G$5,$G$6,0),)</f>
        <v/>
      </c>
      <c r="B346" s="22" t="str">
        <f t="shared" si="1"/>
        <v/>
      </c>
      <c r="C346" s="14" t="str">
        <f>IF($A346&lt;&gt;"",MINIFS(Merchant!$A:$A,Merchant!$B:$B,$G$2),)</f>
        <v/>
      </c>
      <c r="D346" s="14" t="str">
        <f t="shared" si="2"/>
        <v/>
      </c>
      <c r="E346" s="14" t="str">
        <f t="shared" si="3"/>
        <v/>
      </c>
      <c r="F346" s="6" t="str">
        <f>IF($A346&lt;&gt;"",MAXIFS(Token!$B:$B,Token!$A:$A,$D346),)</f>
        <v/>
      </c>
    </row>
    <row r="347">
      <c r="A347" s="35" t="str">
        <f>IF(AND($L347*1&gt;=$G$3,$L347*1&lt;=$G$4,$I347*$J347&gt;0,CONCATENATE($H347:$L347)&lt;&gt;CONCATENATE($H348:$L348),$I347/POW(10,$J347)*MAXIFS(Token!$B:$B,Token!$A:$A,$K347)&gt;0.01),$L347/86400+DATE(1970,1,1)+IF($L347*1&gt;=$G$5,$G$6,0),)</f>
        <v/>
      </c>
      <c r="B347" s="22" t="str">
        <f t="shared" si="1"/>
        <v/>
      </c>
      <c r="C347" s="14" t="str">
        <f>IF($A347&lt;&gt;"",MINIFS(Merchant!$A:$A,Merchant!$B:$B,$G$2),)</f>
        <v/>
      </c>
      <c r="D347" s="14" t="str">
        <f t="shared" si="2"/>
        <v/>
      </c>
      <c r="E347" s="14" t="str">
        <f t="shared" si="3"/>
        <v/>
      </c>
      <c r="F347" s="6" t="str">
        <f>IF($A347&lt;&gt;"",MAXIFS(Token!$B:$B,Token!$A:$A,$D347),)</f>
        <v/>
      </c>
    </row>
    <row r="348">
      <c r="A348" s="35" t="str">
        <f>IF(AND($L348*1&gt;=$G$3,$L348*1&lt;=$G$4,$I348*$J348&gt;0,CONCATENATE($H348:$L348)&lt;&gt;CONCATENATE($H349:$L349),$I348/POW(10,$J348)*MAXIFS(Token!$B:$B,Token!$A:$A,$K348)&gt;0.01),$L348/86400+DATE(1970,1,1)+IF($L348*1&gt;=$G$5,$G$6,0),)</f>
        <v/>
      </c>
      <c r="B348" s="22" t="str">
        <f t="shared" si="1"/>
        <v/>
      </c>
      <c r="C348" s="14" t="str">
        <f>IF($A348&lt;&gt;"",MINIFS(Merchant!$A:$A,Merchant!$B:$B,$G$2),)</f>
        <v/>
      </c>
      <c r="D348" s="14" t="str">
        <f t="shared" si="2"/>
        <v/>
      </c>
      <c r="E348" s="14" t="str">
        <f t="shared" si="3"/>
        <v/>
      </c>
      <c r="F348" s="6" t="str">
        <f>IF($A348&lt;&gt;"",MAXIFS(Token!$B:$B,Token!$A:$A,$D348),)</f>
        <v/>
      </c>
    </row>
    <row r="349">
      <c r="A349" s="35" t="str">
        <f>IF(AND($L349*1&gt;=$G$3,$L349*1&lt;=$G$4,$I349*$J349&gt;0,CONCATENATE($H349:$L349)&lt;&gt;CONCATENATE($H350:$L350),$I349/POW(10,$J349)*MAXIFS(Token!$B:$B,Token!$A:$A,$K349)&gt;0.01),$L349/86400+DATE(1970,1,1)+IF($L349*1&gt;=$G$5,$G$6,0),)</f>
        <v/>
      </c>
      <c r="B349" s="22" t="str">
        <f t="shared" si="1"/>
        <v/>
      </c>
      <c r="C349" s="14" t="str">
        <f>IF($A349&lt;&gt;"",MINIFS(Merchant!$A:$A,Merchant!$B:$B,$G$2),)</f>
        <v/>
      </c>
      <c r="D349" s="14" t="str">
        <f t="shared" si="2"/>
        <v/>
      </c>
      <c r="E349" s="14" t="str">
        <f t="shared" si="3"/>
        <v/>
      </c>
      <c r="F349" s="6" t="str">
        <f>IF($A349&lt;&gt;"",MAXIFS(Token!$B:$B,Token!$A:$A,$D349),)</f>
        <v/>
      </c>
    </row>
    <row r="350">
      <c r="A350" s="35" t="str">
        <f>IF(AND($L350*1&gt;=$G$3,$L350*1&lt;=$G$4,$I350*$J350&gt;0,CONCATENATE($H350:$L350)&lt;&gt;CONCATENATE($H351:$L351),$I350/POW(10,$J350)*MAXIFS(Token!$B:$B,Token!$A:$A,$K350)&gt;0.01),$L350/86400+DATE(1970,1,1)+IF($L350*1&gt;=$G$5,$G$6,0),)</f>
        <v/>
      </c>
      <c r="B350" s="22" t="str">
        <f t="shared" si="1"/>
        <v/>
      </c>
      <c r="C350" s="14" t="str">
        <f>IF($A350&lt;&gt;"",MINIFS(Merchant!$A:$A,Merchant!$B:$B,$G$2),)</f>
        <v/>
      </c>
      <c r="D350" s="14" t="str">
        <f t="shared" si="2"/>
        <v/>
      </c>
      <c r="E350" s="14" t="str">
        <f t="shared" si="3"/>
        <v/>
      </c>
      <c r="F350" s="6" t="str">
        <f>IF($A350&lt;&gt;"",MAXIFS(Token!$B:$B,Token!$A:$A,$D350),)</f>
        <v/>
      </c>
    </row>
    <row r="351">
      <c r="A351" s="35" t="str">
        <f>IF(AND($L351*1&gt;=$G$3,$L351*1&lt;=$G$4,$I351*$J351&gt;0,CONCATENATE($H351:$L351)&lt;&gt;CONCATENATE($H352:$L352),$I351/POW(10,$J351)*MAXIFS(Token!$B:$B,Token!$A:$A,$K351)&gt;0.01),$L351/86400+DATE(1970,1,1)+IF($L351*1&gt;=$G$5,$G$6,0),)</f>
        <v/>
      </c>
      <c r="B351" s="22" t="str">
        <f t="shared" si="1"/>
        <v/>
      </c>
      <c r="C351" s="14" t="str">
        <f>IF($A351&lt;&gt;"",MINIFS(Merchant!$A:$A,Merchant!$B:$B,$G$2),)</f>
        <v/>
      </c>
      <c r="D351" s="14" t="str">
        <f t="shared" si="2"/>
        <v/>
      </c>
      <c r="E351" s="14" t="str">
        <f t="shared" si="3"/>
        <v/>
      </c>
      <c r="F351" s="6" t="str">
        <f>IF($A351&lt;&gt;"",MAXIFS(Token!$B:$B,Token!$A:$A,$D351),)</f>
        <v/>
      </c>
    </row>
    <row r="352">
      <c r="A352" s="35" t="str">
        <f>IF(AND($L352*1&gt;=$G$3,$L352*1&lt;=$G$4,$I352*$J352&gt;0,CONCATENATE($H352:$L352)&lt;&gt;CONCATENATE($H353:$L353),$I352/POW(10,$J352)*MAXIFS(Token!$B:$B,Token!$A:$A,$K352)&gt;0.01),$L352/86400+DATE(1970,1,1)+IF($L352*1&gt;=$G$5,$G$6,0),)</f>
        <v/>
      </c>
      <c r="B352" s="22" t="str">
        <f t="shared" si="1"/>
        <v/>
      </c>
      <c r="C352" s="14" t="str">
        <f>IF($A352&lt;&gt;"",MINIFS(Merchant!$A:$A,Merchant!$B:$B,$G$2),)</f>
        <v/>
      </c>
      <c r="D352" s="14" t="str">
        <f t="shared" si="2"/>
        <v/>
      </c>
      <c r="E352" s="14" t="str">
        <f t="shared" si="3"/>
        <v/>
      </c>
      <c r="F352" s="6" t="str">
        <f>IF($A352&lt;&gt;"",MAXIFS(Token!$B:$B,Token!$A:$A,$D352),)</f>
        <v/>
      </c>
    </row>
    <row r="353">
      <c r="A353" s="35" t="str">
        <f>IF(AND($L353*1&gt;=$G$3,$L353*1&lt;=$G$4,$I353*$J353&gt;0,CONCATENATE($H353:$L353)&lt;&gt;CONCATENATE($H354:$L354),$I353/POW(10,$J353)*MAXIFS(Token!$B:$B,Token!$A:$A,$K353)&gt;0.01),$L353/86400+DATE(1970,1,1)+IF($L353*1&gt;=$G$5,$G$6,0),)</f>
        <v/>
      </c>
      <c r="B353" s="22" t="str">
        <f t="shared" si="1"/>
        <v/>
      </c>
      <c r="C353" s="14" t="str">
        <f>IF($A353&lt;&gt;"",MINIFS(Merchant!$A:$A,Merchant!$B:$B,$G$2),)</f>
        <v/>
      </c>
      <c r="D353" s="14" t="str">
        <f t="shared" si="2"/>
        <v/>
      </c>
      <c r="E353" s="14" t="str">
        <f t="shared" si="3"/>
        <v/>
      </c>
      <c r="F353" s="6" t="str">
        <f>IF($A353&lt;&gt;"",MAXIFS(Token!$B:$B,Token!$A:$A,$D353),)</f>
        <v/>
      </c>
    </row>
    <row r="354">
      <c r="A354" s="35" t="str">
        <f>IF(AND($L354*1&gt;=$G$3,$L354*1&lt;=$G$4,$I354*$J354&gt;0,CONCATENATE($H354:$L354)&lt;&gt;CONCATENATE($H355:$L355),$I354/POW(10,$J354)*MAXIFS(Token!$B:$B,Token!$A:$A,$K354)&gt;0.01),$L354/86400+DATE(1970,1,1)+IF($L354*1&gt;=$G$5,$G$6,0),)</f>
        <v/>
      </c>
      <c r="B354" s="22" t="str">
        <f t="shared" si="1"/>
        <v/>
      </c>
      <c r="C354" s="14" t="str">
        <f>IF($A354&lt;&gt;"",MINIFS(Merchant!$A:$A,Merchant!$B:$B,$G$2),)</f>
        <v/>
      </c>
      <c r="D354" s="14" t="str">
        <f t="shared" si="2"/>
        <v/>
      </c>
      <c r="E354" s="14" t="str">
        <f t="shared" si="3"/>
        <v/>
      </c>
      <c r="F354" s="6" t="str">
        <f>IF($A354&lt;&gt;"",MAXIFS(Token!$B:$B,Token!$A:$A,$D354),)</f>
        <v/>
      </c>
    </row>
    <row r="355">
      <c r="A355" s="35" t="str">
        <f>IF(AND($L355*1&gt;=$G$3,$L355*1&lt;=$G$4,$I355*$J355&gt;0,CONCATENATE($H355:$L355)&lt;&gt;CONCATENATE($H356:$L356),$I355/POW(10,$J355)*MAXIFS(Token!$B:$B,Token!$A:$A,$K355)&gt;0.01),$L355/86400+DATE(1970,1,1)+IF($L355*1&gt;=$G$5,$G$6,0),)</f>
        <v/>
      </c>
      <c r="B355" s="22" t="str">
        <f t="shared" si="1"/>
        <v/>
      </c>
      <c r="C355" s="14" t="str">
        <f>IF($A355&lt;&gt;"",MINIFS(Merchant!$A:$A,Merchant!$B:$B,$G$2),)</f>
        <v/>
      </c>
      <c r="D355" s="14" t="str">
        <f t="shared" si="2"/>
        <v/>
      </c>
      <c r="E355" s="14" t="str">
        <f t="shared" si="3"/>
        <v/>
      </c>
      <c r="F355" s="6" t="str">
        <f>IF($A355&lt;&gt;"",MAXIFS(Token!$B:$B,Token!$A:$A,$D355),)</f>
        <v/>
      </c>
    </row>
    <row r="356">
      <c r="A356" s="35" t="str">
        <f>IF(AND($L356*1&gt;=$G$3,$L356*1&lt;=$G$4,$I356*$J356&gt;0,CONCATENATE($H356:$L356)&lt;&gt;CONCATENATE($H357:$L357),$I356/POW(10,$J356)*MAXIFS(Token!$B:$B,Token!$A:$A,$K356)&gt;0.01),$L356/86400+DATE(1970,1,1)+IF($L356*1&gt;=$G$5,$G$6,0),)</f>
        <v/>
      </c>
      <c r="B356" s="22" t="str">
        <f t="shared" si="1"/>
        <v/>
      </c>
      <c r="C356" s="14" t="str">
        <f>IF($A356&lt;&gt;"",MINIFS(Merchant!$A:$A,Merchant!$B:$B,$G$2),)</f>
        <v/>
      </c>
      <c r="D356" s="14" t="str">
        <f t="shared" si="2"/>
        <v/>
      </c>
      <c r="E356" s="14" t="str">
        <f t="shared" si="3"/>
        <v/>
      </c>
      <c r="F356" s="6" t="str">
        <f>IF($A356&lt;&gt;"",MAXIFS(Token!$B:$B,Token!$A:$A,$D356),)</f>
        <v/>
      </c>
    </row>
    <row r="357">
      <c r="A357" s="35" t="str">
        <f>IF(AND($L357*1&gt;=$G$3,$L357*1&lt;=$G$4,$I357*$J357&gt;0,CONCATENATE($H357:$L357)&lt;&gt;CONCATENATE($H358:$L358),$I357/POW(10,$J357)*MAXIFS(Token!$B:$B,Token!$A:$A,$K357)&gt;0.01),$L357/86400+DATE(1970,1,1)+IF($L357*1&gt;=$G$5,$G$6,0),)</f>
        <v/>
      </c>
      <c r="B357" s="22" t="str">
        <f t="shared" si="1"/>
        <v/>
      </c>
      <c r="C357" s="14" t="str">
        <f>IF($A357&lt;&gt;"",MINIFS(Merchant!$A:$A,Merchant!$B:$B,$G$2),)</f>
        <v/>
      </c>
      <c r="D357" s="14" t="str">
        <f t="shared" si="2"/>
        <v/>
      </c>
      <c r="E357" s="14" t="str">
        <f t="shared" si="3"/>
        <v/>
      </c>
      <c r="F357" s="6" t="str">
        <f>IF($A357&lt;&gt;"",MAXIFS(Token!$B:$B,Token!$A:$A,$D357),)</f>
        <v/>
      </c>
    </row>
    <row r="358">
      <c r="A358" s="35" t="str">
        <f>IF(AND($L358*1&gt;=$G$3,$L358*1&lt;=$G$4,$I358*$J358&gt;0,CONCATENATE($H358:$L358)&lt;&gt;CONCATENATE($H359:$L359),$I358/POW(10,$J358)*MAXIFS(Token!$B:$B,Token!$A:$A,$K358)&gt;0.01),$L358/86400+DATE(1970,1,1)+IF($L358*1&gt;=$G$5,$G$6,0),)</f>
        <v/>
      </c>
      <c r="B358" s="22" t="str">
        <f t="shared" si="1"/>
        <v/>
      </c>
      <c r="C358" s="14" t="str">
        <f>IF($A358&lt;&gt;"",MINIFS(Merchant!$A:$A,Merchant!$B:$B,$G$2),)</f>
        <v/>
      </c>
      <c r="D358" s="14" t="str">
        <f t="shared" si="2"/>
        <v/>
      </c>
      <c r="E358" s="14" t="str">
        <f t="shared" si="3"/>
        <v/>
      </c>
      <c r="F358" s="6" t="str">
        <f>IF($A358&lt;&gt;"",MAXIFS(Token!$B:$B,Token!$A:$A,$D358),)</f>
        <v/>
      </c>
    </row>
    <row r="359">
      <c r="A359" s="35" t="str">
        <f>IF(AND($L359*1&gt;=$G$3,$L359*1&lt;=$G$4,$I359*$J359&gt;0,CONCATENATE($H359:$L359)&lt;&gt;CONCATENATE($H360:$L360),$I359/POW(10,$J359)*MAXIFS(Token!$B:$B,Token!$A:$A,$K359)&gt;0.01),$L359/86400+DATE(1970,1,1)+IF($L359*1&gt;=$G$5,$G$6,0),)</f>
        <v/>
      </c>
      <c r="B359" s="22" t="str">
        <f t="shared" si="1"/>
        <v/>
      </c>
      <c r="C359" s="14" t="str">
        <f>IF($A359&lt;&gt;"",MINIFS(Merchant!$A:$A,Merchant!$B:$B,$G$2),)</f>
        <v/>
      </c>
      <c r="D359" s="14" t="str">
        <f t="shared" si="2"/>
        <v/>
      </c>
      <c r="E359" s="14" t="str">
        <f t="shared" si="3"/>
        <v/>
      </c>
      <c r="F359" s="6" t="str">
        <f>IF($A359&lt;&gt;"",MAXIFS(Token!$B:$B,Token!$A:$A,$D359),)</f>
        <v/>
      </c>
    </row>
    <row r="360">
      <c r="A360" s="35" t="str">
        <f>IF(AND($L360*1&gt;=$G$3,$L360*1&lt;=$G$4,$I360*$J360&gt;0,CONCATENATE($H360:$L360)&lt;&gt;CONCATENATE($H361:$L361),$I360/POW(10,$J360)*MAXIFS(Token!$B:$B,Token!$A:$A,$K360)&gt;0.01),$L360/86400+DATE(1970,1,1)+IF($L360*1&gt;=$G$5,$G$6,0),)</f>
        <v/>
      </c>
      <c r="B360" s="22" t="str">
        <f t="shared" si="1"/>
        <v/>
      </c>
      <c r="C360" s="14" t="str">
        <f>IF($A360&lt;&gt;"",MINIFS(Merchant!$A:$A,Merchant!$B:$B,$G$2),)</f>
        <v/>
      </c>
      <c r="D360" s="14" t="str">
        <f t="shared" si="2"/>
        <v/>
      </c>
      <c r="E360" s="14" t="str">
        <f t="shared" si="3"/>
        <v/>
      </c>
      <c r="F360" s="6" t="str">
        <f>IF($A360&lt;&gt;"",MAXIFS(Token!$B:$B,Token!$A:$A,$D360),)</f>
        <v/>
      </c>
    </row>
    <row r="361">
      <c r="A361" s="35" t="str">
        <f>IF(AND($L361*1&gt;=$G$3,$L361*1&lt;=$G$4,$I361*$J361&gt;0,CONCATENATE($H361:$L361)&lt;&gt;CONCATENATE($H362:$L362),$I361/POW(10,$J361)*MAXIFS(Token!$B:$B,Token!$A:$A,$K361)&gt;0.01),$L361/86400+DATE(1970,1,1)+IF($L361*1&gt;=$G$5,$G$6,0),)</f>
        <v/>
      </c>
      <c r="B361" s="22" t="str">
        <f t="shared" si="1"/>
        <v/>
      </c>
      <c r="C361" s="14" t="str">
        <f>IF($A361&lt;&gt;"",MINIFS(Merchant!$A:$A,Merchant!$B:$B,$G$2),)</f>
        <v/>
      </c>
      <c r="D361" s="14" t="str">
        <f t="shared" si="2"/>
        <v/>
      </c>
      <c r="E361" s="14" t="str">
        <f t="shared" si="3"/>
        <v/>
      </c>
      <c r="F361" s="6" t="str">
        <f>IF($A361&lt;&gt;"",MAXIFS(Token!$B:$B,Token!$A:$A,$D361),)</f>
        <v/>
      </c>
    </row>
    <row r="362">
      <c r="A362" s="35" t="str">
        <f>IF(AND($L362*1&gt;=$G$3,$L362*1&lt;=$G$4,$I362*$J362&gt;0,CONCATENATE($H362:$L362)&lt;&gt;CONCATENATE($H363:$L363),$I362/POW(10,$J362)*MAXIFS(Token!$B:$B,Token!$A:$A,$K362)&gt;0.01),$L362/86400+DATE(1970,1,1)+IF($L362*1&gt;=$G$5,$G$6,0),)</f>
        <v/>
      </c>
      <c r="B362" s="22" t="str">
        <f t="shared" si="1"/>
        <v/>
      </c>
      <c r="C362" s="14" t="str">
        <f>IF($A362&lt;&gt;"",MINIFS(Merchant!$A:$A,Merchant!$B:$B,$G$2),)</f>
        <v/>
      </c>
      <c r="D362" s="14" t="str">
        <f t="shared" si="2"/>
        <v/>
      </c>
      <c r="E362" s="14" t="str">
        <f t="shared" si="3"/>
        <v/>
      </c>
      <c r="F362" s="6" t="str">
        <f>IF($A362&lt;&gt;"",MAXIFS(Token!$B:$B,Token!$A:$A,$D362),)</f>
        <v/>
      </c>
    </row>
    <row r="363">
      <c r="A363" s="35" t="str">
        <f>IF(AND($L363*1&gt;=$G$3,$L363*1&lt;=$G$4,$I363*$J363&gt;0,CONCATENATE($H363:$L363)&lt;&gt;CONCATENATE($H364:$L364),$I363/POW(10,$J363)*MAXIFS(Token!$B:$B,Token!$A:$A,$K363)&gt;0.01),$L363/86400+DATE(1970,1,1)+IF($L363*1&gt;=$G$5,$G$6,0),)</f>
        <v/>
      </c>
      <c r="B363" s="22" t="str">
        <f t="shared" si="1"/>
        <v/>
      </c>
      <c r="C363" s="14" t="str">
        <f>IF($A363&lt;&gt;"",MINIFS(Merchant!$A:$A,Merchant!$B:$B,$G$2),)</f>
        <v/>
      </c>
      <c r="D363" s="14" t="str">
        <f t="shared" si="2"/>
        <v/>
      </c>
      <c r="E363" s="14" t="str">
        <f t="shared" si="3"/>
        <v/>
      </c>
      <c r="F363" s="6" t="str">
        <f>IF($A363&lt;&gt;"",MAXIFS(Token!$B:$B,Token!$A:$A,$D363),)</f>
        <v/>
      </c>
    </row>
    <row r="364">
      <c r="A364" s="35" t="str">
        <f>IF(AND($L364*1&gt;=$G$3,$L364*1&lt;=$G$4,$I364*$J364&gt;0,CONCATENATE($H364:$L364)&lt;&gt;CONCATENATE($H365:$L365),$I364/POW(10,$J364)*MAXIFS(Token!$B:$B,Token!$A:$A,$K364)&gt;0.01),$L364/86400+DATE(1970,1,1)+IF($L364*1&gt;=$G$5,$G$6,0),)</f>
        <v/>
      </c>
      <c r="B364" s="22" t="str">
        <f t="shared" si="1"/>
        <v/>
      </c>
      <c r="C364" s="14" t="str">
        <f>IF($A364&lt;&gt;"",MINIFS(Merchant!$A:$A,Merchant!$B:$B,$G$2),)</f>
        <v/>
      </c>
      <c r="D364" s="14" t="str">
        <f t="shared" si="2"/>
        <v/>
      </c>
      <c r="E364" s="14" t="str">
        <f t="shared" si="3"/>
        <v/>
      </c>
      <c r="F364" s="6" t="str">
        <f>IF($A364&lt;&gt;"",MAXIFS(Token!$B:$B,Token!$A:$A,$D364),)</f>
        <v/>
      </c>
    </row>
    <row r="365">
      <c r="A365" s="35" t="str">
        <f>IF(AND($L365*1&gt;=$G$3,$L365*1&lt;=$G$4,$I365*$J365&gt;0,CONCATENATE($H365:$L365)&lt;&gt;CONCATENATE($H366:$L366),$I365/POW(10,$J365)*MAXIFS(Token!$B:$B,Token!$A:$A,$K365)&gt;0.01),$L365/86400+DATE(1970,1,1)+IF($L365*1&gt;=$G$5,$G$6,0),)</f>
        <v/>
      </c>
      <c r="B365" s="22" t="str">
        <f t="shared" si="1"/>
        <v/>
      </c>
      <c r="C365" s="14" t="str">
        <f>IF($A365&lt;&gt;"",MINIFS(Merchant!$A:$A,Merchant!$B:$B,$G$2),)</f>
        <v/>
      </c>
      <c r="D365" s="14" t="str">
        <f t="shared" si="2"/>
        <v/>
      </c>
      <c r="E365" s="14" t="str">
        <f t="shared" si="3"/>
        <v/>
      </c>
      <c r="F365" s="6" t="str">
        <f>IF($A365&lt;&gt;"",MAXIFS(Token!$B:$B,Token!$A:$A,$D365),)</f>
        <v/>
      </c>
    </row>
    <row r="366">
      <c r="A366" s="35" t="str">
        <f>IF(AND($L366*1&gt;=$G$3,$L366*1&lt;=$G$4,$I366*$J366&gt;0,CONCATENATE($H366:$L366)&lt;&gt;CONCATENATE($H367:$L367),$I366/POW(10,$J366)*MAXIFS(Token!$B:$B,Token!$A:$A,$K366)&gt;0.01),$L366/86400+DATE(1970,1,1)+IF($L366*1&gt;=$G$5,$G$6,0),)</f>
        <v/>
      </c>
      <c r="B366" s="22" t="str">
        <f t="shared" si="1"/>
        <v/>
      </c>
      <c r="C366" s="14" t="str">
        <f>IF($A366&lt;&gt;"",MINIFS(Merchant!$A:$A,Merchant!$B:$B,$G$2),)</f>
        <v/>
      </c>
      <c r="D366" s="14" t="str">
        <f t="shared" si="2"/>
        <v/>
      </c>
      <c r="E366" s="14" t="str">
        <f t="shared" si="3"/>
        <v/>
      </c>
      <c r="F366" s="6" t="str">
        <f>IF($A366&lt;&gt;"",MAXIFS(Token!$B:$B,Token!$A:$A,$D366),)</f>
        <v/>
      </c>
    </row>
    <row r="367">
      <c r="A367" s="35" t="str">
        <f>IF(AND($L367*1&gt;=$G$3,$L367*1&lt;=$G$4,$I367*$J367&gt;0,CONCATENATE($H367:$L367)&lt;&gt;CONCATENATE($H368:$L368),$I367/POW(10,$J367)*MAXIFS(Token!$B:$B,Token!$A:$A,$K367)&gt;0.01),$L367/86400+DATE(1970,1,1)+IF($L367*1&gt;=$G$5,$G$6,0),)</f>
        <v/>
      </c>
      <c r="B367" s="22" t="str">
        <f t="shared" si="1"/>
        <v/>
      </c>
      <c r="C367" s="14" t="str">
        <f>IF($A367&lt;&gt;"",MINIFS(Merchant!$A:$A,Merchant!$B:$B,$G$2),)</f>
        <v/>
      </c>
      <c r="D367" s="14" t="str">
        <f t="shared" si="2"/>
        <v/>
      </c>
      <c r="E367" s="14" t="str">
        <f t="shared" si="3"/>
        <v/>
      </c>
      <c r="F367" s="6" t="str">
        <f>IF($A367&lt;&gt;"",MAXIFS(Token!$B:$B,Token!$A:$A,$D367),)</f>
        <v/>
      </c>
    </row>
    <row r="368">
      <c r="A368" s="35" t="str">
        <f>IF(AND($L368*1&gt;=$G$3,$L368*1&lt;=$G$4,$I368*$J368&gt;0,CONCATENATE($H368:$L368)&lt;&gt;CONCATENATE($H369:$L369),$I368/POW(10,$J368)*MAXIFS(Token!$B:$B,Token!$A:$A,$K368)&gt;0.01),$L368/86400+DATE(1970,1,1)+IF($L368*1&gt;=$G$5,$G$6,0),)</f>
        <v/>
      </c>
      <c r="B368" s="22" t="str">
        <f t="shared" si="1"/>
        <v/>
      </c>
      <c r="C368" s="14" t="str">
        <f>IF($A368&lt;&gt;"",MINIFS(Merchant!$A:$A,Merchant!$B:$B,$G$2),)</f>
        <v/>
      </c>
      <c r="D368" s="14" t="str">
        <f t="shared" si="2"/>
        <v/>
      </c>
      <c r="E368" s="14" t="str">
        <f t="shared" si="3"/>
        <v/>
      </c>
      <c r="F368" s="6" t="str">
        <f>IF($A368&lt;&gt;"",MAXIFS(Token!$B:$B,Token!$A:$A,$D368),)</f>
        <v/>
      </c>
    </row>
    <row r="369">
      <c r="A369" s="35" t="str">
        <f>IF(AND($L369*1&gt;=$G$3,$L369*1&lt;=$G$4,$I369*$J369&gt;0,CONCATENATE($H369:$L369)&lt;&gt;CONCATENATE($H370:$L370),$I369/POW(10,$J369)*MAXIFS(Token!$B:$B,Token!$A:$A,$K369)&gt;0.01),$L369/86400+DATE(1970,1,1)+IF($L369*1&gt;=$G$5,$G$6,0),)</f>
        <v/>
      </c>
      <c r="B369" s="22" t="str">
        <f t="shared" si="1"/>
        <v/>
      </c>
      <c r="C369" s="14" t="str">
        <f>IF($A369&lt;&gt;"",MINIFS(Merchant!$A:$A,Merchant!$B:$B,$G$2),)</f>
        <v/>
      </c>
      <c r="D369" s="14" t="str">
        <f t="shared" si="2"/>
        <v/>
      </c>
      <c r="E369" s="14" t="str">
        <f t="shared" si="3"/>
        <v/>
      </c>
      <c r="F369" s="6" t="str">
        <f>IF($A369&lt;&gt;"",MAXIFS(Token!$B:$B,Token!$A:$A,$D369),)</f>
        <v/>
      </c>
    </row>
    <row r="370">
      <c r="A370" s="35" t="str">
        <f>IF(AND($L370*1&gt;=$G$3,$L370*1&lt;=$G$4,$I370*$J370&gt;0,CONCATENATE($H370:$L370)&lt;&gt;CONCATENATE($H371:$L371),$I370/POW(10,$J370)*MAXIFS(Token!$B:$B,Token!$A:$A,$K370)&gt;0.01),$L370/86400+DATE(1970,1,1)+IF($L370*1&gt;=$G$5,$G$6,0),)</f>
        <v/>
      </c>
      <c r="B370" s="22" t="str">
        <f t="shared" si="1"/>
        <v/>
      </c>
      <c r="C370" s="14" t="str">
        <f>IF($A370&lt;&gt;"",MINIFS(Merchant!$A:$A,Merchant!$B:$B,$G$2),)</f>
        <v/>
      </c>
      <c r="D370" s="14" t="str">
        <f t="shared" si="2"/>
        <v/>
      </c>
      <c r="E370" s="14" t="str">
        <f t="shared" si="3"/>
        <v/>
      </c>
      <c r="F370" s="6" t="str">
        <f>IF($A370&lt;&gt;"",MAXIFS(Token!$B:$B,Token!$A:$A,$D370),)</f>
        <v/>
      </c>
    </row>
    <row r="371">
      <c r="A371" s="35" t="str">
        <f>IF(AND($L371*1&gt;=$G$3,$L371*1&lt;=$G$4,$I371*$J371&gt;0,CONCATENATE($H371:$L371)&lt;&gt;CONCATENATE($H372:$L372),$I371/POW(10,$J371)*MAXIFS(Token!$B:$B,Token!$A:$A,$K371)&gt;0.01),$L371/86400+DATE(1970,1,1)+IF($L371*1&gt;=$G$5,$G$6,0),)</f>
        <v/>
      </c>
      <c r="B371" s="22" t="str">
        <f t="shared" si="1"/>
        <v/>
      </c>
      <c r="C371" s="14" t="str">
        <f>IF($A371&lt;&gt;"",MINIFS(Merchant!$A:$A,Merchant!$B:$B,$G$2),)</f>
        <v/>
      </c>
      <c r="D371" s="14" t="str">
        <f t="shared" si="2"/>
        <v/>
      </c>
      <c r="E371" s="14" t="str">
        <f t="shared" si="3"/>
        <v/>
      </c>
      <c r="F371" s="6" t="str">
        <f>IF($A371&lt;&gt;"",MAXIFS(Token!$B:$B,Token!$A:$A,$D371),)</f>
        <v/>
      </c>
    </row>
    <row r="372">
      <c r="A372" s="35" t="str">
        <f>IF(AND($L372*1&gt;=$G$3,$L372*1&lt;=$G$4,$I372*$J372&gt;0,CONCATENATE($H372:$L372)&lt;&gt;CONCATENATE($H373:$L373),$I372/POW(10,$J372)*MAXIFS(Token!$B:$B,Token!$A:$A,$K372)&gt;0.01),$L372/86400+DATE(1970,1,1)+IF($L372*1&gt;=$G$5,$G$6,0),)</f>
        <v/>
      </c>
      <c r="B372" s="22" t="str">
        <f t="shared" si="1"/>
        <v/>
      </c>
      <c r="C372" s="14" t="str">
        <f>IF($A372&lt;&gt;"",MINIFS(Merchant!$A:$A,Merchant!$B:$B,$G$2),)</f>
        <v/>
      </c>
      <c r="D372" s="14" t="str">
        <f t="shared" si="2"/>
        <v/>
      </c>
      <c r="E372" s="14" t="str">
        <f t="shared" si="3"/>
        <v/>
      </c>
      <c r="F372" s="6" t="str">
        <f>IF($A372&lt;&gt;"",MAXIFS(Token!$B:$B,Token!$A:$A,$D372),)</f>
        <v/>
      </c>
    </row>
    <row r="373">
      <c r="A373" s="35" t="str">
        <f>IF(AND($L373*1&gt;=$G$3,$L373*1&lt;=$G$4,$I373*$J373&gt;0,CONCATENATE($H373:$L373)&lt;&gt;CONCATENATE($H374:$L374),$I373/POW(10,$J373)*MAXIFS(Token!$B:$B,Token!$A:$A,$K373)&gt;0.01),$L373/86400+DATE(1970,1,1)+IF($L373*1&gt;=$G$5,$G$6,0),)</f>
        <v/>
      </c>
      <c r="B373" s="22" t="str">
        <f t="shared" si="1"/>
        <v/>
      </c>
      <c r="C373" s="14" t="str">
        <f>IF($A373&lt;&gt;"",MINIFS(Merchant!$A:$A,Merchant!$B:$B,$G$2),)</f>
        <v/>
      </c>
      <c r="D373" s="14" t="str">
        <f t="shared" si="2"/>
        <v/>
      </c>
      <c r="E373" s="14" t="str">
        <f t="shared" si="3"/>
        <v/>
      </c>
      <c r="F373" s="6" t="str">
        <f>IF($A373&lt;&gt;"",MAXIFS(Token!$B:$B,Token!$A:$A,$D373),)</f>
        <v/>
      </c>
    </row>
    <row r="374">
      <c r="A374" s="35" t="str">
        <f>IF(AND($L374*1&gt;=$G$3,$L374*1&lt;=$G$4,$I374*$J374&gt;0,CONCATENATE($H374:$L374)&lt;&gt;CONCATENATE($H375:$L375),$I374/POW(10,$J374)*MAXIFS(Token!$B:$B,Token!$A:$A,$K374)&gt;0.01),$L374/86400+DATE(1970,1,1)+IF($L374*1&gt;=$G$5,$G$6,0),)</f>
        <v/>
      </c>
      <c r="B374" s="22" t="str">
        <f t="shared" si="1"/>
        <v/>
      </c>
      <c r="C374" s="14" t="str">
        <f>IF($A374&lt;&gt;"",MINIFS(Merchant!$A:$A,Merchant!$B:$B,$G$2),)</f>
        <v/>
      </c>
      <c r="D374" s="14" t="str">
        <f t="shared" si="2"/>
        <v/>
      </c>
      <c r="E374" s="14" t="str">
        <f t="shared" si="3"/>
        <v/>
      </c>
      <c r="F374" s="6" t="str">
        <f>IF($A374&lt;&gt;"",MAXIFS(Token!$B:$B,Token!$A:$A,$D374),)</f>
        <v/>
      </c>
    </row>
    <row r="375">
      <c r="A375" s="35" t="str">
        <f>IF(AND($L375*1&gt;=$G$3,$L375*1&lt;=$G$4,$I375*$J375&gt;0,CONCATENATE($H375:$L375)&lt;&gt;CONCATENATE($H376:$L376),$I375/POW(10,$J375)*MAXIFS(Token!$B:$B,Token!$A:$A,$K375)&gt;0.01),$L375/86400+DATE(1970,1,1)+IF($L375*1&gt;=$G$5,$G$6,0),)</f>
        <v/>
      </c>
      <c r="B375" s="22" t="str">
        <f t="shared" si="1"/>
        <v/>
      </c>
      <c r="C375" s="14" t="str">
        <f>IF($A375&lt;&gt;"",MINIFS(Merchant!$A:$A,Merchant!$B:$B,$G$2),)</f>
        <v/>
      </c>
      <c r="D375" s="14" t="str">
        <f t="shared" si="2"/>
        <v/>
      </c>
      <c r="E375" s="14" t="str">
        <f t="shared" si="3"/>
        <v/>
      </c>
      <c r="F375" s="6" t="str">
        <f>IF($A375&lt;&gt;"",MAXIFS(Token!$B:$B,Token!$A:$A,$D375),)</f>
        <v/>
      </c>
    </row>
    <row r="376">
      <c r="A376" s="35" t="str">
        <f>IF(AND($L376*1&gt;=$G$3,$L376*1&lt;=$G$4,$I376*$J376&gt;0,CONCATENATE($H376:$L376)&lt;&gt;CONCATENATE($H377:$L377),$I376/POW(10,$J376)*MAXIFS(Token!$B:$B,Token!$A:$A,$K376)&gt;0.01),$L376/86400+DATE(1970,1,1)+IF($L376*1&gt;=$G$5,$G$6,0),)</f>
        <v/>
      </c>
      <c r="B376" s="22" t="str">
        <f t="shared" si="1"/>
        <v/>
      </c>
      <c r="C376" s="14" t="str">
        <f>IF($A376&lt;&gt;"",MINIFS(Merchant!$A:$A,Merchant!$B:$B,$G$2),)</f>
        <v/>
      </c>
      <c r="D376" s="14" t="str">
        <f t="shared" si="2"/>
        <v/>
      </c>
      <c r="E376" s="14" t="str">
        <f t="shared" si="3"/>
        <v/>
      </c>
      <c r="F376" s="6" t="str">
        <f>IF($A376&lt;&gt;"",MAXIFS(Token!$B:$B,Token!$A:$A,$D376),)</f>
        <v/>
      </c>
    </row>
    <row r="377">
      <c r="A377" s="35" t="str">
        <f>IF(AND($L377*1&gt;=$G$3,$L377*1&lt;=$G$4,$I377*$J377&gt;0,CONCATENATE($H377:$L377)&lt;&gt;CONCATENATE($H378:$L378),$I377/POW(10,$J377)*MAXIFS(Token!$B:$B,Token!$A:$A,$K377)&gt;0.01),$L377/86400+DATE(1970,1,1)+IF($L377*1&gt;=$G$5,$G$6,0),)</f>
        <v/>
      </c>
      <c r="B377" s="22" t="str">
        <f t="shared" si="1"/>
        <v/>
      </c>
      <c r="C377" s="14" t="str">
        <f>IF($A377&lt;&gt;"",MINIFS(Merchant!$A:$A,Merchant!$B:$B,$G$2),)</f>
        <v/>
      </c>
      <c r="D377" s="14" t="str">
        <f t="shared" si="2"/>
        <v/>
      </c>
      <c r="E377" s="14" t="str">
        <f t="shared" si="3"/>
        <v/>
      </c>
      <c r="F377" s="6" t="str">
        <f>IF($A377&lt;&gt;"",MAXIFS(Token!$B:$B,Token!$A:$A,$D377),)</f>
        <v/>
      </c>
    </row>
    <row r="378">
      <c r="A378" s="35" t="str">
        <f>IF(AND($L378*1&gt;=$G$3,$L378*1&lt;=$G$4,$I378*$J378&gt;0,CONCATENATE($H378:$L378)&lt;&gt;CONCATENATE($H379:$L379),$I378/POW(10,$J378)*MAXIFS(Token!$B:$B,Token!$A:$A,$K378)&gt;0.01),$L378/86400+DATE(1970,1,1)+IF($L378*1&gt;=$G$5,$G$6,0),)</f>
        <v/>
      </c>
      <c r="B378" s="22" t="str">
        <f t="shared" si="1"/>
        <v/>
      </c>
      <c r="C378" s="14" t="str">
        <f>IF($A378&lt;&gt;"",MINIFS(Merchant!$A:$A,Merchant!$B:$B,$G$2),)</f>
        <v/>
      </c>
      <c r="D378" s="14" t="str">
        <f t="shared" si="2"/>
        <v/>
      </c>
      <c r="E378" s="14" t="str">
        <f t="shared" si="3"/>
        <v/>
      </c>
      <c r="F378" s="6" t="str">
        <f>IF($A378&lt;&gt;"",MAXIFS(Token!$B:$B,Token!$A:$A,$D378),)</f>
        <v/>
      </c>
    </row>
    <row r="379">
      <c r="A379" s="35" t="str">
        <f>IF(AND($L379*1&gt;=$G$3,$L379*1&lt;=$G$4,$I379*$J379&gt;0,CONCATENATE($H379:$L379)&lt;&gt;CONCATENATE($H380:$L380),$I379/POW(10,$J379)*MAXIFS(Token!$B:$B,Token!$A:$A,$K379)&gt;0.01),$L379/86400+DATE(1970,1,1)+IF($L379*1&gt;=$G$5,$G$6,0),)</f>
        <v/>
      </c>
      <c r="B379" s="22" t="str">
        <f t="shared" si="1"/>
        <v/>
      </c>
      <c r="C379" s="14" t="str">
        <f>IF($A379&lt;&gt;"",MINIFS(Merchant!$A:$A,Merchant!$B:$B,$G$2),)</f>
        <v/>
      </c>
      <c r="D379" s="14" t="str">
        <f t="shared" si="2"/>
        <v/>
      </c>
      <c r="E379" s="14" t="str">
        <f t="shared" si="3"/>
        <v/>
      </c>
      <c r="F379" s="6" t="str">
        <f>IF($A379&lt;&gt;"",MAXIFS(Token!$B:$B,Token!$A:$A,$D379),)</f>
        <v/>
      </c>
    </row>
    <row r="380">
      <c r="A380" s="35" t="str">
        <f>IF(AND($L380*1&gt;=$G$3,$L380*1&lt;=$G$4,$I380*$J380&gt;0,CONCATENATE($H380:$L380)&lt;&gt;CONCATENATE($H381:$L381),$I380/POW(10,$J380)*MAXIFS(Token!$B:$B,Token!$A:$A,$K380)&gt;0.01),$L380/86400+DATE(1970,1,1)+IF($L380*1&gt;=$G$5,$G$6,0),)</f>
        <v/>
      </c>
      <c r="B380" s="22" t="str">
        <f t="shared" si="1"/>
        <v/>
      </c>
      <c r="C380" s="14" t="str">
        <f>IF($A380&lt;&gt;"",MINIFS(Merchant!$A:$A,Merchant!$B:$B,$G$2),)</f>
        <v/>
      </c>
      <c r="D380" s="14" t="str">
        <f t="shared" si="2"/>
        <v/>
      </c>
      <c r="E380" s="14" t="str">
        <f t="shared" si="3"/>
        <v/>
      </c>
      <c r="F380" s="6" t="str">
        <f>IF($A380&lt;&gt;"",MAXIFS(Token!$B:$B,Token!$A:$A,$D380),)</f>
        <v/>
      </c>
    </row>
    <row r="381">
      <c r="A381" s="35" t="str">
        <f>IF(AND($L381*1&gt;=$G$3,$L381*1&lt;=$G$4,$I381*$J381&gt;0,CONCATENATE($H381:$L381)&lt;&gt;CONCATENATE($H382:$L382),$I381/POW(10,$J381)*MAXIFS(Token!$B:$B,Token!$A:$A,$K381)&gt;0.01),$L381/86400+DATE(1970,1,1)+IF($L381*1&gt;=$G$5,$G$6,0),)</f>
        <v/>
      </c>
      <c r="B381" s="22" t="str">
        <f t="shared" si="1"/>
        <v/>
      </c>
      <c r="C381" s="14" t="str">
        <f>IF($A381&lt;&gt;"",MINIFS(Merchant!$A:$A,Merchant!$B:$B,$G$2),)</f>
        <v/>
      </c>
      <c r="D381" s="14" t="str">
        <f t="shared" si="2"/>
        <v/>
      </c>
      <c r="E381" s="14" t="str">
        <f t="shared" si="3"/>
        <v/>
      </c>
      <c r="F381" s="6" t="str">
        <f>IF($A381&lt;&gt;"",MAXIFS(Token!$B:$B,Token!$A:$A,$D381),)</f>
        <v/>
      </c>
    </row>
    <row r="382">
      <c r="A382" s="35" t="str">
        <f>IF(AND($L382*1&gt;=$G$3,$L382*1&lt;=$G$4,$I382*$J382&gt;0,CONCATENATE($H382:$L382)&lt;&gt;CONCATENATE($H383:$L383),$I382/POW(10,$J382)*MAXIFS(Token!$B:$B,Token!$A:$A,$K382)&gt;0.01),$L382/86400+DATE(1970,1,1)+IF($L382*1&gt;=$G$5,$G$6,0),)</f>
        <v/>
      </c>
      <c r="B382" s="22" t="str">
        <f t="shared" si="1"/>
        <v/>
      </c>
      <c r="C382" s="14" t="str">
        <f>IF($A382&lt;&gt;"",MINIFS(Merchant!$A:$A,Merchant!$B:$B,$G$2),)</f>
        <v/>
      </c>
      <c r="D382" s="14" t="str">
        <f t="shared" si="2"/>
        <v/>
      </c>
      <c r="E382" s="14" t="str">
        <f t="shared" si="3"/>
        <v/>
      </c>
      <c r="F382" s="6" t="str">
        <f>IF($A382&lt;&gt;"",MAXIFS(Token!$B:$B,Token!$A:$A,$D382),)</f>
        <v/>
      </c>
    </row>
    <row r="383">
      <c r="A383" s="35" t="str">
        <f>IF(AND($L383*1&gt;=$G$3,$L383*1&lt;=$G$4,$I383*$J383&gt;0,CONCATENATE($H383:$L383)&lt;&gt;CONCATENATE($H384:$L384),$I383/POW(10,$J383)*MAXIFS(Token!$B:$B,Token!$A:$A,$K383)&gt;0.01),$L383/86400+DATE(1970,1,1)+IF($L383*1&gt;=$G$5,$G$6,0),)</f>
        <v/>
      </c>
      <c r="B383" s="22" t="str">
        <f t="shared" si="1"/>
        <v/>
      </c>
      <c r="C383" s="14" t="str">
        <f>IF($A383&lt;&gt;"",MINIFS(Merchant!$A:$A,Merchant!$B:$B,$G$2),)</f>
        <v/>
      </c>
      <c r="D383" s="14" t="str">
        <f t="shared" si="2"/>
        <v/>
      </c>
      <c r="E383" s="14" t="str">
        <f t="shared" si="3"/>
        <v/>
      </c>
      <c r="F383" s="6" t="str">
        <f>IF($A383&lt;&gt;"",MAXIFS(Token!$B:$B,Token!$A:$A,$D383),)</f>
        <v/>
      </c>
    </row>
    <row r="384">
      <c r="A384" s="35" t="str">
        <f>IF(AND($L384*1&gt;=$G$3,$L384*1&lt;=$G$4,$I384*$J384&gt;0,CONCATENATE($H384:$L384)&lt;&gt;CONCATENATE($H385:$L385),$I384/POW(10,$J384)*MAXIFS(Token!$B:$B,Token!$A:$A,$K384)&gt;0.01),$L384/86400+DATE(1970,1,1)+IF($L384*1&gt;=$G$5,$G$6,0),)</f>
        <v/>
      </c>
      <c r="B384" s="22" t="str">
        <f t="shared" si="1"/>
        <v/>
      </c>
      <c r="C384" s="14" t="str">
        <f>IF($A384&lt;&gt;"",MINIFS(Merchant!$A:$A,Merchant!$B:$B,$G$2),)</f>
        <v/>
      </c>
      <c r="D384" s="14" t="str">
        <f t="shared" si="2"/>
        <v/>
      </c>
      <c r="E384" s="14" t="str">
        <f t="shared" si="3"/>
        <v/>
      </c>
      <c r="F384" s="6" t="str">
        <f>IF($A384&lt;&gt;"",MAXIFS(Token!$B:$B,Token!$A:$A,$D384),)</f>
        <v/>
      </c>
    </row>
    <row r="385">
      <c r="A385" s="35" t="str">
        <f>IF(AND($L385*1&gt;=$G$3,$L385*1&lt;=$G$4,$I385*$J385&gt;0,CONCATENATE($H385:$L385)&lt;&gt;CONCATENATE($H386:$L386),$I385/POW(10,$J385)*MAXIFS(Token!$B:$B,Token!$A:$A,$K385)&gt;0.01),$L385/86400+DATE(1970,1,1)+IF($L385*1&gt;=$G$5,$G$6,0),)</f>
        <v/>
      </c>
      <c r="B385" s="22" t="str">
        <f t="shared" si="1"/>
        <v/>
      </c>
      <c r="C385" s="14" t="str">
        <f>IF($A385&lt;&gt;"",MINIFS(Merchant!$A:$A,Merchant!$B:$B,$G$2),)</f>
        <v/>
      </c>
      <c r="D385" s="14" t="str">
        <f t="shared" si="2"/>
        <v/>
      </c>
      <c r="E385" s="14" t="str">
        <f t="shared" si="3"/>
        <v/>
      </c>
      <c r="F385" s="6" t="str">
        <f>IF($A385&lt;&gt;"",MAXIFS(Token!$B:$B,Token!$A:$A,$D385),)</f>
        <v/>
      </c>
    </row>
    <row r="386">
      <c r="A386" s="35" t="str">
        <f>IF(AND($L386*1&gt;=$G$3,$L386*1&lt;=$G$4,$I386*$J386&gt;0,CONCATENATE($H386:$L386)&lt;&gt;CONCATENATE($H387:$L387),$I386/POW(10,$J386)*MAXIFS(Token!$B:$B,Token!$A:$A,$K386)&gt;0.01),$L386/86400+DATE(1970,1,1)+IF($L386*1&gt;=$G$5,$G$6,0),)</f>
        <v/>
      </c>
      <c r="B386" s="22" t="str">
        <f t="shared" si="1"/>
        <v/>
      </c>
      <c r="C386" s="14" t="str">
        <f>IF($A386&lt;&gt;"",MINIFS(Merchant!$A:$A,Merchant!$B:$B,$G$2),)</f>
        <v/>
      </c>
      <c r="D386" s="14" t="str">
        <f t="shared" si="2"/>
        <v/>
      </c>
      <c r="E386" s="14" t="str">
        <f t="shared" si="3"/>
        <v/>
      </c>
      <c r="F386" s="6" t="str">
        <f>IF($A386&lt;&gt;"",MAXIFS(Token!$B:$B,Token!$A:$A,$D386),)</f>
        <v/>
      </c>
    </row>
    <row r="387">
      <c r="A387" s="35" t="str">
        <f>IF(AND($L387*1&gt;=$G$3,$L387*1&lt;=$G$4,$I387*$J387&gt;0,CONCATENATE($H387:$L387)&lt;&gt;CONCATENATE($H388:$L388),$I387/POW(10,$J387)*MAXIFS(Token!$B:$B,Token!$A:$A,$K387)&gt;0.01),$L387/86400+DATE(1970,1,1)+IF($L387*1&gt;=$G$5,$G$6,0),)</f>
        <v/>
      </c>
      <c r="B387" s="22" t="str">
        <f t="shared" si="1"/>
        <v/>
      </c>
      <c r="C387" s="14" t="str">
        <f>IF($A387&lt;&gt;"",MINIFS(Merchant!$A:$A,Merchant!$B:$B,$G$2),)</f>
        <v/>
      </c>
      <c r="D387" s="14" t="str">
        <f t="shared" si="2"/>
        <v/>
      </c>
      <c r="E387" s="14" t="str">
        <f t="shared" si="3"/>
        <v/>
      </c>
      <c r="F387" s="6" t="str">
        <f>IF($A387&lt;&gt;"",MAXIFS(Token!$B:$B,Token!$A:$A,$D387),)</f>
        <v/>
      </c>
    </row>
    <row r="388">
      <c r="A388" s="35" t="str">
        <f>IF(AND($L388*1&gt;=$G$3,$L388*1&lt;=$G$4,$I388*$J388&gt;0,CONCATENATE($H388:$L388)&lt;&gt;CONCATENATE($H389:$L389),$I388/POW(10,$J388)*MAXIFS(Token!$B:$B,Token!$A:$A,$K388)&gt;0.01),$L388/86400+DATE(1970,1,1)+IF($L388*1&gt;=$G$5,$G$6,0),)</f>
        <v/>
      </c>
      <c r="B388" s="22" t="str">
        <f t="shared" si="1"/>
        <v/>
      </c>
      <c r="C388" s="14" t="str">
        <f>IF($A388&lt;&gt;"",MINIFS(Merchant!$A:$A,Merchant!$B:$B,$G$2),)</f>
        <v/>
      </c>
      <c r="D388" s="14" t="str">
        <f t="shared" si="2"/>
        <v/>
      </c>
      <c r="E388" s="14" t="str">
        <f t="shared" si="3"/>
        <v/>
      </c>
      <c r="F388" s="6" t="str">
        <f>IF($A388&lt;&gt;"",MAXIFS(Token!$B:$B,Token!$A:$A,$D388),)</f>
        <v/>
      </c>
    </row>
    <row r="389">
      <c r="A389" s="35" t="str">
        <f>IF(AND($L389*1&gt;=$G$3,$L389*1&lt;=$G$4,$I389*$J389&gt;0,CONCATENATE($H389:$L389)&lt;&gt;CONCATENATE($H390:$L390),$I389/POW(10,$J389)*MAXIFS(Token!$B:$B,Token!$A:$A,$K389)&gt;0.01),$L389/86400+DATE(1970,1,1)+IF($L389*1&gt;=$G$5,$G$6,0),)</f>
        <v/>
      </c>
      <c r="B389" s="22" t="str">
        <f t="shared" si="1"/>
        <v/>
      </c>
      <c r="C389" s="14" t="str">
        <f>IF($A389&lt;&gt;"",MINIFS(Merchant!$A:$A,Merchant!$B:$B,$G$2),)</f>
        <v/>
      </c>
      <c r="D389" s="14" t="str">
        <f t="shared" si="2"/>
        <v/>
      </c>
      <c r="E389" s="14" t="str">
        <f t="shared" si="3"/>
        <v/>
      </c>
      <c r="F389" s="6" t="str">
        <f>IF($A389&lt;&gt;"",MAXIFS(Token!$B:$B,Token!$A:$A,$D389),)</f>
        <v/>
      </c>
    </row>
    <row r="390">
      <c r="A390" s="35" t="str">
        <f>IF(AND($L390*1&gt;=$G$3,$L390*1&lt;=$G$4,$I390*$J390&gt;0,CONCATENATE($H390:$L390)&lt;&gt;CONCATENATE($H391:$L391),$I390/POW(10,$J390)*MAXIFS(Token!$B:$B,Token!$A:$A,$K390)&gt;0.01),$L390/86400+DATE(1970,1,1)+IF($L390*1&gt;=$G$5,$G$6,0),)</f>
        <v/>
      </c>
      <c r="B390" s="22" t="str">
        <f t="shared" si="1"/>
        <v/>
      </c>
      <c r="C390" s="14" t="str">
        <f>IF($A390&lt;&gt;"",MINIFS(Merchant!$A:$A,Merchant!$B:$B,$G$2),)</f>
        <v/>
      </c>
      <c r="D390" s="14" t="str">
        <f t="shared" si="2"/>
        <v/>
      </c>
      <c r="E390" s="14" t="str">
        <f t="shared" si="3"/>
        <v/>
      </c>
      <c r="F390" s="6" t="str">
        <f>IF($A390&lt;&gt;"",MAXIFS(Token!$B:$B,Token!$A:$A,$D390),)</f>
        <v/>
      </c>
    </row>
    <row r="391">
      <c r="A391" s="35" t="str">
        <f>IF(AND($L391*1&gt;=$G$3,$L391*1&lt;=$G$4,$I391*$J391&gt;0,CONCATENATE($H391:$L391)&lt;&gt;CONCATENATE($H392:$L392),$I391/POW(10,$J391)*MAXIFS(Token!$B:$B,Token!$A:$A,$K391)&gt;0.01),$L391/86400+DATE(1970,1,1)+IF($L391*1&gt;=$G$5,$G$6,0),)</f>
        <v/>
      </c>
      <c r="B391" s="22" t="str">
        <f t="shared" si="1"/>
        <v/>
      </c>
      <c r="C391" s="14" t="str">
        <f>IF($A391&lt;&gt;"",MINIFS(Merchant!$A:$A,Merchant!$B:$B,$G$2),)</f>
        <v/>
      </c>
      <c r="D391" s="14" t="str">
        <f t="shared" si="2"/>
        <v/>
      </c>
      <c r="E391" s="14" t="str">
        <f t="shared" si="3"/>
        <v/>
      </c>
      <c r="F391" s="6" t="str">
        <f>IF($A391&lt;&gt;"",MAXIFS(Token!$B:$B,Token!$A:$A,$D391),)</f>
        <v/>
      </c>
    </row>
    <row r="392">
      <c r="A392" s="35" t="str">
        <f>IF(AND($L392*1&gt;=$G$3,$L392*1&lt;=$G$4,$I392*$J392&gt;0,CONCATENATE($H392:$L392)&lt;&gt;CONCATENATE($H393:$L393),$I392/POW(10,$J392)*MAXIFS(Token!$B:$B,Token!$A:$A,$K392)&gt;0.01),$L392/86400+DATE(1970,1,1)+IF($L392*1&gt;=$G$5,$G$6,0),)</f>
        <v/>
      </c>
      <c r="B392" s="22" t="str">
        <f t="shared" si="1"/>
        <v/>
      </c>
      <c r="C392" s="14" t="str">
        <f>IF($A392&lt;&gt;"",MINIFS(Merchant!$A:$A,Merchant!$B:$B,$G$2),)</f>
        <v/>
      </c>
      <c r="D392" s="14" t="str">
        <f t="shared" si="2"/>
        <v/>
      </c>
      <c r="E392" s="14" t="str">
        <f t="shared" si="3"/>
        <v/>
      </c>
      <c r="F392" s="6" t="str">
        <f>IF($A392&lt;&gt;"",MAXIFS(Token!$B:$B,Token!$A:$A,$D392),)</f>
        <v/>
      </c>
    </row>
    <row r="393">
      <c r="A393" s="35" t="str">
        <f>IF(AND($L393*1&gt;=$G$3,$L393*1&lt;=$G$4,$I393*$J393&gt;0,CONCATENATE($H393:$L393)&lt;&gt;CONCATENATE($H394:$L394),$I393/POW(10,$J393)*MAXIFS(Token!$B:$B,Token!$A:$A,$K393)&gt;0.01),$L393/86400+DATE(1970,1,1)+IF($L393*1&gt;=$G$5,$G$6,0),)</f>
        <v/>
      </c>
      <c r="B393" s="22" t="str">
        <f t="shared" si="1"/>
        <v/>
      </c>
      <c r="C393" s="14" t="str">
        <f>IF($A393&lt;&gt;"",MINIFS(Merchant!$A:$A,Merchant!$B:$B,$G$2),)</f>
        <v/>
      </c>
      <c r="D393" s="14" t="str">
        <f t="shared" si="2"/>
        <v/>
      </c>
      <c r="E393" s="14" t="str">
        <f t="shared" si="3"/>
        <v/>
      </c>
      <c r="F393" s="6" t="str">
        <f>IF($A393&lt;&gt;"",MAXIFS(Token!$B:$B,Token!$A:$A,$D393),)</f>
        <v/>
      </c>
    </row>
    <row r="394">
      <c r="A394" s="35" t="str">
        <f>IF(AND($L394*1&gt;=$G$3,$L394*1&lt;=$G$4,$I394*$J394&gt;0,CONCATENATE($H394:$L394)&lt;&gt;CONCATENATE($H395:$L395),$I394/POW(10,$J394)*MAXIFS(Token!$B:$B,Token!$A:$A,$K394)&gt;0.01),$L394/86400+DATE(1970,1,1)+IF($L394*1&gt;=$G$5,$G$6,0),)</f>
        <v/>
      </c>
      <c r="B394" s="22" t="str">
        <f t="shared" si="1"/>
        <v/>
      </c>
      <c r="C394" s="14" t="str">
        <f>IF($A394&lt;&gt;"",MINIFS(Merchant!$A:$A,Merchant!$B:$B,$G$2),)</f>
        <v/>
      </c>
      <c r="D394" s="14" t="str">
        <f t="shared" si="2"/>
        <v/>
      </c>
      <c r="E394" s="14" t="str">
        <f t="shared" si="3"/>
        <v/>
      </c>
      <c r="F394" s="6" t="str">
        <f>IF($A394&lt;&gt;"",MAXIFS(Token!$B:$B,Token!$A:$A,$D394),)</f>
        <v/>
      </c>
    </row>
    <row r="395">
      <c r="A395" s="35" t="str">
        <f>IF(AND($L395*1&gt;=$G$3,$L395*1&lt;=$G$4,$I395*$J395&gt;0,CONCATENATE($H395:$L395)&lt;&gt;CONCATENATE($H396:$L396),$I395/POW(10,$J395)*MAXIFS(Token!$B:$B,Token!$A:$A,$K395)&gt;0.01),$L395/86400+DATE(1970,1,1)+IF($L395*1&gt;=$G$5,$G$6,0),)</f>
        <v/>
      </c>
      <c r="B395" s="22" t="str">
        <f t="shared" si="1"/>
        <v/>
      </c>
      <c r="C395" s="14" t="str">
        <f>IF($A395&lt;&gt;"",MINIFS(Merchant!$A:$A,Merchant!$B:$B,$G$2),)</f>
        <v/>
      </c>
      <c r="D395" s="14" t="str">
        <f t="shared" si="2"/>
        <v/>
      </c>
      <c r="E395" s="14" t="str">
        <f t="shared" si="3"/>
        <v/>
      </c>
      <c r="F395" s="6" t="str">
        <f>IF($A395&lt;&gt;"",MAXIFS(Token!$B:$B,Token!$A:$A,$D395),)</f>
        <v/>
      </c>
    </row>
    <row r="396">
      <c r="A396" s="35" t="str">
        <f>IF(AND($L396*1&gt;=$G$3,$L396*1&lt;=$G$4,$I396*$J396&gt;0,CONCATENATE($H396:$L396)&lt;&gt;CONCATENATE($H397:$L397),$I396/POW(10,$J396)*MAXIFS(Token!$B:$B,Token!$A:$A,$K396)&gt;0.01),$L396/86400+DATE(1970,1,1)+IF($L396*1&gt;=$G$5,$G$6,0),)</f>
        <v/>
      </c>
      <c r="B396" s="22" t="str">
        <f t="shared" si="1"/>
        <v/>
      </c>
      <c r="C396" s="14" t="str">
        <f>IF($A396&lt;&gt;"",MINIFS(Merchant!$A:$A,Merchant!$B:$B,$G$2),)</f>
        <v/>
      </c>
      <c r="D396" s="14" t="str">
        <f t="shared" si="2"/>
        <v/>
      </c>
      <c r="E396" s="14" t="str">
        <f t="shared" si="3"/>
        <v/>
      </c>
      <c r="F396" s="6" t="str">
        <f>IF($A396&lt;&gt;"",MAXIFS(Token!$B:$B,Token!$A:$A,$D396),)</f>
        <v/>
      </c>
    </row>
    <row r="397">
      <c r="A397" s="35" t="str">
        <f>IF(AND($L397*1&gt;=$G$3,$L397*1&lt;=$G$4,$I397*$J397&gt;0,CONCATENATE($H397:$L397)&lt;&gt;CONCATENATE($H398:$L398),$I397/POW(10,$J397)*MAXIFS(Token!$B:$B,Token!$A:$A,$K397)&gt;0.01),$L397/86400+DATE(1970,1,1)+IF($L397*1&gt;=$G$5,$G$6,0),)</f>
        <v/>
      </c>
      <c r="B397" s="22" t="str">
        <f t="shared" si="1"/>
        <v/>
      </c>
      <c r="C397" s="14" t="str">
        <f>IF($A397&lt;&gt;"",MINIFS(Merchant!$A:$A,Merchant!$B:$B,$G$2),)</f>
        <v/>
      </c>
      <c r="D397" s="14" t="str">
        <f t="shared" si="2"/>
        <v/>
      </c>
      <c r="E397" s="14" t="str">
        <f t="shared" si="3"/>
        <v/>
      </c>
      <c r="F397" s="6" t="str">
        <f>IF($A397&lt;&gt;"",MAXIFS(Token!$B:$B,Token!$A:$A,$D397),)</f>
        <v/>
      </c>
    </row>
    <row r="398">
      <c r="A398" s="35" t="str">
        <f>IF(AND($L398*1&gt;=$G$3,$L398*1&lt;=$G$4,$I398*$J398&gt;0,CONCATENATE($H398:$L398)&lt;&gt;CONCATENATE($H399:$L399),$I398/POW(10,$J398)*MAXIFS(Token!$B:$B,Token!$A:$A,$K398)&gt;0.01),$L398/86400+DATE(1970,1,1)+IF($L398*1&gt;=$G$5,$G$6,0),)</f>
        <v/>
      </c>
      <c r="B398" s="22" t="str">
        <f t="shared" si="1"/>
        <v/>
      </c>
      <c r="C398" s="14" t="str">
        <f>IF($A398&lt;&gt;"",MINIFS(Merchant!$A:$A,Merchant!$B:$B,$G$2),)</f>
        <v/>
      </c>
      <c r="D398" s="14" t="str">
        <f t="shared" si="2"/>
        <v/>
      </c>
      <c r="E398" s="14" t="str">
        <f t="shared" si="3"/>
        <v/>
      </c>
      <c r="F398" s="6" t="str">
        <f>IF($A398&lt;&gt;"",MAXIFS(Token!$B:$B,Token!$A:$A,$D398),)</f>
        <v/>
      </c>
    </row>
    <row r="399">
      <c r="A399" s="35" t="str">
        <f>IF(AND($L399*1&gt;=$G$3,$L399*1&lt;=$G$4,$I399*$J399&gt;0,CONCATENATE($H399:$L399)&lt;&gt;CONCATENATE($H400:$L400),$I399/POW(10,$J399)*MAXIFS(Token!$B:$B,Token!$A:$A,$K399)&gt;0.01),$L399/86400+DATE(1970,1,1)+IF($L399*1&gt;=$G$5,$G$6,0),)</f>
        <v/>
      </c>
      <c r="B399" s="22" t="str">
        <f t="shared" si="1"/>
        <v/>
      </c>
      <c r="C399" s="14" t="str">
        <f>IF($A399&lt;&gt;"",MINIFS(Merchant!$A:$A,Merchant!$B:$B,$G$2),)</f>
        <v/>
      </c>
      <c r="D399" s="14" t="str">
        <f t="shared" si="2"/>
        <v/>
      </c>
      <c r="E399" s="14" t="str">
        <f t="shared" si="3"/>
        <v/>
      </c>
      <c r="F399" s="6" t="str">
        <f>IF($A399&lt;&gt;"",MAXIFS(Token!$B:$B,Token!$A:$A,$D399),)</f>
        <v/>
      </c>
    </row>
    <row r="400">
      <c r="A400" s="35" t="str">
        <f>IF(AND($L400*1&gt;=$G$3,$L400*1&lt;=$G$4,$I400*$J400&gt;0,CONCATENATE($H400:$L400)&lt;&gt;CONCATENATE($H401:$L401),$I400/POW(10,$J400)*MAXIFS(Token!$B:$B,Token!$A:$A,$K400)&gt;0.01),$L400/86400+DATE(1970,1,1)+IF($L400*1&gt;=$G$5,$G$6,0),)</f>
        <v/>
      </c>
      <c r="B400" s="22" t="str">
        <f t="shared" si="1"/>
        <v/>
      </c>
      <c r="C400" s="14" t="str">
        <f>IF($A400&lt;&gt;"",MINIFS(Merchant!$A:$A,Merchant!$B:$B,$G$2),)</f>
        <v/>
      </c>
      <c r="D400" s="14" t="str">
        <f t="shared" si="2"/>
        <v/>
      </c>
      <c r="E400" s="14" t="str">
        <f t="shared" si="3"/>
        <v/>
      </c>
      <c r="F400" s="6" t="str">
        <f>IF($A400&lt;&gt;"",MAXIFS(Token!$B:$B,Token!$A:$A,$D400),)</f>
        <v/>
      </c>
    </row>
    <row r="401">
      <c r="A401" s="35" t="str">
        <f>IF(AND($L401*1&gt;=$G$3,$L401*1&lt;=$G$4,$I401*$J401&gt;0,CONCATENATE($H401:$L401)&lt;&gt;CONCATENATE($H402:$L402),$I401/POW(10,$J401)*MAXIFS(Token!$B:$B,Token!$A:$A,$K401)&gt;0.01),$L401/86400+DATE(1970,1,1)+IF($L401*1&gt;=$G$5,$G$6,0),)</f>
        <v/>
      </c>
      <c r="B401" s="22" t="str">
        <f t="shared" si="1"/>
        <v/>
      </c>
      <c r="C401" s="14" t="str">
        <f>IF($A401&lt;&gt;"",MINIFS(Merchant!$A:$A,Merchant!$B:$B,$G$2),)</f>
        <v/>
      </c>
      <c r="D401" s="14" t="str">
        <f t="shared" si="2"/>
        <v/>
      </c>
      <c r="E401" s="14" t="str">
        <f t="shared" si="3"/>
        <v/>
      </c>
      <c r="F401" s="6" t="str">
        <f>IF($A401&lt;&gt;"",MAXIFS(Token!$B:$B,Token!$A:$A,$D401),)</f>
        <v/>
      </c>
    </row>
    <row r="402">
      <c r="A402" s="35" t="str">
        <f>IF(AND($L402*1&gt;=$G$3,$L402*1&lt;=$G$4,$I402*$J402&gt;0,CONCATENATE($H402:$L402)&lt;&gt;CONCATENATE($H403:$L403),$I402/POW(10,$J402)*MAXIFS(Token!$B:$B,Token!$A:$A,$K402)&gt;0.01),$L402/86400+DATE(1970,1,1)+IF($L402*1&gt;=$G$5,$G$6,0),)</f>
        <v/>
      </c>
      <c r="B402" s="22" t="str">
        <f t="shared" si="1"/>
        <v/>
      </c>
      <c r="C402" s="14" t="str">
        <f>IF($A402&lt;&gt;"",MINIFS(Merchant!$A:$A,Merchant!$B:$B,$G$2),)</f>
        <v/>
      </c>
      <c r="D402" s="14" t="str">
        <f t="shared" si="2"/>
        <v/>
      </c>
      <c r="E402" s="14" t="str">
        <f t="shared" si="3"/>
        <v/>
      </c>
      <c r="F402" s="6" t="str">
        <f>IF($A402&lt;&gt;"",MAXIFS(Token!$B:$B,Token!$A:$A,$D402),)</f>
        <v/>
      </c>
    </row>
    <row r="403">
      <c r="A403" s="35" t="str">
        <f>IF(AND($L403*1&gt;=$G$3,$L403*1&lt;=$G$4,$I403*$J403&gt;0,CONCATENATE($H403:$L403)&lt;&gt;CONCATENATE($H404:$L404),$I403/POW(10,$J403)*MAXIFS(Token!$B:$B,Token!$A:$A,$K403)&gt;0.01),$L403/86400+DATE(1970,1,1)+IF($L403*1&gt;=$G$5,$G$6,0),)</f>
        <v/>
      </c>
      <c r="B403" s="22" t="str">
        <f t="shared" si="1"/>
        <v/>
      </c>
      <c r="C403" s="14" t="str">
        <f>IF($A403&lt;&gt;"",MINIFS(Merchant!$A:$A,Merchant!$B:$B,$G$2),)</f>
        <v/>
      </c>
      <c r="D403" s="14" t="str">
        <f t="shared" si="2"/>
        <v/>
      </c>
      <c r="E403" s="14" t="str">
        <f t="shared" si="3"/>
        <v/>
      </c>
      <c r="F403" s="6" t="str">
        <f>IF($A403&lt;&gt;"",MAXIFS(Token!$B:$B,Token!$A:$A,$D403),)</f>
        <v/>
      </c>
    </row>
    <row r="404">
      <c r="A404" s="35" t="str">
        <f>IF(AND($L404*1&gt;=$G$3,$L404*1&lt;=$G$4,$I404*$J404&gt;0,CONCATENATE($H404:$L404)&lt;&gt;CONCATENATE($H405:$L405),$I404/POW(10,$J404)*MAXIFS(Token!$B:$B,Token!$A:$A,$K404)&gt;0.01),$L404/86400+DATE(1970,1,1)+IF($L404*1&gt;=$G$5,$G$6,0),)</f>
        <v/>
      </c>
      <c r="B404" s="22" t="str">
        <f t="shared" si="1"/>
        <v/>
      </c>
      <c r="C404" s="14" t="str">
        <f>IF($A404&lt;&gt;"",MINIFS(Merchant!$A:$A,Merchant!$B:$B,$G$2),)</f>
        <v/>
      </c>
      <c r="D404" s="14" t="str">
        <f t="shared" si="2"/>
        <v/>
      </c>
      <c r="E404" s="14" t="str">
        <f t="shared" si="3"/>
        <v/>
      </c>
      <c r="F404" s="6" t="str">
        <f>IF($A404&lt;&gt;"",MAXIFS(Token!$B:$B,Token!$A:$A,$D404),)</f>
        <v/>
      </c>
    </row>
    <row r="405">
      <c r="A405" s="35" t="str">
        <f>IF(AND($L405*1&gt;=$G$3,$L405*1&lt;=$G$4,$I405*$J405&gt;0,CONCATENATE($H405:$L405)&lt;&gt;CONCATENATE($H406:$L406),$I405/POW(10,$J405)*MAXIFS(Token!$B:$B,Token!$A:$A,$K405)&gt;0.01),$L405/86400+DATE(1970,1,1)+IF($L405*1&gt;=$G$5,$G$6,0),)</f>
        <v/>
      </c>
      <c r="B405" s="22" t="str">
        <f t="shared" si="1"/>
        <v/>
      </c>
      <c r="C405" s="14" t="str">
        <f>IF($A405&lt;&gt;"",MINIFS(Merchant!$A:$A,Merchant!$B:$B,$G$2),)</f>
        <v/>
      </c>
      <c r="D405" s="14" t="str">
        <f t="shared" si="2"/>
        <v/>
      </c>
      <c r="E405" s="14" t="str">
        <f t="shared" si="3"/>
        <v/>
      </c>
      <c r="F405" s="6" t="str">
        <f>IF($A405&lt;&gt;"",MAXIFS(Token!$B:$B,Token!$A:$A,$D405),)</f>
        <v/>
      </c>
    </row>
    <row r="406">
      <c r="A406" s="35" t="str">
        <f>IF(AND($L406*1&gt;=$G$3,$L406*1&lt;=$G$4,$I406*$J406&gt;0,CONCATENATE($H406:$L406)&lt;&gt;CONCATENATE($H407:$L407),$I406/POW(10,$J406)*MAXIFS(Token!$B:$B,Token!$A:$A,$K406)&gt;0.01),$L406/86400+DATE(1970,1,1)+IF($L406*1&gt;=$G$5,$G$6,0),)</f>
        <v/>
      </c>
      <c r="B406" s="22" t="str">
        <f t="shared" si="1"/>
        <v/>
      </c>
      <c r="C406" s="14" t="str">
        <f>IF($A406&lt;&gt;"",MINIFS(Merchant!$A:$A,Merchant!$B:$B,$G$2),)</f>
        <v/>
      </c>
      <c r="D406" s="14" t="str">
        <f t="shared" si="2"/>
        <v/>
      </c>
      <c r="E406" s="14" t="str">
        <f t="shared" si="3"/>
        <v/>
      </c>
      <c r="F406" s="6" t="str">
        <f>IF($A406&lt;&gt;"",MAXIFS(Token!$B:$B,Token!$A:$A,$D406),)</f>
        <v/>
      </c>
    </row>
    <row r="407">
      <c r="A407" s="35" t="str">
        <f>IF(AND($L407*1&gt;=$G$3,$L407*1&lt;=$G$4,$I407*$J407&gt;0,CONCATENATE($H407:$L407)&lt;&gt;CONCATENATE($H408:$L408),$I407/POW(10,$J407)*MAXIFS(Token!$B:$B,Token!$A:$A,$K407)&gt;0.01),$L407/86400+DATE(1970,1,1)+IF($L407*1&gt;=$G$5,$G$6,0),)</f>
        <v/>
      </c>
      <c r="B407" s="22" t="str">
        <f t="shared" si="1"/>
        <v/>
      </c>
      <c r="C407" s="14" t="str">
        <f>IF($A407&lt;&gt;"",MINIFS(Merchant!$A:$A,Merchant!$B:$B,$G$2),)</f>
        <v/>
      </c>
      <c r="D407" s="14" t="str">
        <f t="shared" si="2"/>
        <v/>
      </c>
      <c r="E407" s="14" t="str">
        <f t="shared" si="3"/>
        <v/>
      </c>
      <c r="F407" s="6" t="str">
        <f>IF($A407&lt;&gt;"",MAXIFS(Token!$B:$B,Token!$A:$A,$D407),)</f>
        <v/>
      </c>
    </row>
    <row r="408">
      <c r="A408" s="35" t="str">
        <f>IF(AND($L408*1&gt;=$G$3,$L408*1&lt;=$G$4,$I408*$J408&gt;0,CONCATENATE($H408:$L408)&lt;&gt;CONCATENATE($H409:$L409),$I408/POW(10,$J408)*MAXIFS(Token!$B:$B,Token!$A:$A,$K408)&gt;0.01),$L408/86400+DATE(1970,1,1)+IF($L408*1&gt;=$G$5,$G$6,0),)</f>
        <v/>
      </c>
      <c r="B408" s="22" t="str">
        <f t="shared" si="1"/>
        <v/>
      </c>
      <c r="C408" s="14" t="str">
        <f>IF($A408&lt;&gt;"",MINIFS(Merchant!$A:$A,Merchant!$B:$B,$G$2),)</f>
        <v/>
      </c>
      <c r="D408" s="14" t="str">
        <f t="shared" si="2"/>
        <v/>
      </c>
      <c r="E408" s="14" t="str">
        <f t="shared" si="3"/>
        <v/>
      </c>
      <c r="F408" s="6" t="str">
        <f>IF($A408&lt;&gt;"",MAXIFS(Token!$B:$B,Token!$A:$A,$D408),)</f>
        <v/>
      </c>
    </row>
    <row r="409">
      <c r="A409" s="35" t="str">
        <f>IF(AND($L409*1&gt;=$G$3,$L409*1&lt;=$G$4,$I409*$J409&gt;0,CONCATENATE($H409:$L409)&lt;&gt;CONCATENATE($H410:$L410),$I409/POW(10,$J409)*MAXIFS(Token!$B:$B,Token!$A:$A,$K409)&gt;0.01),$L409/86400+DATE(1970,1,1)+IF($L409*1&gt;=$G$5,$G$6,0),)</f>
        <v/>
      </c>
      <c r="B409" s="22" t="str">
        <f t="shared" si="1"/>
        <v/>
      </c>
      <c r="C409" s="14" t="str">
        <f>IF($A409&lt;&gt;"",MINIFS(Merchant!$A:$A,Merchant!$B:$B,$G$2),)</f>
        <v/>
      </c>
      <c r="D409" s="14" t="str">
        <f t="shared" si="2"/>
        <v/>
      </c>
      <c r="E409" s="14" t="str">
        <f t="shared" si="3"/>
        <v/>
      </c>
      <c r="F409" s="6" t="str">
        <f>IF($A409&lt;&gt;"",MAXIFS(Token!$B:$B,Token!$A:$A,$D409),)</f>
        <v/>
      </c>
    </row>
    <row r="410">
      <c r="A410" s="35" t="str">
        <f>IF(AND($L410*1&gt;=$G$3,$L410*1&lt;=$G$4,$I410*$J410&gt;0,CONCATENATE($H410:$L410)&lt;&gt;CONCATENATE($H411:$L411),$I410/POW(10,$J410)*MAXIFS(Token!$B:$B,Token!$A:$A,$K410)&gt;0.01),$L410/86400+DATE(1970,1,1)+IF($L410*1&gt;=$G$5,$G$6,0),)</f>
        <v/>
      </c>
      <c r="B410" s="22" t="str">
        <f t="shared" si="1"/>
        <v/>
      </c>
      <c r="C410" s="14" t="str">
        <f>IF($A410&lt;&gt;"",MINIFS(Merchant!$A:$A,Merchant!$B:$B,$G$2),)</f>
        <v/>
      </c>
      <c r="D410" s="14" t="str">
        <f t="shared" si="2"/>
        <v/>
      </c>
      <c r="E410" s="14" t="str">
        <f t="shared" si="3"/>
        <v/>
      </c>
      <c r="F410" s="6" t="str">
        <f>IF($A410&lt;&gt;"",MAXIFS(Token!$B:$B,Token!$A:$A,$D410),)</f>
        <v/>
      </c>
    </row>
    <row r="411">
      <c r="A411" s="35" t="str">
        <f>IF(AND($L411*1&gt;=$G$3,$L411*1&lt;=$G$4,$I411*$J411&gt;0,CONCATENATE($H411:$L411)&lt;&gt;CONCATENATE($H412:$L412),$I411/POW(10,$J411)*MAXIFS(Token!$B:$B,Token!$A:$A,$K411)&gt;0.01),$L411/86400+DATE(1970,1,1)+IF($L411*1&gt;=$G$5,$G$6,0),)</f>
        <v/>
      </c>
      <c r="B411" s="22" t="str">
        <f t="shared" si="1"/>
        <v/>
      </c>
      <c r="C411" s="14" t="str">
        <f>IF($A411&lt;&gt;"",MINIFS(Merchant!$A:$A,Merchant!$B:$B,$G$2),)</f>
        <v/>
      </c>
      <c r="D411" s="14" t="str">
        <f t="shared" si="2"/>
        <v/>
      </c>
      <c r="E411" s="14" t="str">
        <f t="shared" si="3"/>
        <v/>
      </c>
      <c r="F411" s="6" t="str">
        <f>IF($A411&lt;&gt;"",MAXIFS(Token!$B:$B,Token!$A:$A,$D411),)</f>
        <v/>
      </c>
    </row>
    <row r="412">
      <c r="A412" s="35" t="str">
        <f>IF(AND($L412*1&gt;=$G$3,$L412*1&lt;=$G$4,$I412*$J412&gt;0,CONCATENATE($H412:$L412)&lt;&gt;CONCATENATE($H413:$L413),$I412/POW(10,$J412)*MAXIFS(Token!$B:$B,Token!$A:$A,$K412)&gt;0.01),$L412/86400+DATE(1970,1,1)+IF($L412*1&gt;=$G$5,$G$6,0),)</f>
        <v/>
      </c>
      <c r="B412" s="22" t="str">
        <f t="shared" si="1"/>
        <v/>
      </c>
      <c r="C412" s="14" t="str">
        <f>IF($A412&lt;&gt;"",MINIFS(Merchant!$A:$A,Merchant!$B:$B,$G$2),)</f>
        <v/>
      </c>
      <c r="D412" s="14" t="str">
        <f t="shared" si="2"/>
        <v/>
      </c>
      <c r="E412" s="14" t="str">
        <f t="shared" si="3"/>
        <v/>
      </c>
      <c r="F412" s="6" t="str">
        <f>IF($A412&lt;&gt;"",MAXIFS(Token!$B:$B,Token!$A:$A,$D412),)</f>
        <v/>
      </c>
    </row>
    <row r="413">
      <c r="A413" s="35" t="str">
        <f>IF(AND($L413*1&gt;=$G$3,$L413*1&lt;=$G$4,$I413*$J413&gt;0,CONCATENATE($H413:$L413)&lt;&gt;CONCATENATE($H414:$L414),$I413/POW(10,$J413)*MAXIFS(Token!$B:$B,Token!$A:$A,$K413)&gt;0.01),$L413/86400+DATE(1970,1,1)+IF($L413*1&gt;=$G$5,$G$6,0),)</f>
        <v/>
      </c>
      <c r="B413" s="22" t="str">
        <f t="shared" si="1"/>
        <v/>
      </c>
      <c r="C413" s="14" t="str">
        <f>IF($A413&lt;&gt;"",MINIFS(Merchant!$A:$A,Merchant!$B:$B,$G$2),)</f>
        <v/>
      </c>
      <c r="D413" s="14" t="str">
        <f t="shared" si="2"/>
        <v/>
      </c>
      <c r="E413" s="14" t="str">
        <f t="shared" si="3"/>
        <v/>
      </c>
      <c r="F413" s="6" t="str">
        <f>IF($A413&lt;&gt;"",MAXIFS(Token!$B:$B,Token!$A:$A,$D413),)</f>
        <v/>
      </c>
    </row>
    <row r="414">
      <c r="A414" s="35" t="str">
        <f>IF(AND($L414*1&gt;=$G$3,$L414*1&lt;=$G$4,$I414*$J414&gt;0,CONCATENATE($H414:$L414)&lt;&gt;CONCATENATE($H415:$L415),$I414/POW(10,$J414)*MAXIFS(Token!$B:$B,Token!$A:$A,$K414)&gt;0.01),$L414/86400+DATE(1970,1,1)+IF($L414*1&gt;=$G$5,$G$6,0),)</f>
        <v/>
      </c>
      <c r="B414" s="22" t="str">
        <f t="shared" si="1"/>
        <v/>
      </c>
      <c r="C414" s="14" t="str">
        <f>IF($A414&lt;&gt;"",MINIFS(Merchant!$A:$A,Merchant!$B:$B,$G$2),)</f>
        <v/>
      </c>
      <c r="D414" s="14" t="str">
        <f t="shared" si="2"/>
        <v/>
      </c>
      <c r="E414" s="14" t="str">
        <f t="shared" si="3"/>
        <v/>
      </c>
      <c r="F414" s="6" t="str">
        <f>IF($A414&lt;&gt;"",MAXIFS(Token!$B:$B,Token!$A:$A,$D414),)</f>
        <v/>
      </c>
    </row>
    <row r="415">
      <c r="A415" s="35" t="str">
        <f>IF(AND($L415*1&gt;=$G$3,$L415*1&lt;=$G$4,$I415*$J415&gt;0,CONCATENATE($H415:$L415)&lt;&gt;CONCATENATE($H416:$L416),$I415/POW(10,$J415)*MAXIFS(Token!$B:$B,Token!$A:$A,$K415)&gt;0.01),$L415/86400+DATE(1970,1,1)+IF($L415*1&gt;=$G$5,$G$6,0),)</f>
        <v/>
      </c>
      <c r="B415" s="22" t="str">
        <f t="shared" si="1"/>
        <v/>
      </c>
      <c r="C415" s="14" t="str">
        <f>IF($A415&lt;&gt;"",MINIFS(Merchant!$A:$A,Merchant!$B:$B,$G$2),)</f>
        <v/>
      </c>
      <c r="D415" s="14" t="str">
        <f t="shared" si="2"/>
        <v/>
      </c>
      <c r="E415" s="14" t="str">
        <f t="shared" si="3"/>
        <v/>
      </c>
      <c r="F415" s="6" t="str">
        <f>IF($A415&lt;&gt;"",MAXIFS(Token!$B:$B,Token!$A:$A,$D415),)</f>
        <v/>
      </c>
    </row>
    <row r="416">
      <c r="A416" s="35" t="str">
        <f>IF(AND($L416*1&gt;=$G$3,$L416*1&lt;=$G$4,$I416*$J416&gt;0,CONCATENATE($H416:$L416)&lt;&gt;CONCATENATE($H417:$L417),$I416/POW(10,$J416)*MAXIFS(Token!$B:$B,Token!$A:$A,$K416)&gt;0.01),$L416/86400+DATE(1970,1,1)+IF($L416*1&gt;=$G$5,$G$6,0),)</f>
        <v/>
      </c>
      <c r="B416" s="22" t="str">
        <f t="shared" si="1"/>
        <v/>
      </c>
      <c r="C416" s="14" t="str">
        <f>IF($A416&lt;&gt;"",MINIFS(Merchant!$A:$A,Merchant!$B:$B,$G$2),)</f>
        <v/>
      </c>
      <c r="D416" s="14" t="str">
        <f t="shared" si="2"/>
        <v/>
      </c>
      <c r="E416" s="14" t="str">
        <f t="shared" si="3"/>
        <v/>
      </c>
      <c r="F416" s="6" t="str">
        <f>IF($A416&lt;&gt;"",MAXIFS(Token!$B:$B,Token!$A:$A,$D416),)</f>
        <v/>
      </c>
    </row>
    <row r="417">
      <c r="A417" s="35" t="str">
        <f>IF(AND($L417*1&gt;=$G$3,$L417*1&lt;=$G$4,$I417*$J417&gt;0,CONCATENATE($H417:$L417)&lt;&gt;CONCATENATE($H418:$L418),$I417/POW(10,$J417)*MAXIFS(Token!$B:$B,Token!$A:$A,$K417)&gt;0.01),$L417/86400+DATE(1970,1,1)+IF($L417*1&gt;=$G$5,$G$6,0),)</f>
        <v/>
      </c>
      <c r="B417" s="22" t="str">
        <f t="shared" si="1"/>
        <v/>
      </c>
      <c r="C417" s="14" t="str">
        <f>IF($A417&lt;&gt;"",MINIFS(Merchant!$A:$A,Merchant!$B:$B,$G$2),)</f>
        <v/>
      </c>
      <c r="D417" s="14" t="str">
        <f t="shared" si="2"/>
        <v/>
      </c>
      <c r="E417" s="14" t="str">
        <f t="shared" si="3"/>
        <v/>
      </c>
      <c r="F417" s="6" t="str">
        <f>IF($A417&lt;&gt;"",MAXIFS(Token!$B:$B,Token!$A:$A,$D417),)</f>
        <v/>
      </c>
    </row>
    <row r="418">
      <c r="A418" s="35" t="str">
        <f>IF(AND($L418*1&gt;=$G$3,$L418*1&lt;=$G$4,$I418*$J418&gt;0,CONCATENATE($H418:$L418)&lt;&gt;CONCATENATE($H419:$L419),$I418/POW(10,$J418)*MAXIFS(Token!$B:$B,Token!$A:$A,$K418)&gt;0.01),$L418/86400+DATE(1970,1,1)+IF($L418*1&gt;=$G$5,$G$6,0),)</f>
        <v/>
      </c>
      <c r="B418" s="22" t="str">
        <f t="shared" si="1"/>
        <v/>
      </c>
      <c r="C418" s="14" t="str">
        <f>IF($A418&lt;&gt;"",MINIFS(Merchant!$A:$A,Merchant!$B:$B,$G$2),)</f>
        <v/>
      </c>
      <c r="D418" s="14" t="str">
        <f t="shared" si="2"/>
        <v/>
      </c>
      <c r="E418" s="14" t="str">
        <f t="shared" si="3"/>
        <v/>
      </c>
      <c r="F418" s="6" t="str">
        <f>IF($A418&lt;&gt;"",MAXIFS(Token!$B:$B,Token!$A:$A,$D418),)</f>
        <v/>
      </c>
    </row>
    <row r="419">
      <c r="A419" s="35" t="str">
        <f>IF(AND($L419*1&gt;=$G$3,$L419*1&lt;=$G$4,$I419*$J419&gt;0,CONCATENATE($H419:$L419)&lt;&gt;CONCATENATE($H420:$L420),$I419/POW(10,$J419)*MAXIFS(Token!$B:$B,Token!$A:$A,$K419)&gt;0.01),$L419/86400+DATE(1970,1,1)+IF($L419*1&gt;=$G$5,$G$6,0),)</f>
        <v/>
      </c>
      <c r="B419" s="22" t="str">
        <f t="shared" si="1"/>
        <v/>
      </c>
      <c r="C419" s="14" t="str">
        <f>IF($A419&lt;&gt;"",MINIFS(Merchant!$A:$A,Merchant!$B:$B,$G$2),)</f>
        <v/>
      </c>
      <c r="D419" s="14" t="str">
        <f t="shared" si="2"/>
        <v/>
      </c>
      <c r="E419" s="14" t="str">
        <f t="shared" si="3"/>
        <v/>
      </c>
      <c r="F419" s="6" t="str">
        <f>IF($A419&lt;&gt;"",MAXIFS(Token!$B:$B,Token!$A:$A,$D419),)</f>
        <v/>
      </c>
    </row>
    <row r="420">
      <c r="A420" s="35" t="str">
        <f>IF(AND($L420*1&gt;=$G$3,$L420*1&lt;=$G$4,$I420*$J420&gt;0,CONCATENATE($H420:$L420)&lt;&gt;CONCATENATE($H421:$L421),$I420/POW(10,$J420)*MAXIFS(Token!$B:$B,Token!$A:$A,$K420)&gt;0.01),$L420/86400+DATE(1970,1,1)+IF($L420*1&gt;=$G$5,$G$6,0),)</f>
        <v/>
      </c>
      <c r="B420" s="22" t="str">
        <f t="shared" si="1"/>
        <v/>
      </c>
      <c r="C420" s="14" t="str">
        <f>IF($A420&lt;&gt;"",MINIFS(Merchant!$A:$A,Merchant!$B:$B,$G$2),)</f>
        <v/>
      </c>
      <c r="D420" s="14" t="str">
        <f t="shared" si="2"/>
        <v/>
      </c>
      <c r="E420" s="14" t="str">
        <f t="shared" si="3"/>
        <v/>
      </c>
      <c r="F420" s="6" t="str">
        <f>IF($A420&lt;&gt;"",MAXIFS(Token!$B:$B,Token!$A:$A,$D420),)</f>
        <v/>
      </c>
    </row>
    <row r="421">
      <c r="A421" s="35" t="str">
        <f>IF(AND($L421*1&gt;=$G$3,$L421*1&lt;=$G$4,$I421*$J421&gt;0,CONCATENATE($H421:$L421)&lt;&gt;CONCATENATE($H422:$L422),$I421/POW(10,$J421)*MAXIFS(Token!$B:$B,Token!$A:$A,$K421)&gt;0.01),$L421/86400+DATE(1970,1,1)+IF($L421*1&gt;=$G$5,$G$6,0),)</f>
        <v/>
      </c>
      <c r="B421" s="22" t="str">
        <f t="shared" si="1"/>
        <v/>
      </c>
      <c r="C421" s="14" t="str">
        <f>IF($A421&lt;&gt;"",MINIFS(Merchant!$A:$A,Merchant!$B:$B,$G$2),)</f>
        <v/>
      </c>
      <c r="D421" s="14" t="str">
        <f t="shared" si="2"/>
        <v/>
      </c>
      <c r="E421" s="14" t="str">
        <f t="shared" si="3"/>
        <v/>
      </c>
      <c r="F421" s="6" t="str">
        <f>IF($A421&lt;&gt;"",MAXIFS(Token!$B:$B,Token!$A:$A,$D421),)</f>
        <v/>
      </c>
    </row>
    <row r="422">
      <c r="A422" s="35" t="str">
        <f>IF(AND($L422*1&gt;=$G$3,$L422*1&lt;=$G$4,$I422*$J422&gt;0,CONCATENATE($H422:$L422)&lt;&gt;CONCATENATE($H423:$L423),$I422/POW(10,$J422)*MAXIFS(Token!$B:$B,Token!$A:$A,$K422)&gt;0.01),$L422/86400+DATE(1970,1,1)+IF($L422*1&gt;=$G$5,$G$6,0),)</f>
        <v/>
      </c>
      <c r="B422" s="22" t="str">
        <f t="shared" si="1"/>
        <v/>
      </c>
      <c r="C422" s="14" t="str">
        <f>IF($A422&lt;&gt;"",MINIFS(Merchant!$A:$A,Merchant!$B:$B,$G$2),)</f>
        <v/>
      </c>
      <c r="D422" s="14" t="str">
        <f t="shared" si="2"/>
        <v/>
      </c>
      <c r="E422" s="14" t="str">
        <f t="shared" si="3"/>
        <v/>
      </c>
      <c r="F422" s="6" t="str">
        <f>IF($A422&lt;&gt;"",MAXIFS(Token!$B:$B,Token!$A:$A,$D422),)</f>
        <v/>
      </c>
    </row>
    <row r="423">
      <c r="A423" s="35" t="str">
        <f>IF(AND($L423*1&gt;=$G$3,$L423*1&lt;=$G$4,$I423*$J423&gt;0,CONCATENATE($H423:$L423)&lt;&gt;CONCATENATE($H424:$L424),$I423/POW(10,$J423)*MAXIFS(Token!$B:$B,Token!$A:$A,$K423)&gt;0.01),$L423/86400+DATE(1970,1,1)+IF($L423*1&gt;=$G$5,$G$6,0),)</f>
        <v/>
      </c>
      <c r="B423" s="22" t="str">
        <f t="shared" si="1"/>
        <v/>
      </c>
      <c r="C423" s="14" t="str">
        <f>IF($A423&lt;&gt;"",MINIFS(Merchant!$A:$A,Merchant!$B:$B,$G$2),)</f>
        <v/>
      </c>
      <c r="D423" s="14" t="str">
        <f t="shared" si="2"/>
        <v/>
      </c>
      <c r="E423" s="14" t="str">
        <f t="shared" si="3"/>
        <v/>
      </c>
      <c r="F423" s="6" t="str">
        <f>IF($A423&lt;&gt;"",MAXIFS(Token!$B:$B,Token!$A:$A,$D423),)</f>
        <v/>
      </c>
    </row>
    <row r="424">
      <c r="A424" s="35" t="str">
        <f>IF(AND($L424*1&gt;=$G$3,$L424*1&lt;=$G$4,$I424*$J424&gt;0,CONCATENATE($H424:$L424)&lt;&gt;CONCATENATE($H425:$L425),$I424/POW(10,$J424)*MAXIFS(Token!$B:$B,Token!$A:$A,$K424)&gt;0.01),$L424/86400+DATE(1970,1,1)+IF($L424*1&gt;=$G$5,$G$6,0),)</f>
        <v/>
      </c>
      <c r="B424" s="22" t="str">
        <f t="shared" si="1"/>
        <v/>
      </c>
      <c r="C424" s="14" t="str">
        <f>IF($A424&lt;&gt;"",MINIFS(Merchant!$A:$A,Merchant!$B:$B,$G$2),)</f>
        <v/>
      </c>
      <c r="D424" s="14" t="str">
        <f t="shared" si="2"/>
        <v/>
      </c>
      <c r="E424" s="14" t="str">
        <f t="shared" si="3"/>
        <v/>
      </c>
      <c r="F424" s="6" t="str">
        <f>IF($A424&lt;&gt;"",MAXIFS(Token!$B:$B,Token!$A:$A,$D424),)</f>
        <v/>
      </c>
    </row>
    <row r="425">
      <c r="A425" s="35" t="str">
        <f>IF(AND($L425*1&gt;=$G$3,$L425*1&lt;=$G$4,$I425*$J425&gt;0,CONCATENATE($H425:$L425)&lt;&gt;CONCATENATE($H426:$L426),$I425/POW(10,$J425)*MAXIFS(Token!$B:$B,Token!$A:$A,$K425)&gt;0.01),$L425/86400+DATE(1970,1,1)+IF($L425*1&gt;=$G$5,$G$6,0),)</f>
        <v/>
      </c>
      <c r="B425" s="22" t="str">
        <f t="shared" si="1"/>
        <v/>
      </c>
      <c r="C425" s="14" t="str">
        <f>IF($A425&lt;&gt;"",MINIFS(Merchant!$A:$A,Merchant!$B:$B,$G$2),)</f>
        <v/>
      </c>
      <c r="D425" s="14" t="str">
        <f t="shared" si="2"/>
        <v/>
      </c>
      <c r="E425" s="14" t="str">
        <f t="shared" si="3"/>
        <v/>
      </c>
      <c r="F425" s="6" t="str">
        <f>IF($A425&lt;&gt;"",MAXIFS(Token!$B:$B,Token!$A:$A,$D425),)</f>
        <v/>
      </c>
    </row>
    <row r="426">
      <c r="A426" s="35" t="str">
        <f>IF(AND($L426*1&gt;=$G$3,$L426*1&lt;=$G$4,$I426*$J426&gt;0,CONCATENATE($H426:$L426)&lt;&gt;CONCATENATE($H427:$L427),$I426/POW(10,$J426)*MAXIFS(Token!$B:$B,Token!$A:$A,$K426)&gt;0.01),$L426/86400+DATE(1970,1,1)+IF($L426*1&gt;=$G$5,$G$6,0),)</f>
        <v/>
      </c>
      <c r="B426" s="22" t="str">
        <f t="shared" si="1"/>
        <v/>
      </c>
      <c r="C426" s="14" t="str">
        <f>IF($A426&lt;&gt;"",MINIFS(Merchant!$A:$A,Merchant!$B:$B,$G$2),)</f>
        <v/>
      </c>
      <c r="D426" s="14" t="str">
        <f t="shared" si="2"/>
        <v/>
      </c>
      <c r="E426" s="14" t="str">
        <f t="shared" si="3"/>
        <v/>
      </c>
      <c r="F426" s="6" t="str">
        <f>IF($A426&lt;&gt;"",MAXIFS(Token!$B:$B,Token!$A:$A,$D426),)</f>
        <v/>
      </c>
    </row>
    <row r="427">
      <c r="A427" s="35" t="str">
        <f>IF(AND($L427*1&gt;=$G$3,$L427*1&lt;=$G$4,$I427*$J427&gt;0,CONCATENATE($H427:$L427)&lt;&gt;CONCATENATE($H428:$L428),$I427/POW(10,$J427)*MAXIFS(Token!$B:$B,Token!$A:$A,$K427)&gt;0.01),$L427/86400+DATE(1970,1,1)+IF($L427*1&gt;=$G$5,$G$6,0),)</f>
        <v/>
      </c>
      <c r="B427" s="22" t="str">
        <f t="shared" si="1"/>
        <v/>
      </c>
      <c r="C427" s="14" t="str">
        <f>IF($A427&lt;&gt;"",MINIFS(Merchant!$A:$A,Merchant!$B:$B,$G$2),)</f>
        <v/>
      </c>
      <c r="D427" s="14" t="str">
        <f t="shared" si="2"/>
        <v/>
      </c>
      <c r="E427" s="14" t="str">
        <f t="shared" si="3"/>
        <v/>
      </c>
      <c r="F427" s="6" t="str">
        <f>IF($A427&lt;&gt;"",MAXIFS(Token!$B:$B,Token!$A:$A,$D427),)</f>
        <v/>
      </c>
    </row>
    <row r="428">
      <c r="A428" s="35" t="str">
        <f>IF(AND($L428*1&gt;=$G$3,$L428*1&lt;=$G$4,$I428*$J428&gt;0,CONCATENATE($H428:$L428)&lt;&gt;CONCATENATE($H429:$L429),$I428/POW(10,$J428)*MAXIFS(Token!$B:$B,Token!$A:$A,$K428)&gt;0.01),$L428/86400+DATE(1970,1,1)+IF($L428*1&gt;=$G$5,$G$6,0),)</f>
        <v/>
      </c>
      <c r="B428" s="22" t="str">
        <f t="shared" si="1"/>
        <v/>
      </c>
      <c r="C428" s="14" t="str">
        <f>IF($A428&lt;&gt;"",MINIFS(Merchant!$A:$A,Merchant!$B:$B,$G$2),)</f>
        <v/>
      </c>
      <c r="D428" s="14" t="str">
        <f t="shared" si="2"/>
        <v/>
      </c>
      <c r="E428" s="14" t="str">
        <f t="shared" si="3"/>
        <v/>
      </c>
      <c r="F428" s="6" t="str">
        <f>IF($A428&lt;&gt;"",MAXIFS(Token!$B:$B,Token!$A:$A,$D428),)</f>
        <v/>
      </c>
    </row>
    <row r="429">
      <c r="A429" s="35" t="str">
        <f>IF(AND($L429*1&gt;=$G$3,$L429*1&lt;=$G$4,$I429*$J429&gt;0,CONCATENATE($H429:$L429)&lt;&gt;CONCATENATE($H430:$L430),$I429/POW(10,$J429)*MAXIFS(Token!$B:$B,Token!$A:$A,$K429)&gt;0.01),$L429/86400+DATE(1970,1,1)+IF($L429*1&gt;=$G$5,$G$6,0),)</f>
        <v/>
      </c>
      <c r="B429" s="22" t="str">
        <f t="shared" si="1"/>
        <v/>
      </c>
      <c r="C429" s="14" t="str">
        <f>IF($A429&lt;&gt;"",MINIFS(Merchant!$A:$A,Merchant!$B:$B,$G$2),)</f>
        <v/>
      </c>
      <c r="D429" s="14" t="str">
        <f t="shared" si="2"/>
        <v/>
      </c>
      <c r="E429" s="14" t="str">
        <f t="shared" si="3"/>
        <v/>
      </c>
      <c r="F429" s="6" t="str">
        <f>IF($A429&lt;&gt;"",MAXIFS(Token!$B:$B,Token!$A:$A,$D429),)</f>
        <v/>
      </c>
    </row>
    <row r="430">
      <c r="A430" s="35" t="str">
        <f>IF(AND($L430*1&gt;=$G$3,$L430*1&lt;=$G$4,$I430*$J430&gt;0,CONCATENATE($H430:$L430)&lt;&gt;CONCATENATE($H431:$L431),$I430/POW(10,$J430)*MAXIFS(Token!$B:$B,Token!$A:$A,$K430)&gt;0.01),$L430/86400+DATE(1970,1,1)+IF($L430*1&gt;=$G$5,$G$6,0),)</f>
        <v/>
      </c>
      <c r="B430" s="22" t="str">
        <f t="shared" si="1"/>
        <v/>
      </c>
      <c r="C430" s="14" t="str">
        <f>IF($A430&lt;&gt;"",MINIFS(Merchant!$A:$A,Merchant!$B:$B,$G$2),)</f>
        <v/>
      </c>
      <c r="D430" s="14" t="str">
        <f t="shared" si="2"/>
        <v/>
      </c>
      <c r="E430" s="14" t="str">
        <f t="shared" si="3"/>
        <v/>
      </c>
      <c r="F430" s="6" t="str">
        <f>IF($A430&lt;&gt;"",MAXIFS(Token!$B:$B,Token!$A:$A,$D430),)</f>
        <v/>
      </c>
    </row>
    <row r="431">
      <c r="A431" s="35" t="str">
        <f>IF(AND($L431*1&gt;=$G$3,$L431*1&lt;=$G$4,$I431*$J431&gt;0,CONCATENATE($H431:$L431)&lt;&gt;CONCATENATE($H432:$L432),$I431/POW(10,$J431)*MAXIFS(Token!$B:$B,Token!$A:$A,$K431)&gt;0.01),$L431/86400+DATE(1970,1,1)+IF($L431*1&gt;=$G$5,$G$6,0),)</f>
        <v/>
      </c>
      <c r="B431" s="22" t="str">
        <f t="shared" si="1"/>
        <v/>
      </c>
      <c r="C431" s="14" t="str">
        <f>IF($A431&lt;&gt;"",MINIFS(Merchant!$A:$A,Merchant!$B:$B,$G$2),)</f>
        <v/>
      </c>
      <c r="D431" s="14" t="str">
        <f t="shared" si="2"/>
        <v/>
      </c>
      <c r="E431" s="14" t="str">
        <f t="shared" si="3"/>
        <v/>
      </c>
      <c r="F431" s="6" t="str">
        <f>IF($A431&lt;&gt;"",MAXIFS(Token!$B:$B,Token!$A:$A,$D431),)</f>
        <v/>
      </c>
    </row>
    <row r="432">
      <c r="A432" s="35" t="str">
        <f>IF(AND($L432*1&gt;=$G$3,$L432*1&lt;=$G$4,$I432*$J432&gt;0,CONCATENATE($H432:$L432)&lt;&gt;CONCATENATE($H433:$L433),$I432/POW(10,$J432)*MAXIFS(Token!$B:$B,Token!$A:$A,$K432)&gt;0.01),$L432/86400+DATE(1970,1,1)+IF($L432*1&gt;=$G$5,$G$6,0),)</f>
        <v/>
      </c>
      <c r="B432" s="22" t="str">
        <f t="shared" si="1"/>
        <v/>
      </c>
      <c r="C432" s="14" t="str">
        <f>IF($A432&lt;&gt;"",MINIFS(Merchant!$A:$A,Merchant!$B:$B,$G$2),)</f>
        <v/>
      </c>
      <c r="D432" s="14" t="str">
        <f t="shared" si="2"/>
        <v/>
      </c>
      <c r="E432" s="14" t="str">
        <f t="shared" si="3"/>
        <v/>
      </c>
      <c r="F432" s="6" t="str">
        <f>IF($A432&lt;&gt;"",MAXIFS(Token!$B:$B,Token!$A:$A,$D432),)</f>
        <v/>
      </c>
    </row>
    <row r="433">
      <c r="A433" s="35" t="str">
        <f>IF(AND($L433*1&gt;=$G$3,$L433*1&lt;=$G$4,$I433*$J433&gt;0,CONCATENATE($H433:$L433)&lt;&gt;CONCATENATE($H434:$L434),$I433/POW(10,$J433)*MAXIFS(Token!$B:$B,Token!$A:$A,$K433)&gt;0.01),$L433/86400+DATE(1970,1,1)+IF($L433*1&gt;=$G$5,$G$6,0),)</f>
        <v/>
      </c>
      <c r="B433" s="22" t="str">
        <f t="shared" si="1"/>
        <v/>
      </c>
      <c r="C433" s="14" t="str">
        <f>IF($A433&lt;&gt;"",MINIFS(Merchant!$A:$A,Merchant!$B:$B,$G$2),)</f>
        <v/>
      </c>
      <c r="D433" s="14" t="str">
        <f t="shared" si="2"/>
        <v/>
      </c>
      <c r="E433" s="14" t="str">
        <f t="shared" si="3"/>
        <v/>
      </c>
      <c r="F433" s="6" t="str">
        <f>IF($A433&lt;&gt;"",MAXIFS(Token!$B:$B,Token!$A:$A,$D433),)</f>
        <v/>
      </c>
    </row>
    <row r="434">
      <c r="A434" s="35" t="str">
        <f>IF(AND($L434*1&gt;=$G$3,$L434*1&lt;=$G$4,$I434*$J434&gt;0,CONCATENATE($H434:$L434)&lt;&gt;CONCATENATE($H435:$L435),$I434/POW(10,$J434)*MAXIFS(Token!$B:$B,Token!$A:$A,$K434)&gt;0.01),$L434/86400+DATE(1970,1,1)+IF($L434*1&gt;=$G$5,$G$6,0),)</f>
        <v/>
      </c>
      <c r="B434" s="22" t="str">
        <f t="shared" si="1"/>
        <v/>
      </c>
      <c r="C434" s="14" t="str">
        <f>IF($A434&lt;&gt;"",MINIFS(Merchant!$A:$A,Merchant!$B:$B,$G$2),)</f>
        <v/>
      </c>
      <c r="D434" s="14" t="str">
        <f t="shared" si="2"/>
        <v/>
      </c>
      <c r="E434" s="14" t="str">
        <f t="shared" si="3"/>
        <v/>
      </c>
      <c r="F434" s="6" t="str">
        <f>IF($A434&lt;&gt;"",MAXIFS(Token!$B:$B,Token!$A:$A,$D434),)</f>
        <v/>
      </c>
    </row>
    <row r="435">
      <c r="A435" s="35" t="str">
        <f>IF(AND($L435*1&gt;=$G$3,$L435*1&lt;=$G$4,$I435*$J435&gt;0,CONCATENATE($H435:$L435)&lt;&gt;CONCATENATE($H436:$L436),$I435/POW(10,$J435)*MAXIFS(Token!$B:$B,Token!$A:$A,$K435)&gt;0.01),$L435/86400+DATE(1970,1,1)+IF($L435*1&gt;=$G$5,$G$6,0),)</f>
        <v/>
      </c>
      <c r="B435" s="22" t="str">
        <f t="shared" si="1"/>
        <v/>
      </c>
      <c r="C435" s="14" t="str">
        <f>IF($A435&lt;&gt;"",MINIFS(Merchant!$A:$A,Merchant!$B:$B,$G$2),)</f>
        <v/>
      </c>
      <c r="D435" s="14" t="str">
        <f t="shared" si="2"/>
        <v/>
      </c>
      <c r="E435" s="14" t="str">
        <f t="shared" si="3"/>
        <v/>
      </c>
      <c r="F435" s="6" t="str">
        <f>IF($A435&lt;&gt;"",MAXIFS(Token!$B:$B,Token!$A:$A,$D435),)</f>
        <v/>
      </c>
    </row>
    <row r="436">
      <c r="A436" s="35" t="str">
        <f>IF(AND($L436*1&gt;=$G$3,$L436*1&lt;=$G$4,$I436*$J436&gt;0,CONCATENATE($H436:$L436)&lt;&gt;CONCATENATE($H437:$L437),$I436/POW(10,$J436)*MAXIFS(Token!$B:$B,Token!$A:$A,$K436)&gt;0.01),$L436/86400+DATE(1970,1,1)+IF($L436*1&gt;=$G$5,$G$6,0),)</f>
        <v/>
      </c>
      <c r="B436" s="22" t="str">
        <f t="shared" si="1"/>
        <v/>
      </c>
      <c r="C436" s="14" t="str">
        <f>IF($A436&lt;&gt;"",MINIFS(Merchant!$A:$A,Merchant!$B:$B,$G$2),)</f>
        <v/>
      </c>
      <c r="D436" s="14" t="str">
        <f t="shared" si="2"/>
        <v/>
      </c>
      <c r="E436" s="14" t="str">
        <f t="shared" si="3"/>
        <v/>
      </c>
      <c r="F436" s="6" t="str">
        <f>IF($A436&lt;&gt;"",MAXIFS(Token!$B:$B,Token!$A:$A,$D436),)</f>
        <v/>
      </c>
    </row>
    <row r="437">
      <c r="A437" s="35" t="str">
        <f>IF(AND($L437*1&gt;=$G$3,$L437*1&lt;=$G$4,$I437*$J437&gt;0,CONCATENATE($H437:$L437)&lt;&gt;CONCATENATE($H438:$L438),$I437/POW(10,$J437)*MAXIFS(Token!$B:$B,Token!$A:$A,$K437)&gt;0.01),$L437/86400+DATE(1970,1,1)+IF($L437*1&gt;=$G$5,$G$6,0),)</f>
        <v/>
      </c>
      <c r="B437" s="22" t="str">
        <f t="shared" si="1"/>
        <v/>
      </c>
      <c r="C437" s="14" t="str">
        <f>IF($A437&lt;&gt;"",MINIFS(Merchant!$A:$A,Merchant!$B:$B,$G$2),)</f>
        <v/>
      </c>
      <c r="D437" s="14" t="str">
        <f t="shared" si="2"/>
        <v/>
      </c>
      <c r="E437" s="14" t="str">
        <f t="shared" si="3"/>
        <v/>
      </c>
      <c r="F437" s="6" t="str">
        <f>IF($A437&lt;&gt;"",MAXIFS(Token!$B:$B,Token!$A:$A,$D437),)</f>
        <v/>
      </c>
    </row>
    <row r="438">
      <c r="A438" s="35" t="str">
        <f>IF(AND($L438*1&gt;=$G$3,$L438*1&lt;=$G$4,$I438*$J438&gt;0,CONCATENATE($H438:$L438)&lt;&gt;CONCATENATE($H439:$L439),$I438/POW(10,$J438)*MAXIFS(Token!$B:$B,Token!$A:$A,$K438)&gt;0.01),$L438/86400+DATE(1970,1,1)+IF($L438*1&gt;=$G$5,$G$6,0),)</f>
        <v/>
      </c>
      <c r="B438" s="22" t="str">
        <f t="shared" si="1"/>
        <v/>
      </c>
      <c r="C438" s="14" t="str">
        <f>IF($A438&lt;&gt;"",MINIFS(Merchant!$A:$A,Merchant!$B:$B,$G$2),)</f>
        <v/>
      </c>
      <c r="D438" s="14" t="str">
        <f t="shared" si="2"/>
        <v/>
      </c>
      <c r="E438" s="14" t="str">
        <f t="shared" si="3"/>
        <v/>
      </c>
      <c r="F438" s="6" t="str">
        <f>IF($A438&lt;&gt;"",MAXIFS(Token!$B:$B,Token!$A:$A,$D438),)</f>
        <v/>
      </c>
    </row>
    <row r="439">
      <c r="A439" s="35" t="str">
        <f>IF(AND($L439*1&gt;=$G$3,$L439*1&lt;=$G$4,$I439*$J439&gt;0,CONCATENATE($H439:$L439)&lt;&gt;CONCATENATE($H440:$L440),$I439/POW(10,$J439)*MAXIFS(Token!$B:$B,Token!$A:$A,$K439)&gt;0.01),$L439/86400+DATE(1970,1,1)+IF($L439*1&gt;=$G$5,$G$6,0),)</f>
        <v/>
      </c>
      <c r="B439" s="22" t="str">
        <f t="shared" si="1"/>
        <v/>
      </c>
      <c r="C439" s="14" t="str">
        <f>IF($A439&lt;&gt;"",MINIFS(Merchant!$A:$A,Merchant!$B:$B,$G$2),)</f>
        <v/>
      </c>
      <c r="D439" s="14" t="str">
        <f t="shared" si="2"/>
        <v/>
      </c>
      <c r="E439" s="14" t="str">
        <f t="shared" si="3"/>
        <v/>
      </c>
      <c r="F439" s="6" t="str">
        <f>IF($A439&lt;&gt;"",MAXIFS(Token!$B:$B,Token!$A:$A,$D439),)</f>
        <v/>
      </c>
    </row>
    <row r="440">
      <c r="A440" s="35" t="str">
        <f>IF(AND($L440*1&gt;=$G$3,$L440*1&lt;=$G$4,$I440*$J440&gt;0,CONCATENATE($H440:$L440)&lt;&gt;CONCATENATE($H441:$L441),$I440/POW(10,$J440)*MAXIFS(Token!$B:$B,Token!$A:$A,$K440)&gt;0.01),$L440/86400+DATE(1970,1,1)+IF($L440*1&gt;=$G$5,$G$6,0),)</f>
        <v/>
      </c>
      <c r="B440" s="22" t="str">
        <f t="shared" si="1"/>
        <v/>
      </c>
      <c r="C440" s="14" t="str">
        <f>IF($A440&lt;&gt;"",MINIFS(Merchant!$A:$A,Merchant!$B:$B,$G$2),)</f>
        <v/>
      </c>
      <c r="D440" s="14" t="str">
        <f t="shared" si="2"/>
        <v/>
      </c>
      <c r="E440" s="14" t="str">
        <f t="shared" si="3"/>
        <v/>
      </c>
      <c r="F440" s="6" t="str">
        <f>IF($A440&lt;&gt;"",MAXIFS(Token!$B:$B,Token!$A:$A,$D440),)</f>
        <v/>
      </c>
    </row>
    <row r="441">
      <c r="A441" s="35" t="str">
        <f>IF(AND($L441*1&gt;=$G$3,$L441*1&lt;=$G$4,$I441*$J441&gt;0,CONCATENATE($H441:$L441)&lt;&gt;CONCATENATE($H442:$L442),$I441/POW(10,$J441)*MAXIFS(Token!$B:$B,Token!$A:$A,$K441)&gt;0.01),$L441/86400+DATE(1970,1,1)+IF($L441*1&gt;=$G$5,$G$6,0),)</f>
        <v/>
      </c>
      <c r="B441" s="22" t="str">
        <f t="shared" si="1"/>
        <v/>
      </c>
      <c r="C441" s="14" t="str">
        <f>IF($A441&lt;&gt;"",MINIFS(Merchant!$A:$A,Merchant!$B:$B,$G$2),)</f>
        <v/>
      </c>
      <c r="D441" s="14" t="str">
        <f t="shared" si="2"/>
        <v/>
      </c>
      <c r="E441" s="14" t="str">
        <f t="shared" si="3"/>
        <v/>
      </c>
      <c r="F441" s="6" t="str">
        <f>IF($A441&lt;&gt;"",MAXIFS(Token!$B:$B,Token!$A:$A,$D441),)</f>
        <v/>
      </c>
    </row>
    <row r="442">
      <c r="A442" s="35" t="str">
        <f>IF(AND($L442*1&gt;=$G$3,$L442*1&lt;=$G$4,$I442*$J442&gt;0,CONCATENATE($H442:$L442)&lt;&gt;CONCATENATE($H443:$L443),$I442/POW(10,$J442)*MAXIFS(Token!$B:$B,Token!$A:$A,$K442)&gt;0.01),$L442/86400+DATE(1970,1,1)+IF($L442*1&gt;=$G$5,$G$6,0),)</f>
        <v/>
      </c>
      <c r="B442" s="22" t="str">
        <f t="shared" si="1"/>
        <v/>
      </c>
      <c r="C442" s="14" t="str">
        <f>IF($A442&lt;&gt;"",MINIFS(Merchant!$A:$A,Merchant!$B:$B,$G$2),)</f>
        <v/>
      </c>
      <c r="D442" s="14" t="str">
        <f t="shared" si="2"/>
        <v/>
      </c>
      <c r="E442" s="14" t="str">
        <f t="shared" si="3"/>
        <v/>
      </c>
      <c r="F442" s="6" t="str">
        <f>IF($A442&lt;&gt;"",MAXIFS(Token!$B:$B,Token!$A:$A,$D442),)</f>
        <v/>
      </c>
    </row>
    <row r="443">
      <c r="A443" s="35" t="str">
        <f>IF(AND($L443*1&gt;=$G$3,$L443*1&lt;=$G$4,$I443*$J443&gt;0,CONCATENATE($H443:$L443)&lt;&gt;CONCATENATE($H444:$L444),$I443/POW(10,$J443)*MAXIFS(Token!$B:$B,Token!$A:$A,$K443)&gt;0.01),$L443/86400+DATE(1970,1,1)+IF($L443*1&gt;=$G$5,$G$6,0),)</f>
        <v/>
      </c>
      <c r="B443" s="22" t="str">
        <f t="shared" si="1"/>
        <v/>
      </c>
      <c r="C443" s="14" t="str">
        <f>IF($A443&lt;&gt;"",MINIFS(Merchant!$A:$A,Merchant!$B:$B,$G$2),)</f>
        <v/>
      </c>
      <c r="D443" s="14" t="str">
        <f t="shared" si="2"/>
        <v/>
      </c>
      <c r="E443" s="14" t="str">
        <f t="shared" si="3"/>
        <v/>
      </c>
      <c r="F443" s="6" t="str">
        <f>IF($A443&lt;&gt;"",MAXIFS(Token!$B:$B,Token!$A:$A,$D443),)</f>
        <v/>
      </c>
    </row>
    <row r="444">
      <c r="A444" s="35" t="str">
        <f>IF(AND($L444*1&gt;=$G$3,$L444*1&lt;=$G$4,$I444*$J444&gt;0,CONCATENATE($H444:$L444)&lt;&gt;CONCATENATE($H445:$L445),$I444/POW(10,$J444)*MAXIFS(Token!$B:$B,Token!$A:$A,$K444)&gt;0.01),$L444/86400+DATE(1970,1,1)+IF($L444*1&gt;=$G$5,$G$6,0),)</f>
        <v/>
      </c>
      <c r="B444" s="22" t="str">
        <f t="shared" si="1"/>
        <v/>
      </c>
      <c r="C444" s="14" t="str">
        <f>IF($A444&lt;&gt;"",MINIFS(Merchant!$A:$A,Merchant!$B:$B,$G$2),)</f>
        <v/>
      </c>
      <c r="D444" s="14" t="str">
        <f t="shared" si="2"/>
        <v/>
      </c>
      <c r="E444" s="14" t="str">
        <f t="shared" si="3"/>
        <v/>
      </c>
      <c r="F444" s="6" t="str">
        <f>IF($A444&lt;&gt;"",MAXIFS(Token!$B:$B,Token!$A:$A,$D444),)</f>
        <v/>
      </c>
    </row>
    <row r="445">
      <c r="A445" s="35" t="str">
        <f>IF(AND($L445*1&gt;=$G$3,$L445*1&lt;=$G$4,$I445*$J445&gt;0,CONCATENATE($H445:$L445)&lt;&gt;CONCATENATE($H446:$L446),$I445/POW(10,$J445)*MAXIFS(Token!$B:$B,Token!$A:$A,$K445)&gt;0.01),$L445/86400+DATE(1970,1,1)+IF($L445*1&gt;=$G$5,$G$6,0),)</f>
        <v/>
      </c>
      <c r="B445" s="22" t="str">
        <f t="shared" si="1"/>
        <v/>
      </c>
      <c r="C445" s="14" t="str">
        <f>IF($A445&lt;&gt;"",MINIFS(Merchant!$A:$A,Merchant!$B:$B,$G$2),)</f>
        <v/>
      </c>
      <c r="D445" s="14" t="str">
        <f t="shared" si="2"/>
        <v/>
      </c>
      <c r="E445" s="14" t="str">
        <f t="shared" si="3"/>
        <v/>
      </c>
      <c r="F445" s="6" t="str">
        <f>IF($A445&lt;&gt;"",MAXIFS(Token!$B:$B,Token!$A:$A,$D445),)</f>
        <v/>
      </c>
    </row>
    <row r="446">
      <c r="A446" s="35" t="str">
        <f>IF(AND($L446*1&gt;=$G$3,$L446*1&lt;=$G$4,$I446*$J446&gt;0,CONCATENATE($H446:$L446)&lt;&gt;CONCATENATE($H447:$L447),$I446/POW(10,$J446)*MAXIFS(Token!$B:$B,Token!$A:$A,$K446)&gt;0.01),$L446/86400+DATE(1970,1,1)+IF($L446*1&gt;=$G$5,$G$6,0),)</f>
        <v/>
      </c>
      <c r="B446" s="22" t="str">
        <f t="shared" si="1"/>
        <v/>
      </c>
      <c r="C446" s="14" t="str">
        <f>IF($A446&lt;&gt;"",MINIFS(Merchant!$A:$A,Merchant!$B:$B,$G$2),)</f>
        <v/>
      </c>
      <c r="D446" s="14" t="str">
        <f t="shared" si="2"/>
        <v/>
      </c>
      <c r="E446" s="14" t="str">
        <f t="shared" si="3"/>
        <v/>
      </c>
      <c r="F446" s="6" t="str">
        <f>IF($A446&lt;&gt;"",MAXIFS(Token!$B:$B,Token!$A:$A,$D446),)</f>
        <v/>
      </c>
    </row>
    <row r="447">
      <c r="A447" s="35" t="str">
        <f>IF(AND($L447*1&gt;=$G$3,$L447*1&lt;=$G$4,$I447*$J447&gt;0,CONCATENATE($H447:$L447)&lt;&gt;CONCATENATE($H448:$L448),$I447/POW(10,$J447)*MAXIFS(Token!$B:$B,Token!$A:$A,$K447)&gt;0.01),$L447/86400+DATE(1970,1,1)+IF($L447*1&gt;=$G$5,$G$6,0),)</f>
        <v/>
      </c>
      <c r="B447" s="22" t="str">
        <f t="shared" si="1"/>
        <v/>
      </c>
      <c r="C447" s="14" t="str">
        <f>IF($A447&lt;&gt;"",MINIFS(Merchant!$A:$A,Merchant!$B:$B,$G$2),)</f>
        <v/>
      </c>
      <c r="D447" s="14" t="str">
        <f t="shared" si="2"/>
        <v/>
      </c>
      <c r="E447" s="14" t="str">
        <f t="shared" si="3"/>
        <v/>
      </c>
      <c r="F447" s="6" t="str">
        <f>IF($A447&lt;&gt;"",MAXIFS(Token!$B:$B,Token!$A:$A,$D447),)</f>
        <v/>
      </c>
    </row>
    <row r="448">
      <c r="A448" s="35" t="str">
        <f>IF(AND($L448*1&gt;=$G$3,$L448*1&lt;=$G$4,$I448*$J448&gt;0,CONCATENATE($H448:$L448)&lt;&gt;CONCATENATE($H449:$L449),$I448/POW(10,$J448)*MAXIFS(Token!$B:$B,Token!$A:$A,$K448)&gt;0.01),$L448/86400+DATE(1970,1,1)+IF($L448*1&gt;=$G$5,$G$6,0),)</f>
        <v/>
      </c>
      <c r="B448" s="22" t="str">
        <f t="shared" si="1"/>
        <v/>
      </c>
      <c r="C448" s="14" t="str">
        <f>IF($A448&lt;&gt;"",MINIFS(Merchant!$A:$A,Merchant!$B:$B,$G$2),)</f>
        <v/>
      </c>
      <c r="D448" s="14" t="str">
        <f t="shared" si="2"/>
        <v/>
      </c>
      <c r="E448" s="14" t="str">
        <f t="shared" si="3"/>
        <v/>
      </c>
      <c r="F448" s="6" t="str">
        <f>IF($A448&lt;&gt;"",MAXIFS(Token!$B:$B,Token!$A:$A,$D448),)</f>
        <v/>
      </c>
    </row>
    <row r="449">
      <c r="A449" s="35" t="str">
        <f>IF(AND($L449*1&gt;=$G$3,$L449*1&lt;=$G$4,$I449*$J449&gt;0,CONCATENATE($H449:$L449)&lt;&gt;CONCATENATE($H450:$L450),$I449/POW(10,$J449)*MAXIFS(Token!$B:$B,Token!$A:$A,$K449)&gt;0.01),$L449/86400+DATE(1970,1,1)+IF($L449*1&gt;=$G$5,$G$6,0),)</f>
        <v/>
      </c>
      <c r="B449" s="22" t="str">
        <f t="shared" si="1"/>
        <v/>
      </c>
      <c r="C449" s="14" t="str">
        <f>IF($A449&lt;&gt;"",MINIFS(Merchant!$A:$A,Merchant!$B:$B,$G$2),)</f>
        <v/>
      </c>
      <c r="D449" s="14" t="str">
        <f t="shared" si="2"/>
        <v/>
      </c>
      <c r="E449" s="14" t="str">
        <f t="shared" si="3"/>
        <v/>
      </c>
      <c r="F449" s="6" t="str">
        <f>IF($A449&lt;&gt;"",MAXIFS(Token!$B:$B,Token!$A:$A,$D449),)</f>
        <v/>
      </c>
    </row>
    <row r="450">
      <c r="A450" s="35" t="str">
        <f>IF(AND($L450*1&gt;=$G$3,$L450*1&lt;=$G$4,$I450*$J450&gt;0,CONCATENATE($H450:$L450)&lt;&gt;CONCATENATE($H451:$L451),$I450/POW(10,$J450)*MAXIFS(Token!$B:$B,Token!$A:$A,$K450)&gt;0.01),$L450/86400+DATE(1970,1,1)+IF($L450*1&gt;=$G$5,$G$6,0),)</f>
        <v/>
      </c>
      <c r="B450" s="22" t="str">
        <f t="shared" si="1"/>
        <v/>
      </c>
      <c r="C450" s="14" t="str">
        <f>IF($A450&lt;&gt;"",MINIFS(Merchant!$A:$A,Merchant!$B:$B,$G$2),)</f>
        <v/>
      </c>
      <c r="D450" s="14" t="str">
        <f t="shared" si="2"/>
        <v/>
      </c>
      <c r="E450" s="14" t="str">
        <f t="shared" si="3"/>
        <v/>
      </c>
      <c r="F450" s="6" t="str">
        <f>IF($A450&lt;&gt;"",MAXIFS(Token!$B:$B,Token!$A:$A,$D450),)</f>
        <v/>
      </c>
    </row>
    <row r="451">
      <c r="A451" s="35" t="str">
        <f>IF(AND($L451*1&gt;=$G$3,$L451*1&lt;=$G$4,$I451*$J451&gt;0,CONCATENATE($H451:$L451)&lt;&gt;CONCATENATE($H452:$L452),$I451/POW(10,$J451)*MAXIFS(Token!$B:$B,Token!$A:$A,$K451)&gt;0.01),$L451/86400+DATE(1970,1,1)+IF($L451*1&gt;=$G$5,$G$6,0),)</f>
        <v/>
      </c>
      <c r="B451" s="22" t="str">
        <f t="shared" si="1"/>
        <v/>
      </c>
      <c r="C451" s="14" t="str">
        <f>IF($A451&lt;&gt;"",MINIFS(Merchant!$A:$A,Merchant!$B:$B,$G$2),)</f>
        <v/>
      </c>
      <c r="D451" s="14" t="str">
        <f t="shared" si="2"/>
        <v/>
      </c>
      <c r="E451" s="14" t="str">
        <f t="shared" si="3"/>
        <v/>
      </c>
      <c r="F451" s="6" t="str">
        <f>IF($A451&lt;&gt;"",MAXIFS(Token!$B:$B,Token!$A:$A,$D451),)</f>
        <v/>
      </c>
    </row>
    <row r="452">
      <c r="A452" s="35" t="str">
        <f>IF(AND($L452*1&gt;=$G$3,$L452*1&lt;=$G$4,$I452*$J452&gt;0,CONCATENATE($H452:$L452)&lt;&gt;CONCATENATE($H453:$L453),$I452/POW(10,$J452)*MAXIFS(Token!$B:$B,Token!$A:$A,$K452)&gt;0.01),$L452/86400+DATE(1970,1,1)+IF($L452*1&gt;=$G$5,$G$6,0),)</f>
        <v/>
      </c>
      <c r="B452" s="22" t="str">
        <f t="shared" si="1"/>
        <v/>
      </c>
      <c r="C452" s="14" t="str">
        <f>IF($A452&lt;&gt;"",MINIFS(Merchant!$A:$A,Merchant!$B:$B,$G$2),)</f>
        <v/>
      </c>
      <c r="D452" s="14" t="str">
        <f t="shared" si="2"/>
        <v/>
      </c>
      <c r="E452" s="14" t="str">
        <f t="shared" si="3"/>
        <v/>
      </c>
      <c r="F452" s="6" t="str">
        <f>IF($A452&lt;&gt;"",MAXIFS(Token!$B:$B,Token!$A:$A,$D452),)</f>
        <v/>
      </c>
    </row>
    <row r="453">
      <c r="A453" s="35" t="str">
        <f>IF(AND($L453*1&gt;=$G$3,$L453*1&lt;=$G$4,$I453*$J453&gt;0,CONCATENATE($H453:$L453)&lt;&gt;CONCATENATE($H454:$L454),$I453/POW(10,$J453)*MAXIFS(Token!$B:$B,Token!$A:$A,$K453)&gt;0.01),$L453/86400+DATE(1970,1,1)+IF($L453*1&gt;=$G$5,$G$6,0),)</f>
        <v/>
      </c>
      <c r="B453" s="22" t="str">
        <f t="shared" si="1"/>
        <v/>
      </c>
      <c r="C453" s="14" t="str">
        <f>IF($A453&lt;&gt;"",MINIFS(Merchant!$A:$A,Merchant!$B:$B,$G$2),)</f>
        <v/>
      </c>
      <c r="D453" s="14" t="str">
        <f t="shared" si="2"/>
        <v/>
      </c>
      <c r="E453" s="14" t="str">
        <f t="shared" si="3"/>
        <v/>
      </c>
      <c r="F453" s="6" t="str">
        <f>IF($A453&lt;&gt;"",MAXIFS(Token!$B:$B,Token!$A:$A,$D453),)</f>
        <v/>
      </c>
    </row>
    <row r="454">
      <c r="A454" s="35" t="str">
        <f>IF(AND($L454*1&gt;=$G$3,$L454*1&lt;=$G$4,$I454*$J454&gt;0,CONCATENATE($H454:$L454)&lt;&gt;CONCATENATE($H455:$L455),$I454/POW(10,$J454)*MAXIFS(Token!$B:$B,Token!$A:$A,$K454)&gt;0.01),$L454/86400+DATE(1970,1,1)+IF($L454*1&gt;=$G$5,$G$6,0),)</f>
        <v/>
      </c>
      <c r="B454" s="22" t="str">
        <f t="shared" si="1"/>
        <v/>
      </c>
      <c r="C454" s="14" t="str">
        <f>IF($A454&lt;&gt;"",MINIFS(Merchant!$A:$A,Merchant!$B:$B,$G$2),)</f>
        <v/>
      </c>
      <c r="D454" s="14" t="str">
        <f t="shared" si="2"/>
        <v/>
      </c>
      <c r="E454" s="14" t="str">
        <f t="shared" si="3"/>
        <v/>
      </c>
      <c r="F454" s="6" t="str">
        <f>IF($A454&lt;&gt;"",MAXIFS(Token!$B:$B,Token!$A:$A,$D454),)</f>
        <v/>
      </c>
    </row>
    <row r="455">
      <c r="A455" s="35" t="str">
        <f>IF(AND($L455*1&gt;=$G$3,$L455*1&lt;=$G$4,$I455*$J455&gt;0,CONCATENATE($H455:$L455)&lt;&gt;CONCATENATE($H456:$L456),$I455/POW(10,$J455)*MAXIFS(Token!$B:$B,Token!$A:$A,$K455)&gt;0.01),$L455/86400+DATE(1970,1,1)+IF($L455*1&gt;=$G$5,$G$6,0),)</f>
        <v/>
      </c>
      <c r="B455" s="22" t="str">
        <f t="shared" si="1"/>
        <v/>
      </c>
      <c r="C455" s="14" t="str">
        <f>IF($A455&lt;&gt;"",MINIFS(Merchant!$A:$A,Merchant!$B:$B,$G$2),)</f>
        <v/>
      </c>
      <c r="D455" s="14" t="str">
        <f t="shared" si="2"/>
        <v/>
      </c>
      <c r="E455" s="14" t="str">
        <f t="shared" si="3"/>
        <v/>
      </c>
      <c r="F455" s="6" t="str">
        <f>IF($A455&lt;&gt;"",MAXIFS(Token!$B:$B,Token!$A:$A,$D455),)</f>
        <v/>
      </c>
    </row>
    <row r="456">
      <c r="A456" s="35" t="str">
        <f>IF(AND($L456*1&gt;=$G$3,$L456*1&lt;=$G$4,$I456*$J456&gt;0,CONCATENATE($H456:$L456)&lt;&gt;CONCATENATE($H457:$L457),$I456/POW(10,$J456)*MAXIFS(Token!$B:$B,Token!$A:$A,$K456)&gt;0.01),$L456/86400+DATE(1970,1,1)+IF($L456*1&gt;=$G$5,$G$6,0),)</f>
        <v/>
      </c>
      <c r="B456" s="22" t="str">
        <f t="shared" si="1"/>
        <v/>
      </c>
      <c r="C456" s="14" t="str">
        <f>IF($A456&lt;&gt;"",MINIFS(Merchant!$A:$A,Merchant!$B:$B,$G$2),)</f>
        <v/>
      </c>
      <c r="D456" s="14" t="str">
        <f t="shared" si="2"/>
        <v/>
      </c>
      <c r="E456" s="14" t="str">
        <f t="shared" si="3"/>
        <v/>
      </c>
      <c r="F456" s="6" t="str">
        <f>IF($A456&lt;&gt;"",MAXIFS(Token!$B:$B,Token!$A:$A,$D456),)</f>
        <v/>
      </c>
    </row>
    <row r="457">
      <c r="A457" s="35" t="str">
        <f>IF(AND($L457*1&gt;=$G$3,$L457*1&lt;=$G$4,$I457*$J457&gt;0,CONCATENATE($H457:$L457)&lt;&gt;CONCATENATE($H458:$L458),$I457/POW(10,$J457)*MAXIFS(Token!$B:$B,Token!$A:$A,$K457)&gt;0.01),$L457/86400+DATE(1970,1,1)+IF($L457*1&gt;=$G$5,$G$6,0),)</f>
        <v/>
      </c>
      <c r="B457" s="22" t="str">
        <f t="shared" si="1"/>
        <v/>
      </c>
      <c r="C457" s="14" t="str">
        <f>IF($A457&lt;&gt;"",MINIFS(Merchant!$A:$A,Merchant!$B:$B,$G$2),)</f>
        <v/>
      </c>
      <c r="D457" s="14" t="str">
        <f t="shared" si="2"/>
        <v/>
      </c>
      <c r="E457" s="14" t="str">
        <f t="shared" si="3"/>
        <v/>
      </c>
      <c r="F457" s="6" t="str">
        <f>IF($A457&lt;&gt;"",MAXIFS(Token!$B:$B,Token!$A:$A,$D457),)</f>
        <v/>
      </c>
    </row>
    <row r="458">
      <c r="A458" s="35" t="str">
        <f>IF(AND($L458*1&gt;=$G$3,$L458*1&lt;=$G$4,$I458*$J458&gt;0,CONCATENATE($H458:$L458)&lt;&gt;CONCATENATE($H459:$L459),$I458/POW(10,$J458)*MAXIFS(Token!$B:$B,Token!$A:$A,$K458)&gt;0.01),$L458/86400+DATE(1970,1,1)+IF($L458*1&gt;=$G$5,$G$6,0),)</f>
        <v/>
      </c>
      <c r="B458" s="22" t="str">
        <f t="shared" si="1"/>
        <v/>
      </c>
      <c r="C458" s="14" t="str">
        <f>IF($A458&lt;&gt;"",MINIFS(Merchant!$A:$A,Merchant!$B:$B,$G$2),)</f>
        <v/>
      </c>
      <c r="D458" s="14" t="str">
        <f t="shared" si="2"/>
        <v/>
      </c>
      <c r="E458" s="14" t="str">
        <f t="shared" si="3"/>
        <v/>
      </c>
      <c r="F458" s="6" t="str">
        <f>IF($A458&lt;&gt;"",MAXIFS(Token!$B:$B,Token!$A:$A,$D458),)</f>
        <v/>
      </c>
    </row>
    <row r="459">
      <c r="A459" s="35" t="str">
        <f>IF(AND($L459*1&gt;=$G$3,$L459*1&lt;=$G$4,$I459*$J459&gt;0,CONCATENATE($H459:$L459)&lt;&gt;CONCATENATE($H460:$L460),$I459/POW(10,$J459)*MAXIFS(Token!$B:$B,Token!$A:$A,$K459)&gt;0.01),$L459/86400+DATE(1970,1,1)+IF($L459*1&gt;=$G$5,$G$6,0),)</f>
        <v/>
      </c>
      <c r="B459" s="22" t="str">
        <f t="shared" si="1"/>
        <v/>
      </c>
      <c r="C459" s="14" t="str">
        <f>IF($A459&lt;&gt;"",MINIFS(Merchant!$A:$A,Merchant!$B:$B,$G$2),)</f>
        <v/>
      </c>
      <c r="D459" s="14" t="str">
        <f t="shared" si="2"/>
        <v/>
      </c>
      <c r="E459" s="14" t="str">
        <f t="shared" si="3"/>
        <v/>
      </c>
      <c r="F459" s="6" t="str">
        <f>IF($A459&lt;&gt;"",MAXIFS(Token!$B:$B,Token!$A:$A,$D459),)</f>
        <v/>
      </c>
    </row>
    <row r="460">
      <c r="A460" s="35" t="str">
        <f>IF(AND($L460*1&gt;=$G$3,$L460*1&lt;=$G$4,$I460*$J460&gt;0,CONCATENATE($H460:$L460)&lt;&gt;CONCATENATE($H461:$L461),$I460/POW(10,$J460)*MAXIFS(Token!$B:$B,Token!$A:$A,$K460)&gt;0.01),$L460/86400+DATE(1970,1,1)+IF($L460*1&gt;=$G$5,$G$6,0),)</f>
        <v/>
      </c>
      <c r="B460" s="22" t="str">
        <f t="shared" si="1"/>
        <v/>
      </c>
      <c r="C460" s="14" t="str">
        <f>IF($A460&lt;&gt;"",MINIFS(Merchant!$A:$A,Merchant!$B:$B,$G$2),)</f>
        <v/>
      </c>
      <c r="D460" s="14" t="str">
        <f t="shared" si="2"/>
        <v/>
      </c>
      <c r="E460" s="14" t="str">
        <f t="shared" si="3"/>
        <v/>
      </c>
      <c r="F460" s="6" t="str">
        <f>IF($A460&lt;&gt;"",MAXIFS(Token!$B:$B,Token!$A:$A,$D460),)</f>
        <v/>
      </c>
    </row>
    <row r="461">
      <c r="A461" s="35" t="str">
        <f>IF(AND($L461*1&gt;=$G$3,$L461*1&lt;=$G$4,$I461*$J461&gt;0,CONCATENATE($H461:$L461)&lt;&gt;CONCATENATE($H462:$L462),$I461/POW(10,$J461)*MAXIFS(Token!$B:$B,Token!$A:$A,$K461)&gt;0.01),$L461/86400+DATE(1970,1,1)+IF($L461*1&gt;=$G$5,$G$6,0),)</f>
        <v/>
      </c>
      <c r="B461" s="22" t="str">
        <f t="shared" si="1"/>
        <v/>
      </c>
      <c r="C461" s="14" t="str">
        <f>IF($A461&lt;&gt;"",MINIFS(Merchant!$A:$A,Merchant!$B:$B,$G$2),)</f>
        <v/>
      </c>
      <c r="D461" s="14" t="str">
        <f t="shared" si="2"/>
        <v/>
      </c>
      <c r="E461" s="14" t="str">
        <f t="shared" si="3"/>
        <v/>
      </c>
      <c r="F461" s="6" t="str">
        <f>IF($A461&lt;&gt;"",MAXIFS(Token!$B:$B,Token!$A:$A,$D461),)</f>
        <v/>
      </c>
    </row>
    <row r="462">
      <c r="A462" s="35" t="str">
        <f>IF(AND($L462*1&gt;=$G$3,$L462*1&lt;=$G$4,$I462*$J462&gt;0,CONCATENATE($H462:$L462)&lt;&gt;CONCATENATE($H463:$L463),$I462/POW(10,$J462)*MAXIFS(Token!$B:$B,Token!$A:$A,$K462)&gt;0.01),$L462/86400+DATE(1970,1,1)+IF($L462*1&gt;=$G$5,$G$6,0),)</f>
        <v/>
      </c>
      <c r="B462" s="22" t="str">
        <f t="shared" si="1"/>
        <v/>
      </c>
      <c r="C462" s="14" t="str">
        <f>IF($A462&lt;&gt;"",MINIFS(Merchant!$A:$A,Merchant!$B:$B,$G$2),)</f>
        <v/>
      </c>
      <c r="D462" s="14" t="str">
        <f t="shared" si="2"/>
        <v/>
      </c>
      <c r="E462" s="14" t="str">
        <f t="shared" si="3"/>
        <v/>
      </c>
      <c r="F462" s="6" t="str">
        <f>IF($A462&lt;&gt;"",MAXIFS(Token!$B:$B,Token!$A:$A,$D462),)</f>
        <v/>
      </c>
    </row>
    <row r="463">
      <c r="A463" s="35" t="str">
        <f>IF(AND($L463*1&gt;=$G$3,$L463*1&lt;=$G$4,$I463*$J463&gt;0,CONCATENATE($H463:$L463)&lt;&gt;CONCATENATE($H464:$L464),$I463/POW(10,$J463)*MAXIFS(Token!$B:$B,Token!$A:$A,$K463)&gt;0.01),$L463/86400+DATE(1970,1,1)+IF($L463*1&gt;=$G$5,$G$6,0),)</f>
        <v/>
      </c>
      <c r="B463" s="22" t="str">
        <f t="shared" si="1"/>
        <v/>
      </c>
      <c r="C463" s="14" t="str">
        <f>IF($A463&lt;&gt;"",MINIFS(Merchant!$A:$A,Merchant!$B:$B,$G$2),)</f>
        <v/>
      </c>
      <c r="D463" s="14" t="str">
        <f t="shared" si="2"/>
        <v/>
      </c>
      <c r="E463" s="14" t="str">
        <f t="shared" si="3"/>
        <v/>
      </c>
      <c r="F463" s="6" t="str">
        <f>IF($A463&lt;&gt;"",MAXIFS(Token!$B:$B,Token!$A:$A,$D463),)</f>
        <v/>
      </c>
    </row>
    <row r="464">
      <c r="A464" s="35" t="str">
        <f>IF(AND($L464*1&gt;=$G$3,$L464*1&lt;=$G$4,$I464*$J464&gt;0,CONCATENATE($H464:$L464)&lt;&gt;CONCATENATE($H465:$L465),$I464/POW(10,$J464)*MAXIFS(Token!$B:$B,Token!$A:$A,$K464)&gt;0.01),$L464/86400+DATE(1970,1,1)+IF($L464*1&gt;=$G$5,$G$6,0),)</f>
        <v/>
      </c>
      <c r="B464" s="22" t="str">
        <f t="shared" si="1"/>
        <v/>
      </c>
      <c r="C464" s="14" t="str">
        <f>IF($A464&lt;&gt;"",MINIFS(Merchant!$A:$A,Merchant!$B:$B,$G$2),)</f>
        <v/>
      </c>
      <c r="D464" s="14" t="str">
        <f t="shared" si="2"/>
        <v/>
      </c>
      <c r="E464" s="14" t="str">
        <f t="shared" si="3"/>
        <v/>
      </c>
      <c r="F464" s="6" t="str">
        <f>IF($A464&lt;&gt;"",MAXIFS(Token!$B:$B,Token!$A:$A,$D464),)</f>
        <v/>
      </c>
    </row>
    <row r="465">
      <c r="A465" s="35" t="str">
        <f>IF(AND($L465*1&gt;=$G$3,$L465*1&lt;=$G$4,$I465*$J465&gt;0,CONCATENATE($H465:$L465)&lt;&gt;CONCATENATE($H466:$L466),$I465/POW(10,$J465)*MAXIFS(Token!$B:$B,Token!$A:$A,$K465)&gt;0.01),$L465/86400+DATE(1970,1,1)+IF($L465*1&gt;=$G$5,$G$6,0),)</f>
        <v/>
      </c>
      <c r="B465" s="22" t="str">
        <f t="shared" si="1"/>
        <v/>
      </c>
      <c r="C465" s="14" t="str">
        <f>IF($A465&lt;&gt;"",MINIFS(Merchant!$A:$A,Merchant!$B:$B,$G$2),)</f>
        <v/>
      </c>
      <c r="D465" s="14" t="str">
        <f t="shared" si="2"/>
        <v/>
      </c>
      <c r="E465" s="14" t="str">
        <f t="shared" si="3"/>
        <v/>
      </c>
      <c r="F465" s="6" t="str">
        <f>IF($A465&lt;&gt;"",MAXIFS(Token!$B:$B,Token!$A:$A,$D465),)</f>
        <v/>
      </c>
    </row>
    <row r="466">
      <c r="A466" s="35" t="str">
        <f>IF(AND($L466*1&gt;=$G$3,$L466*1&lt;=$G$4,$I466*$J466&gt;0,CONCATENATE($H466:$L466)&lt;&gt;CONCATENATE($H467:$L467),$I466/POW(10,$J466)*MAXIFS(Token!$B:$B,Token!$A:$A,$K466)&gt;0.01),$L466/86400+DATE(1970,1,1)+IF($L466*1&gt;=$G$5,$G$6,0),)</f>
        <v/>
      </c>
      <c r="B466" s="22" t="str">
        <f t="shared" si="1"/>
        <v/>
      </c>
      <c r="C466" s="14" t="str">
        <f>IF($A466&lt;&gt;"",MINIFS(Merchant!$A:$A,Merchant!$B:$B,$G$2),)</f>
        <v/>
      </c>
      <c r="D466" s="14" t="str">
        <f t="shared" si="2"/>
        <v/>
      </c>
      <c r="E466" s="14" t="str">
        <f t="shared" si="3"/>
        <v/>
      </c>
      <c r="F466" s="6" t="str">
        <f>IF($A466&lt;&gt;"",MAXIFS(Token!$B:$B,Token!$A:$A,$D466),)</f>
        <v/>
      </c>
    </row>
    <row r="467">
      <c r="A467" s="35" t="str">
        <f>IF(AND($L467*1&gt;=$G$3,$L467*1&lt;=$G$4,$I467*$J467&gt;0,CONCATENATE($H467:$L467)&lt;&gt;CONCATENATE($H468:$L468),$I467/POW(10,$J467)*MAXIFS(Token!$B:$B,Token!$A:$A,$K467)&gt;0.01),$L467/86400+DATE(1970,1,1)+IF($L467*1&gt;=$G$5,$G$6,0),)</f>
        <v/>
      </c>
      <c r="B467" s="22" t="str">
        <f t="shared" si="1"/>
        <v/>
      </c>
      <c r="C467" s="14" t="str">
        <f>IF($A467&lt;&gt;"",MINIFS(Merchant!$A:$A,Merchant!$B:$B,$G$2),)</f>
        <v/>
      </c>
      <c r="D467" s="14" t="str">
        <f t="shared" si="2"/>
        <v/>
      </c>
      <c r="E467" s="14" t="str">
        <f t="shared" si="3"/>
        <v/>
      </c>
      <c r="F467" s="6" t="str">
        <f>IF($A467&lt;&gt;"",MAXIFS(Token!$B:$B,Token!$A:$A,$D467),)</f>
        <v/>
      </c>
    </row>
    <row r="468">
      <c r="A468" s="35" t="str">
        <f>IF(AND($L468*1&gt;=$G$3,$L468*1&lt;=$G$4,$I468*$J468&gt;0,CONCATENATE($H468:$L468)&lt;&gt;CONCATENATE($H469:$L469),$I468/POW(10,$J468)*MAXIFS(Token!$B:$B,Token!$A:$A,$K468)&gt;0.01),$L468/86400+DATE(1970,1,1)+IF($L468*1&gt;=$G$5,$G$6,0),)</f>
        <v/>
      </c>
      <c r="B468" s="22" t="str">
        <f t="shared" si="1"/>
        <v/>
      </c>
      <c r="C468" s="14" t="str">
        <f>IF($A468&lt;&gt;"",MINIFS(Merchant!$A:$A,Merchant!$B:$B,$G$2),)</f>
        <v/>
      </c>
      <c r="D468" s="14" t="str">
        <f t="shared" si="2"/>
        <v/>
      </c>
      <c r="E468" s="14" t="str">
        <f t="shared" si="3"/>
        <v/>
      </c>
      <c r="F468" s="6" t="str">
        <f>IF($A468&lt;&gt;"",MAXIFS(Token!$B:$B,Token!$A:$A,$D468),)</f>
        <v/>
      </c>
    </row>
    <row r="469">
      <c r="A469" s="35" t="str">
        <f>IF(AND($L469*1&gt;=$G$3,$L469*1&lt;=$G$4,$I469*$J469&gt;0,CONCATENATE($H469:$L469)&lt;&gt;CONCATENATE($H470:$L470),$I469/POW(10,$J469)*MAXIFS(Token!$B:$B,Token!$A:$A,$K469)&gt;0.01),$L469/86400+DATE(1970,1,1)+IF($L469*1&gt;=$G$5,$G$6,0),)</f>
        <v/>
      </c>
      <c r="B469" s="22" t="str">
        <f t="shared" si="1"/>
        <v/>
      </c>
      <c r="C469" s="14" t="str">
        <f>IF($A469&lt;&gt;"",MINIFS(Merchant!$A:$A,Merchant!$B:$B,$G$2),)</f>
        <v/>
      </c>
      <c r="D469" s="14" t="str">
        <f t="shared" si="2"/>
        <v/>
      </c>
      <c r="E469" s="14" t="str">
        <f t="shared" si="3"/>
        <v/>
      </c>
      <c r="F469" s="6" t="str">
        <f>IF($A469&lt;&gt;"",MAXIFS(Token!$B:$B,Token!$A:$A,$D469),)</f>
        <v/>
      </c>
    </row>
    <row r="470">
      <c r="A470" s="35" t="str">
        <f>IF(AND($L470*1&gt;=$G$3,$L470*1&lt;=$G$4,$I470*$J470&gt;0,CONCATENATE($H470:$L470)&lt;&gt;CONCATENATE($H471:$L471),$I470/POW(10,$J470)*MAXIFS(Token!$B:$B,Token!$A:$A,$K470)&gt;0.01),$L470/86400+DATE(1970,1,1)+IF($L470*1&gt;=$G$5,$G$6,0),)</f>
        <v/>
      </c>
      <c r="B470" s="22" t="str">
        <f t="shared" si="1"/>
        <v/>
      </c>
      <c r="C470" s="14" t="str">
        <f>IF($A470&lt;&gt;"",MINIFS(Merchant!$A:$A,Merchant!$B:$B,$G$2),)</f>
        <v/>
      </c>
      <c r="D470" s="14" t="str">
        <f t="shared" si="2"/>
        <v/>
      </c>
      <c r="E470" s="14" t="str">
        <f t="shared" si="3"/>
        <v/>
      </c>
      <c r="F470" s="6" t="str">
        <f>IF($A470&lt;&gt;"",MAXIFS(Token!$B:$B,Token!$A:$A,$D470),)</f>
        <v/>
      </c>
    </row>
    <row r="471">
      <c r="A471" s="35" t="str">
        <f>IF(AND($L471*1&gt;=$G$3,$L471*1&lt;=$G$4,$I471*$J471&gt;0,CONCATENATE($H471:$L471)&lt;&gt;CONCATENATE($H472:$L472),$I471/POW(10,$J471)*MAXIFS(Token!$B:$B,Token!$A:$A,$K471)&gt;0.01),$L471/86400+DATE(1970,1,1)+IF($L471*1&gt;=$G$5,$G$6,0),)</f>
        <v/>
      </c>
      <c r="B471" s="22" t="str">
        <f t="shared" si="1"/>
        <v/>
      </c>
      <c r="C471" s="14" t="str">
        <f>IF($A471&lt;&gt;"",MINIFS(Merchant!$A:$A,Merchant!$B:$B,$G$2),)</f>
        <v/>
      </c>
      <c r="D471" s="14" t="str">
        <f t="shared" si="2"/>
        <v/>
      </c>
      <c r="E471" s="14" t="str">
        <f t="shared" si="3"/>
        <v/>
      </c>
      <c r="F471" s="6" t="str">
        <f>IF($A471&lt;&gt;"",MAXIFS(Token!$B:$B,Token!$A:$A,$D471),)</f>
        <v/>
      </c>
    </row>
    <row r="472">
      <c r="A472" s="35" t="str">
        <f>IF(AND($L472*1&gt;=$G$3,$L472*1&lt;=$G$4,$I472*$J472&gt;0,CONCATENATE($H472:$L472)&lt;&gt;CONCATENATE($H473:$L473),$I472/POW(10,$J472)*MAXIFS(Token!$B:$B,Token!$A:$A,$K472)&gt;0.01),$L472/86400+DATE(1970,1,1)+IF($L472*1&gt;=$G$5,$G$6,0),)</f>
        <v/>
      </c>
      <c r="B472" s="22" t="str">
        <f t="shared" si="1"/>
        <v/>
      </c>
      <c r="C472" s="14" t="str">
        <f>IF($A472&lt;&gt;"",MINIFS(Merchant!$A:$A,Merchant!$B:$B,$G$2),)</f>
        <v/>
      </c>
      <c r="D472" s="14" t="str">
        <f t="shared" si="2"/>
        <v/>
      </c>
      <c r="E472" s="14" t="str">
        <f t="shared" si="3"/>
        <v/>
      </c>
      <c r="F472" s="6" t="str">
        <f>IF($A472&lt;&gt;"",MAXIFS(Token!$B:$B,Token!$A:$A,$D472),)</f>
        <v/>
      </c>
    </row>
    <row r="473">
      <c r="A473" s="35" t="str">
        <f>IF(AND($L473*1&gt;=$G$3,$L473*1&lt;=$G$4,$I473*$J473&gt;0,CONCATENATE($H473:$L473)&lt;&gt;CONCATENATE($H474:$L474),$I473/POW(10,$J473)*MAXIFS(Token!$B:$B,Token!$A:$A,$K473)&gt;0.01),$L473/86400+DATE(1970,1,1)+IF($L473*1&gt;=$G$5,$G$6,0),)</f>
        <v/>
      </c>
      <c r="B473" s="22" t="str">
        <f t="shared" si="1"/>
        <v/>
      </c>
      <c r="C473" s="14" t="str">
        <f>IF($A473&lt;&gt;"",MINIFS(Merchant!$A:$A,Merchant!$B:$B,$G$2),)</f>
        <v/>
      </c>
      <c r="D473" s="14" t="str">
        <f t="shared" si="2"/>
        <v/>
      </c>
      <c r="E473" s="14" t="str">
        <f t="shared" si="3"/>
        <v/>
      </c>
      <c r="F473" s="6" t="str">
        <f>IF($A473&lt;&gt;"",MAXIFS(Token!$B:$B,Token!$A:$A,$D473),)</f>
        <v/>
      </c>
    </row>
    <row r="474">
      <c r="A474" s="35" t="str">
        <f>IF(AND($L474*1&gt;=$G$3,$L474*1&lt;=$G$4,$I474*$J474&gt;0,CONCATENATE($H474:$L474)&lt;&gt;CONCATENATE($H475:$L475),$I474/POW(10,$J474)*MAXIFS(Token!$B:$B,Token!$A:$A,$K474)&gt;0.01),$L474/86400+DATE(1970,1,1)+IF($L474*1&gt;=$G$5,$G$6,0),)</f>
        <v/>
      </c>
      <c r="B474" s="22" t="str">
        <f t="shared" si="1"/>
        <v/>
      </c>
      <c r="C474" s="14" t="str">
        <f>IF($A474&lt;&gt;"",MINIFS(Merchant!$A:$A,Merchant!$B:$B,$G$2),)</f>
        <v/>
      </c>
      <c r="D474" s="14" t="str">
        <f t="shared" si="2"/>
        <v/>
      </c>
      <c r="E474" s="14" t="str">
        <f t="shared" si="3"/>
        <v/>
      </c>
      <c r="F474" s="6" t="str">
        <f>IF($A474&lt;&gt;"",MAXIFS(Token!$B:$B,Token!$A:$A,$D474),)</f>
        <v/>
      </c>
    </row>
    <row r="475">
      <c r="A475" s="35" t="str">
        <f>IF(AND($L475*1&gt;=$G$3,$L475*1&lt;=$G$4,$I475*$J475&gt;0,CONCATENATE($H475:$L475)&lt;&gt;CONCATENATE($H476:$L476),$I475/POW(10,$J475)*MAXIFS(Token!$B:$B,Token!$A:$A,$K475)&gt;0.01),$L475/86400+DATE(1970,1,1)+IF($L475*1&gt;=$G$5,$G$6,0),)</f>
        <v/>
      </c>
      <c r="B475" s="22" t="str">
        <f t="shared" si="1"/>
        <v/>
      </c>
      <c r="C475" s="14" t="str">
        <f>IF($A475&lt;&gt;"",MINIFS(Merchant!$A:$A,Merchant!$B:$B,$G$2),)</f>
        <v/>
      </c>
      <c r="D475" s="14" t="str">
        <f t="shared" si="2"/>
        <v/>
      </c>
      <c r="E475" s="14" t="str">
        <f t="shared" si="3"/>
        <v/>
      </c>
      <c r="F475" s="6" t="str">
        <f>IF($A475&lt;&gt;"",MAXIFS(Token!$B:$B,Token!$A:$A,$D475),)</f>
        <v/>
      </c>
    </row>
    <row r="476">
      <c r="A476" s="35" t="str">
        <f>IF(AND($L476*1&gt;=$G$3,$L476*1&lt;=$G$4,$I476*$J476&gt;0,CONCATENATE($H476:$L476)&lt;&gt;CONCATENATE($H477:$L477),$I476/POW(10,$J476)*MAXIFS(Token!$B:$B,Token!$A:$A,$K476)&gt;0.01),$L476/86400+DATE(1970,1,1)+IF($L476*1&gt;=$G$5,$G$6,0),)</f>
        <v/>
      </c>
      <c r="B476" s="22" t="str">
        <f t="shared" si="1"/>
        <v/>
      </c>
      <c r="C476" s="14" t="str">
        <f>IF($A476&lt;&gt;"",MINIFS(Merchant!$A:$A,Merchant!$B:$B,$G$2),)</f>
        <v/>
      </c>
      <c r="D476" s="14" t="str">
        <f t="shared" si="2"/>
        <v/>
      </c>
      <c r="E476" s="14" t="str">
        <f t="shared" si="3"/>
        <v/>
      </c>
      <c r="F476" s="6" t="str">
        <f>IF($A476&lt;&gt;"",MAXIFS(Token!$B:$B,Token!$A:$A,$D476),)</f>
        <v/>
      </c>
    </row>
    <row r="477">
      <c r="A477" s="35" t="str">
        <f>IF(AND($L477*1&gt;=$G$3,$L477*1&lt;=$G$4,$I477*$J477&gt;0,CONCATENATE($H477:$L477)&lt;&gt;CONCATENATE($H478:$L478),$I477/POW(10,$J477)*MAXIFS(Token!$B:$B,Token!$A:$A,$K477)&gt;0.01),$L477/86400+DATE(1970,1,1)+IF($L477*1&gt;=$G$5,$G$6,0),)</f>
        <v/>
      </c>
      <c r="B477" s="22" t="str">
        <f t="shared" si="1"/>
        <v/>
      </c>
      <c r="C477" s="14" t="str">
        <f>IF($A477&lt;&gt;"",MINIFS(Merchant!$A:$A,Merchant!$B:$B,$G$2),)</f>
        <v/>
      </c>
      <c r="D477" s="14" t="str">
        <f t="shared" si="2"/>
        <v/>
      </c>
      <c r="E477" s="14" t="str">
        <f t="shared" si="3"/>
        <v/>
      </c>
      <c r="F477" s="6" t="str">
        <f>IF($A477&lt;&gt;"",MAXIFS(Token!$B:$B,Token!$A:$A,$D477),)</f>
        <v/>
      </c>
    </row>
    <row r="478">
      <c r="A478" s="35" t="str">
        <f>IF(AND($L478*1&gt;=$G$3,$L478*1&lt;=$G$4,$I478*$J478&gt;0,CONCATENATE($H478:$L478)&lt;&gt;CONCATENATE($H479:$L479),$I478/POW(10,$J478)*MAXIFS(Token!$B:$B,Token!$A:$A,$K478)&gt;0.01),$L478/86400+DATE(1970,1,1)+IF($L478*1&gt;=$G$5,$G$6,0),)</f>
        <v/>
      </c>
      <c r="B478" s="22" t="str">
        <f t="shared" si="1"/>
        <v/>
      </c>
      <c r="C478" s="14" t="str">
        <f>IF($A478&lt;&gt;"",MINIFS(Merchant!$A:$A,Merchant!$B:$B,$G$2),)</f>
        <v/>
      </c>
      <c r="D478" s="14" t="str">
        <f t="shared" si="2"/>
        <v/>
      </c>
      <c r="E478" s="14" t="str">
        <f t="shared" si="3"/>
        <v/>
      </c>
      <c r="F478" s="6" t="str">
        <f>IF($A478&lt;&gt;"",MAXIFS(Token!$B:$B,Token!$A:$A,$D478),)</f>
        <v/>
      </c>
    </row>
    <row r="479">
      <c r="A479" s="35" t="str">
        <f>IF(AND($L479*1&gt;=$G$3,$L479*1&lt;=$G$4,$I479*$J479&gt;0,CONCATENATE($H479:$L479)&lt;&gt;CONCATENATE($H480:$L480),$I479/POW(10,$J479)*MAXIFS(Token!$B:$B,Token!$A:$A,$K479)&gt;0.01),$L479/86400+DATE(1970,1,1)+IF($L479*1&gt;=$G$5,$G$6,0),)</f>
        <v/>
      </c>
      <c r="B479" s="22" t="str">
        <f t="shared" si="1"/>
        <v/>
      </c>
      <c r="C479" s="14" t="str">
        <f>IF($A479&lt;&gt;"",MINIFS(Merchant!$A:$A,Merchant!$B:$B,$G$2),)</f>
        <v/>
      </c>
      <c r="D479" s="14" t="str">
        <f t="shared" si="2"/>
        <v/>
      </c>
      <c r="E479" s="14" t="str">
        <f t="shared" si="3"/>
        <v/>
      </c>
      <c r="F479" s="6" t="str">
        <f>IF($A479&lt;&gt;"",MAXIFS(Token!$B:$B,Token!$A:$A,$D479),)</f>
        <v/>
      </c>
    </row>
    <row r="480">
      <c r="A480" s="35" t="str">
        <f>IF(AND($L480*1&gt;=$G$3,$L480*1&lt;=$G$4,$I480*$J480&gt;0,CONCATENATE($H480:$L480)&lt;&gt;CONCATENATE($H481:$L481),$I480/POW(10,$J480)*MAXIFS(Token!$B:$B,Token!$A:$A,$K480)&gt;0.01),$L480/86400+DATE(1970,1,1)+IF($L480*1&gt;=$G$5,$G$6,0),)</f>
        <v/>
      </c>
      <c r="B480" s="22" t="str">
        <f t="shared" si="1"/>
        <v/>
      </c>
      <c r="C480" s="14" t="str">
        <f>IF($A480&lt;&gt;"",MINIFS(Merchant!$A:$A,Merchant!$B:$B,$G$2),)</f>
        <v/>
      </c>
      <c r="D480" s="14" t="str">
        <f t="shared" si="2"/>
        <v/>
      </c>
      <c r="E480" s="14" t="str">
        <f t="shared" si="3"/>
        <v/>
      </c>
      <c r="F480" s="6" t="str">
        <f>IF($A480&lt;&gt;"",MAXIFS(Token!$B:$B,Token!$A:$A,$D480),)</f>
        <v/>
      </c>
    </row>
    <row r="481">
      <c r="A481" s="35" t="str">
        <f>IF(AND($L481*1&gt;=$G$3,$L481*1&lt;=$G$4,$I481*$J481&gt;0,CONCATENATE($H481:$L481)&lt;&gt;CONCATENATE($H482:$L482),$I481/POW(10,$J481)*MAXIFS(Token!$B:$B,Token!$A:$A,$K481)&gt;0.01),$L481/86400+DATE(1970,1,1)+IF($L481*1&gt;=$G$5,$G$6,0),)</f>
        <v/>
      </c>
      <c r="B481" s="22" t="str">
        <f t="shared" si="1"/>
        <v/>
      </c>
      <c r="C481" s="14" t="str">
        <f>IF($A481&lt;&gt;"",MINIFS(Merchant!$A:$A,Merchant!$B:$B,$G$2),)</f>
        <v/>
      </c>
      <c r="D481" s="14" t="str">
        <f t="shared" si="2"/>
        <v/>
      </c>
      <c r="E481" s="14" t="str">
        <f t="shared" si="3"/>
        <v/>
      </c>
      <c r="F481" s="6" t="str">
        <f>IF($A481&lt;&gt;"",MAXIFS(Token!$B:$B,Token!$A:$A,$D481),)</f>
        <v/>
      </c>
    </row>
    <row r="482">
      <c r="A482" s="35" t="str">
        <f>IF(AND($L482*1&gt;=$G$3,$L482*1&lt;=$G$4,$I482*$J482&gt;0,CONCATENATE($H482:$L482)&lt;&gt;CONCATENATE($H483:$L483),$I482/POW(10,$J482)*MAXIFS(Token!$B:$B,Token!$A:$A,$K482)&gt;0.01),$L482/86400+DATE(1970,1,1)+IF($L482*1&gt;=$G$5,$G$6,0),)</f>
        <v/>
      </c>
      <c r="B482" s="22" t="str">
        <f t="shared" si="1"/>
        <v/>
      </c>
      <c r="C482" s="14" t="str">
        <f>IF($A482&lt;&gt;"",MINIFS(Merchant!$A:$A,Merchant!$B:$B,$G$2),)</f>
        <v/>
      </c>
      <c r="D482" s="14" t="str">
        <f t="shared" si="2"/>
        <v/>
      </c>
      <c r="E482" s="14" t="str">
        <f t="shared" si="3"/>
        <v/>
      </c>
      <c r="F482" s="6" t="str">
        <f>IF($A482&lt;&gt;"",MAXIFS(Token!$B:$B,Token!$A:$A,$D482),)</f>
        <v/>
      </c>
    </row>
    <row r="483">
      <c r="A483" s="35" t="str">
        <f>IF(AND($L483*1&gt;=$G$3,$L483*1&lt;=$G$4,$I483*$J483&gt;0,CONCATENATE($H483:$L483)&lt;&gt;CONCATENATE($H484:$L484),$I483/POW(10,$J483)*MAXIFS(Token!$B:$B,Token!$A:$A,$K483)&gt;0.01),$L483/86400+DATE(1970,1,1)+IF($L483*1&gt;=$G$5,$G$6,0),)</f>
        <v/>
      </c>
      <c r="B483" s="22" t="str">
        <f t="shared" si="1"/>
        <v/>
      </c>
      <c r="C483" s="14" t="str">
        <f>IF($A483&lt;&gt;"",MINIFS(Merchant!$A:$A,Merchant!$B:$B,$G$2),)</f>
        <v/>
      </c>
      <c r="D483" s="14" t="str">
        <f t="shared" si="2"/>
        <v/>
      </c>
      <c r="E483" s="14" t="str">
        <f t="shared" si="3"/>
        <v/>
      </c>
      <c r="F483" s="6" t="str">
        <f>IF($A483&lt;&gt;"",MAXIFS(Token!$B:$B,Token!$A:$A,$D483),)</f>
        <v/>
      </c>
    </row>
    <row r="484">
      <c r="A484" s="35" t="str">
        <f>IF(AND($L484*1&gt;=$G$3,$L484*1&lt;=$G$4,$I484*$J484&gt;0,CONCATENATE($H484:$L484)&lt;&gt;CONCATENATE($H485:$L485),$I484/POW(10,$J484)*MAXIFS(Token!$B:$B,Token!$A:$A,$K484)&gt;0.01),$L484/86400+DATE(1970,1,1)+IF($L484*1&gt;=$G$5,$G$6,0),)</f>
        <v/>
      </c>
      <c r="B484" s="22" t="str">
        <f t="shared" si="1"/>
        <v/>
      </c>
      <c r="C484" s="14" t="str">
        <f>IF($A484&lt;&gt;"",MINIFS(Merchant!$A:$A,Merchant!$B:$B,$G$2),)</f>
        <v/>
      </c>
      <c r="D484" s="14" t="str">
        <f t="shared" si="2"/>
        <v/>
      </c>
      <c r="E484" s="14" t="str">
        <f t="shared" si="3"/>
        <v/>
      </c>
      <c r="F484" s="6" t="str">
        <f>IF($A484&lt;&gt;"",MAXIFS(Token!$B:$B,Token!$A:$A,$D484),)</f>
        <v/>
      </c>
    </row>
    <row r="485">
      <c r="A485" s="35" t="str">
        <f>IF(AND($L485*1&gt;=$G$3,$L485*1&lt;=$G$4,$I485*$J485&gt;0,CONCATENATE($H485:$L485)&lt;&gt;CONCATENATE($H486:$L486),$I485/POW(10,$J485)*MAXIFS(Token!$B:$B,Token!$A:$A,$K485)&gt;0.01),$L485/86400+DATE(1970,1,1)+IF($L485*1&gt;=$G$5,$G$6,0),)</f>
        <v/>
      </c>
      <c r="B485" s="22" t="str">
        <f t="shared" si="1"/>
        <v/>
      </c>
      <c r="C485" s="14" t="str">
        <f>IF($A485&lt;&gt;"",MINIFS(Merchant!$A:$A,Merchant!$B:$B,$G$2),)</f>
        <v/>
      </c>
      <c r="D485" s="14" t="str">
        <f t="shared" si="2"/>
        <v/>
      </c>
      <c r="E485" s="14" t="str">
        <f t="shared" si="3"/>
        <v/>
      </c>
      <c r="F485" s="6" t="str">
        <f>IF($A485&lt;&gt;"",MAXIFS(Token!$B:$B,Token!$A:$A,$D485),)</f>
        <v/>
      </c>
    </row>
    <row r="486">
      <c r="A486" s="35" t="str">
        <f>IF(AND($L486*1&gt;=$G$3,$L486*1&lt;=$G$4,$I486*$J486&gt;0,CONCATENATE($H486:$L486)&lt;&gt;CONCATENATE($H487:$L487),$I486/POW(10,$J486)*MAXIFS(Token!$B:$B,Token!$A:$A,$K486)&gt;0.01),$L486/86400+DATE(1970,1,1)+IF($L486*1&gt;=$G$5,$G$6,0),)</f>
        <v/>
      </c>
      <c r="B486" s="22" t="str">
        <f t="shared" si="1"/>
        <v/>
      </c>
      <c r="C486" s="14" t="str">
        <f>IF($A486&lt;&gt;"",MINIFS(Merchant!$A:$A,Merchant!$B:$B,$G$2),)</f>
        <v/>
      </c>
      <c r="D486" s="14" t="str">
        <f t="shared" si="2"/>
        <v/>
      </c>
      <c r="E486" s="14" t="str">
        <f t="shared" si="3"/>
        <v/>
      </c>
      <c r="F486" s="6" t="str">
        <f>IF($A486&lt;&gt;"",MAXIFS(Token!$B:$B,Token!$A:$A,$D486),)</f>
        <v/>
      </c>
    </row>
    <row r="487">
      <c r="A487" s="35" t="str">
        <f>IF(AND($L487*1&gt;=$G$3,$L487*1&lt;=$G$4,$I487*$J487&gt;0,CONCATENATE($H487:$L487)&lt;&gt;CONCATENATE($H488:$L488),$I487/POW(10,$J487)*MAXIFS(Token!$B:$B,Token!$A:$A,$K487)&gt;0.01),$L487/86400+DATE(1970,1,1)+IF($L487*1&gt;=$G$5,$G$6,0),)</f>
        <v/>
      </c>
      <c r="B487" s="22" t="str">
        <f t="shared" si="1"/>
        <v/>
      </c>
      <c r="C487" s="14" t="str">
        <f>IF($A487&lt;&gt;"",MINIFS(Merchant!$A:$A,Merchant!$B:$B,$G$2),)</f>
        <v/>
      </c>
      <c r="D487" s="14" t="str">
        <f t="shared" si="2"/>
        <v/>
      </c>
      <c r="E487" s="14" t="str">
        <f t="shared" si="3"/>
        <v/>
      </c>
      <c r="F487" s="6" t="str">
        <f>IF($A487&lt;&gt;"",MAXIFS(Token!$B:$B,Token!$A:$A,$D487),)</f>
        <v/>
      </c>
    </row>
    <row r="488">
      <c r="A488" s="35" t="str">
        <f>IF(AND($L488*1&gt;=$G$3,$L488*1&lt;=$G$4,$I488*$J488&gt;0,CONCATENATE($H488:$L488)&lt;&gt;CONCATENATE($H489:$L489),$I488/POW(10,$J488)*MAXIFS(Token!$B:$B,Token!$A:$A,$K488)&gt;0.01),$L488/86400+DATE(1970,1,1)+IF($L488*1&gt;=$G$5,$G$6,0),)</f>
        <v/>
      </c>
      <c r="B488" s="22" t="str">
        <f t="shared" si="1"/>
        <v/>
      </c>
      <c r="C488" s="14" t="str">
        <f>IF($A488&lt;&gt;"",MINIFS(Merchant!$A:$A,Merchant!$B:$B,$G$2),)</f>
        <v/>
      </c>
      <c r="D488" s="14" t="str">
        <f t="shared" si="2"/>
        <v/>
      </c>
      <c r="E488" s="14" t="str">
        <f t="shared" si="3"/>
        <v/>
      </c>
      <c r="F488" s="6" t="str">
        <f>IF($A488&lt;&gt;"",MAXIFS(Token!$B:$B,Token!$A:$A,$D488),)</f>
        <v/>
      </c>
    </row>
    <row r="489">
      <c r="A489" s="35" t="str">
        <f>IF(AND($L489*1&gt;=$G$3,$L489*1&lt;=$G$4,$I489*$J489&gt;0,CONCATENATE($H489:$L489)&lt;&gt;CONCATENATE($H490:$L490),$I489/POW(10,$J489)*MAXIFS(Token!$B:$B,Token!$A:$A,$K489)&gt;0.01),$L489/86400+DATE(1970,1,1)+IF($L489*1&gt;=$G$5,$G$6,0),)</f>
        <v/>
      </c>
      <c r="B489" s="22" t="str">
        <f t="shared" si="1"/>
        <v/>
      </c>
      <c r="C489" s="14" t="str">
        <f>IF($A489&lt;&gt;"",MINIFS(Merchant!$A:$A,Merchant!$B:$B,$G$2),)</f>
        <v/>
      </c>
      <c r="D489" s="14" t="str">
        <f t="shared" si="2"/>
        <v/>
      </c>
      <c r="E489" s="14" t="str">
        <f t="shared" si="3"/>
        <v/>
      </c>
      <c r="F489" s="6" t="str">
        <f>IF($A489&lt;&gt;"",MAXIFS(Token!$B:$B,Token!$A:$A,$D489),)</f>
        <v/>
      </c>
    </row>
    <row r="490">
      <c r="A490" s="35" t="str">
        <f>IF(AND($L490*1&gt;=$G$3,$L490*1&lt;=$G$4,$I490*$J490&gt;0,CONCATENATE($H490:$L490)&lt;&gt;CONCATENATE($H491:$L491),$I490/POW(10,$J490)*MAXIFS(Token!$B:$B,Token!$A:$A,$K490)&gt;0.01),$L490/86400+DATE(1970,1,1)+IF($L490*1&gt;=$G$5,$G$6,0),)</f>
        <v/>
      </c>
      <c r="B490" s="22" t="str">
        <f t="shared" si="1"/>
        <v/>
      </c>
      <c r="C490" s="14" t="str">
        <f>IF($A490&lt;&gt;"",MINIFS(Merchant!$A:$A,Merchant!$B:$B,$G$2),)</f>
        <v/>
      </c>
      <c r="D490" s="14" t="str">
        <f t="shared" si="2"/>
        <v/>
      </c>
      <c r="E490" s="14" t="str">
        <f t="shared" si="3"/>
        <v/>
      </c>
      <c r="F490" s="6" t="str">
        <f>IF($A490&lt;&gt;"",MAXIFS(Token!$B:$B,Token!$A:$A,$D490),)</f>
        <v/>
      </c>
    </row>
    <row r="491">
      <c r="A491" s="35" t="str">
        <f>IF(AND($L491*1&gt;=$G$3,$L491*1&lt;=$G$4,$I491*$J491&gt;0,CONCATENATE($H491:$L491)&lt;&gt;CONCATENATE($H492:$L492),$I491/POW(10,$J491)*MAXIFS(Token!$B:$B,Token!$A:$A,$K491)&gt;0.01),$L491/86400+DATE(1970,1,1)+IF($L491*1&gt;=$G$5,$G$6,0),)</f>
        <v/>
      </c>
      <c r="B491" s="22" t="str">
        <f t="shared" si="1"/>
        <v/>
      </c>
      <c r="C491" s="14" t="str">
        <f>IF($A491&lt;&gt;"",MINIFS(Merchant!$A:$A,Merchant!$B:$B,$G$2),)</f>
        <v/>
      </c>
      <c r="D491" s="14" t="str">
        <f t="shared" si="2"/>
        <v/>
      </c>
      <c r="E491" s="14" t="str">
        <f t="shared" si="3"/>
        <v/>
      </c>
      <c r="F491" s="6" t="str">
        <f>IF($A491&lt;&gt;"",MAXIFS(Token!$B:$B,Token!$A:$A,$D491),)</f>
        <v/>
      </c>
    </row>
    <row r="492">
      <c r="A492" s="35" t="str">
        <f>IF(AND($L492*1&gt;=$G$3,$L492*1&lt;=$G$4,$I492*$J492&gt;0,CONCATENATE($H492:$L492)&lt;&gt;CONCATENATE($H493:$L493),$I492/POW(10,$J492)*MAXIFS(Token!$B:$B,Token!$A:$A,$K492)&gt;0.01),$L492/86400+DATE(1970,1,1)+IF($L492*1&gt;=$G$5,$G$6,0),)</f>
        <v/>
      </c>
      <c r="B492" s="22" t="str">
        <f t="shared" si="1"/>
        <v/>
      </c>
      <c r="C492" s="14" t="str">
        <f>IF($A492&lt;&gt;"",MINIFS(Merchant!$A:$A,Merchant!$B:$B,$G$2),)</f>
        <v/>
      </c>
      <c r="D492" s="14" t="str">
        <f t="shared" si="2"/>
        <v/>
      </c>
      <c r="E492" s="14" t="str">
        <f t="shared" si="3"/>
        <v/>
      </c>
      <c r="F492" s="6" t="str">
        <f>IF($A492&lt;&gt;"",MAXIFS(Token!$B:$B,Token!$A:$A,$D492),)</f>
        <v/>
      </c>
    </row>
    <row r="493">
      <c r="A493" s="35" t="str">
        <f>IF(AND($L493*1&gt;=$G$3,$L493*1&lt;=$G$4,$I493*$J493&gt;0,CONCATENATE($H493:$L493)&lt;&gt;CONCATENATE($H494:$L494),$I493/POW(10,$J493)*MAXIFS(Token!$B:$B,Token!$A:$A,$K493)&gt;0.01),$L493/86400+DATE(1970,1,1)+IF($L493*1&gt;=$G$5,$G$6,0),)</f>
        <v/>
      </c>
      <c r="B493" s="22" t="str">
        <f t="shared" si="1"/>
        <v/>
      </c>
      <c r="C493" s="14" t="str">
        <f>IF($A493&lt;&gt;"",MINIFS(Merchant!$A:$A,Merchant!$B:$B,$G$2),)</f>
        <v/>
      </c>
      <c r="D493" s="14" t="str">
        <f t="shared" si="2"/>
        <v/>
      </c>
      <c r="E493" s="14" t="str">
        <f t="shared" si="3"/>
        <v/>
      </c>
      <c r="F493" s="6" t="str">
        <f>IF($A493&lt;&gt;"",MAXIFS(Token!$B:$B,Token!$A:$A,$D493),)</f>
        <v/>
      </c>
    </row>
    <row r="494">
      <c r="A494" s="35" t="str">
        <f>IF(AND($L494*1&gt;=$G$3,$L494*1&lt;=$G$4,$I494*$J494&gt;0,CONCATENATE($H494:$L494)&lt;&gt;CONCATENATE($H495:$L495),$I494/POW(10,$J494)*MAXIFS(Token!$B:$B,Token!$A:$A,$K494)&gt;0.01),$L494/86400+DATE(1970,1,1)+IF($L494*1&gt;=$G$5,$G$6,0),)</f>
        <v/>
      </c>
      <c r="B494" s="22" t="str">
        <f t="shared" si="1"/>
        <v/>
      </c>
      <c r="C494" s="14" t="str">
        <f>IF($A494&lt;&gt;"",MINIFS(Merchant!$A:$A,Merchant!$B:$B,$G$2),)</f>
        <v/>
      </c>
      <c r="D494" s="14" t="str">
        <f t="shared" si="2"/>
        <v/>
      </c>
      <c r="E494" s="14" t="str">
        <f t="shared" si="3"/>
        <v/>
      </c>
      <c r="F494" s="6" t="str">
        <f>IF($A494&lt;&gt;"",MAXIFS(Token!$B:$B,Token!$A:$A,$D494),)</f>
        <v/>
      </c>
    </row>
    <row r="495">
      <c r="A495" s="35" t="str">
        <f>IF(AND($L495*1&gt;=$G$3,$L495*1&lt;=$G$4,$I495*$J495&gt;0,CONCATENATE($H495:$L495)&lt;&gt;CONCATENATE($H496:$L496),$I495/POW(10,$J495)*MAXIFS(Token!$B:$B,Token!$A:$A,$K495)&gt;0.01),$L495/86400+DATE(1970,1,1)+IF($L495*1&gt;=$G$5,$G$6,0),)</f>
        <v/>
      </c>
      <c r="B495" s="22" t="str">
        <f t="shared" si="1"/>
        <v/>
      </c>
      <c r="C495" s="14" t="str">
        <f>IF($A495&lt;&gt;"",MINIFS(Merchant!$A:$A,Merchant!$B:$B,$G$2),)</f>
        <v/>
      </c>
      <c r="D495" s="14" t="str">
        <f t="shared" si="2"/>
        <v/>
      </c>
      <c r="E495" s="14" t="str">
        <f t="shared" si="3"/>
        <v/>
      </c>
      <c r="F495" s="6" t="str">
        <f>IF($A495&lt;&gt;"",MAXIFS(Token!$B:$B,Token!$A:$A,$D495),)</f>
        <v/>
      </c>
    </row>
    <row r="496">
      <c r="A496" s="35" t="str">
        <f>IF(AND($L496*1&gt;=$G$3,$L496*1&lt;=$G$4,$I496*$J496&gt;0,CONCATENATE($H496:$L496)&lt;&gt;CONCATENATE($H497:$L497),$I496/POW(10,$J496)*MAXIFS(Token!$B:$B,Token!$A:$A,$K496)&gt;0.01),$L496/86400+DATE(1970,1,1)+IF($L496*1&gt;=$G$5,$G$6,0),)</f>
        <v/>
      </c>
      <c r="B496" s="22" t="str">
        <f t="shared" si="1"/>
        <v/>
      </c>
      <c r="C496" s="14" t="str">
        <f>IF($A496&lt;&gt;"",MINIFS(Merchant!$A:$A,Merchant!$B:$B,$G$2),)</f>
        <v/>
      </c>
      <c r="D496" s="14" t="str">
        <f t="shared" si="2"/>
        <v/>
      </c>
      <c r="E496" s="14" t="str">
        <f t="shared" si="3"/>
        <v/>
      </c>
      <c r="F496" s="6" t="str">
        <f>IF($A496&lt;&gt;"",MAXIFS(Token!$B:$B,Token!$A:$A,$D496),)</f>
        <v/>
      </c>
    </row>
    <row r="497">
      <c r="A497" s="35" t="str">
        <f>IF(AND($L497*1&gt;=$G$3,$L497*1&lt;=$G$4,$I497*$J497&gt;0,CONCATENATE($H497:$L497)&lt;&gt;CONCATENATE($H498:$L498),$I497/POW(10,$J497)*MAXIFS(Token!$B:$B,Token!$A:$A,$K497)&gt;0.01),$L497/86400+DATE(1970,1,1)+IF($L497*1&gt;=$G$5,$G$6,0),)</f>
        <v/>
      </c>
      <c r="B497" s="22" t="str">
        <f t="shared" si="1"/>
        <v/>
      </c>
      <c r="C497" s="14" t="str">
        <f>IF($A497&lt;&gt;"",MINIFS(Merchant!$A:$A,Merchant!$B:$B,$G$2),)</f>
        <v/>
      </c>
      <c r="D497" s="14" t="str">
        <f t="shared" si="2"/>
        <v/>
      </c>
      <c r="E497" s="14" t="str">
        <f t="shared" si="3"/>
        <v/>
      </c>
      <c r="F497" s="6" t="str">
        <f>IF($A497&lt;&gt;"",MAXIFS(Token!$B:$B,Token!$A:$A,$D497),)</f>
        <v/>
      </c>
    </row>
    <row r="498">
      <c r="A498" s="35" t="str">
        <f>IF(AND($L498*1&gt;=$G$3,$L498*1&lt;=$G$4,$I498*$J498&gt;0,CONCATENATE($H498:$L498)&lt;&gt;CONCATENATE($H499:$L499),$I498/POW(10,$J498)*MAXIFS(Token!$B:$B,Token!$A:$A,$K498)&gt;0.01),$L498/86400+DATE(1970,1,1)+IF($L498*1&gt;=$G$5,$G$6,0),)</f>
        <v/>
      </c>
      <c r="B498" s="22" t="str">
        <f t="shared" si="1"/>
        <v/>
      </c>
      <c r="C498" s="14" t="str">
        <f>IF($A498&lt;&gt;"",MINIFS(Merchant!$A:$A,Merchant!$B:$B,$G$2),)</f>
        <v/>
      </c>
      <c r="D498" s="14" t="str">
        <f t="shared" si="2"/>
        <v/>
      </c>
      <c r="E498" s="14" t="str">
        <f t="shared" si="3"/>
        <v/>
      </c>
      <c r="F498" s="6" t="str">
        <f>IF($A498&lt;&gt;"",MAXIFS(Token!$B:$B,Token!$A:$A,$D498),)</f>
        <v/>
      </c>
    </row>
    <row r="499">
      <c r="A499" s="35" t="str">
        <f>IF(AND($L499*1&gt;=$G$3,$L499*1&lt;=$G$4,$I499*$J499&gt;0,CONCATENATE($H499:$L499)&lt;&gt;CONCATENATE($H500:$L500),$I499/POW(10,$J499)*MAXIFS(Token!$B:$B,Token!$A:$A,$K499)&gt;0.01),$L499/86400+DATE(1970,1,1)+IF($L499*1&gt;=$G$5,$G$6,0),)</f>
        <v/>
      </c>
      <c r="B499" s="22" t="str">
        <f t="shared" si="1"/>
        <v/>
      </c>
      <c r="C499" s="14" t="str">
        <f>IF($A499&lt;&gt;"",MINIFS(Merchant!$A:$A,Merchant!$B:$B,$G$2),)</f>
        <v/>
      </c>
      <c r="D499" s="14" t="str">
        <f t="shared" si="2"/>
        <v/>
      </c>
      <c r="E499" s="14" t="str">
        <f t="shared" si="3"/>
        <v/>
      </c>
      <c r="F499" s="6" t="str">
        <f>IF($A499&lt;&gt;"",MAXIFS(Token!$B:$B,Token!$A:$A,$D499),)</f>
        <v/>
      </c>
    </row>
    <row r="500">
      <c r="A500" s="35" t="str">
        <f>IF(AND($L500*1&gt;=$G$3,$L500*1&lt;=$G$4,$I500*$J500&gt;0,CONCATENATE($H500:$L500)&lt;&gt;CONCATENATE($H501:$L501),$I500/POW(10,$J500)*MAXIFS(Token!$B:$B,Token!$A:$A,$K500)&gt;0.01),$L500/86400+DATE(1970,1,1)+IF($L500*1&gt;=$G$5,$G$6,0),)</f>
        <v/>
      </c>
      <c r="B500" s="22" t="str">
        <f t="shared" si="1"/>
        <v/>
      </c>
      <c r="C500" s="14" t="str">
        <f>IF($A500&lt;&gt;"",MINIFS(Merchant!$A:$A,Merchant!$B:$B,$G$2),)</f>
        <v/>
      </c>
      <c r="D500" s="14" t="str">
        <f t="shared" si="2"/>
        <v/>
      </c>
      <c r="E500" s="14" t="str">
        <f t="shared" si="3"/>
        <v/>
      </c>
      <c r="F500" s="6" t="str">
        <f>IF($A500&lt;&gt;"",MAXIFS(Token!$B:$B,Token!$A:$A,$D500),)</f>
        <v/>
      </c>
    </row>
    <row r="501">
      <c r="A501" s="35" t="str">
        <f>IF(AND($L501*1&gt;=$G$3,$L501*1&lt;=$G$4,$I501*$J501&gt;0,CONCATENATE($H501:$L501)&lt;&gt;CONCATENATE($H502:$L502),$I501/POW(10,$J501)*MAXIFS(Token!$B:$B,Token!$A:$A,$K501)&gt;0.01),$L501/86400+DATE(1970,1,1)+IF($L501*1&gt;=$G$5,$G$6,0),)</f>
        <v/>
      </c>
      <c r="B501" s="22" t="str">
        <f t="shared" si="1"/>
        <v/>
      </c>
      <c r="C501" s="14" t="str">
        <f>IF($A501&lt;&gt;"",MINIFS(Merchant!$A:$A,Merchant!$B:$B,$G$2),)</f>
        <v/>
      </c>
      <c r="D501" s="14" t="str">
        <f t="shared" si="2"/>
        <v/>
      </c>
      <c r="E501" s="14" t="str">
        <f t="shared" si="3"/>
        <v/>
      </c>
      <c r="F501" s="6" t="str">
        <f>IF($A501&lt;&gt;"",MAXIFS(Token!$B:$B,Token!$A:$A,$D501),)</f>
        <v/>
      </c>
    </row>
    <row r="502">
      <c r="A502" s="35" t="str">
        <f>IF(AND($L502*1&gt;=$G$3,$L502*1&lt;=$G$4,$I502*$J502&gt;0,CONCATENATE($H502:$L502)&lt;&gt;CONCATENATE($H503:$L503),$I502/POW(10,$J502)*MAXIFS(Token!$B:$B,Token!$A:$A,$K502)&gt;0.01),$L502/86400+DATE(1970,1,1)+IF($L502*1&gt;=$G$5,$G$6,0),)</f>
        <v/>
      </c>
      <c r="B502" s="22" t="str">
        <f t="shared" si="1"/>
        <v/>
      </c>
      <c r="C502" s="14" t="str">
        <f>IF($A502&lt;&gt;"",MINIFS(Merchant!$A:$A,Merchant!$B:$B,$G$2),)</f>
        <v/>
      </c>
      <c r="D502" s="14" t="str">
        <f t="shared" si="2"/>
        <v/>
      </c>
      <c r="E502" s="14" t="str">
        <f t="shared" si="3"/>
        <v/>
      </c>
      <c r="F502" s="6" t="str">
        <f>IF($A502&lt;&gt;"",MAXIFS(Token!$B:$B,Token!$A:$A,$D502),)</f>
        <v/>
      </c>
    </row>
    <row r="503">
      <c r="A503" s="35" t="str">
        <f>IF(AND($L503*1&gt;=$G$3,$L503*1&lt;=$G$4,$I503*$J503&gt;0,CONCATENATE($H503:$L503)&lt;&gt;CONCATENATE($H504:$L504),$I503/POW(10,$J503)*MAXIFS(Token!$B:$B,Token!$A:$A,$K503)&gt;0.01),$L503/86400+DATE(1970,1,1)+IF($L503*1&gt;=$G$5,$G$6,0),)</f>
        <v/>
      </c>
      <c r="B503" s="22" t="str">
        <f t="shared" si="1"/>
        <v/>
      </c>
      <c r="C503" s="14" t="str">
        <f>IF($A503&lt;&gt;"",MINIFS(Merchant!$A:$A,Merchant!$B:$B,$G$2),)</f>
        <v/>
      </c>
      <c r="D503" s="14" t="str">
        <f t="shared" si="2"/>
        <v/>
      </c>
      <c r="E503" s="14" t="str">
        <f t="shared" si="3"/>
        <v/>
      </c>
      <c r="F503" s="6" t="str">
        <f>IF($A503&lt;&gt;"",MAXIFS(Token!$B:$B,Token!$A:$A,$D503),)</f>
        <v/>
      </c>
    </row>
    <row r="504">
      <c r="A504" s="35" t="str">
        <f>IF(AND($L504*1&gt;=$G$3,$L504*1&lt;=$G$4,$I504*$J504&gt;0,CONCATENATE($H504:$L504)&lt;&gt;CONCATENATE($H505:$L505),$I504/POW(10,$J504)*MAXIFS(Token!$B:$B,Token!$A:$A,$K504)&gt;0.01),$L504/86400+DATE(1970,1,1)+IF($L504*1&gt;=$G$5,$G$6,0),)</f>
        <v/>
      </c>
      <c r="B504" s="22" t="str">
        <f t="shared" si="1"/>
        <v/>
      </c>
      <c r="C504" s="14" t="str">
        <f>IF($A504&lt;&gt;"",MINIFS(Merchant!$A:$A,Merchant!$B:$B,$G$2),)</f>
        <v/>
      </c>
      <c r="D504" s="14" t="str">
        <f t="shared" si="2"/>
        <v/>
      </c>
      <c r="E504" s="14" t="str">
        <f t="shared" si="3"/>
        <v/>
      </c>
      <c r="F504" s="6" t="str">
        <f>IF($A504&lt;&gt;"",MAXIFS(Token!$B:$B,Token!$A:$A,$D504),)</f>
        <v/>
      </c>
    </row>
    <row r="505">
      <c r="A505" s="35" t="str">
        <f>IF(AND($L505*1&gt;=$G$3,$L505*1&lt;=$G$4,$I505*$J505&gt;0,CONCATENATE($H505:$L505)&lt;&gt;CONCATENATE($H506:$L506),$I505/POW(10,$J505)*MAXIFS(Token!$B:$B,Token!$A:$A,$K505)&gt;0.01),$L505/86400+DATE(1970,1,1)+IF($L505*1&gt;=$G$5,$G$6,0),)</f>
        <v/>
      </c>
      <c r="B505" s="22" t="str">
        <f t="shared" si="1"/>
        <v/>
      </c>
      <c r="C505" s="14" t="str">
        <f>IF($A505&lt;&gt;"",MINIFS(Merchant!$A:$A,Merchant!$B:$B,$G$2),)</f>
        <v/>
      </c>
      <c r="D505" s="14" t="str">
        <f t="shared" si="2"/>
        <v/>
      </c>
      <c r="E505" s="14" t="str">
        <f t="shared" si="3"/>
        <v/>
      </c>
      <c r="F505" s="6" t="str">
        <f>IF($A505&lt;&gt;"",MAXIFS(Token!$B:$B,Token!$A:$A,$D505),)</f>
        <v/>
      </c>
    </row>
    <row r="506">
      <c r="A506" s="35" t="str">
        <f>IF(AND($L506*1&gt;=$G$3,$L506*1&lt;=$G$4,$I506*$J506&gt;0,CONCATENATE($H506:$L506)&lt;&gt;CONCATENATE($H507:$L507),$I506/POW(10,$J506)*MAXIFS(Token!$B:$B,Token!$A:$A,$K506)&gt;0.01),$L506/86400+DATE(1970,1,1)+IF($L506*1&gt;=$G$5,$G$6,0),)</f>
        <v/>
      </c>
      <c r="B506" s="22" t="str">
        <f t="shared" si="1"/>
        <v/>
      </c>
      <c r="C506" s="14" t="str">
        <f>IF($A506&lt;&gt;"",MINIFS(Merchant!$A:$A,Merchant!$B:$B,$G$2),)</f>
        <v/>
      </c>
      <c r="D506" s="14" t="str">
        <f t="shared" si="2"/>
        <v/>
      </c>
      <c r="E506" s="14" t="str">
        <f t="shared" si="3"/>
        <v/>
      </c>
      <c r="F506" s="6" t="str">
        <f>IF($A506&lt;&gt;"",MAXIFS(Token!$B:$B,Token!$A:$A,$D506),)</f>
        <v/>
      </c>
    </row>
    <row r="507">
      <c r="A507" s="35" t="str">
        <f>IF(AND($L507*1&gt;=$G$3,$L507*1&lt;=$G$4,$I507*$J507&gt;0,CONCATENATE($H507:$L507)&lt;&gt;CONCATENATE($H508:$L508),$I507/POW(10,$J507)*MAXIFS(Token!$B:$B,Token!$A:$A,$K507)&gt;0.01),$L507/86400+DATE(1970,1,1)+IF($L507*1&gt;=$G$5,$G$6,0),)</f>
        <v/>
      </c>
      <c r="B507" s="22" t="str">
        <f t="shared" si="1"/>
        <v/>
      </c>
      <c r="C507" s="14" t="str">
        <f>IF($A507&lt;&gt;"",MINIFS(Merchant!$A:$A,Merchant!$B:$B,$G$2),)</f>
        <v/>
      </c>
      <c r="D507" s="14" t="str">
        <f t="shared" si="2"/>
        <v/>
      </c>
      <c r="E507" s="14" t="str">
        <f t="shared" si="3"/>
        <v/>
      </c>
      <c r="F507" s="6" t="str">
        <f>IF($A507&lt;&gt;"",MAXIFS(Token!$B:$B,Token!$A:$A,$D507),)</f>
        <v/>
      </c>
    </row>
    <row r="508">
      <c r="A508" s="35" t="str">
        <f>IF(AND($L508*1&gt;=$G$3,$L508*1&lt;=$G$4,$I508*$J508&gt;0,CONCATENATE($H508:$L508)&lt;&gt;CONCATENATE($H509:$L509),$I508/POW(10,$J508)*MAXIFS(Token!$B:$B,Token!$A:$A,$K508)&gt;0.01),$L508/86400+DATE(1970,1,1)+IF($L508*1&gt;=$G$5,$G$6,0),)</f>
        <v/>
      </c>
      <c r="B508" s="22" t="str">
        <f t="shared" si="1"/>
        <v/>
      </c>
      <c r="C508" s="14" t="str">
        <f>IF($A508&lt;&gt;"",MINIFS(Merchant!$A:$A,Merchant!$B:$B,$G$2),)</f>
        <v/>
      </c>
      <c r="D508" s="14" t="str">
        <f t="shared" si="2"/>
        <v/>
      </c>
      <c r="E508" s="14" t="str">
        <f t="shared" si="3"/>
        <v/>
      </c>
      <c r="F508" s="6" t="str">
        <f>IF($A508&lt;&gt;"",MAXIFS(Token!$B:$B,Token!$A:$A,$D508),)</f>
        <v/>
      </c>
    </row>
    <row r="509">
      <c r="A509" s="35" t="str">
        <f>IF(AND($L509*1&gt;=$G$3,$L509*1&lt;=$G$4,$I509*$J509&gt;0,CONCATENATE($H509:$L509)&lt;&gt;CONCATENATE($H510:$L510),$I509/POW(10,$J509)*MAXIFS(Token!$B:$B,Token!$A:$A,$K509)&gt;0.01),$L509/86400+DATE(1970,1,1)+IF($L509*1&gt;=$G$5,$G$6,0),)</f>
        <v/>
      </c>
      <c r="B509" s="22" t="str">
        <f t="shared" si="1"/>
        <v/>
      </c>
      <c r="C509" s="14" t="str">
        <f>IF($A509&lt;&gt;"",MINIFS(Merchant!$A:$A,Merchant!$B:$B,$G$2),)</f>
        <v/>
      </c>
      <c r="D509" s="14" t="str">
        <f t="shared" si="2"/>
        <v/>
      </c>
      <c r="E509" s="14" t="str">
        <f t="shared" si="3"/>
        <v/>
      </c>
      <c r="F509" s="6" t="str">
        <f>IF($A509&lt;&gt;"",MAXIFS(Token!$B:$B,Token!$A:$A,$D509),)</f>
        <v/>
      </c>
    </row>
    <row r="510">
      <c r="A510" s="35" t="str">
        <f>IF(AND($L510*1&gt;=$G$3,$L510*1&lt;=$G$4,$I510*$J510&gt;0,CONCATENATE($H510:$L510)&lt;&gt;CONCATENATE($H511:$L511),$I510/POW(10,$J510)*MAXIFS(Token!$B:$B,Token!$A:$A,$K510)&gt;0.01),$L510/86400+DATE(1970,1,1)+IF($L510*1&gt;=$G$5,$G$6,0),)</f>
        <v/>
      </c>
      <c r="B510" s="22" t="str">
        <f t="shared" si="1"/>
        <v/>
      </c>
      <c r="C510" s="14" t="str">
        <f>IF($A510&lt;&gt;"",MINIFS(Merchant!$A:$A,Merchant!$B:$B,$G$2),)</f>
        <v/>
      </c>
      <c r="D510" s="14" t="str">
        <f t="shared" si="2"/>
        <v/>
      </c>
      <c r="E510" s="14" t="str">
        <f t="shared" si="3"/>
        <v/>
      </c>
      <c r="F510" s="6" t="str">
        <f>IF($A510&lt;&gt;"",MAXIFS(Token!$B:$B,Token!$A:$A,$D510),)</f>
        <v/>
      </c>
    </row>
    <row r="511">
      <c r="A511" s="35" t="str">
        <f>IF(AND($L511*1&gt;=$G$3,$L511*1&lt;=$G$4,$I511*$J511&gt;0,CONCATENATE($H511:$L511)&lt;&gt;CONCATENATE($H512:$L512),$I511/POW(10,$J511)*MAXIFS(Token!$B:$B,Token!$A:$A,$K511)&gt;0.01),$L511/86400+DATE(1970,1,1)+IF($L511*1&gt;=$G$5,$G$6,0),)</f>
        <v/>
      </c>
      <c r="B511" s="22" t="str">
        <f t="shared" si="1"/>
        <v/>
      </c>
      <c r="C511" s="14" t="str">
        <f>IF($A511&lt;&gt;"",MINIFS(Merchant!$A:$A,Merchant!$B:$B,$G$2),)</f>
        <v/>
      </c>
      <c r="D511" s="14" t="str">
        <f t="shared" si="2"/>
        <v/>
      </c>
      <c r="E511" s="14" t="str">
        <f t="shared" si="3"/>
        <v/>
      </c>
      <c r="F511" s="6" t="str">
        <f>IF($A511&lt;&gt;"",MAXIFS(Token!$B:$B,Token!$A:$A,$D511),)</f>
        <v/>
      </c>
    </row>
    <row r="512">
      <c r="A512" s="35" t="str">
        <f>IF(AND($L512*1&gt;=$G$3,$L512*1&lt;=$G$4,$I512*$J512&gt;0,CONCATENATE($H512:$L512)&lt;&gt;CONCATENATE($H513:$L513),$I512/POW(10,$J512)*MAXIFS(Token!$B:$B,Token!$A:$A,$K512)&gt;0.01),$L512/86400+DATE(1970,1,1)+IF($L512*1&gt;=$G$5,$G$6,0),)</f>
        <v/>
      </c>
      <c r="B512" s="22" t="str">
        <f t="shared" si="1"/>
        <v/>
      </c>
      <c r="C512" s="14" t="str">
        <f>IF($A512&lt;&gt;"",MINIFS(Merchant!$A:$A,Merchant!$B:$B,$G$2),)</f>
        <v/>
      </c>
      <c r="D512" s="14" t="str">
        <f t="shared" si="2"/>
        <v/>
      </c>
      <c r="E512" s="14" t="str">
        <f t="shared" si="3"/>
        <v/>
      </c>
      <c r="F512" s="6" t="str">
        <f>IF($A512&lt;&gt;"",MAXIFS(Token!$B:$B,Token!$A:$A,$D512),)</f>
        <v/>
      </c>
    </row>
    <row r="513">
      <c r="A513" s="35" t="str">
        <f>IF(AND($L513*1&gt;=$G$3,$L513*1&lt;=$G$4,$I513*$J513&gt;0,CONCATENATE($H513:$L513)&lt;&gt;CONCATENATE($H514:$L514),$I513/POW(10,$J513)*MAXIFS(Token!$B:$B,Token!$A:$A,$K513)&gt;0.01),$L513/86400+DATE(1970,1,1)+IF($L513*1&gt;=$G$5,$G$6,0),)</f>
        <v/>
      </c>
      <c r="B513" s="22" t="str">
        <f t="shared" si="1"/>
        <v/>
      </c>
      <c r="C513" s="14" t="str">
        <f>IF($A513&lt;&gt;"",MINIFS(Merchant!$A:$A,Merchant!$B:$B,$G$2),)</f>
        <v/>
      </c>
      <c r="D513" s="14" t="str">
        <f t="shared" si="2"/>
        <v/>
      </c>
      <c r="E513" s="14" t="str">
        <f t="shared" si="3"/>
        <v/>
      </c>
      <c r="F513" s="6" t="str">
        <f>IF($A513&lt;&gt;"",MAXIFS(Token!$B:$B,Token!$A:$A,$D513),)</f>
        <v/>
      </c>
    </row>
    <row r="514">
      <c r="A514" s="35" t="str">
        <f>IF(AND($L514*1&gt;=$G$3,$L514*1&lt;=$G$4,$I514*$J514&gt;0,CONCATENATE($H514:$L514)&lt;&gt;CONCATENATE($H515:$L515),$I514/POW(10,$J514)*MAXIFS(Token!$B:$B,Token!$A:$A,$K514)&gt;0.01),$L514/86400+DATE(1970,1,1)+IF($L514*1&gt;=$G$5,$G$6,0),)</f>
        <v/>
      </c>
      <c r="B514" s="22" t="str">
        <f t="shared" si="1"/>
        <v/>
      </c>
      <c r="C514" s="14" t="str">
        <f>IF($A514&lt;&gt;"",MINIFS(Merchant!$A:$A,Merchant!$B:$B,$G$2),)</f>
        <v/>
      </c>
      <c r="D514" s="14" t="str">
        <f t="shared" si="2"/>
        <v/>
      </c>
      <c r="E514" s="14" t="str">
        <f t="shared" si="3"/>
        <v/>
      </c>
      <c r="F514" s="6" t="str">
        <f>IF($A514&lt;&gt;"",MAXIFS(Token!$B:$B,Token!$A:$A,$D514),)</f>
        <v/>
      </c>
    </row>
    <row r="515">
      <c r="A515" s="35" t="str">
        <f>IF(AND($L515*1&gt;=$G$3,$L515*1&lt;=$G$4,$I515*$J515&gt;0,CONCATENATE($H515:$L515)&lt;&gt;CONCATENATE($H516:$L516),$I515/POW(10,$J515)*MAXIFS(Token!$B:$B,Token!$A:$A,$K515)&gt;0.01),$L515/86400+DATE(1970,1,1)+IF($L515*1&gt;=$G$5,$G$6,0),)</f>
        <v/>
      </c>
      <c r="B515" s="22" t="str">
        <f t="shared" si="1"/>
        <v/>
      </c>
      <c r="C515" s="14" t="str">
        <f>IF($A515&lt;&gt;"",MINIFS(Merchant!$A:$A,Merchant!$B:$B,$G$2),)</f>
        <v/>
      </c>
      <c r="D515" s="14" t="str">
        <f t="shared" si="2"/>
        <v/>
      </c>
      <c r="E515" s="14" t="str">
        <f t="shared" si="3"/>
        <v/>
      </c>
      <c r="F515" s="6" t="str">
        <f>IF($A515&lt;&gt;"",MAXIFS(Token!$B:$B,Token!$A:$A,$D515),)</f>
        <v/>
      </c>
    </row>
    <row r="516">
      <c r="A516" s="35" t="str">
        <f>IF(AND($L516*1&gt;=$G$3,$L516*1&lt;=$G$4,$I516*$J516&gt;0,CONCATENATE($H516:$L516)&lt;&gt;CONCATENATE($H517:$L517),$I516/POW(10,$J516)*MAXIFS(Token!$B:$B,Token!$A:$A,$K516)&gt;0.01),$L516/86400+DATE(1970,1,1)+IF($L516*1&gt;=$G$5,$G$6,0),)</f>
        <v/>
      </c>
      <c r="B516" s="22" t="str">
        <f t="shared" si="1"/>
        <v/>
      </c>
      <c r="C516" s="14" t="str">
        <f>IF($A516&lt;&gt;"",MINIFS(Merchant!$A:$A,Merchant!$B:$B,$G$2),)</f>
        <v/>
      </c>
      <c r="D516" s="14" t="str">
        <f t="shared" si="2"/>
        <v/>
      </c>
      <c r="E516" s="14" t="str">
        <f t="shared" si="3"/>
        <v/>
      </c>
      <c r="F516" s="6" t="str">
        <f>IF($A516&lt;&gt;"",MAXIFS(Token!$B:$B,Token!$A:$A,$D516),)</f>
        <v/>
      </c>
    </row>
    <row r="517">
      <c r="A517" s="35" t="str">
        <f>IF(AND($L517*1&gt;=$G$3,$L517*1&lt;=$G$4,$I517*$J517&gt;0,CONCATENATE($H517:$L517)&lt;&gt;CONCATENATE($H518:$L518),$I517/POW(10,$J517)*MAXIFS(Token!$B:$B,Token!$A:$A,$K517)&gt;0.01),$L517/86400+DATE(1970,1,1)+IF($L517*1&gt;=$G$5,$G$6,0),)</f>
        <v/>
      </c>
      <c r="B517" s="22" t="str">
        <f t="shared" si="1"/>
        <v/>
      </c>
      <c r="C517" s="14" t="str">
        <f>IF($A517&lt;&gt;"",MINIFS(Merchant!$A:$A,Merchant!$B:$B,$G$2),)</f>
        <v/>
      </c>
      <c r="D517" s="14" t="str">
        <f t="shared" si="2"/>
        <v/>
      </c>
      <c r="E517" s="14" t="str">
        <f t="shared" si="3"/>
        <v/>
      </c>
      <c r="F517" s="6" t="str">
        <f>IF($A517&lt;&gt;"",MAXIFS(Token!$B:$B,Token!$A:$A,$D517),)</f>
        <v/>
      </c>
    </row>
    <row r="518">
      <c r="A518" s="35" t="str">
        <f>IF(AND($L518*1&gt;=$G$3,$L518*1&lt;=$G$4,$I518*$J518&gt;0,CONCATENATE($H518:$L518)&lt;&gt;CONCATENATE($H519:$L519),$I518/POW(10,$J518)*MAXIFS(Token!$B:$B,Token!$A:$A,$K518)&gt;0.01),$L518/86400+DATE(1970,1,1)+IF($L518*1&gt;=$G$5,$G$6,0),)</f>
        <v/>
      </c>
      <c r="B518" s="22" t="str">
        <f t="shared" si="1"/>
        <v/>
      </c>
      <c r="C518" s="14" t="str">
        <f>IF($A518&lt;&gt;"",MINIFS(Merchant!$A:$A,Merchant!$B:$B,$G$2),)</f>
        <v/>
      </c>
      <c r="D518" s="14" t="str">
        <f t="shared" si="2"/>
        <v/>
      </c>
      <c r="E518" s="14" t="str">
        <f t="shared" si="3"/>
        <v/>
      </c>
      <c r="F518" s="6" t="str">
        <f>IF($A518&lt;&gt;"",MAXIFS(Token!$B:$B,Token!$A:$A,$D518),)</f>
        <v/>
      </c>
    </row>
    <row r="519">
      <c r="A519" s="35" t="str">
        <f>IF(AND($L519*1&gt;=$G$3,$L519*1&lt;=$G$4,$I519*$J519&gt;0,CONCATENATE($H519:$L519)&lt;&gt;CONCATENATE($H520:$L520),$I519/POW(10,$J519)*MAXIFS(Token!$B:$B,Token!$A:$A,$K519)&gt;0.01),$L519/86400+DATE(1970,1,1)+IF($L519*1&gt;=$G$5,$G$6,0),)</f>
        <v/>
      </c>
      <c r="B519" s="22" t="str">
        <f t="shared" si="1"/>
        <v/>
      </c>
      <c r="C519" s="14" t="str">
        <f>IF($A519&lt;&gt;"",MINIFS(Merchant!$A:$A,Merchant!$B:$B,$G$2),)</f>
        <v/>
      </c>
      <c r="D519" s="14" t="str">
        <f t="shared" si="2"/>
        <v/>
      </c>
      <c r="E519" s="14" t="str">
        <f t="shared" si="3"/>
        <v/>
      </c>
      <c r="F519" s="6" t="str">
        <f>IF($A519&lt;&gt;"",MAXIFS(Token!$B:$B,Token!$A:$A,$D519),)</f>
        <v/>
      </c>
    </row>
    <row r="520">
      <c r="A520" s="35" t="str">
        <f>IF(AND($L520*1&gt;=$G$3,$L520*1&lt;=$G$4,$I520*$J520&gt;0,CONCATENATE($H520:$L520)&lt;&gt;CONCATENATE($H521:$L521),$I520/POW(10,$J520)*MAXIFS(Token!$B:$B,Token!$A:$A,$K520)&gt;0.01),$L520/86400+DATE(1970,1,1)+IF($L520*1&gt;=$G$5,$G$6,0),)</f>
        <v/>
      </c>
      <c r="B520" s="22" t="str">
        <f t="shared" si="1"/>
        <v/>
      </c>
      <c r="C520" s="14" t="str">
        <f>IF($A520&lt;&gt;"",MINIFS(Merchant!$A:$A,Merchant!$B:$B,$G$2),)</f>
        <v/>
      </c>
      <c r="D520" s="14" t="str">
        <f t="shared" si="2"/>
        <v/>
      </c>
      <c r="E520" s="14" t="str">
        <f t="shared" si="3"/>
        <v/>
      </c>
      <c r="F520" s="6" t="str">
        <f>IF($A520&lt;&gt;"",MAXIFS(Token!$B:$B,Token!$A:$A,$D520),)</f>
        <v/>
      </c>
    </row>
    <row r="521">
      <c r="A521" s="35" t="str">
        <f>IF(AND($L521*1&gt;=$G$3,$L521*1&lt;=$G$4,$I521*$J521&gt;0,CONCATENATE($H521:$L521)&lt;&gt;CONCATENATE($H522:$L522),$I521/POW(10,$J521)*MAXIFS(Token!$B:$B,Token!$A:$A,$K521)&gt;0.01),$L521/86400+DATE(1970,1,1)+IF($L521*1&gt;=$G$5,$G$6,0),)</f>
        <v/>
      </c>
      <c r="B521" s="22" t="str">
        <f t="shared" si="1"/>
        <v/>
      </c>
      <c r="C521" s="14" t="str">
        <f>IF($A521&lt;&gt;"",MINIFS(Merchant!$A:$A,Merchant!$B:$B,$G$2),)</f>
        <v/>
      </c>
      <c r="D521" s="14" t="str">
        <f t="shared" si="2"/>
        <v/>
      </c>
      <c r="E521" s="14" t="str">
        <f t="shared" si="3"/>
        <v/>
      </c>
      <c r="F521" s="6" t="str">
        <f>IF($A521&lt;&gt;"",MAXIFS(Token!$B:$B,Token!$A:$A,$D521),)</f>
        <v/>
      </c>
    </row>
    <row r="522">
      <c r="A522" s="35" t="str">
        <f>IF(AND($L522*1&gt;=$G$3,$L522*1&lt;=$G$4,$I522*$J522&gt;0,CONCATENATE($H522:$L522)&lt;&gt;CONCATENATE($H523:$L523),$I522/POW(10,$J522)*MAXIFS(Token!$B:$B,Token!$A:$A,$K522)&gt;0.01),$L522/86400+DATE(1970,1,1)+IF($L522*1&gt;=$G$5,$G$6,0),)</f>
        <v/>
      </c>
      <c r="B522" s="22" t="str">
        <f t="shared" si="1"/>
        <v/>
      </c>
      <c r="C522" s="14" t="str">
        <f>IF($A522&lt;&gt;"",MINIFS(Merchant!$A:$A,Merchant!$B:$B,$G$2),)</f>
        <v/>
      </c>
      <c r="D522" s="14" t="str">
        <f t="shared" si="2"/>
        <v/>
      </c>
      <c r="E522" s="14" t="str">
        <f t="shared" si="3"/>
        <v/>
      </c>
      <c r="F522" s="6" t="str">
        <f>IF($A522&lt;&gt;"",MAXIFS(Token!$B:$B,Token!$A:$A,$D522),)</f>
        <v/>
      </c>
    </row>
    <row r="523">
      <c r="A523" s="35" t="str">
        <f>IF(AND($L523*1&gt;=$G$3,$L523*1&lt;=$G$4,$I523*$J523&gt;0,CONCATENATE($H523:$L523)&lt;&gt;CONCATENATE($H524:$L524),$I523/POW(10,$J523)*MAXIFS(Token!$B:$B,Token!$A:$A,$K523)&gt;0.01),$L523/86400+DATE(1970,1,1)+IF($L523*1&gt;=$G$5,$G$6,0),)</f>
        <v/>
      </c>
      <c r="B523" s="22" t="str">
        <f t="shared" si="1"/>
        <v/>
      </c>
      <c r="C523" s="14" t="str">
        <f>IF($A523&lt;&gt;"",MINIFS(Merchant!$A:$A,Merchant!$B:$B,$G$2),)</f>
        <v/>
      </c>
      <c r="D523" s="14" t="str">
        <f t="shared" si="2"/>
        <v/>
      </c>
      <c r="E523" s="14" t="str">
        <f t="shared" si="3"/>
        <v/>
      </c>
      <c r="F523" s="6" t="str">
        <f>IF($A523&lt;&gt;"",MAXIFS(Token!$B:$B,Token!$A:$A,$D523),)</f>
        <v/>
      </c>
    </row>
    <row r="524">
      <c r="A524" s="35" t="str">
        <f>IF(AND($L524*1&gt;=$G$3,$L524*1&lt;=$G$4,$I524*$J524&gt;0,CONCATENATE($H524:$L524)&lt;&gt;CONCATENATE($H525:$L525),$I524/POW(10,$J524)*MAXIFS(Token!$B:$B,Token!$A:$A,$K524)&gt;0.01),$L524/86400+DATE(1970,1,1)+IF($L524*1&gt;=$G$5,$G$6,0),)</f>
        <v/>
      </c>
      <c r="B524" s="22" t="str">
        <f t="shared" si="1"/>
        <v/>
      </c>
      <c r="C524" s="14" t="str">
        <f>IF($A524&lt;&gt;"",MINIFS(Merchant!$A:$A,Merchant!$B:$B,$G$2),)</f>
        <v/>
      </c>
      <c r="D524" s="14" t="str">
        <f t="shared" si="2"/>
        <v/>
      </c>
      <c r="E524" s="14" t="str">
        <f t="shared" si="3"/>
        <v/>
      </c>
      <c r="F524" s="6" t="str">
        <f>IF($A524&lt;&gt;"",MAXIFS(Token!$B:$B,Token!$A:$A,$D524),)</f>
        <v/>
      </c>
    </row>
    <row r="525">
      <c r="A525" s="35" t="str">
        <f>IF(AND($L525*1&gt;=$G$3,$L525*1&lt;=$G$4,$I525*$J525&gt;0,CONCATENATE($H525:$L525)&lt;&gt;CONCATENATE($H526:$L526),$I525/POW(10,$J525)*MAXIFS(Token!$B:$B,Token!$A:$A,$K525)&gt;0.01),$L525/86400+DATE(1970,1,1)+IF($L525*1&gt;=$G$5,$G$6,0),)</f>
        <v/>
      </c>
      <c r="B525" s="22" t="str">
        <f t="shared" si="1"/>
        <v/>
      </c>
      <c r="C525" s="14" t="str">
        <f>IF($A525&lt;&gt;"",MINIFS(Merchant!$A:$A,Merchant!$B:$B,$G$2),)</f>
        <v/>
      </c>
      <c r="D525" s="14" t="str">
        <f t="shared" si="2"/>
        <v/>
      </c>
      <c r="E525" s="14" t="str">
        <f t="shared" si="3"/>
        <v/>
      </c>
      <c r="F525" s="6" t="str">
        <f>IF($A525&lt;&gt;"",MAXIFS(Token!$B:$B,Token!$A:$A,$D525),)</f>
        <v/>
      </c>
    </row>
    <row r="526">
      <c r="A526" s="35" t="str">
        <f>IF(AND($L526*1&gt;=$G$3,$L526*1&lt;=$G$4,$I526*$J526&gt;0,CONCATENATE($H526:$L526)&lt;&gt;CONCATENATE($H527:$L527),$I526/POW(10,$J526)*MAXIFS(Token!$B:$B,Token!$A:$A,$K526)&gt;0.01),$L526/86400+DATE(1970,1,1)+IF($L526*1&gt;=$G$5,$G$6,0),)</f>
        <v/>
      </c>
      <c r="B526" s="22" t="str">
        <f t="shared" si="1"/>
        <v/>
      </c>
      <c r="C526" s="14" t="str">
        <f>IF($A526&lt;&gt;"",MINIFS(Merchant!$A:$A,Merchant!$B:$B,$G$2),)</f>
        <v/>
      </c>
      <c r="D526" s="14" t="str">
        <f t="shared" si="2"/>
        <v/>
      </c>
      <c r="E526" s="14" t="str">
        <f t="shared" si="3"/>
        <v/>
      </c>
      <c r="F526" s="6" t="str">
        <f>IF($A526&lt;&gt;"",MAXIFS(Token!$B:$B,Token!$A:$A,$D526),)</f>
        <v/>
      </c>
    </row>
    <row r="527">
      <c r="A527" s="35" t="str">
        <f>IF(AND($L527*1&gt;=$G$3,$L527*1&lt;=$G$4,$I527*$J527&gt;0,CONCATENATE($H527:$L527)&lt;&gt;CONCATENATE($H528:$L528),$I527/POW(10,$J527)*MAXIFS(Token!$B:$B,Token!$A:$A,$K527)&gt;0.01),$L527/86400+DATE(1970,1,1)+IF($L527*1&gt;=$G$5,$G$6,0),)</f>
        <v/>
      </c>
      <c r="B527" s="22" t="str">
        <f t="shared" si="1"/>
        <v/>
      </c>
      <c r="C527" s="14" t="str">
        <f>IF($A527&lt;&gt;"",MINIFS(Merchant!$A:$A,Merchant!$B:$B,$G$2),)</f>
        <v/>
      </c>
      <c r="D527" s="14" t="str">
        <f t="shared" si="2"/>
        <v/>
      </c>
      <c r="E527" s="14" t="str">
        <f t="shared" si="3"/>
        <v/>
      </c>
      <c r="F527" s="6" t="str">
        <f>IF($A527&lt;&gt;"",MAXIFS(Token!$B:$B,Token!$A:$A,$D527),)</f>
        <v/>
      </c>
    </row>
    <row r="528">
      <c r="A528" s="35" t="str">
        <f>IF(AND($L528*1&gt;=$G$3,$L528*1&lt;=$G$4,$I528*$J528&gt;0,CONCATENATE($H528:$L528)&lt;&gt;CONCATENATE($H529:$L529),$I528/POW(10,$J528)*MAXIFS(Token!$B:$B,Token!$A:$A,$K528)&gt;0.01),$L528/86400+DATE(1970,1,1)+IF($L528*1&gt;=$G$5,$G$6,0),)</f>
        <v/>
      </c>
      <c r="B528" s="22" t="str">
        <f t="shared" si="1"/>
        <v/>
      </c>
      <c r="C528" s="14" t="str">
        <f>IF($A528&lt;&gt;"",MINIFS(Merchant!$A:$A,Merchant!$B:$B,$G$2),)</f>
        <v/>
      </c>
      <c r="D528" s="14" t="str">
        <f t="shared" si="2"/>
        <v/>
      </c>
      <c r="E528" s="14" t="str">
        <f t="shared" si="3"/>
        <v/>
      </c>
      <c r="F528" s="6" t="str">
        <f>IF($A528&lt;&gt;"",MAXIFS(Token!$B:$B,Token!$A:$A,$D528),)</f>
        <v/>
      </c>
    </row>
    <row r="529">
      <c r="A529" s="35" t="str">
        <f>IF(AND($L529*1&gt;=$G$3,$L529*1&lt;=$G$4,$I529*$J529&gt;0,CONCATENATE($H529:$L529)&lt;&gt;CONCATENATE($H530:$L530),$I529/POW(10,$J529)*MAXIFS(Token!$B:$B,Token!$A:$A,$K529)&gt;0.01),$L529/86400+DATE(1970,1,1)+IF($L529*1&gt;=$G$5,$G$6,0),)</f>
        <v/>
      </c>
      <c r="B529" s="22" t="str">
        <f t="shared" si="1"/>
        <v/>
      </c>
      <c r="C529" s="14" t="str">
        <f>IF($A529&lt;&gt;"",MINIFS(Merchant!$A:$A,Merchant!$B:$B,$G$2),)</f>
        <v/>
      </c>
      <c r="D529" s="14" t="str">
        <f t="shared" si="2"/>
        <v/>
      </c>
      <c r="E529" s="14" t="str">
        <f t="shared" si="3"/>
        <v/>
      </c>
      <c r="F529" s="6" t="str">
        <f>IF($A529&lt;&gt;"",MAXIFS(Token!$B:$B,Token!$A:$A,$D529),)</f>
        <v/>
      </c>
    </row>
    <row r="530">
      <c r="A530" s="35" t="str">
        <f>IF(AND($L530*1&gt;=$G$3,$L530*1&lt;=$G$4,$I530*$J530&gt;0,CONCATENATE($H530:$L530)&lt;&gt;CONCATENATE($H531:$L531),$I530/POW(10,$J530)*MAXIFS(Token!$B:$B,Token!$A:$A,$K530)&gt;0.01),$L530/86400+DATE(1970,1,1)+IF($L530*1&gt;=$G$5,$G$6,0),)</f>
        <v/>
      </c>
      <c r="B530" s="22" t="str">
        <f t="shared" si="1"/>
        <v/>
      </c>
      <c r="C530" s="14" t="str">
        <f>IF($A530&lt;&gt;"",MINIFS(Merchant!$A:$A,Merchant!$B:$B,$G$2),)</f>
        <v/>
      </c>
      <c r="D530" s="14" t="str">
        <f t="shared" si="2"/>
        <v/>
      </c>
      <c r="E530" s="14" t="str">
        <f t="shared" si="3"/>
        <v/>
      </c>
      <c r="F530" s="6" t="str">
        <f>IF($A530&lt;&gt;"",MAXIFS(Token!$B:$B,Token!$A:$A,$D530),)</f>
        <v/>
      </c>
    </row>
    <row r="531">
      <c r="A531" s="35" t="str">
        <f>IF(AND($L531*1&gt;=$G$3,$L531*1&lt;=$G$4,$I531*$J531&gt;0,CONCATENATE($H531:$L531)&lt;&gt;CONCATENATE($H532:$L532),$I531/POW(10,$J531)*MAXIFS(Token!$B:$B,Token!$A:$A,$K531)&gt;0.01),$L531/86400+DATE(1970,1,1)+IF($L531*1&gt;=$G$5,$G$6,0),)</f>
        <v/>
      </c>
      <c r="B531" s="22" t="str">
        <f t="shared" si="1"/>
        <v/>
      </c>
      <c r="C531" s="14" t="str">
        <f>IF($A531&lt;&gt;"",MINIFS(Merchant!$A:$A,Merchant!$B:$B,$G$2),)</f>
        <v/>
      </c>
      <c r="D531" s="14" t="str">
        <f t="shared" si="2"/>
        <v/>
      </c>
      <c r="E531" s="14" t="str">
        <f t="shared" si="3"/>
        <v/>
      </c>
      <c r="F531" s="6" t="str">
        <f>IF($A531&lt;&gt;"",MAXIFS(Token!$B:$B,Token!$A:$A,$D531),)</f>
        <v/>
      </c>
    </row>
    <row r="532">
      <c r="A532" s="35" t="str">
        <f>IF(AND($L532*1&gt;=$G$3,$L532*1&lt;=$G$4,$I532*$J532&gt;0,CONCATENATE($H532:$L532)&lt;&gt;CONCATENATE($H533:$L533),$I532/POW(10,$J532)*MAXIFS(Token!$B:$B,Token!$A:$A,$K532)&gt;0.01),$L532/86400+DATE(1970,1,1)+IF($L532*1&gt;=$G$5,$G$6,0),)</f>
        <v/>
      </c>
      <c r="B532" s="22" t="str">
        <f t="shared" si="1"/>
        <v/>
      </c>
      <c r="C532" s="14" t="str">
        <f>IF($A532&lt;&gt;"",MINIFS(Merchant!$A:$A,Merchant!$B:$B,$G$2),)</f>
        <v/>
      </c>
      <c r="D532" s="14" t="str">
        <f t="shared" si="2"/>
        <v/>
      </c>
      <c r="E532" s="14" t="str">
        <f t="shared" si="3"/>
        <v/>
      </c>
      <c r="F532" s="6" t="str">
        <f>IF($A532&lt;&gt;"",MAXIFS(Token!$B:$B,Token!$A:$A,$D532),)</f>
        <v/>
      </c>
    </row>
    <row r="533">
      <c r="A533" s="35" t="str">
        <f>IF(AND($L533*1&gt;=$G$3,$L533*1&lt;=$G$4,$I533*$J533&gt;0,CONCATENATE($H533:$L533)&lt;&gt;CONCATENATE($H534:$L534),$I533/POW(10,$J533)*MAXIFS(Token!$B:$B,Token!$A:$A,$K533)&gt;0.01),$L533/86400+DATE(1970,1,1)+IF($L533*1&gt;=$G$5,$G$6,0),)</f>
        <v/>
      </c>
      <c r="B533" s="22" t="str">
        <f t="shared" si="1"/>
        <v/>
      </c>
      <c r="C533" s="14" t="str">
        <f>IF($A533&lt;&gt;"",MINIFS(Merchant!$A:$A,Merchant!$B:$B,$G$2),)</f>
        <v/>
      </c>
      <c r="D533" s="14" t="str">
        <f t="shared" si="2"/>
        <v/>
      </c>
      <c r="E533" s="14" t="str">
        <f t="shared" si="3"/>
        <v/>
      </c>
      <c r="F533" s="6" t="str">
        <f>IF($A533&lt;&gt;"",MAXIFS(Token!$B:$B,Token!$A:$A,$D533),)</f>
        <v/>
      </c>
    </row>
    <row r="534">
      <c r="A534" s="35" t="str">
        <f>IF(AND($L534*1&gt;=$G$3,$L534*1&lt;=$G$4,$I534*$J534&gt;0,CONCATENATE($H534:$L534)&lt;&gt;CONCATENATE($H535:$L535),$I534/POW(10,$J534)*MAXIFS(Token!$B:$B,Token!$A:$A,$K534)&gt;0.01),$L534/86400+DATE(1970,1,1)+IF($L534*1&gt;=$G$5,$G$6,0),)</f>
        <v/>
      </c>
      <c r="B534" s="22" t="str">
        <f t="shared" si="1"/>
        <v/>
      </c>
      <c r="C534" s="14" t="str">
        <f>IF($A534&lt;&gt;"",MINIFS(Merchant!$A:$A,Merchant!$B:$B,$G$2),)</f>
        <v/>
      </c>
      <c r="D534" s="14" t="str">
        <f t="shared" si="2"/>
        <v/>
      </c>
      <c r="E534" s="14" t="str">
        <f t="shared" si="3"/>
        <v/>
      </c>
      <c r="F534" s="6" t="str">
        <f>IF($A534&lt;&gt;"",MAXIFS(Token!$B:$B,Token!$A:$A,$D534),)</f>
        <v/>
      </c>
    </row>
    <row r="535">
      <c r="A535" s="35" t="str">
        <f>IF(AND($L535*1&gt;=$G$3,$L535*1&lt;=$G$4,$I535*$J535&gt;0,CONCATENATE($H535:$L535)&lt;&gt;CONCATENATE($H536:$L536),$I535/POW(10,$J535)*MAXIFS(Token!$B:$B,Token!$A:$A,$K535)&gt;0.01),$L535/86400+DATE(1970,1,1)+IF($L535*1&gt;=$G$5,$G$6,0),)</f>
        <v/>
      </c>
      <c r="B535" s="22" t="str">
        <f t="shared" si="1"/>
        <v/>
      </c>
      <c r="C535" s="14" t="str">
        <f>IF($A535&lt;&gt;"",MINIFS(Merchant!$A:$A,Merchant!$B:$B,$G$2),)</f>
        <v/>
      </c>
      <c r="D535" s="14" t="str">
        <f t="shared" si="2"/>
        <v/>
      </c>
      <c r="E535" s="14" t="str">
        <f t="shared" si="3"/>
        <v/>
      </c>
      <c r="F535" s="6" t="str">
        <f>IF($A535&lt;&gt;"",MAXIFS(Token!$B:$B,Token!$A:$A,$D535),)</f>
        <v/>
      </c>
    </row>
    <row r="536">
      <c r="A536" s="35" t="str">
        <f>IF(AND($L536*1&gt;=$G$3,$L536*1&lt;=$G$4,$I536*$J536&gt;0,CONCATENATE($H536:$L536)&lt;&gt;CONCATENATE($H537:$L537),$I536/POW(10,$J536)*MAXIFS(Token!$B:$B,Token!$A:$A,$K536)&gt;0.01),$L536/86400+DATE(1970,1,1)+IF($L536*1&gt;=$G$5,$G$6,0),)</f>
        <v/>
      </c>
      <c r="B536" s="22" t="str">
        <f t="shared" si="1"/>
        <v/>
      </c>
      <c r="C536" s="14" t="str">
        <f>IF($A536&lt;&gt;"",MINIFS(Merchant!$A:$A,Merchant!$B:$B,$G$2),)</f>
        <v/>
      </c>
      <c r="D536" s="14" t="str">
        <f t="shared" si="2"/>
        <v/>
      </c>
      <c r="E536" s="14" t="str">
        <f t="shared" si="3"/>
        <v/>
      </c>
      <c r="F536" s="6" t="str">
        <f>IF($A536&lt;&gt;"",MAXIFS(Token!$B:$B,Token!$A:$A,$D536),)</f>
        <v/>
      </c>
    </row>
    <row r="537">
      <c r="A537" s="35" t="str">
        <f>IF(AND($L537*1&gt;=$G$3,$L537*1&lt;=$G$4,$I537*$J537&gt;0,CONCATENATE($H537:$L537)&lt;&gt;CONCATENATE($H538:$L538),$I537/POW(10,$J537)*MAXIFS(Token!$B:$B,Token!$A:$A,$K537)&gt;0.01),$L537/86400+DATE(1970,1,1)+IF($L537*1&gt;=$G$5,$G$6,0),)</f>
        <v/>
      </c>
      <c r="B537" s="22" t="str">
        <f t="shared" si="1"/>
        <v/>
      </c>
      <c r="C537" s="14" t="str">
        <f>IF($A537&lt;&gt;"",MINIFS(Merchant!$A:$A,Merchant!$B:$B,$G$2),)</f>
        <v/>
      </c>
      <c r="D537" s="14" t="str">
        <f t="shared" si="2"/>
        <v/>
      </c>
      <c r="E537" s="14" t="str">
        <f t="shared" si="3"/>
        <v/>
      </c>
      <c r="F537" s="6" t="str">
        <f>IF($A537&lt;&gt;"",MAXIFS(Token!$B:$B,Token!$A:$A,$D537),)</f>
        <v/>
      </c>
    </row>
    <row r="538">
      <c r="A538" s="35" t="str">
        <f>IF(AND($L538*1&gt;=$G$3,$L538*1&lt;=$G$4,$I538*$J538&gt;0,CONCATENATE($H538:$L538)&lt;&gt;CONCATENATE($H539:$L539),$I538/POW(10,$J538)*MAXIFS(Token!$B:$B,Token!$A:$A,$K538)&gt;0.01),$L538/86400+DATE(1970,1,1)+IF($L538*1&gt;=$G$5,$G$6,0),)</f>
        <v/>
      </c>
      <c r="B538" s="22" t="str">
        <f t="shared" si="1"/>
        <v/>
      </c>
      <c r="C538" s="14" t="str">
        <f>IF($A538&lt;&gt;"",MINIFS(Merchant!$A:$A,Merchant!$B:$B,$G$2),)</f>
        <v/>
      </c>
      <c r="D538" s="14" t="str">
        <f t="shared" si="2"/>
        <v/>
      </c>
      <c r="E538" s="14" t="str">
        <f t="shared" si="3"/>
        <v/>
      </c>
      <c r="F538" s="6" t="str">
        <f>IF($A538&lt;&gt;"",MAXIFS(Token!$B:$B,Token!$A:$A,$D538),)</f>
        <v/>
      </c>
    </row>
    <row r="539">
      <c r="A539" s="35" t="str">
        <f>IF(AND($L539*1&gt;=$G$3,$L539*1&lt;=$G$4,$I539*$J539&gt;0,CONCATENATE($H539:$L539)&lt;&gt;CONCATENATE($H540:$L540),$I539/POW(10,$J539)*MAXIFS(Token!$B:$B,Token!$A:$A,$K539)&gt;0.01),$L539/86400+DATE(1970,1,1)+IF($L539*1&gt;=$G$5,$G$6,0),)</f>
        <v/>
      </c>
      <c r="B539" s="22" t="str">
        <f t="shared" si="1"/>
        <v/>
      </c>
      <c r="C539" s="14" t="str">
        <f>IF($A539&lt;&gt;"",MINIFS(Merchant!$A:$A,Merchant!$B:$B,$G$2),)</f>
        <v/>
      </c>
      <c r="D539" s="14" t="str">
        <f t="shared" si="2"/>
        <v/>
      </c>
      <c r="E539" s="14" t="str">
        <f t="shared" si="3"/>
        <v/>
      </c>
      <c r="F539" s="6" t="str">
        <f>IF($A539&lt;&gt;"",MAXIFS(Token!$B:$B,Token!$A:$A,$D539),)</f>
        <v/>
      </c>
    </row>
    <row r="540">
      <c r="A540" s="35" t="str">
        <f>IF(AND($L540*1&gt;=$G$3,$L540*1&lt;=$G$4,$I540*$J540&gt;0,CONCATENATE($H540:$L540)&lt;&gt;CONCATENATE($H541:$L541),$I540/POW(10,$J540)*MAXIFS(Token!$B:$B,Token!$A:$A,$K540)&gt;0.01),$L540/86400+DATE(1970,1,1)+IF($L540*1&gt;=$G$5,$G$6,0),)</f>
        <v/>
      </c>
      <c r="B540" s="22" t="str">
        <f t="shared" si="1"/>
        <v/>
      </c>
      <c r="C540" s="14" t="str">
        <f>IF($A540&lt;&gt;"",MINIFS(Merchant!$A:$A,Merchant!$B:$B,$G$2),)</f>
        <v/>
      </c>
      <c r="D540" s="14" t="str">
        <f t="shared" si="2"/>
        <v/>
      </c>
      <c r="E540" s="14" t="str">
        <f t="shared" si="3"/>
        <v/>
      </c>
      <c r="F540" s="6" t="str">
        <f>IF($A540&lt;&gt;"",MAXIFS(Token!$B:$B,Token!$A:$A,$D540),)</f>
        <v/>
      </c>
    </row>
    <row r="541">
      <c r="A541" s="35" t="str">
        <f>IF(AND($L541*1&gt;=$G$3,$L541*1&lt;=$G$4,$I541*$J541&gt;0,CONCATENATE($H541:$L541)&lt;&gt;CONCATENATE($H542:$L542),$I541/POW(10,$J541)*MAXIFS(Token!$B:$B,Token!$A:$A,$K541)&gt;0.01),$L541/86400+DATE(1970,1,1)+IF($L541*1&gt;=$G$5,$G$6,0),)</f>
        <v/>
      </c>
      <c r="B541" s="22" t="str">
        <f t="shared" si="1"/>
        <v/>
      </c>
      <c r="C541" s="14" t="str">
        <f>IF($A541&lt;&gt;"",MINIFS(Merchant!$A:$A,Merchant!$B:$B,$G$2),)</f>
        <v/>
      </c>
      <c r="D541" s="14" t="str">
        <f t="shared" si="2"/>
        <v/>
      </c>
      <c r="E541" s="14" t="str">
        <f t="shared" si="3"/>
        <v/>
      </c>
      <c r="F541" s="6" t="str">
        <f>IF($A541&lt;&gt;"",MAXIFS(Token!$B:$B,Token!$A:$A,$D541),)</f>
        <v/>
      </c>
    </row>
    <row r="542">
      <c r="A542" s="35" t="str">
        <f>IF(AND($L542*1&gt;=$G$3,$L542*1&lt;=$G$4,$I542*$J542&gt;0,CONCATENATE($H542:$L542)&lt;&gt;CONCATENATE($H543:$L543),$I542/POW(10,$J542)*MAXIFS(Token!$B:$B,Token!$A:$A,$K542)&gt;0.01),$L542/86400+DATE(1970,1,1)+IF($L542*1&gt;=$G$5,$G$6,0),)</f>
        <v/>
      </c>
      <c r="B542" s="22" t="str">
        <f t="shared" si="1"/>
        <v/>
      </c>
      <c r="C542" s="14" t="str">
        <f>IF($A542&lt;&gt;"",MINIFS(Merchant!$A:$A,Merchant!$B:$B,$G$2),)</f>
        <v/>
      </c>
      <c r="D542" s="14" t="str">
        <f t="shared" si="2"/>
        <v/>
      </c>
      <c r="E542" s="14" t="str">
        <f t="shared" si="3"/>
        <v/>
      </c>
      <c r="F542" s="6" t="str">
        <f>IF($A542&lt;&gt;"",MAXIFS(Token!$B:$B,Token!$A:$A,$D542),)</f>
        <v/>
      </c>
    </row>
    <row r="543">
      <c r="A543" s="35" t="str">
        <f>IF(AND($L543*1&gt;=$G$3,$L543*1&lt;=$G$4,$I543*$J543&gt;0,CONCATENATE($H543:$L543)&lt;&gt;CONCATENATE($H544:$L544),$I543/POW(10,$J543)*MAXIFS(Token!$B:$B,Token!$A:$A,$K543)&gt;0.01),$L543/86400+DATE(1970,1,1)+IF($L543*1&gt;=$G$5,$G$6,0),)</f>
        <v/>
      </c>
      <c r="B543" s="22" t="str">
        <f t="shared" si="1"/>
        <v/>
      </c>
      <c r="C543" s="14" t="str">
        <f>IF($A543&lt;&gt;"",MINIFS(Merchant!$A:$A,Merchant!$B:$B,$G$2),)</f>
        <v/>
      </c>
      <c r="D543" s="14" t="str">
        <f t="shared" si="2"/>
        <v/>
      </c>
      <c r="E543" s="14" t="str">
        <f t="shared" si="3"/>
        <v/>
      </c>
      <c r="F543" s="6" t="str">
        <f>IF($A543&lt;&gt;"",MAXIFS(Token!$B:$B,Token!$A:$A,$D543),)</f>
        <v/>
      </c>
    </row>
    <row r="544">
      <c r="A544" s="35" t="str">
        <f>IF(AND($L544*1&gt;=$G$3,$L544*1&lt;=$G$4,$I544*$J544&gt;0,CONCATENATE($H544:$L544)&lt;&gt;CONCATENATE($H545:$L545),$I544/POW(10,$J544)*MAXIFS(Token!$B:$B,Token!$A:$A,$K544)&gt;0.01),$L544/86400+DATE(1970,1,1)+IF($L544*1&gt;=$G$5,$G$6,0),)</f>
        <v/>
      </c>
      <c r="B544" s="22" t="str">
        <f t="shared" si="1"/>
        <v/>
      </c>
      <c r="C544" s="14" t="str">
        <f>IF($A544&lt;&gt;"",MINIFS(Merchant!$A:$A,Merchant!$B:$B,$G$2),)</f>
        <v/>
      </c>
      <c r="D544" s="14" t="str">
        <f t="shared" si="2"/>
        <v/>
      </c>
      <c r="E544" s="14" t="str">
        <f t="shared" si="3"/>
        <v/>
      </c>
      <c r="F544" s="6" t="str">
        <f>IF($A544&lt;&gt;"",MAXIFS(Token!$B:$B,Token!$A:$A,$D544),)</f>
        <v/>
      </c>
    </row>
    <row r="545">
      <c r="A545" s="35" t="str">
        <f>IF(AND($L545*1&gt;=$G$3,$L545*1&lt;=$G$4,$I545*$J545&gt;0,CONCATENATE($H545:$L545)&lt;&gt;CONCATENATE($H546:$L546),$I545/POW(10,$J545)*MAXIFS(Token!$B:$B,Token!$A:$A,$K545)&gt;0.01),$L545/86400+DATE(1970,1,1)+IF($L545*1&gt;=$G$5,$G$6,0),)</f>
        <v/>
      </c>
      <c r="B545" s="22" t="str">
        <f t="shared" si="1"/>
        <v/>
      </c>
      <c r="C545" s="14" t="str">
        <f>IF($A545&lt;&gt;"",MINIFS(Merchant!$A:$A,Merchant!$B:$B,$G$2),)</f>
        <v/>
      </c>
      <c r="D545" s="14" t="str">
        <f t="shared" si="2"/>
        <v/>
      </c>
      <c r="E545" s="14" t="str">
        <f t="shared" si="3"/>
        <v/>
      </c>
      <c r="F545" s="6" t="str">
        <f>IF($A545&lt;&gt;"",MAXIFS(Token!$B:$B,Token!$A:$A,$D545),)</f>
        <v/>
      </c>
    </row>
    <row r="546">
      <c r="A546" s="35" t="str">
        <f>IF(AND($L546*1&gt;=$G$3,$L546*1&lt;=$G$4,$I546*$J546&gt;0,CONCATENATE($H546:$L546)&lt;&gt;CONCATENATE($H547:$L547),$I546/POW(10,$J546)*MAXIFS(Token!$B:$B,Token!$A:$A,$K546)&gt;0.01),$L546/86400+DATE(1970,1,1)+IF($L546*1&gt;=$G$5,$G$6,0),)</f>
        <v/>
      </c>
      <c r="B546" s="22" t="str">
        <f t="shared" si="1"/>
        <v/>
      </c>
      <c r="C546" s="14" t="str">
        <f>IF($A546&lt;&gt;"",MINIFS(Merchant!$A:$A,Merchant!$B:$B,$G$2),)</f>
        <v/>
      </c>
      <c r="D546" s="14" t="str">
        <f t="shared" si="2"/>
        <v/>
      </c>
      <c r="E546" s="14" t="str">
        <f t="shared" si="3"/>
        <v/>
      </c>
      <c r="F546" s="6" t="str">
        <f>IF($A546&lt;&gt;"",MAXIFS(Token!$B:$B,Token!$A:$A,$D546),)</f>
        <v/>
      </c>
    </row>
    <row r="547">
      <c r="A547" s="35" t="str">
        <f>IF(AND($L547*1&gt;=$G$3,$L547*1&lt;=$G$4,$I547*$J547&gt;0,CONCATENATE($H547:$L547)&lt;&gt;CONCATENATE($H548:$L548),$I547/POW(10,$J547)*MAXIFS(Token!$B:$B,Token!$A:$A,$K547)&gt;0.01),$L547/86400+DATE(1970,1,1)+IF($L547*1&gt;=$G$5,$G$6,0),)</f>
        <v/>
      </c>
      <c r="B547" s="22" t="str">
        <f t="shared" si="1"/>
        <v/>
      </c>
      <c r="C547" s="14" t="str">
        <f>IF($A547&lt;&gt;"",MINIFS(Merchant!$A:$A,Merchant!$B:$B,$G$2),)</f>
        <v/>
      </c>
      <c r="D547" s="14" t="str">
        <f t="shared" si="2"/>
        <v/>
      </c>
      <c r="E547" s="14" t="str">
        <f t="shared" si="3"/>
        <v/>
      </c>
      <c r="F547" s="6" t="str">
        <f>IF($A547&lt;&gt;"",MAXIFS(Token!$B:$B,Token!$A:$A,$D547),)</f>
        <v/>
      </c>
    </row>
    <row r="548">
      <c r="A548" s="35" t="str">
        <f>IF(AND($L548*1&gt;=$G$3,$L548*1&lt;=$G$4,$I548*$J548&gt;0,CONCATENATE($H548:$L548)&lt;&gt;CONCATENATE($H549:$L549),$I548/POW(10,$J548)*MAXIFS(Token!$B:$B,Token!$A:$A,$K548)&gt;0.01),$L548/86400+DATE(1970,1,1)+IF($L548*1&gt;=$G$5,$G$6,0),)</f>
        <v/>
      </c>
      <c r="B548" s="22" t="str">
        <f t="shared" si="1"/>
        <v/>
      </c>
      <c r="C548" s="14" t="str">
        <f>IF($A548&lt;&gt;"",MINIFS(Merchant!$A:$A,Merchant!$B:$B,$G$2),)</f>
        <v/>
      </c>
      <c r="D548" s="14" t="str">
        <f t="shared" si="2"/>
        <v/>
      </c>
      <c r="E548" s="14" t="str">
        <f t="shared" si="3"/>
        <v/>
      </c>
      <c r="F548" s="6" t="str">
        <f>IF($A548&lt;&gt;"",MAXIFS(Token!$B:$B,Token!$A:$A,$D548),)</f>
        <v/>
      </c>
    </row>
    <row r="549">
      <c r="A549" s="35" t="str">
        <f>IF(AND($L549*1&gt;=$G$3,$L549*1&lt;=$G$4,$I549*$J549&gt;0,CONCATENATE($H549:$L549)&lt;&gt;CONCATENATE($H550:$L550),$I549/POW(10,$J549)*MAXIFS(Token!$B:$B,Token!$A:$A,$K549)&gt;0.01),$L549/86400+DATE(1970,1,1)+IF($L549*1&gt;=$G$5,$G$6,0),)</f>
        <v/>
      </c>
      <c r="B549" s="22" t="str">
        <f t="shared" si="1"/>
        <v/>
      </c>
      <c r="C549" s="14" t="str">
        <f>IF($A549&lt;&gt;"",MINIFS(Merchant!$A:$A,Merchant!$B:$B,$G$2),)</f>
        <v/>
      </c>
      <c r="D549" s="14" t="str">
        <f t="shared" si="2"/>
        <v/>
      </c>
      <c r="E549" s="14" t="str">
        <f t="shared" si="3"/>
        <v/>
      </c>
      <c r="F549" s="6" t="str">
        <f>IF($A549&lt;&gt;"",MAXIFS(Token!$B:$B,Token!$A:$A,$D549),)</f>
        <v/>
      </c>
    </row>
    <row r="550">
      <c r="A550" s="35" t="str">
        <f>IF(AND($L550*1&gt;=$G$3,$L550*1&lt;=$G$4,$I550*$J550&gt;0,CONCATENATE($H550:$L550)&lt;&gt;CONCATENATE($H551:$L551),$I550/POW(10,$J550)*MAXIFS(Token!$B:$B,Token!$A:$A,$K550)&gt;0.01),$L550/86400+DATE(1970,1,1)+IF($L550*1&gt;=$G$5,$G$6,0),)</f>
        <v/>
      </c>
      <c r="B550" s="22" t="str">
        <f t="shared" si="1"/>
        <v/>
      </c>
      <c r="C550" s="14" t="str">
        <f>IF($A550&lt;&gt;"",MINIFS(Merchant!$A:$A,Merchant!$B:$B,$G$2),)</f>
        <v/>
      </c>
      <c r="D550" s="14" t="str">
        <f t="shared" si="2"/>
        <v/>
      </c>
      <c r="E550" s="14" t="str">
        <f t="shared" si="3"/>
        <v/>
      </c>
      <c r="F550" s="6" t="str">
        <f>IF($A550&lt;&gt;"",MAXIFS(Token!$B:$B,Token!$A:$A,$D550),)</f>
        <v/>
      </c>
    </row>
    <row r="551">
      <c r="A551" s="35" t="str">
        <f>IF(AND($L551*1&gt;=$G$3,$L551*1&lt;=$G$4,$I551*$J551&gt;0,CONCATENATE($H551:$L551)&lt;&gt;CONCATENATE($H552:$L552),$I551/POW(10,$J551)*MAXIFS(Token!$B:$B,Token!$A:$A,$K551)&gt;0.01),$L551/86400+DATE(1970,1,1)+IF($L551*1&gt;=$G$5,$G$6,0),)</f>
        <v/>
      </c>
      <c r="B551" s="22" t="str">
        <f t="shared" si="1"/>
        <v/>
      </c>
      <c r="C551" s="14" t="str">
        <f>IF($A551&lt;&gt;"",MINIFS(Merchant!$A:$A,Merchant!$B:$B,$G$2),)</f>
        <v/>
      </c>
      <c r="D551" s="14" t="str">
        <f t="shared" si="2"/>
        <v/>
      </c>
      <c r="E551" s="14" t="str">
        <f t="shared" si="3"/>
        <v/>
      </c>
      <c r="F551" s="6" t="str">
        <f>IF($A551&lt;&gt;"",MAXIFS(Token!$B:$B,Token!$A:$A,$D551),)</f>
        <v/>
      </c>
    </row>
    <row r="552">
      <c r="A552" s="35" t="str">
        <f>IF(AND($L552*1&gt;=$G$3,$L552*1&lt;=$G$4,$I552*$J552&gt;0,CONCATENATE($H552:$L552)&lt;&gt;CONCATENATE($H553:$L553),$I552/POW(10,$J552)*MAXIFS(Token!$B:$B,Token!$A:$A,$K552)&gt;0.01),$L552/86400+DATE(1970,1,1)+IF($L552*1&gt;=$G$5,$G$6,0),)</f>
        <v/>
      </c>
      <c r="B552" s="22" t="str">
        <f t="shared" si="1"/>
        <v/>
      </c>
      <c r="C552" s="14" t="str">
        <f>IF($A552&lt;&gt;"",MINIFS(Merchant!$A:$A,Merchant!$B:$B,$G$2),)</f>
        <v/>
      </c>
      <c r="D552" s="14" t="str">
        <f t="shared" si="2"/>
        <v/>
      </c>
      <c r="E552" s="14" t="str">
        <f t="shared" si="3"/>
        <v/>
      </c>
      <c r="F552" s="6" t="str">
        <f>IF($A552&lt;&gt;"",MAXIFS(Token!$B:$B,Token!$A:$A,$D552),)</f>
        <v/>
      </c>
    </row>
    <row r="553">
      <c r="A553" s="35" t="str">
        <f>IF(AND($L553*1&gt;=$G$3,$L553*1&lt;=$G$4,$I553*$J553&gt;0,CONCATENATE($H553:$L553)&lt;&gt;CONCATENATE($H554:$L554),$I553/POW(10,$J553)*MAXIFS(Token!$B:$B,Token!$A:$A,$K553)&gt;0.01),$L553/86400+DATE(1970,1,1)+IF($L553*1&gt;=$G$5,$G$6,0),)</f>
        <v/>
      </c>
      <c r="B553" s="22" t="str">
        <f t="shared" si="1"/>
        <v/>
      </c>
      <c r="C553" s="14" t="str">
        <f>IF($A553&lt;&gt;"",MINIFS(Merchant!$A:$A,Merchant!$B:$B,$G$2),)</f>
        <v/>
      </c>
      <c r="D553" s="14" t="str">
        <f t="shared" si="2"/>
        <v/>
      </c>
      <c r="E553" s="14" t="str">
        <f t="shared" si="3"/>
        <v/>
      </c>
      <c r="F553" s="6" t="str">
        <f>IF($A553&lt;&gt;"",MAXIFS(Token!$B:$B,Token!$A:$A,$D553),)</f>
        <v/>
      </c>
    </row>
    <row r="554">
      <c r="A554" s="35" t="str">
        <f>IF(AND($L554*1&gt;=$G$3,$L554*1&lt;=$G$4,$I554*$J554&gt;0,CONCATENATE($H554:$L554)&lt;&gt;CONCATENATE($H555:$L555),$I554/POW(10,$J554)*MAXIFS(Token!$B:$B,Token!$A:$A,$K554)&gt;0.01),$L554/86400+DATE(1970,1,1)+IF($L554*1&gt;=$G$5,$G$6,0),)</f>
        <v/>
      </c>
      <c r="B554" s="22" t="str">
        <f t="shared" si="1"/>
        <v/>
      </c>
      <c r="C554" s="14" t="str">
        <f>IF($A554&lt;&gt;"",MINIFS(Merchant!$A:$A,Merchant!$B:$B,$G$2),)</f>
        <v/>
      </c>
      <c r="D554" s="14" t="str">
        <f t="shared" si="2"/>
        <v/>
      </c>
      <c r="E554" s="14" t="str">
        <f t="shared" si="3"/>
        <v/>
      </c>
      <c r="F554" s="6" t="str">
        <f>IF($A554&lt;&gt;"",MAXIFS(Token!$B:$B,Token!$A:$A,$D554),)</f>
        <v/>
      </c>
    </row>
    <row r="555">
      <c r="A555" s="35" t="str">
        <f>IF(AND($L555*1&gt;=$G$3,$L555*1&lt;=$G$4,$I555*$J555&gt;0,CONCATENATE($H555:$L555)&lt;&gt;CONCATENATE($H556:$L556),$I555/POW(10,$J555)*MAXIFS(Token!$B:$B,Token!$A:$A,$K555)&gt;0.01),$L555/86400+DATE(1970,1,1)+IF($L555*1&gt;=$G$5,$G$6,0),)</f>
        <v/>
      </c>
      <c r="B555" s="22" t="str">
        <f t="shared" si="1"/>
        <v/>
      </c>
      <c r="C555" s="14" t="str">
        <f>IF($A555&lt;&gt;"",MINIFS(Merchant!$A:$A,Merchant!$B:$B,$G$2),)</f>
        <v/>
      </c>
      <c r="D555" s="14" t="str">
        <f t="shared" si="2"/>
        <v/>
      </c>
      <c r="E555" s="14" t="str">
        <f t="shared" si="3"/>
        <v/>
      </c>
      <c r="F555" s="6" t="str">
        <f>IF($A555&lt;&gt;"",MAXIFS(Token!$B:$B,Token!$A:$A,$D555),)</f>
        <v/>
      </c>
    </row>
    <row r="556">
      <c r="A556" s="35" t="str">
        <f>IF(AND($L556*1&gt;=$G$3,$L556*1&lt;=$G$4,$I556*$J556&gt;0,CONCATENATE($H556:$L556)&lt;&gt;CONCATENATE($H557:$L557),$I556/POW(10,$J556)*MAXIFS(Token!$B:$B,Token!$A:$A,$K556)&gt;0.01),$L556/86400+DATE(1970,1,1)+IF($L556*1&gt;=$G$5,$G$6,0),)</f>
        <v/>
      </c>
      <c r="B556" s="22" t="str">
        <f t="shared" si="1"/>
        <v/>
      </c>
      <c r="C556" s="14" t="str">
        <f>IF($A556&lt;&gt;"",MINIFS(Merchant!$A:$A,Merchant!$B:$B,$G$2),)</f>
        <v/>
      </c>
      <c r="D556" s="14" t="str">
        <f t="shared" si="2"/>
        <v/>
      </c>
      <c r="E556" s="14" t="str">
        <f t="shared" si="3"/>
        <v/>
      </c>
      <c r="F556" s="6" t="str">
        <f>IF($A556&lt;&gt;"",MAXIFS(Token!$B:$B,Token!$A:$A,$D556),)</f>
        <v/>
      </c>
    </row>
    <row r="557">
      <c r="A557" s="35" t="str">
        <f>IF(AND($L557*1&gt;=$G$3,$L557*1&lt;=$G$4,$I557*$J557&gt;0,CONCATENATE($H557:$L557)&lt;&gt;CONCATENATE($H558:$L558),$I557/POW(10,$J557)*MAXIFS(Token!$B:$B,Token!$A:$A,$K557)&gt;0.01),$L557/86400+DATE(1970,1,1)+IF($L557*1&gt;=$G$5,$G$6,0),)</f>
        <v/>
      </c>
      <c r="B557" s="22" t="str">
        <f t="shared" si="1"/>
        <v/>
      </c>
      <c r="C557" s="14" t="str">
        <f>IF($A557&lt;&gt;"",MINIFS(Merchant!$A:$A,Merchant!$B:$B,$G$2),)</f>
        <v/>
      </c>
      <c r="D557" s="14" t="str">
        <f t="shared" si="2"/>
        <v/>
      </c>
      <c r="E557" s="14" t="str">
        <f t="shared" si="3"/>
        <v/>
      </c>
      <c r="F557" s="6" t="str">
        <f>IF($A557&lt;&gt;"",MAXIFS(Token!$B:$B,Token!$A:$A,$D557),)</f>
        <v/>
      </c>
    </row>
    <row r="558">
      <c r="A558" s="35" t="str">
        <f>IF(AND($L558*1&gt;=$G$3,$L558*1&lt;=$G$4,$I558*$J558&gt;0,CONCATENATE($H558:$L558)&lt;&gt;CONCATENATE($H559:$L559),$I558/POW(10,$J558)*MAXIFS(Token!$B:$B,Token!$A:$A,$K558)&gt;0.01),$L558/86400+DATE(1970,1,1)+IF($L558*1&gt;=$G$5,$G$6,0),)</f>
        <v/>
      </c>
      <c r="B558" s="22" t="str">
        <f t="shared" si="1"/>
        <v/>
      </c>
      <c r="C558" s="14" t="str">
        <f>IF($A558&lt;&gt;"",MINIFS(Merchant!$A:$A,Merchant!$B:$B,$G$2),)</f>
        <v/>
      </c>
      <c r="D558" s="14" t="str">
        <f t="shared" si="2"/>
        <v/>
      </c>
      <c r="E558" s="14" t="str">
        <f t="shared" si="3"/>
        <v/>
      </c>
      <c r="F558" s="6" t="str">
        <f>IF($A558&lt;&gt;"",MAXIFS(Token!$B:$B,Token!$A:$A,$D558),)</f>
        <v/>
      </c>
    </row>
    <row r="559">
      <c r="A559" s="35" t="str">
        <f>IF(AND($L559*1&gt;=$G$3,$L559*1&lt;=$G$4,$I559*$J559&gt;0,CONCATENATE($H559:$L559)&lt;&gt;CONCATENATE($H560:$L560),$I559/POW(10,$J559)*MAXIFS(Token!$B:$B,Token!$A:$A,$K559)&gt;0.01),$L559/86400+DATE(1970,1,1)+IF($L559*1&gt;=$G$5,$G$6,0),)</f>
        <v/>
      </c>
      <c r="B559" s="22" t="str">
        <f t="shared" si="1"/>
        <v/>
      </c>
      <c r="C559" s="14" t="str">
        <f>IF($A559&lt;&gt;"",MINIFS(Merchant!$A:$A,Merchant!$B:$B,$G$2),)</f>
        <v/>
      </c>
      <c r="D559" s="14" t="str">
        <f t="shared" si="2"/>
        <v/>
      </c>
      <c r="E559" s="14" t="str">
        <f t="shared" si="3"/>
        <v/>
      </c>
      <c r="F559" s="6" t="str">
        <f>IF($A559&lt;&gt;"",MAXIFS(Token!$B:$B,Token!$A:$A,$D559),)</f>
        <v/>
      </c>
    </row>
    <row r="560">
      <c r="A560" s="35" t="str">
        <f>IF(AND($L560*1&gt;=$G$3,$L560*1&lt;=$G$4,$I560*$J560&gt;0,CONCATENATE($H560:$L560)&lt;&gt;CONCATENATE($H561:$L561),$I560/POW(10,$J560)*MAXIFS(Token!$B:$B,Token!$A:$A,$K560)&gt;0.01),$L560/86400+DATE(1970,1,1)+IF($L560*1&gt;=$G$5,$G$6,0),)</f>
        <v/>
      </c>
      <c r="B560" s="22" t="str">
        <f t="shared" si="1"/>
        <v/>
      </c>
      <c r="C560" s="14" t="str">
        <f>IF($A560&lt;&gt;"",MINIFS(Merchant!$A:$A,Merchant!$B:$B,$G$2),)</f>
        <v/>
      </c>
      <c r="D560" s="14" t="str">
        <f t="shared" si="2"/>
        <v/>
      </c>
      <c r="E560" s="14" t="str">
        <f t="shared" si="3"/>
        <v/>
      </c>
      <c r="F560" s="6" t="str">
        <f>IF($A560&lt;&gt;"",MAXIFS(Token!$B:$B,Token!$A:$A,$D560),)</f>
        <v/>
      </c>
    </row>
    <row r="561">
      <c r="A561" s="35" t="str">
        <f>IF(AND($L561*1&gt;=$G$3,$L561*1&lt;=$G$4,$I561*$J561&gt;0,CONCATENATE($H561:$L561)&lt;&gt;CONCATENATE($H562:$L562),$I561/POW(10,$J561)*MAXIFS(Token!$B:$B,Token!$A:$A,$K561)&gt;0.01),$L561/86400+DATE(1970,1,1)+IF($L561*1&gt;=$G$5,$G$6,0),)</f>
        <v/>
      </c>
      <c r="B561" s="22" t="str">
        <f t="shared" si="1"/>
        <v/>
      </c>
      <c r="C561" s="14" t="str">
        <f>IF($A561&lt;&gt;"",MINIFS(Merchant!$A:$A,Merchant!$B:$B,$G$2),)</f>
        <v/>
      </c>
      <c r="D561" s="14" t="str">
        <f t="shared" si="2"/>
        <v/>
      </c>
      <c r="E561" s="14" t="str">
        <f t="shared" si="3"/>
        <v/>
      </c>
      <c r="F561" s="6" t="str">
        <f>IF($A561&lt;&gt;"",MAXIFS(Token!$B:$B,Token!$A:$A,$D561),)</f>
        <v/>
      </c>
    </row>
    <row r="562">
      <c r="A562" s="35" t="str">
        <f>IF(AND($L562*1&gt;=$G$3,$L562*1&lt;=$G$4,$I562*$J562&gt;0,CONCATENATE($H562:$L562)&lt;&gt;CONCATENATE($H563:$L563),$I562/POW(10,$J562)*MAXIFS(Token!$B:$B,Token!$A:$A,$K562)&gt;0.01),$L562/86400+DATE(1970,1,1)+IF($L562*1&gt;=$G$5,$G$6,0),)</f>
        <v/>
      </c>
      <c r="B562" s="22" t="str">
        <f t="shared" si="1"/>
        <v/>
      </c>
      <c r="C562" s="14" t="str">
        <f>IF($A562&lt;&gt;"",MINIFS(Merchant!$A:$A,Merchant!$B:$B,$G$2),)</f>
        <v/>
      </c>
      <c r="D562" s="14" t="str">
        <f t="shared" si="2"/>
        <v/>
      </c>
      <c r="E562" s="14" t="str">
        <f t="shared" si="3"/>
        <v/>
      </c>
      <c r="F562" s="6" t="str">
        <f>IF($A562&lt;&gt;"",MAXIFS(Token!$B:$B,Token!$A:$A,$D562),)</f>
        <v/>
      </c>
    </row>
    <row r="563">
      <c r="A563" s="35" t="str">
        <f>IF(AND($L563*1&gt;=$G$3,$L563*1&lt;=$G$4,$I563*$J563&gt;0,CONCATENATE($H563:$L563)&lt;&gt;CONCATENATE($H564:$L564),$I563/POW(10,$J563)*MAXIFS(Token!$B:$B,Token!$A:$A,$K563)&gt;0.01),$L563/86400+DATE(1970,1,1)+IF($L563*1&gt;=$G$5,$G$6,0),)</f>
        <v/>
      </c>
      <c r="B563" s="22" t="str">
        <f t="shared" si="1"/>
        <v/>
      </c>
      <c r="C563" s="14" t="str">
        <f>IF($A563&lt;&gt;"",MINIFS(Merchant!$A:$A,Merchant!$B:$B,$G$2),)</f>
        <v/>
      </c>
      <c r="D563" s="14" t="str">
        <f t="shared" si="2"/>
        <v/>
      </c>
      <c r="E563" s="14" t="str">
        <f t="shared" si="3"/>
        <v/>
      </c>
      <c r="F563" s="6" t="str">
        <f>IF($A563&lt;&gt;"",MAXIFS(Token!$B:$B,Token!$A:$A,$D563),)</f>
        <v/>
      </c>
    </row>
    <row r="564">
      <c r="A564" s="35" t="str">
        <f>IF(AND($L564*1&gt;=$G$3,$L564*1&lt;=$G$4,$I564*$J564&gt;0,CONCATENATE($H564:$L564)&lt;&gt;CONCATENATE($H565:$L565),$I564/POW(10,$J564)*MAXIFS(Token!$B:$B,Token!$A:$A,$K564)&gt;0.01),$L564/86400+DATE(1970,1,1)+IF($L564*1&gt;=$G$5,$G$6,0),)</f>
        <v/>
      </c>
      <c r="B564" s="22" t="str">
        <f t="shared" si="1"/>
        <v/>
      </c>
      <c r="C564" s="14" t="str">
        <f>IF($A564&lt;&gt;"",MINIFS(Merchant!$A:$A,Merchant!$B:$B,$G$2),)</f>
        <v/>
      </c>
      <c r="D564" s="14" t="str">
        <f t="shared" si="2"/>
        <v/>
      </c>
      <c r="E564" s="14" t="str">
        <f t="shared" si="3"/>
        <v/>
      </c>
      <c r="F564" s="6" t="str">
        <f>IF($A564&lt;&gt;"",MAXIFS(Token!$B:$B,Token!$A:$A,$D564),)</f>
        <v/>
      </c>
    </row>
    <row r="565">
      <c r="A565" s="35" t="str">
        <f>IF(AND($L565*1&gt;=$G$3,$L565*1&lt;=$G$4,$I565*$J565&gt;0,CONCATENATE($H565:$L565)&lt;&gt;CONCATENATE($H566:$L566),$I565/POW(10,$J565)*MAXIFS(Token!$B:$B,Token!$A:$A,$K565)&gt;0.01),$L565/86400+DATE(1970,1,1)+IF($L565*1&gt;=$G$5,$G$6,0),)</f>
        <v/>
      </c>
      <c r="B565" s="22" t="str">
        <f t="shared" si="1"/>
        <v/>
      </c>
      <c r="C565" s="14" t="str">
        <f>IF($A565&lt;&gt;"",MINIFS(Merchant!$A:$A,Merchant!$B:$B,$G$2),)</f>
        <v/>
      </c>
      <c r="D565" s="14" t="str">
        <f t="shared" si="2"/>
        <v/>
      </c>
      <c r="E565" s="14" t="str">
        <f t="shared" si="3"/>
        <v/>
      </c>
      <c r="F565" s="6" t="str">
        <f>IF($A565&lt;&gt;"",MAXIFS(Token!$B:$B,Token!$A:$A,$D565),)</f>
        <v/>
      </c>
    </row>
    <row r="566">
      <c r="A566" s="35" t="str">
        <f>IF(AND($L566*1&gt;=$G$3,$L566*1&lt;=$G$4,$I566*$J566&gt;0,CONCATENATE($H566:$L566)&lt;&gt;CONCATENATE($H567:$L567),$I566/POW(10,$J566)*MAXIFS(Token!$B:$B,Token!$A:$A,$K566)&gt;0.01),$L566/86400+DATE(1970,1,1)+IF($L566*1&gt;=$G$5,$G$6,0),)</f>
        <v/>
      </c>
      <c r="B566" s="22" t="str">
        <f t="shared" si="1"/>
        <v/>
      </c>
      <c r="C566" s="14" t="str">
        <f>IF($A566&lt;&gt;"",MINIFS(Merchant!$A:$A,Merchant!$B:$B,$G$2),)</f>
        <v/>
      </c>
      <c r="D566" s="14" t="str">
        <f t="shared" si="2"/>
        <v/>
      </c>
      <c r="E566" s="14" t="str">
        <f t="shared" si="3"/>
        <v/>
      </c>
      <c r="F566" s="6" t="str">
        <f>IF($A566&lt;&gt;"",MAXIFS(Token!$B:$B,Token!$A:$A,$D566),)</f>
        <v/>
      </c>
    </row>
    <row r="567">
      <c r="A567" s="35" t="str">
        <f>IF(AND($L567*1&gt;=$G$3,$L567*1&lt;=$G$4,$I567*$J567&gt;0,CONCATENATE($H567:$L567)&lt;&gt;CONCATENATE($H568:$L568),$I567/POW(10,$J567)*MAXIFS(Token!$B:$B,Token!$A:$A,$K567)&gt;0.01),$L567/86400+DATE(1970,1,1)+IF($L567*1&gt;=$G$5,$G$6,0),)</f>
        <v/>
      </c>
      <c r="B567" s="22" t="str">
        <f t="shared" si="1"/>
        <v/>
      </c>
      <c r="C567" s="14" t="str">
        <f>IF($A567&lt;&gt;"",MINIFS(Merchant!$A:$A,Merchant!$B:$B,$G$2),)</f>
        <v/>
      </c>
      <c r="D567" s="14" t="str">
        <f t="shared" si="2"/>
        <v/>
      </c>
      <c r="E567" s="14" t="str">
        <f t="shared" si="3"/>
        <v/>
      </c>
      <c r="F567" s="6" t="str">
        <f>IF($A567&lt;&gt;"",MAXIFS(Token!$B:$B,Token!$A:$A,$D567),)</f>
        <v/>
      </c>
    </row>
    <row r="568">
      <c r="A568" s="35" t="str">
        <f>IF(AND($L568*1&gt;=$G$3,$L568*1&lt;=$G$4,$I568*$J568&gt;0,CONCATENATE($H568:$L568)&lt;&gt;CONCATENATE($H569:$L569),$I568/POW(10,$J568)*MAXIFS(Token!$B:$B,Token!$A:$A,$K568)&gt;0.01),$L568/86400+DATE(1970,1,1)+IF($L568*1&gt;=$G$5,$G$6,0),)</f>
        <v/>
      </c>
      <c r="B568" s="22" t="str">
        <f t="shared" si="1"/>
        <v/>
      </c>
      <c r="C568" s="14" t="str">
        <f>IF($A568&lt;&gt;"",MINIFS(Merchant!$A:$A,Merchant!$B:$B,$G$2),)</f>
        <v/>
      </c>
      <c r="D568" s="14" t="str">
        <f t="shared" si="2"/>
        <v/>
      </c>
      <c r="E568" s="14" t="str">
        <f t="shared" si="3"/>
        <v/>
      </c>
      <c r="F568" s="6" t="str">
        <f>IF($A568&lt;&gt;"",MAXIFS(Token!$B:$B,Token!$A:$A,$D568),)</f>
        <v/>
      </c>
    </row>
    <row r="569">
      <c r="A569" s="35" t="str">
        <f>IF(AND($L569*1&gt;=$G$3,$L569*1&lt;=$G$4,$I569*$J569&gt;0,CONCATENATE($H569:$L569)&lt;&gt;CONCATENATE($H570:$L570),$I569/POW(10,$J569)*MAXIFS(Token!$B:$B,Token!$A:$A,$K569)&gt;0.01),$L569/86400+DATE(1970,1,1)+IF($L569*1&gt;=$G$5,$G$6,0),)</f>
        <v/>
      </c>
      <c r="B569" s="22" t="str">
        <f t="shared" si="1"/>
        <v/>
      </c>
      <c r="C569" s="14" t="str">
        <f>IF($A569&lt;&gt;"",MINIFS(Merchant!$A:$A,Merchant!$B:$B,$G$2),)</f>
        <v/>
      </c>
      <c r="D569" s="14" t="str">
        <f t="shared" si="2"/>
        <v/>
      </c>
      <c r="E569" s="14" t="str">
        <f t="shared" si="3"/>
        <v/>
      </c>
      <c r="F569" s="6" t="str">
        <f>IF($A569&lt;&gt;"",MAXIFS(Token!$B:$B,Token!$A:$A,$D569),)</f>
        <v/>
      </c>
    </row>
    <row r="570">
      <c r="A570" s="35" t="str">
        <f>IF(AND($L570*1&gt;=$G$3,$L570*1&lt;=$G$4,$I570*$J570&gt;0,CONCATENATE($H570:$L570)&lt;&gt;CONCATENATE($H571:$L571),$I570/POW(10,$J570)*MAXIFS(Token!$B:$B,Token!$A:$A,$K570)&gt;0.01),$L570/86400+DATE(1970,1,1)+IF($L570*1&gt;=$G$5,$G$6,0),)</f>
        <v/>
      </c>
      <c r="B570" s="22" t="str">
        <f t="shared" si="1"/>
        <v/>
      </c>
      <c r="C570" s="14" t="str">
        <f>IF($A570&lt;&gt;"",MINIFS(Merchant!$A:$A,Merchant!$B:$B,$G$2),)</f>
        <v/>
      </c>
      <c r="D570" s="14" t="str">
        <f t="shared" si="2"/>
        <v/>
      </c>
      <c r="E570" s="14" t="str">
        <f t="shared" si="3"/>
        <v/>
      </c>
      <c r="F570" s="6" t="str">
        <f>IF($A570&lt;&gt;"",MAXIFS(Token!$B:$B,Token!$A:$A,$D570),)</f>
        <v/>
      </c>
    </row>
    <row r="571">
      <c r="A571" s="35" t="str">
        <f>IF(AND($L571*1&gt;=$G$3,$L571*1&lt;=$G$4,$I571*$J571&gt;0,CONCATENATE($H571:$L571)&lt;&gt;CONCATENATE($H572:$L572),$I571/POW(10,$J571)*MAXIFS(Token!$B:$B,Token!$A:$A,$K571)&gt;0.01),$L571/86400+DATE(1970,1,1)+IF($L571*1&gt;=$G$5,$G$6,0),)</f>
        <v/>
      </c>
      <c r="B571" s="22" t="str">
        <f t="shared" si="1"/>
        <v/>
      </c>
      <c r="C571" s="14" t="str">
        <f>IF($A571&lt;&gt;"",MINIFS(Merchant!$A:$A,Merchant!$B:$B,$G$2),)</f>
        <v/>
      </c>
      <c r="D571" s="14" t="str">
        <f t="shared" si="2"/>
        <v/>
      </c>
      <c r="E571" s="14" t="str">
        <f t="shared" si="3"/>
        <v/>
      </c>
      <c r="F571" s="6" t="str">
        <f>IF($A571&lt;&gt;"",MAXIFS(Token!$B:$B,Token!$A:$A,$D571),)</f>
        <v/>
      </c>
    </row>
    <row r="572">
      <c r="A572" s="35" t="str">
        <f>IF(AND($L572*1&gt;=$G$3,$L572*1&lt;=$G$4,$I572*$J572&gt;0,CONCATENATE($H572:$L572)&lt;&gt;CONCATENATE($H573:$L573),$I572/POW(10,$J572)*MAXIFS(Token!$B:$B,Token!$A:$A,$K572)&gt;0.01),$L572/86400+DATE(1970,1,1)+IF($L572*1&gt;=$G$5,$G$6,0),)</f>
        <v/>
      </c>
      <c r="B572" s="22" t="str">
        <f t="shared" si="1"/>
        <v/>
      </c>
      <c r="C572" s="14" t="str">
        <f>IF($A572&lt;&gt;"",MINIFS(Merchant!$A:$A,Merchant!$B:$B,$G$2),)</f>
        <v/>
      </c>
      <c r="D572" s="14" t="str">
        <f t="shared" si="2"/>
        <v/>
      </c>
      <c r="E572" s="14" t="str">
        <f t="shared" si="3"/>
        <v/>
      </c>
      <c r="F572" s="6" t="str">
        <f>IF($A572&lt;&gt;"",MAXIFS(Token!$B:$B,Token!$A:$A,$D572),)</f>
        <v/>
      </c>
    </row>
    <row r="573">
      <c r="A573" s="35" t="str">
        <f>IF(AND($L573*1&gt;=$G$3,$L573*1&lt;=$G$4,$I573*$J573&gt;0,CONCATENATE($H573:$L573)&lt;&gt;CONCATENATE($H574:$L574),$I573/POW(10,$J573)*MAXIFS(Token!$B:$B,Token!$A:$A,$K573)&gt;0.01),$L573/86400+DATE(1970,1,1)+IF($L573*1&gt;=$G$5,$G$6,0),)</f>
        <v/>
      </c>
      <c r="B573" s="22" t="str">
        <f t="shared" si="1"/>
        <v/>
      </c>
      <c r="C573" s="14" t="str">
        <f>IF($A573&lt;&gt;"",MINIFS(Merchant!$A:$A,Merchant!$B:$B,$G$2),)</f>
        <v/>
      </c>
      <c r="D573" s="14" t="str">
        <f t="shared" si="2"/>
        <v/>
      </c>
      <c r="E573" s="14" t="str">
        <f t="shared" si="3"/>
        <v/>
      </c>
      <c r="F573" s="6" t="str">
        <f>IF($A573&lt;&gt;"",MAXIFS(Token!$B:$B,Token!$A:$A,$D573),)</f>
        <v/>
      </c>
    </row>
    <row r="574">
      <c r="A574" s="35" t="str">
        <f>IF(AND($L574*1&gt;=$G$3,$L574*1&lt;=$G$4,$I574*$J574&gt;0,CONCATENATE($H574:$L574)&lt;&gt;CONCATENATE($H575:$L575),$I574/POW(10,$J574)*MAXIFS(Token!$B:$B,Token!$A:$A,$K574)&gt;0.01),$L574/86400+DATE(1970,1,1)+IF($L574*1&gt;=$G$5,$G$6,0),)</f>
        <v/>
      </c>
      <c r="B574" s="22" t="str">
        <f t="shared" si="1"/>
        <v/>
      </c>
      <c r="C574" s="14" t="str">
        <f>IF($A574&lt;&gt;"",MINIFS(Merchant!$A:$A,Merchant!$B:$B,$G$2),)</f>
        <v/>
      </c>
      <c r="D574" s="14" t="str">
        <f t="shared" si="2"/>
        <v/>
      </c>
      <c r="E574" s="14" t="str">
        <f t="shared" si="3"/>
        <v/>
      </c>
      <c r="F574" s="6" t="str">
        <f>IF($A574&lt;&gt;"",MAXIFS(Token!$B:$B,Token!$A:$A,$D574),)</f>
        <v/>
      </c>
    </row>
    <row r="575">
      <c r="A575" s="35" t="str">
        <f>IF(AND($L575*1&gt;=$G$3,$L575*1&lt;=$G$4,$I575*$J575&gt;0,CONCATENATE($H575:$L575)&lt;&gt;CONCATENATE($H576:$L576),$I575/POW(10,$J575)*MAXIFS(Token!$B:$B,Token!$A:$A,$K575)&gt;0.01),$L575/86400+DATE(1970,1,1)+IF($L575*1&gt;=$G$5,$G$6,0),)</f>
        <v/>
      </c>
      <c r="B575" s="22" t="str">
        <f t="shared" si="1"/>
        <v/>
      </c>
      <c r="C575" s="14" t="str">
        <f>IF($A575&lt;&gt;"",MINIFS(Merchant!$A:$A,Merchant!$B:$B,$G$2),)</f>
        <v/>
      </c>
      <c r="D575" s="14" t="str">
        <f t="shared" si="2"/>
        <v/>
      </c>
      <c r="E575" s="14" t="str">
        <f t="shared" si="3"/>
        <v/>
      </c>
      <c r="F575" s="6" t="str">
        <f>IF($A575&lt;&gt;"",MAXIFS(Token!$B:$B,Token!$A:$A,$D575),)</f>
        <v/>
      </c>
    </row>
    <row r="576">
      <c r="A576" s="35" t="str">
        <f>IF(AND($L576*1&gt;=$G$3,$L576*1&lt;=$G$4,$I576*$J576&gt;0,CONCATENATE($H576:$L576)&lt;&gt;CONCATENATE($H577:$L577),$I576/POW(10,$J576)*MAXIFS(Token!$B:$B,Token!$A:$A,$K576)&gt;0.01),$L576/86400+DATE(1970,1,1)+IF($L576*1&gt;=$G$5,$G$6,0),)</f>
        <v/>
      </c>
      <c r="B576" s="22" t="str">
        <f t="shared" si="1"/>
        <v/>
      </c>
      <c r="C576" s="14" t="str">
        <f>IF($A576&lt;&gt;"",MINIFS(Merchant!$A:$A,Merchant!$B:$B,$G$2),)</f>
        <v/>
      </c>
      <c r="D576" s="14" t="str">
        <f t="shared" si="2"/>
        <v/>
      </c>
      <c r="E576" s="14" t="str">
        <f t="shared" si="3"/>
        <v/>
      </c>
      <c r="F576" s="6" t="str">
        <f>IF($A576&lt;&gt;"",MAXIFS(Token!$B:$B,Token!$A:$A,$D576),)</f>
        <v/>
      </c>
    </row>
    <row r="577">
      <c r="A577" s="35" t="str">
        <f>IF(AND($L577*1&gt;=$G$3,$L577*1&lt;=$G$4,$I577*$J577&gt;0,CONCATENATE($H577:$L577)&lt;&gt;CONCATENATE($H578:$L578),$I577/POW(10,$J577)*MAXIFS(Token!$B:$B,Token!$A:$A,$K577)&gt;0.01),$L577/86400+DATE(1970,1,1)+IF($L577*1&gt;=$G$5,$G$6,0),)</f>
        <v/>
      </c>
      <c r="B577" s="22" t="str">
        <f t="shared" si="1"/>
        <v/>
      </c>
      <c r="C577" s="14" t="str">
        <f>IF($A577&lt;&gt;"",MINIFS(Merchant!$A:$A,Merchant!$B:$B,$G$2),)</f>
        <v/>
      </c>
      <c r="D577" s="14" t="str">
        <f t="shared" si="2"/>
        <v/>
      </c>
      <c r="E577" s="14" t="str">
        <f t="shared" si="3"/>
        <v/>
      </c>
      <c r="F577" s="6" t="str">
        <f>IF($A577&lt;&gt;"",MAXIFS(Token!$B:$B,Token!$A:$A,$D577),)</f>
        <v/>
      </c>
    </row>
    <row r="578">
      <c r="A578" s="35" t="str">
        <f>IF(AND($L578*1&gt;=$G$3,$L578*1&lt;=$G$4,$I578*$J578&gt;0,CONCATENATE($H578:$L578)&lt;&gt;CONCATENATE($H579:$L579),$I578/POW(10,$J578)*MAXIFS(Token!$B:$B,Token!$A:$A,$K578)&gt;0.01),$L578/86400+DATE(1970,1,1)+IF($L578*1&gt;=$G$5,$G$6,0),)</f>
        <v/>
      </c>
      <c r="B578" s="22" t="str">
        <f t="shared" si="1"/>
        <v/>
      </c>
      <c r="C578" s="14" t="str">
        <f>IF($A578&lt;&gt;"",MINIFS(Merchant!$A:$A,Merchant!$B:$B,$G$2),)</f>
        <v/>
      </c>
      <c r="D578" s="14" t="str">
        <f t="shared" si="2"/>
        <v/>
      </c>
      <c r="E578" s="14" t="str">
        <f t="shared" si="3"/>
        <v/>
      </c>
      <c r="F578" s="6" t="str">
        <f>IF($A578&lt;&gt;"",MAXIFS(Token!$B:$B,Token!$A:$A,$D578),)</f>
        <v/>
      </c>
    </row>
    <row r="579">
      <c r="A579" s="35" t="str">
        <f>IF(AND($L579*1&gt;=$G$3,$L579*1&lt;=$G$4,$I579*$J579&gt;0,CONCATENATE($H579:$L579)&lt;&gt;CONCATENATE($H580:$L580),$I579/POW(10,$J579)*MAXIFS(Token!$B:$B,Token!$A:$A,$K579)&gt;0.01),$L579/86400+DATE(1970,1,1)+IF($L579*1&gt;=$G$5,$G$6,0),)</f>
        <v/>
      </c>
      <c r="B579" s="22" t="str">
        <f t="shared" si="1"/>
        <v/>
      </c>
      <c r="C579" s="14" t="str">
        <f>IF($A579&lt;&gt;"",MINIFS(Merchant!$A:$A,Merchant!$B:$B,$G$2),)</f>
        <v/>
      </c>
      <c r="D579" s="14" t="str">
        <f t="shared" si="2"/>
        <v/>
      </c>
      <c r="E579" s="14" t="str">
        <f t="shared" si="3"/>
        <v/>
      </c>
      <c r="F579" s="6" t="str">
        <f>IF($A579&lt;&gt;"",MAXIFS(Token!$B:$B,Token!$A:$A,$D579),)</f>
        <v/>
      </c>
    </row>
    <row r="580">
      <c r="A580" s="35" t="str">
        <f>IF(AND($L580*1&gt;=$G$3,$L580*1&lt;=$G$4,$I580*$J580&gt;0,CONCATENATE($H580:$L580)&lt;&gt;CONCATENATE($H581:$L581),$I580/POW(10,$J580)*MAXIFS(Token!$B:$B,Token!$A:$A,$K580)&gt;0.01),$L580/86400+DATE(1970,1,1)+IF($L580*1&gt;=$G$5,$G$6,0),)</f>
        <v/>
      </c>
      <c r="B580" s="22" t="str">
        <f t="shared" si="1"/>
        <v/>
      </c>
      <c r="C580" s="14" t="str">
        <f>IF($A580&lt;&gt;"",MINIFS(Merchant!$A:$A,Merchant!$B:$B,$G$2),)</f>
        <v/>
      </c>
      <c r="D580" s="14" t="str">
        <f t="shared" si="2"/>
        <v/>
      </c>
      <c r="E580" s="14" t="str">
        <f t="shared" si="3"/>
        <v/>
      </c>
      <c r="F580" s="6" t="str">
        <f>IF($A580&lt;&gt;"",MAXIFS(Token!$B:$B,Token!$A:$A,$D580),)</f>
        <v/>
      </c>
    </row>
    <row r="581">
      <c r="A581" s="35" t="str">
        <f>IF(AND($L581*1&gt;=$G$3,$L581*1&lt;=$G$4,$I581*$J581&gt;0,CONCATENATE($H581:$L581)&lt;&gt;CONCATENATE($H582:$L582),$I581/POW(10,$J581)*MAXIFS(Token!$B:$B,Token!$A:$A,$K581)&gt;0.01),$L581/86400+DATE(1970,1,1)+IF($L581*1&gt;=$G$5,$G$6,0),)</f>
        <v/>
      </c>
      <c r="B581" s="22" t="str">
        <f t="shared" si="1"/>
        <v/>
      </c>
      <c r="C581" s="14" t="str">
        <f>IF($A581&lt;&gt;"",MINIFS(Merchant!$A:$A,Merchant!$B:$B,$G$2),)</f>
        <v/>
      </c>
      <c r="D581" s="14" t="str">
        <f t="shared" si="2"/>
        <v/>
      </c>
      <c r="E581" s="14" t="str">
        <f t="shared" si="3"/>
        <v/>
      </c>
      <c r="F581" s="6" t="str">
        <f>IF($A581&lt;&gt;"",MAXIFS(Token!$B:$B,Token!$A:$A,$D581),)</f>
        <v/>
      </c>
    </row>
    <row r="582">
      <c r="A582" s="35" t="str">
        <f>IF(AND($L582*1&gt;=$G$3,$L582*1&lt;=$G$4,$I582*$J582&gt;0,CONCATENATE($H582:$L582)&lt;&gt;CONCATENATE($H583:$L583),$I582/POW(10,$J582)*MAXIFS(Token!$B:$B,Token!$A:$A,$K582)&gt;0.01),$L582/86400+DATE(1970,1,1)+IF($L582*1&gt;=$G$5,$G$6,0),)</f>
        <v/>
      </c>
      <c r="B582" s="22" t="str">
        <f t="shared" si="1"/>
        <v/>
      </c>
      <c r="C582" s="14" t="str">
        <f>IF($A582&lt;&gt;"",MINIFS(Merchant!$A:$A,Merchant!$B:$B,$G$2),)</f>
        <v/>
      </c>
      <c r="D582" s="14" t="str">
        <f t="shared" si="2"/>
        <v/>
      </c>
      <c r="E582" s="14" t="str">
        <f t="shared" si="3"/>
        <v/>
      </c>
      <c r="F582" s="6" t="str">
        <f>IF($A582&lt;&gt;"",MAXIFS(Token!$B:$B,Token!$A:$A,$D582),)</f>
        <v/>
      </c>
    </row>
    <row r="583">
      <c r="A583" s="35" t="str">
        <f>IF(AND($L583*1&gt;=$G$3,$L583*1&lt;=$G$4,$I583*$J583&gt;0,CONCATENATE($H583:$L583)&lt;&gt;CONCATENATE($H584:$L584),$I583/POW(10,$J583)*MAXIFS(Token!$B:$B,Token!$A:$A,$K583)&gt;0.01),$L583/86400+DATE(1970,1,1)+IF($L583*1&gt;=$G$5,$G$6,0),)</f>
        <v/>
      </c>
      <c r="B583" s="22" t="str">
        <f t="shared" si="1"/>
        <v/>
      </c>
      <c r="C583" s="14" t="str">
        <f>IF($A583&lt;&gt;"",MINIFS(Merchant!$A:$A,Merchant!$B:$B,$G$2),)</f>
        <v/>
      </c>
      <c r="D583" s="14" t="str">
        <f t="shared" si="2"/>
        <v/>
      </c>
      <c r="E583" s="14" t="str">
        <f t="shared" si="3"/>
        <v/>
      </c>
      <c r="F583" s="6" t="str">
        <f>IF($A583&lt;&gt;"",MAXIFS(Token!$B:$B,Token!$A:$A,$D583),)</f>
        <v/>
      </c>
    </row>
    <row r="584">
      <c r="A584" s="35" t="str">
        <f>IF(AND($L584*1&gt;=$G$3,$L584*1&lt;=$G$4,$I584*$J584&gt;0,CONCATENATE($H584:$L584)&lt;&gt;CONCATENATE($H585:$L585),$I584/POW(10,$J584)*MAXIFS(Token!$B:$B,Token!$A:$A,$K584)&gt;0.01),$L584/86400+DATE(1970,1,1)+IF($L584*1&gt;=$G$5,$G$6,0),)</f>
        <v/>
      </c>
      <c r="B584" s="22" t="str">
        <f t="shared" si="1"/>
        <v/>
      </c>
      <c r="C584" s="14" t="str">
        <f>IF($A584&lt;&gt;"",MINIFS(Merchant!$A:$A,Merchant!$B:$B,$G$2),)</f>
        <v/>
      </c>
      <c r="D584" s="14" t="str">
        <f t="shared" si="2"/>
        <v/>
      </c>
      <c r="E584" s="14" t="str">
        <f t="shared" si="3"/>
        <v/>
      </c>
      <c r="F584" s="6" t="str">
        <f>IF($A584&lt;&gt;"",MAXIFS(Token!$B:$B,Token!$A:$A,$D584),)</f>
        <v/>
      </c>
    </row>
    <row r="585">
      <c r="A585" s="35" t="str">
        <f>IF(AND($L585*1&gt;=$G$3,$L585*1&lt;=$G$4,$I585*$J585&gt;0,CONCATENATE($H585:$L585)&lt;&gt;CONCATENATE($H586:$L586),$I585/POW(10,$J585)*MAXIFS(Token!$B:$B,Token!$A:$A,$K585)&gt;0.01),$L585/86400+DATE(1970,1,1)+IF($L585*1&gt;=$G$5,$G$6,0),)</f>
        <v/>
      </c>
      <c r="B585" s="22" t="str">
        <f t="shared" si="1"/>
        <v/>
      </c>
      <c r="C585" s="14" t="str">
        <f>IF($A585&lt;&gt;"",MINIFS(Merchant!$A:$A,Merchant!$B:$B,$G$2),)</f>
        <v/>
      </c>
      <c r="D585" s="14" t="str">
        <f t="shared" si="2"/>
        <v/>
      </c>
      <c r="E585" s="14" t="str">
        <f t="shared" si="3"/>
        <v/>
      </c>
      <c r="F585" s="6" t="str">
        <f>IF($A585&lt;&gt;"",MAXIFS(Token!$B:$B,Token!$A:$A,$D585),)</f>
        <v/>
      </c>
    </row>
    <row r="586">
      <c r="A586" s="35" t="str">
        <f>IF(AND($L586*1&gt;=$G$3,$L586*1&lt;=$G$4,$I586*$J586&gt;0,CONCATENATE($H586:$L586)&lt;&gt;CONCATENATE($H587:$L587),$I586/POW(10,$J586)*MAXIFS(Token!$B:$B,Token!$A:$A,$K586)&gt;0.01),$L586/86400+DATE(1970,1,1)+IF($L586*1&gt;=$G$5,$G$6,0),)</f>
        <v/>
      </c>
      <c r="B586" s="22" t="str">
        <f t="shared" si="1"/>
        <v/>
      </c>
      <c r="C586" s="14" t="str">
        <f>IF($A586&lt;&gt;"",MINIFS(Merchant!$A:$A,Merchant!$B:$B,$G$2),)</f>
        <v/>
      </c>
      <c r="D586" s="14" t="str">
        <f t="shared" si="2"/>
        <v/>
      </c>
      <c r="E586" s="14" t="str">
        <f t="shared" si="3"/>
        <v/>
      </c>
      <c r="F586" s="6" t="str">
        <f>IF($A586&lt;&gt;"",MAXIFS(Token!$B:$B,Token!$A:$A,$D586),)</f>
        <v/>
      </c>
    </row>
    <row r="587">
      <c r="A587" s="35" t="str">
        <f>IF(AND($L587*1&gt;=$G$3,$L587*1&lt;=$G$4,$I587*$J587&gt;0,CONCATENATE($H587:$L587)&lt;&gt;CONCATENATE($H588:$L588),$I587/POW(10,$J587)*MAXIFS(Token!$B:$B,Token!$A:$A,$K587)&gt;0.01),$L587/86400+DATE(1970,1,1)+IF($L587*1&gt;=$G$5,$G$6,0),)</f>
        <v/>
      </c>
      <c r="B587" s="22" t="str">
        <f t="shared" si="1"/>
        <v/>
      </c>
      <c r="C587" s="14" t="str">
        <f>IF($A587&lt;&gt;"",MINIFS(Merchant!$A:$A,Merchant!$B:$B,$G$2),)</f>
        <v/>
      </c>
      <c r="D587" s="14" t="str">
        <f t="shared" si="2"/>
        <v/>
      </c>
      <c r="E587" s="14" t="str">
        <f t="shared" si="3"/>
        <v/>
      </c>
      <c r="F587" s="6" t="str">
        <f>IF($A587&lt;&gt;"",MAXIFS(Token!$B:$B,Token!$A:$A,$D587),)</f>
        <v/>
      </c>
    </row>
    <row r="588">
      <c r="A588" s="35" t="str">
        <f>IF(AND($L588*1&gt;=$G$3,$L588*1&lt;=$G$4,$I588*$J588&gt;0,CONCATENATE($H588:$L588)&lt;&gt;CONCATENATE($H589:$L589),$I588/POW(10,$J588)*MAXIFS(Token!$B:$B,Token!$A:$A,$K588)&gt;0.01),$L588/86400+DATE(1970,1,1)+IF($L588*1&gt;=$G$5,$G$6,0),)</f>
        <v/>
      </c>
      <c r="B588" s="22" t="str">
        <f t="shared" si="1"/>
        <v/>
      </c>
      <c r="C588" s="14" t="str">
        <f>IF($A588&lt;&gt;"",MINIFS(Merchant!$A:$A,Merchant!$B:$B,$G$2),)</f>
        <v/>
      </c>
      <c r="D588" s="14" t="str">
        <f t="shared" si="2"/>
        <v/>
      </c>
      <c r="E588" s="14" t="str">
        <f t="shared" si="3"/>
        <v/>
      </c>
      <c r="F588" s="6" t="str">
        <f>IF($A588&lt;&gt;"",MAXIFS(Token!$B:$B,Token!$A:$A,$D588),)</f>
        <v/>
      </c>
    </row>
    <row r="589">
      <c r="A589" s="35" t="str">
        <f>IF(AND($L589*1&gt;=$G$3,$L589*1&lt;=$G$4,$I589*$J589&gt;0,CONCATENATE($H589:$L589)&lt;&gt;CONCATENATE($H590:$L590),$I589/POW(10,$J589)*MAXIFS(Token!$B:$B,Token!$A:$A,$K589)&gt;0.01),$L589/86400+DATE(1970,1,1)+IF($L589*1&gt;=$G$5,$G$6,0),)</f>
        <v/>
      </c>
      <c r="B589" s="22" t="str">
        <f t="shared" si="1"/>
        <v/>
      </c>
      <c r="C589" s="14" t="str">
        <f>IF($A589&lt;&gt;"",MINIFS(Merchant!$A:$A,Merchant!$B:$B,$G$2),)</f>
        <v/>
      </c>
      <c r="D589" s="14" t="str">
        <f t="shared" si="2"/>
        <v/>
      </c>
      <c r="E589" s="14" t="str">
        <f t="shared" si="3"/>
        <v/>
      </c>
      <c r="F589" s="6" t="str">
        <f>IF($A589&lt;&gt;"",MAXIFS(Token!$B:$B,Token!$A:$A,$D589),)</f>
        <v/>
      </c>
    </row>
    <row r="590">
      <c r="A590" s="35" t="str">
        <f>IF(AND($L590*1&gt;=$G$3,$L590*1&lt;=$G$4,$I590*$J590&gt;0,CONCATENATE($H590:$L590)&lt;&gt;CONCATENATE($H591:$L591),$I590/POW(10,$J590)*MAXIFS(Token!$B:$B,Token!$A:$A,$K590)&gt;0.01),$L590/86400+DATE(1970,1,1)+IF($L590*1&gt;=$G$5,$G$6,0),)</f>
        <v/>
      </c>
      <c r="B590" s="22" t="str">
        <f t="shared" si="1"/>
        <v/>
      </c>
      <c r="C590" s="14" t="str">
        <f>IF($A590&lt;&gt;"",MINIFS(Merchant!$A:$A,Merchant!$B:$B,$G$2),)</f>
        <v/>
      </c>
      <c r="D590" s="14" t="str">
        <f t="shared" si="2"/>
        <v/>
      </c>
      <c r="E590" s="14" t="str">
        <f t="shared" si="3"/>
        <v/>
      </c>
      <c r="F590" s="6" t="str">
        <f>IF($A590&lt;&gt;"",MAXIFS(Token!$B:$B,Token!$A:$A,$D590),)</f>
        <v/>
      </c>
    </row>
    <row r="591">
      <c r="A591" s="35" t="str">
        <f>IF(AND($L591*1&gt;=$G$3,$L591*1&lt;=$G$4,$I591*$J591&gt;0,CONCATENATE($H591:$L591)&lt;&gt;CONCATENATE($H592:$L592),$I591/POW(10,$J591)*MAXIFS(Token!$B:$B,Token!$A:$A,$K591)&gt;0.01),$L591/86400+DATE(1970,1,1)+IF($L591*1&gt;=$G$5,$G$6,0),)</f>
        <v/>
      </c>
      <c r="B591" s="22" t="str">
        <f t="shared" si="1"/>
        <v/>
      </c>
      <c r="C591" s="14" t="str">
        <f>IF($A591&lt;&gt;"",MINIFS(Merchant!$A:$A,Merchant!$B:$B,$G$2),)</f>
        <v/>
      </c>
      <c r="D591" s="14" t="str">
        <f t="shared" si="2"/>
        <v/>
      </c>
      <c r="E591" s="14" t="str">
        <f t="shared" si="3"/>
        <v/>
      </c>
      <c r="F591" s="6" t="str">
        <f>IF($A591&lt;&gt;"",MAXIFS(Token!$B:$B,Token!$A:$A,$D591),)</f>
        <v/>
      </c>
    </row>
    <row r="592">
      <c r="A592" s="35" t="str">
        <f>IF(AND($L592*1&gt;=$G$3,$L592*1&lt;=$G$4,$I592*$J592&gt;0,CONCATENATE($H592:$L592)&lt;&gt;CONCATENATE($H593:$L593),$I592/POW(10,$J592)*MAXIFS(Token!$B:$B,Token!$A:$A,$K592)&gt;0.01),$L592/86400+DATE(1970,1,1)+IF($L592*1&gt;=$G$5,$G$6,0),)</f>
        <v/>
      </c>
      <c r="B592" s="22" t="str">
        <f t="shared" si="1"/>
        <v/>
      </c>
      <c r="C592" s="14" t="str">
        <f>IF($A592&lt;&gt;"",MINIFS(Merchant!$A:$A,Merchant!$B:$B,$G$2),)</f>
        <v/>
      </c>
      <c r="D592" s="14" t="str">
        <f t="shared" si="2"/>
        <v/>
      </c>
      <c r="E592" s="14" t="str">
        <f t="shared" si="3"/>
        <v/>
      </c>
      <c r="F592" s="6" t="str">
        <f>IF($A592&lt;&gt;"",MAXIFS(Token!$B:$B,Token!$A:$A,$D592),)</f>
        <v/>
      </c>
    </row>
    <row r="593">
      <c r="A593" s="35" t="str">
        <f>IF(AND($L593*1&gt;=$G$3,$L593*1&lt;=$G$4,$I593*$J593&gt;0,CONCATENATE($H593:$L593)&lt;&gt;CONCATENATE($H594:$L594),$I593/POW(10,$J593)*MAXIFS(Token!$B:$B,Token!$A:$A,$K593)&gt;0.01),$L593/86400+DATE(1970,1,1)+IF($L593*1&gt;=$G$5,$G$6,0),)</f>
        <v/>
      </c>
      <c r="B593" s="22" t="str">
        <f t="shared" si="1"/>
        <v/>
      </c>
      <c r="C593" s="14" t="str">
        <f>IF($A593&lt;&gt;"",MINIFS(Merchant!$A:$A,Merchant!$B:$B,$G$2),)</f>
        <v/>
      </c>
      <c r="D593" s="14" t="str">
        <f t="shared" si="2"/>
        <v/>
      </c>
      <c r="E593" s="14" t="str">
        <f t="shared" si="3"/>
        <v/>
      </c>
      <c r="F593" s="6" t="str">
        <f>IF($A593&lt;&gt;"",MAXIFS(Token!$B:$B,Token!$A:$A,$D593),)</f>
        <v/>
      </c>
    </row>
    <row r="594">
      <c r="A594" s="35" t="str">
        <f>IF(AND($L594*1&gt;=$G$3,$L594*1&lt;=$G$4,$I594*$J594&gt;0,CONCATENATE($H594:$L594)&lt;&gt;CONCATENATE($H595:$L595),$I594/POW(10,$J594)*MAXIFS(Token!$B:$B,Token!$A:$A,$K594)&gt;0.01),$L594/86400+DATE(1970,1,1)+IF($L594*1&gt;=$G$5,$G$6,0),)</f>
        <v/>
      </c>
      <c r="B594" s="22" t="str">
        <f t="shared" si="1"/>
        <v/>
      </c>
      <c r="C594" s="14" t="str">
        <f>IF($A594&lt;&gt;"",MINIFS(Merchant!$A:$A,Merchant!$B:$B,$G$2),)</f>
        <v/>
      </c>
      <c r="D594" s="14" t="str">
        <f t="shared" si="2"/>
        <v/>
      </c>
      <c r="E594" s="14" t="str">
        <f t="shared" si="3"/>
        <v/>
      </c>
      <c r="F594" s="6" t="str">
        <f>IF($A594&lt;&gt;"",MAXIFS(Token!$B:$B,Token!$A:$A,$D594),)</f>
        <v/>
      </c>
    </row>
    <row r="595">
      <c r="A595" s="35" t="str">
        <f>IF(AND($L595*1&gt;=$G$3,$L595*1&lt;=$G$4,$I595*$J595&gt;0,CONCATENATE($H595:$L595)&lt;&gt;CONCATENATE($H596:$L596),$I595/POW(10,$J595)*MAXIFS(Token!$B:$B,Token!$A:$A,$K595)&gt;0.01),$L595/86400+DATE(1970,1,1)+IF($L595*1&gt;=$G$5,$G$6,0),)</f>
        <v/>
      </c>
      <c r="B595" s="22" t="str">
        <f t="shared" si="1"/>
        <v/>
      </c>
      <c r="C595" s="14" t="str">
        <f>IF($A595&lt;&gt;"",MINIFS(Merchant!$A:$A,Merchant!$B:$B,$G$2),)</f>
        <v/>
      </c>
      <c r="D595" s="14" t="str">
        <f t="shared" si="2"/>
        <v/>
      </c>
      <c r="E595" s="14" t="str">
        <f t="shared" si="3"/>
        <v/>
      </c>
      <c r="F595" s="6" t="str">
        <f>IF($A595&lt;&gt;"",MAXIFS(Token!$B:$B,Token!$A:$A,$D595),)</f>
        <v/>
      </c>
    </row>
    <row r="596">
      <c r="A596" s="35" t="str">
        <f>IF(AND($L596*1&gt;=$G$3,$L596*1&lt;=$G$4,$I596*$J596&gt;0,CONCATENATE($H596:$L596)&lt;&gt;CONCATENATE($H597:$L597),$I596/POW(10,$J596)*MAXIFS(Token!$B:$B,Token!$A:$A,$K596)&gt;0.01),$L596/86400+DATE(1970,1,1)+IF($L596*1&gt;=$G$5,$G$6,0),)</f>
        <v/>
      </c>
      <c r="B596" s="22" t="str">
        <f t="shared" si="1"/>
        <v/>
      </c>
      <c r="C596" s="14" t="str">
        <f>IF($A596&lt;&gt;"",MINIFS(Merchant!$A:$A,Merchant!$B:$B,$G$2),)</f>
        <v/>
      </c>
      <c r="D596" s="14" t="str">
        <f t="shared" si="2"/>
        <v/>
      </c>
      <c r="E596" s="14" t="str">
        <f t="shared" si="3"/>
        <v/>
      </c>
      <c r="F596" s="6" t="str">
        <f>IF($A596&lt;&gt;"",MAXIFS(Token!$B:$B,Token!$A:$A,$D596),)</f>
        <v/>
      </c>
    </row>
    <row r="597">
      <c r="A597" s="35" t="str">
        <f>IF(AND($L597*1&gt;=$G$3,$L597*1&lt;=$G$4,$I597*$J597&gt;0,CONCATENATE($H597:$L597)&lt;&gt;CONCATENATE($H598:$L598),$I597/POW(10,$J597)*MAXIFS(Token!$B:$B,Token!$A:$A,$K597)&gt;0.01),$L597/86400+DATE(1970,1,1)+IF($L597*1&gt;=$G$5,$G$6,0),)</f>
        <v/>
      </c>
      <c r="B597" s="22" t="str">
        <f t="shared" si="1"/>
        <v/>
      </c>
      <c r="C597" s="14" t="str">
        <f>IF($A597&lt;&gt;"",MINIFS(Merchant!$A:$A,Merchant!$B:$B,$G$2),)</f>
        <v/>
      </c>
      <c r="D597" s="14" t="str">
        <f t="shared" si="2"/>
        <v/>
      </c>
      <c r="E597" s="14" t="str">
        <f t="shared" si="3"/>
        <v/>
      </c>
      <c r="F597" s="6" t="str">
        <f>IF($A597&lt;&gt;"",MAXIFS(Token!$B:$B,Token!$A:$A,$D597),)</f>
        <v/>
      </c>
    </row>
    <row r="598">
      <c r="A598" s="35" t="str">
        <f>IF(AND($L598*1&gt;=$G$3,$L598*1&lt;=$G$4,$I598*$J598&gt;0,CONCATENATE($H598:$L598)&lt;&gt;CONCATENATE($H599:$L599),$I598/POW(10,$J598)*MAXIFS(Token!$B:$B,Token!$A:$A,$K598)&gt;0.01),$L598/86400+DATE(1970,1,1)+IF($L598*1&gt;=$G$5,$G$6,0),)</f>
        <v/>
      </c>
      <c r="B598" s="22" t="str">
        <f t="shared" si="1"/>
        <v/>
      </c>
      <c r="C598" s="14" t="str">
        <f>IF($A598&lt;&gt;"",MINIFS(Merchant!$A:$A,Merchant!$B:$B,$G$2),)</f>
        <v/>
      </c>
      <c r="D598" s="14" t="str">
        <f t="shared" si="2"/>
        <v/>
      </c>
      <c r="E598" s="14" t="str">
        <f t="shared" si="3"/>
        <v/>
      </c>
      <c r="F598" s="6" t="str">
        <f>IF($A598&lt;&gt;"",MAXIFS(Token!$B:$B,Token!$A:$A,$D598),)</f>
        <v/>
      </c>
    </row>
    <row r="599">
      <c r="A599" s="35" t="str">
        <f>IF(AND($L599*1&gt;=$G$3,$L599*1&lt;=$G$4,$I599*$J599&gt;0,CONCATENATE($H599:$L599)&lt;&gt;CONCATENATE($H600:$L600),$I599/POW(10,$J599)*MAXIFS(Token!$B:$B,Token!$A:$A,$K599)&gt;0.01),$L599/86400+DATE(1970,1,1)+IF($L599*1&gt;=$G$5,$G$6,0),)</f>
        <v/>
      </c>
      <c r="B599" s="22" t="str">
        <f t="shared" si="1"/>
        <v/>
      </c>
      <c r="C599" s="14" t="str">
        <f>IF($A599&lt;&gt;"",MINIFS(Merchant!$A:$A,Merchant!$B:$B,$G$2),)</f>
        <v/>
      </c>
      <c r="D599" s="14" t="str">
        <f t="shared" si="2"/>
        <v/>
      </c>
      <c r="E599" s="14" t="str">
        <f t="shared" si="3"/>
        <v/>
      </c>
      <c r="F599" s="6" t="str">
        <f>IF($A599&lt;&gt;"",MAXIFS(Token!$B:$B,Token!$A:$A,$D599),)</f>
        <v/>
      </c>
    </row>
    <row r="600">
      <c r="A600" s="35" t="str">
        <f>IF(AND($L600*1&gt;=$G$3,$L600*1&lt;=$G$4,$I600*$J600&gt;0,CONCATENATE($H600:$L600)&lt;&gt;CONCATENATE($H601:$L601),$I600/POW(10,$J600)*MAXIFS(Token!$B:$B,Token!$A:$A,$K600)&gt;0.01),$L600/86400+DATE(1970,1,1)+IF($L600*1&gt;=$G$5,$G$6,0),)</f>
        <v/>
      </c>
      <c r="B600" s="22" t="str">
        <f t="shared" si="1"/>
        <v/>
      </c>
      <c r="C600" s="14" t="str">
        <f>IF($A600&lt;&gt;"",MINIFS(Merchant!$A:$A,Merchant!$B:$B,$G$2),)</f>
        <v/>
      </c>
      <c r="D600" s="14" t="str">
        <f t="shared" si="2"/>
        <v/>
      </c>
      <c r="E600" s="14" t="str">
        <f t="shared" si="3"/>
        <v/>
      </c>
      <c r="F600" s="6" t="str">
        <f>IF($A600&lt;&gt;"",MAXIFS(Token!$B:$B,Token!$A:$A,$D600),)</f>
        <v/>
      </c>
    </row>
    <row r="601">
      <c r="A601" s="35" t="str">
        <f>IF(AND($L601*1&gt;=$G$3,$L601*1&lt;=$G$4,$I601*$J601&gt;0,CONCATENATE($H601:$L601)&lt;&gt;CONCATENATE($H602:$L602),$I601/POW(10,$J601)*MAXIFS(Token!$B:$B,Token!$A:$A,$K601)&gt;0.01),$L601/86400+DATE(1970,1,1)+IF($L601*1&gt;=$G$5,$G$6,0),)</f>
        <v/>
      </c>
      <c r="B601" s="22" t="str">
        <f t="shared" si="1"/>
        <v/>
      </c>
      <c r="C601" s="14" t="str">
        <f>IF($A601&lt;&gt;"",MINIFS(Merchant!$A:$A,Merchant!$B:$B,$G$2),)</f>
        <v/>
      </c>
      <c r="D601" s="14" t="str">
        <f t="shared" si="2"/>
        <v/>
      </c>
      <c r="E601" s="14" t="str">
        <f t="shared" si="3"/>
        <v/>
      </c>
      <c r="F601" s="6" t="str">
        <f>IF($A601&lt;&gt;"",MAXIFS(Token!$B:$B,Token!$A:$A,$D601),)</f>
        <v/>
      </c>
    </row>
    <row r="602">
      <c r="A602" s="35" t="str">
        <f>IF(AND($L602*1&gt;=$G$3,$L602*1&lt;=$G$4,$I602*$J602&gt;0,CONCATENATE($H602:$L602)&lt;&gt;CONCATENATE($H603:$L603),$I602/POW(10,$J602)*MAXIFS(Token!$B:$B,Token!$A:$A,$K602)&gt;0.01),$L602/86400+DATE(1970,1,1)+IF($L602*1&gt;=$G$5,$G$6,0),)</f>
        <v/>
      </c>
      <c r="B602" s="22" t="str">
        <f t="shared" si="1"/>
        <v/>
      </c>
      <c r="C602" s="14" t="str">
        <f>IF($A602&lt;&gt;"",MINIFS(Merchant!$A:$A,Merchant!$B:$B,$G$2),)</f>
        <v/>
      </c>
      <c r="D602" s="14" t="str">
        <f t="shared" si="2"/>
        <v/>
      </c>
      <c r="E602" s="14" t="str">
        <f t="shared" si="3"/>
        <v/>
      </c>
      <c r="F602" s="6" t="str">
        <f>IF($A602&lt;&gt;"",MAXIFS(Token!$B:$B,Token!$A:$A,$D602),)</f>
        <v/>
      </c>
    </row>
    <row r="603">
      <c r="A603" s="35" t="str">
        <f>IF(AND($L603*1&gt;=$G$3,$L603*1&lt;=$G$4,$I603*$J603&gt;0,CONCATENATE($H603:$L603)&lt;&gt;CONCATENATE($H604:$L604),$I603/POW(10,$J603)*MAXIFS(Token!$B:$B,Token!$A:$A,$K603)&gt;0.01),$L603/86400+DATE(1970,1,1)+IF($L603*1&gt;=$G$5,$G$6,0),)</f>
        <v/>
      </c>
      <c r="B603" s="22" t="str">
        <f t="shared" si="1"/>
        <v/>
      </c>
      <c r="C603" s="14" t="str">
        <f>IF($A603&lt;&gt;"",MINIFS(Merchant!$A:$A,Merchant!$B:$B,$G$2),)</f>
        <v/>
      </c>
      <c r="D603" s="14" t="str">
        <f t="shared" si="2"/>
        <v/>
      </c>
      <c r="E603" s="14" t="str">
        <f t="shared" si="3"/>
        <v/>
      </c>
      <c r="F603" s="6" t="str">
        <f>IF($A603&lt;&gt;"",MAXIFS(Token!$B:$B,Token!$A:$A,$D603),)</f>
        <v/>
      </c>
    </row>
    <row r="604">
      <c r="A604" s="35" t="str">
        <f>IF(AND($L604*1&gt;=$G$3,$L604*1&lt;=$G$4,$I604*$J604&gt;0,CONCATENATE($H604:$L604)&lt;&gt;CONCATENATE($H605:$L605),$I604/POW(10,$J604)*MAXIFS(Token!$B:$B,Token!$A:$A,$K604)&gt;0.01),$L604/86400+DATE(1970,1,1)+IF($L604*1&gt;=$G$5,$G$6,0),)</f>
        <v/>
      </c>
      <c r="B604" s="22" t="str">
        <f t="shared" si="1"/>
        <v/>
      </c>
      <c r="C604" s="14" t="str">
        <f>IF($A604&lt;&gt;"",MINIFS(Merchant!$A:$A,Merchant!$B:$B,$G$2),)</f>
        <v/>
      </c>
      <c r="D604" s="14" t="str">
        <f t="shared" si="2"/>
        <v/>
      </c>
      <c r="E604" s="14" t="str">
        <f t="shared" si="3"/>
        <v/>
      </c>
      <c r="F604" s="6" t="str">
        <f>IF($A604&lt;&gt;"",MAXIFS(Token!$B:$B,Token!$A:$A,$D604),)</f>
        <v/>
      </c>
    </row>
    <row r="605">
      <c r="A605" s="35" t="str">
        <f>IF(AND($L605*1&gt;=$G$3,$L605*1&lt;=$G$4,$I605*$J605&gt;0,CONCATENATE($H605:$L605)&lt;&gt;CONCATENATE($H606:$L606),$I605/POW(10,$J605)*MAXIFS(Token!$B:$B,Token!$A:$A,$K605)&gt;0.01),$L605/86400+DATE(1970,1,1)+IF($L605*1&gt;=$G$5,$G$6,0),)</f>
        <v/>
      </c>
      <c r="B605" s="22" t="str">
        <f t="shared" si="1"/>
        <v/>
      </c>
      <c r="C605" s="14" t="str">
        <f>IF($A605&lt;&gt;"",MINIFS(Merchant!$A:$A,Merchant!$B:$B,$G$2),)</f>
        <v/>
      </c>
      <c r="D605" s="14" t="str">
        <f t="shared" si="2"/>
        <v/>
      </c>
      <c r="E605" s="14" t="str">
        <f t="shared" si="3"/>
        <v/>
      </c>
      <c r="F605" s="6" t="str">
        <f>IF($A605&lt;&gt;"",MAXIFS(Token!$B:$B,Token!$A:$A,$D605),)</f>
        <v/>
      </c>
    </row>
    <row r="606">
      <c r="A606" s="35" t="str">
        <f>IF(AND($L606*1&gt;=$G$3,$L606*1&lt;=$G$4,$I606*$J606&gt;0,CONCATENATE($H606:$L606)&lt;&gt;CONCATENATE($H607:$L607),$I606/POW(10,$J606)*MAXIFS(Token!$B:$B,Token!$A:$A,$K606)&gt;0.01),$L606/86400+DATE(1970,1,1)+IF($L606*1&gt;=$G$5,$G$6,0),)</f>
        <v/>
      </c>
      <c r="B606" s="22" t="str">
        <f t="shared" si="1"/>
        <v/>
      </c>
      <c r="C606" s="14" t="str">
        <f>IF($A606&lt;&gt;"",MINIFS(Merchant!$A:$A,Merchant!$B:$B,$G$2),)</f>
        <v/>
      </c>
      <c r="D606" s="14" t="str">
        <f t="shared" si="2"/>
        <v/>
      </c>
      <c r="E606" s="14" t="str">
        <f t="shared" si="3"/>
        <v/>
      </c>
      <c r="F606" s="6" t="str">
        <f>IF($A606&lt;&gt;"",MAXIFS(Token!$B:$B,Token!$A:$A,$D606),)</f>
        <v/>
      </c>
    </row>
    <row r="607">
      <c r="A607" s="35" t="str">
        <f>IF(AND($L607*1&gt;=$G$3,$L607*1&lt;=$G$4,$I607*$J607&gt;0,CONCATENATE($H607:$L607)&lt;&gt;CONCATENATE($H608:$L608),$I607/POW(10,$J607)*MAXIFS(Token!$B:$B,Token!$A:$A,$K607)&gt;0.01),$L607/86400+DATE(1970,1,1)+IF($L607*1&gt;=$G$5,$G$6,0),)</f>
        <v/>
      </c>
      <c r="B607" s="22" t="str">
        <f t="shared" si="1"/>
        <v/>
      </c>
      <c r="C607" s="14" t="str">
        <f>IF($A607&lt;&gt;"",MINIFS(Merchant!$A:$A,Merchant!$B:$B,$G$2),)</f>
        <v/>
      </c>
      <c r="D607" s="14" t="str">
        <f t="shared" si="2"/>
        <v/>
      </c>
      <c r="E607" s="14" t="str">
        <f t="shared" si="3"/>
        <v/>
      </c>
      <c r="F607" s="6" t="str">
        <f>IF($A607&lt;&gt;"",MAXIFS(Token!$B:$B,Token!$A:$A,$D607),)</f>
        <v/>
      </c>
    </row>
    <row r="608">
      <c r="A608" s="35" t="str">
        <f>IF(AND($L608*1&gt;=$G$3,$L608*1&lt;=$G$4,$I608*$J608&gt;0,CONCATENATE($H608:$L608)&lt;&gt;CONCATENATE($H609:$L609),$I608/POW(10,$J608)*MAXIFS(Token!$B:$B,Token!$A:$A,$K608)&gt;0.01),$L608/86400+DATE(1970,1,1)+IF($L608*1&gt;=$G$5,$G$6,0),)</f>
        <v/>
      </c>
      <c r="B608" s="22" t="str">
        <f t="shared" si="1"/>
        <v/>
      </c>
      <c r="C608" s="14" t="str">
        <f>IF($A608&lt;&gt;"",MINIFS(Merchant!$A:$A,Merchant!$B:$B,$G$2),)</f>
        <v/>
      </c>
      <c r="D608" s="14" t="str">
        <f t="shared" si="2"/>
        <v/>
      </c>
      <c r="E608" s="14" t="str">
        <f t="shared" si="3"/>
        <v/>
      </c>
      <c r="F608" s="6" t="str">
        <f>IF($A608&lt;&gt;"",MAXIFS(Token!$B:$B,Token!$A:$A,$D608),)</f>
        <v/>
      </c>
    </row>
    <row r="609">
      <c r="A609" s="35" t="str">
        <f>IF(AND($L609*1&gt;=$G$3,$L609*1&lt;=$G$4,$I609*$J609&gt;0,CONCATENATE($H609:$L609)&lt;&gt;CONCATENATE($H610:$L610),$I609/POW(10,$J609)*MAXIFS(Token!$B:$B,Token!$A:$A,$K609)&gt;0.01),$L609/86400+DATE(1970,1,1)+IF($L609*1&gt;=$G$5,$G$6,0),)</f>
        <v/>
      </c>
      <c r="B609" s="22" t="str">
        <f t="shared" si="1"/>
        <v/>
      </c>
      <c r="C609" s="14" t="str">
        <f>IF($A609&lt;&gt;"",MINIFS(Merchant!$A:$A,Merchant!$B:$B,$G$2),)</f>
        <v/>
      </c>
      <c r="D609" s="14" t="str">
        <f t="shared" si="2"/>
        <v/>
      </c>
      <c r="E609" s="14" t="str">
        <f t="shared" si="3"/>
        <v/>
      </c>
      <c r="F609" s="6" t="str">
        <f>IF($A609&lt;&gt;"",MAXIFS(Token!$B:$B,Token!$A:$A,$D609),)</f>
        <v/>
      </c>
    </row>
    <row r="610">
      <c r="A610" s="35" t="str">
        <f>IF(AND($L610*1&gt;=$G$3,$L610*1&lt;=$G$4,$I610*$J610&gt;0,CONCATENATE($H610:$L610)&lt;&gt;CONCATENATE($H611:$L611),$I610/POW(10,$J610)*MAXIFS(Token!$B:$B,Token!$A:$A,$K610)&gt;0.01),$L610/86400+DATE(1970,1,1)+IF($L610*1&gt;=$G$5,$G$6,0),)</f>
        <v/>
      </c>
      <c r="B610" s="22" t="str">
        <f t="shared" si="1"/>
        <v/>
      </c>
      <c r="C610" s="14" t="str">
        <f>IF($A610&lt;&gt;"",MINIFS(Merchant!$A:$A,Merchant!$B:$B,$G$2),)</f>
        <v/>
      </c>
      <c r="D610" s="14" t="str">
        <f t="shared" si="2"/>
        <v/>
      </c>
      <c r="E610" s="14" t="str">
        <f t="shared" si="3"/>
        <v/>
      </c>
      <c r="F610" s="6" t="str">
        <f>IF($A610&lt;&gt;"",MAXIFS(Token!$B:$B,Token!$A:$A,$D610),)</f>
        <v/>
      </c>
    </row>
    <row r="611">
      <c r="A611" s="35" t="str">
        <f>IF(AND($L611*1&gt;=$G$3,$L611*1&lt;=$G$4,$I611*$J611&gt;0,CONCATENATE($H611:$L611)&lt;&gt;CONCATENATE($H612:$L612),$I611/POW(10,$J611)*MAXIFS(Token!$B:$B,Token!$A:$A,$K611)&gt;0.01),$L611/86400+DATE(1970,1,1)+IF($L611*1&gt;=$G$5,$G$6,0),)</f>
        <v/>
      </c>
      <c r="B611" s="22" t="str">
        <f t="shared" si="1"/>
        <v/>
      </c>
      <c r="C611" s="14" t="str">
        <f>IF($A611&lt;&gt;"",MINIFS(Merchant!$A:$A,Merchant!$B:$B,$G$2),)</f>
        <v/>
      </c>
      <c r="D611" s="14" t="str">
        <f t="shared" si="2"/>
        <v/>
      </c>
      <c r="E611" s="14" t="str">
        <f t="shared" si="3"/>
        <v/>
      </c>
      <c r="F611" s="6" t="str">
        <f>IF($A611&lt;&gt;"",MAXIFS(Token!$B:$B,Token!$A:$A,$D611),)</f>
        <v/>
      </c>
    </row>
    <row r="612">
      <c r="A612" s="35" t="str">
        <f>IF(AND($L612*1&gt;=$G$3,$L612*1&lt;=$G$4,$I612*$J612&gt;0,CONCATENATE($H612:$L612)&lt;&gt;CONCATENATE($H613:$L613),$I612/POW(10,$J612)*MAXIFS(Token!$B:$B,Token!$A:$A,$K612)&gt;0.01),$L612/86400+DATE(1970,1,1)+IF($L612*1&gt;=$G$5,$G$6,0),)</f>
        <v/>
      </c>
      <c r="B612" s="22" t="str">
        <f t="shared" si="1"/>
        <v/>
      </c>
      <c r="C612" s="14" t="str">
        <f>IF($A612&lt;&gt;"",MINIFS(Merchant!$A:$A,Merchant!$B:$B,$G$2),)</f>
        <v/>
      </c>
      <c r="D612" s="14" t="str">
        <f t="shared" si="2"/>
        <v/>
      </c>
      <c r="E612" s="14" t="str">
        <f t="shared" si="3"/>
        <v/>
      </c>
      <c r="F612" s="6" t="str">
        <f>IF($A612&lt;&gt;"",MAXIFS(Token!$B:$B,Token!$A:$A,$D612),)</f>
        <v/>
      </c>
    </row>
    <row r="613">
      <c r="A613" s="35" t="str">
        <f>IF(AND($L613*1&gt;=$G$3,$L613*1&lt;=$G$4,$I613*$J613&gt;0,CONCATENATE($H613:$L613)&lt;&gt;CONCATENATE($H614:$L614),$I613/POW(10,$J613)*MAXIFS(Token!$B:$B,Token!$A:$A,$K613)&gt;0.01),$L613/86400+DATE(1970,1,1)+IF($L613*1&gt;=$G$5,$G$6,0),)</f>
        <v/>
      </c>
      <c r="B613" s="22" t="str">
        <f t="shared" si="1"/>
        <v/>
      </c>
      <c r="C613" s="14" t="str">
        <f>IF($A613&lt;&gt;"",MINIFS(Merchant!$A:$A,Merchant!$B:$B,$G$2),)</f>
        <v/>
      </c>
      <c r="D613" s="14" t="str">
        <f t="shared" si="2"/>
        <v/>
      </c>
      <c r="E613" s="14" t="str">
        <f t="shared" si="3"/>
        <v/>
      </c>
      <c r="F613" s="6" t="str">
        <f>IF($A613&lt;&gt;"",MAXIFS(Token!$B:$B,Token!$A:$A,$D613),)</f>
        <v/>
      </c>
    </row>
    <row r="614">
      <c r="A614" s="35" t="str">
        <f>IF(AND($L614*1&gt;=$G$3,$L614*1&lt;=$G$4,$I614*$J614&gt;0,CONCATENATE($H614:$L614)&lt;&gt;CONCATENATE($H615:$L615),$I614/POW(10,$J614)*MAXIFS(Token!$B:$B,Token!$A:$A,$K614)&gt;0.01),$L614/86400+DATE(1970,1,1)+IF($L614*1&gt;=$G$5,$G$6,0),)</f>
        <v/>
      </c>
      <c r="B614" s="22" t="str">
        <f t="shared" si="1"/>
        <v/>
      </c>
      <c r="C614" s="14" t="str">
        <f>IF($A614&lt;&gt;"",MINIFS(Merchant!$A:$A,Merchant!$B:$B,$G$2),)</f>
        <v/>
      </c>
      <c r="D614" s="14" t="str">
        <f t="shared" si="2"/>
        <v/>
      </c>
      <c r="E614" s="14" t="str">
        <f t="shared" si="3"/>
        <v/>
      </c>
      <c r="F614" s="6" t="str">
        <f>IF($A614&lt;&gt;"",MAXIFS(Token!$B:$B,Token!$A:$A,$D614),)</f>
        <v/>
      </c>
    </row>
    <row r="615">
      <c r="A615" s="35" t="str">
        <f>IF(AND($L615*1&gt;=$G$3,$L615*1&lt;=$G$4,$I615*$J615&gt;0,CONCATENATE($H615:$L615)&lt;&gt;CONCATENATE($H616:$L616),$I615/POW(10,$J615)*MAXIFS(Token!$B:$B,Token!$A:$A,$K615)&gt;0.01),$L615/86400+DATE(1970,1,1)+IF($L615*1&gt;=$G$5,$G$6,0),)</f>
        <v/>
      </c>
      <c r="B615" s="22" t="str">
        <f t="shared" si="1"/>
        <v/>
      </c>
      <c r="C615" s="14" t="str">
        <f>IF($A615&lt;&gt;"",MINIFS(Merchant!$A:$A,Merchant!$B:$B,$G$2),)</f>
        <v/>
      </c>
      <c r="D615" s="14" t="str">
        <f t="shared" si="2"/>
        <v/>
      </c>
      <c r="E615" s="14" t="str">
        <f t="shared" si="3"/>
        <v/>
      </c>
      <c r="F615" s="6" t="str">
        <f>IF($A615&lt;&gt;"",MAXIFS(Token!$B:$B,Token!$A:$A,$D615),)</f>
        <v/>
      </c>
    </row>
    <row r="616">
      <c r="A616" s="35" t="str">
        <f>IF(AND($L616*1&gt;=$G$3,$L616*1&lt;=$G$4,$I616*$J616&gt;0,CONCATENATE($H616:$L616)&lt;&gt;CONCATENATE($H617:$L617),$I616/POW(10,$J616)*MAXIFS(Token!$B:$B,Token!$A:$A,$K616)&gt;0.01),$L616/86400+DATE(1970,1,1)+IF($L616*1&gt;=$G$5,$G$6,0),)</f>
        <v/>
      </c>
      <c r="B616" s="22" t="str">
        <f t="shared" si="1"/>
        <v/>
      </c>
      <c r="C616" s="14" t="str">
        <f>IF($A616&lt;&gt;"",MINIFS(Merchant!$A:$A,Merchant!$B:$B,$G$2),)</f>
        <v/>
      </c>
      <c r="D616" s="14" t="str">
        <f t="shared" si="2"/>
        <v/>
      </c>
      <c r="E616" s="14" t="str">
        <f t="shared" si="3"/>
        <v/>
      </c>
      <c r="F616" s="6" t="str">
        <f>IF($A616&lt;&gt;"",MAXIFS(Token!$B:$B,Token!$A:$A,$D616),)</f>
        <v/>
      </c>
    </row>
    <row r="617">
      <c r="A617" s="35" t="str">
        <f>IF(AND($L617*1&gt;=$G$3,$L617*1&lt;=$G$4,$I617*$J617&gt;0,CONCATENATE($H617:$L617)&lt;&gt;CONCATENATE($H618:$L618),$I617/POW(10,$J617)*MAXIFS(Token!$B:$B,Token!$A:$A,$K617)&gt;0.01),$L617/86400+DATE(1970,1,1)+IF($L617*1&gt;=$G$5,$G$6,0),)</f>
        <v/>
      </c>
      <c r="B617" s="22" t="str">
        <f t="shared" si="1"/>
        <v/>
      </c>
      <c r="C617" s="14" t="str">
        <f>IF($A617&lt;&gt;"",MINIFS(Merchant!$A:$A,Merchant!$B:$B,$G$2),)</f>
        <v/>
      </c>
      <c r="D617" s="14" t="str">
        <f t="shared" si="2"/>
        <v/>
      </c>
      <c r="E617" s="14" t="str">
        <f t="shared" si="3"/>
        <v/>
      </c>
      <c r="F617" s="6" t="str">
        <f>IF($A617&lt;&gt;"",MAXIFS(Token!$B:$B,Token!$A:$A,$D617),)</f>
        <v/>
      </c>
    </row>
    <row r="618">
      <c r="A618" s="35" t="str">
        <f>IF(AND($L618*1&gt;=$G$3,$L618*1&lt;=$G$4,$I618*$J618&gt;0,CONCATENATE($H618:$L618)&lt;&gt;CONCATENATE($H619:$L619),$I618/POW(10,$J618)*MAXIFS(Token!$B:$B,Token!$A:$A,$K618)&gt;0.01),$L618/86400+DATE(1970,1,1)+IF($L618*1&gt;=$G$5,$G$6,0),)</f>
        <v/>
      </c>
      <c r="B618" s="22" t="str">
        <f t="shared" si="1"/>
        <v/>
      </c>
      <c r="C618" s="14" t="str">
        <f>IF($A618&lt;&gt;"",MINIFS(Merchant!$A:$A,Merchant!$B:$B,$G$2),)</f>
        <v/>
      </c>
      <c r="D618" s="14" t="str">
        <f t="shared" si="2"/>
        <v/>
      </c>
      <c r="E618" s="14" t="str">
        <f t="shared" si="3"/>
        <v/>
      </c>
      <c r="F618" s="6" t="str">
        <f>IF($A618&lt;&gt;"",MAXIFS(Token!$B:$B,Token!$A:$A,$D618),)</f>
        <v/>
      </c>
    </row>
    <row r="619">
      <c r="A619" s="35" t="str">
        <f>IF(AND($L619*1&gt;=$G$3,$L619*1&lt;=$G$4,$I619*$J619&gt;0,CONCATENATE($H619:$L619)&lt;&gt;CONCATENATE($H620:$L620),$I619/POW(10,$J619)*MAXIFS(Token!$B:$B,Token!$A:$A,$K619)&gt;0.01),$L619/86400+DATE(1970,1,1)+IF($L619*1&gt;=$G$5,$G$6,0),)</f>
        <v/>
      </c>
      <c r="B619" s="22" t="str">
        <f t="shared" si="1"/>
        <v/>
      </c>
      <c r="C619" s="14" t="str">
        <f>IF($A619&lt;&gt;"",MINIFS(Merchant!$A:$A,Merchant!$B:$B,$G$2),)</f>
        <v/>
      </c>
      <c r="D619" s="14" t="str">
        <f t="shared" si="2"/>
        <v/>
      </c>
      <c r="E619" s="14" t="str">
        <f t="shared" si="3"/>
        <v/>
      </c>
      <c r="F619" s="6" t="str">
        <f>IF($A619&lt;&gt;"",MAXIFS(Token!$B:$B,Token!$A:$A,$D619),)</f>
        <v/>
      </c>
    </row>
    <row r="620">
      <c r="A620" s="35" t="str">
        <f>IF(AND($L620*1&gt;=$G$3,$L620*1&lt;=$G$4,$I620*$J620&gt;0,CONCATENATE($H620:$L620)&lt;&gt;CONCATENATE($H621:$L621),$I620/POW(10,$J620)*MAXIFS(Token!$B:$B,Token!$A:$A,$K620)&gt;0.01),$L620/86400+DATE(1970,1,1)+IF($L620*1&gt;=$G$5,$G$6,0),)</f>
        <v/>
      </c>
      <c r="B620" s="22" t="str">
        <f t="shared" si="1"/>
        <v/>
      </c>
      <c r="C620" s="14" t="str">
        <f>IF($A620&lt;&gt;"",MINIFS(Merchant!$A:$A,Merchant!$B:$B,$G$2),)</f>
        <v/>
      </c>
      <c r="D620" s="14" t="str">
        <f t="shared" si="2"/>
        <v/>
      </c>
      <c r="E620" s="14" t="str">
        <f t="shared" si="3"/>
        <v/>
      </c>
      <c r="F620" s="6" t="str">
        <f>IF($A620&lt;&gt;"",MAXIFS(Token!$B:$B,Token!$A:$A,$D620),)</f>
        <v/>
      </c>
    </row>
    <row r="621">
      <c r="A621" s="35" t="str">
        <f>IF(AND($L621*1&gt;=$G$3,$L621*1&lt;=$G$4,$I621*$J621&gt;0,CONCATENATE($H621:$L621)&lt;&gt;CONCATENATE($H622:$L622),$I621/POW(10,$J621)*MAXIFS(Token!$B:$B,Token!$A:$A,$K621)&gt;0.01),$L621/86400+DATE(1970,1,1)+IF($L621*1&gt;=$G$5,$G$6,0),)</f>
        <v/>
      </c>
      <c r="B621" s="22" t="str">
        <f t="shared" si="1"/>
        <v/>
      </c>
      <c r="C621" s="14" t="str">
        <f>IF($A621&lt;&gt;"",MINIFS(Merchant!$A:$A,Merchant!$B:$B,$G$2),)</f>
        <v/>
      </c>
      <c r="D621" s="14" t="str">
        <f t="shared" si="2"/>
        <v/>
      </c>
      <c r="E621" s="14" t="str">
        <f t="shared" si="3"/>
        <v/>
      </c>
      <c r="F621" s="6" t="str">
        <f>IF($A621&lt;&gt;"",MAXIFS(Token!$B:$B,Token!$A:$A,$D621),)</f>
        <v/>
      </c>
    </row>
    <row r="622">
      <c r="A622" s="35" t="str">
        <f>IF(AND($L622*1&gt;=$G$3,$L622*1&lt;=$G$4,$I622*$J622&gt;0,CONCATENATE($H622:$L622)&lt;&gt;CONCATENATE($H623:$L623),$I622/POW(10,$J622)*MAXIFS(Token!$B:$B,Token!$A:$A,$K622)&gt;0.01),$L622/86400+DATE(1970,1,1)+IF($L622*1&gt;=$G$5,$G$6,0),)</f>
        <v/>
      </c>
      <c r="B622" s="22" t="str">
        <f t="shared" si="1"/>
        <v/>
      </c>
      <c r="C622" s="14" t="str">
        <f>IF($A622&lt;&gt;"",MINIFS(Merchant!$A:$A,Merchant!$B:$B,$G$2),)</f>
        <v/>
      </c>
      <c r="D622" s="14" t="str">
        <f t="shared" si="2"/>
        <v/>
      </c>
      <c r="E622" s="14" t="str">
        <f t="shared" si="3"/>
        <v/>
      </c>
      <c r="F622" s="6" t="str">
        <f>IF($A622&lt;&gt;"",MAXIFS(Token!$B:$B,Token!$A:$A,$D622),)</f>
        <v/>
      </c>
    </row>
    <row r="623">
      <c r="A623" s="35" t="str">
        <f>IF(AND($L623*1&gt;=$G$3,$L623*1&lt;=$G$4,$I623*$J623&gt;0,CONCATENATE($H623:$L623)&lt;&gt;CONCATENATE($H624:$L624),$I623/POW(10,$J623)*MAXIFS(Token!$B:$B,Token!$A:$A,$K623)&gt;0.01),$L623/86400+DATE(1970,1,1)+IF($L623*1&gt;=$G$5,$G$6,0),)</f>
        <v/>
      </c>
      <c r="B623" s="22" t="str">
        <f t="shared" si="1"/>
        <v/>
      </c>
      <c r="C623" s="14" t="str">
        <f>IF($A623&lt;&gt;"",MINIFS(Merchant!$A:$A,Merchant!$B:$B,$G$2),)</f>
        <v/>
      </c>
      <c r="D623" s="14" t="str">
        <f t="shared" si="2"/>
        <v/>
      </c>
      <c r="E623" s="14" t="str">
        <f t="shared" si="3"/>
        <v/>
      </c>
      <c r="F623" s="6" t="str">
        <f>IF($A623&lt;&gt;"",MAXIFS(Token!$B:$B,Token!$A:$A,$D623),)</f>
        <v/>
      </c>
    </row>
    <row r="624">
      <c r="A624" s="35" t="str">
        <f>IF(AND($L624*1&gt;=$G$3,$L624*1&lt;=$G$4,$I624*$J624&gt;0,CONCATENATE($H624:$L624)&lt;&gt;CONCATENATE($H625:$L625),$I624/POW(10,$J624)*MAXIFS(Token!$B:$B,Token!$A:$A,$K624)&gt;0.01),$L624/86400+DATE(1970,1,1)+IF($L624*1&gt;=$G$5,$G$6,0),)</f>
        <v/>
      </c>
      <c r="B624" s="22" t="str">
        <f t="shared" si="1"/>
        <v/>
      </c>
      <c r="C624" s="14" t="str">
        <f>IF($A624&lt;&gt;"",MINIFS(Merchant!$A:$A,Merchant!$B:$B,$G$2),)</f>
        <v/>
      </c>
      <c r="D624" s="14" t="str">
        <f t="shared" si="2"/>
        <v/>
      </c>
      <c r="E624" s="14" t="str">
        <f t="shared" si="3"/>
        <v/>
      </c>
      <c r="F624" s="6" t="str">
        <f>IF($A624&lt;&gt;"",MAXIFS(Token!$B:$B,Token!$A:$A,$D624),)</f>
        <v/>
      </c>
    </row>
    <row r="625">
      <c r="A625" s="35" t="str">
        <f>IF(AND($L625*1&gt;=$G$3,$L625*1&lt;=$G$4,$I625*$J625&gt;0,CONCATENATE($H625:$L625)&lt;&gt;CONCATENATE($H626:$L626),$I625/POW(10,$J625)*MAXIFS(Token!$B:$B,Token!$A:$A,$K625)&gt;0.01),$L625/86400+DATE(1970,1,1)+IF($L625*1&gt;=$G$5,$G$6,0),)</f>
        <v/>
      </c>
      <c r="B625" s="22" t="str">
        <f t="shared" si="1"/>
        <v/>
      </c>
      <c r="C625" s="14" t="str">
        <f>IF($A625&lt;&gt;"",MINIFS(Merchant!$A:$A,Merchant!$B:$B,$G$2),)</f>
        <v/>
      </c>
      <c r="D625" s="14" t="str">
        <f t="shared" si="2"/>
        <v/>
      </c>
      <c r="E625" s="14" t="str">
        <f t="shared" si="3"/>
        <v/>
      </c>
      <c r="F625" s="6" t="str">
        <f>IF($A625&lt;&gt;"",MAXIFS(Token!$B:$B,Token!$A:$A,$D625),)</f>
        <v/>
      </c>
    </row>
    <row r="626">
      <c r="A626" s="35" t="str">
        <f>IF(AND($L626*1&gt;=$G$3,$L626*1&lt;=$G$4,$I626*$J626&gt;0,CONCATENATE($H626:$L626)&lt;&gt;CONCATENATE($H627:$L627),$I626/POW(10,$J626)*MAXIFS(Token!$B:$B,Token!$A:$A,$K626)&gt;0.01),$L626/86400+DATE(1970,1,1)+IF($L626*1&gt;=$G$5,$G$6,0),)</f>
        <v/>
      </c>
      <c r="B626" s="22" t="str">
        <f t="shared" si="1"/>
        <v/>
      </c>
      <c r="C626" s="14" t="str">
        <f>IF($A626&lt;&gt;"",MINIFS(Merchant!$A:$A,Merchant!$B:$B,$G$2),)</f>
        <v/>
      </c>
      <c r="D626" s="14" t="str">
        <f t="shared" si="2"/>
        <v/>
      </c>
      <c r="E626" s="14" t="str">
        <f t="shared" si="3"/>
        <v/>
      </c>
      <c r="F626" s="6" t="str">
        <f>IF($A626&lt;&gt;"",MAXIFS(Token!$B:$B,Token!$A:$A,$D626),)</f>
        <v/>
      </c>
    </row>
    <row r="627">
      <c r="A627" s="35" t="str">
        <f>IF(AND($L627*1&gt;=$G$3,$L627*1&lt;=$G$4,$I627*$J627&gt;0,CONCATENATE($H627:$L627)&lt;&gt;CONCATENATE($H628:$L628),$I627/POW(10,$J627)*MAXIFS(Token!$B:$B,Token!$A:$A,$K627)&gt;0.01),$L627/86400+DATE(1970,1,1)+IF($L627*1&gt;=$G$5,$G$6,0),)</f>
        <v/>
      </c>
      <c r="B627" s="22" t="str">
        <f t="shared" si="1"/>
        <v/>
      </c>
      <c r="C627" s="14" t="str">
        <f>IF($A627&lt;&gt;"",MINIFS(Merchant!$A:$A,Merchant!$B:$B,$G$2),)</f>
        <v/>
      </c>
      <c r="D627" s="14" t="str">
        <f t="shared" si="2"/>
        <v/>
      </c>
      <c r="E627" s="14" t="str">
        <f t="shared" si="3"/>
        <v/>
      </c>
      <c r="F627" s="6" t="str">
        <f>IF($A627&lt;&gt;"",MAXIFS(Token!$B:$B,Token!$A:$A,$D627),)</f>
        <v/>
      </c>
    </row>
    <row r="628">
      <c r="A628" s="35" t="str">
        <f>IF(AND($L628*1&gt;=$G$3,$L628*1&lt;=$G$4,$I628*$J628&gt;0,CONCATENATE($H628:$L628)&lt;&gt;CONCATENATE($H629:$L629),$I628/POW(10,$J628)*MAXIFS(Token!$B:$B,Token!$A:$A,$K628)&gt;0.01),$L628/86400+DATE(1970,1,1)+IF($L628*1&gt;=$G$5,$G$6,0),)</f>
        <v/>
      </c>
      <c r="B628" s="22" t="str">
        <f t="shared" si="1"/>
        <v/>
      </c>
      <c r="C628" s="14" t="str">
        <f>IF($A628&lt;&gt;"",MINIFS(Merchant!$A:$A,Merchant!$B:$B,$G$2),)</f>
        <v/>
      </c>
      <c r="D628" s="14" t="str">
        <f t="shared" si="2"/>
        <v/>
      </c>
      <c r="E628" s="14" t="str">
        <f t="shared" si="3"/>
        <v/>
      </c>
      <c r="F628" s="6" t="str">
        <f>IF($A628&lt;&gt;"",MAXIFS(Token!$B:$B,Token!$A:$A,$D628),)</f>
        <v/>
      </c>
    </row>
    <row r="629">
      <c r="A629" s="35" t="str">
        <f>IF(AND($L629*1&gt;=$G$3,$L629*1&lt;=$G$4,$I629*$J629&gt;0,CONCATENATE($H629:$L629)&lt;&gt;CONCATENATE($H630:$L630),$I629/POW(10,$J629)*MAXIFS(Token!$B:$B,Token!$A:$A,$K629)&gt;0.01),$L629/86400+DATE(1970,1,1)+IF($L629*1&gt;=$G$5,$G$6,0),)</f>
        <v/>
      </c>
      <c r="B629" s="22" t="str">
        <f t="shared" si="1"/>
        <v/>
      </c>
      <c r="C629" s="14" t="str">
        <f>IF($A629&lt;&gt;"",MINIFS(Merchant!$A:$A,Merchant!$B:$B,$G$2),)</f>
        <v/>
      </c>
      <c r="D629" s="14" t="str">
        <f t="shared" si="2"/>
        <v/>
      </c>
      <c r="E629" s="14" t="str">
        <f t="shared" si="3"/>
        <v/>
      </c>
      <c r="F629" s="6" t="str">
        <f>IF($A629&lt;&gt;"",MAXIFS(Token!$B:$B,Token!$A:$A,$D629),)</f>
        <v/>
      </c>
    </row>
    <row r="630">
      <c r="A630" s="35" t="str">
        <f>IF(AND($L630*1&gt;=$G$3,$L630*1&lt;=$G$4,$I630*$J630&gt;0,CONCATENATE($H630:$L630)&lt;&gt;CONCATENATE($H631:$L631),$I630/POW(10,$J630)*MAXIFS(Token!$B:$B,Token!$A:$A,$K630)&gt;0.01),$L630/86400+DATE(1970,1,1)+IF($L630*1&gt;=$G$5,$G$6,0),)</f>
        <v/>
      </c>
      <c r="B630" s="22" t="str">
        <f t="shared" si="1"/>
        <v/>
      </c>
      <c r="C630" s="14" t="str">
        <f>IF($A630&lt;&gt;"",MINIFS(Merchant!$A:$A,Merchant!$B:$B,$G$2),)</f>
        <v/>
      </c>
      <c r="D630" s="14" t="str">
        <f t="shared" si="2"/>
        <v/>
      </c>
      <c r="E630" s="14" t="str">
        <f t="shared" si="3"/>
        <v/>
      </c>
      <c r="F630" s="6" t="str">
        <f>IF($A630&lt;&gt;"",MAXIFS(Token!$B:$B,Token!$A:$A,$D630),)</f>
        <v/>
      </c>
    </row>
    <row r="631">
      <c r="A631" s="35" t="str">
        <f>IF(AND($L631*1&gt;=$G$3,$L631*1&lt;=$G$4,$I631*$J631&gt;0,CONCATENATE($H631:$L631)&lt;&gt;CONCATENATE($H632:$L632),$I631/POW(10,$J631)*MAXIFS(Token!$B:$B,Token!$A:$A,$K631)&gt;0.01),$L631/86400+DATE(1970,1,1)+IF($L631*1&gt;=$G$5,$G$6,0),)</f>
        <v/>
      </c>
      <c r="B631" s="22" t="str">
        <f t="shared" si="1"/>
        <v/>
      </c>
      <c r="C631" s="14" t="str">
        <f>IF($A631&lt;&gt;"",MINIFS(Merchant!$A:$A,Merchant!$B:$B,$G$2),)</f>
        <v/>
      </c>
      <c r="D631" s="14" t="str">
        <f t="shared" si="2"/>
        <v/>
      </c>
      <c r="E631" s="14" t="str">
        <f t="shared" si="3"/>
        <v/>
      </c>
      <c r="F631" s="6" t="str">
        <f>IF($A631&lt;&gt;"",MAXIFS(Token!$B:$B,Token!$A:$A,$D631),)</f>
        <v/>
      </c>
    </row>
    <row r="632">
      <c r="A632" s="35" t="str">
        <f>IF(AND($L632*1&gt;=$G$3,$L632*1&lt;=$G$4,$I632*$J632&gt;0,CONCATENATE($H632:$L632)&lt;&gt;CONCATENATE($H633:$L633),$I632/POW(10,$J632)*MAXIFS(Token!$B:$B,Token!$A:$A,$K632)&gt;0.01),$L632/86400+DATE(1970,1,1)+IF($L632*1&gt;=$G$5,$G$6,0),)</f>
        <v/>
      </c>
      <c r="B632" s="22" t="str">
        <f t="shared" si="1"/>
        <v/>
      </c>
      <c r="C632" s="14" t="str">
        <f>IF($A632&lt;&gt;"",MINIFS(Merchant!$A:$A,Merchant!$B:$B,$G$2),)</f>
        <v/>
      </c>
      <c r="D632" s="14" t="str">
        <f t="shared" si="2"/>
        <v/>
      </c>
      <c r="E632" s="14" t="str">
        <f t="shared" si="3"/>
        <v/>
      </c>
      <c r="F632" s="6" t="str">
        <f>IF($A632&lt;&gt;"",MAXIFS(Token!$B:$B,Token!$A:$A,$D632),)</f>
        <v/>
      </c>
    </row>
    <row r="633">
      <c r="A633" s="35" t="str">
        <f>IF(AND($L633*1&gt;=$G$3,$L633*1&lt;=$G$4,$I633*$J633&gt;0,CONCATENATE($H633:$L633)&lt;&gt;CONCATENATE($H634:$L634),$I633/POW(10,$J633)*MAXIFS(Token!$B:$B,Token!$A:$A,$K633)&gt;0.01),$L633/86400+DATE(1970,1,1)+IF($L633*1&gt;=$G$5,$G$6,0),)</f>
        <v/>
      </c>
      <c r="B633" s="22" t="str">
        <f t="shared" si="1"/>
        <v/>
      </c>
      <c r="C633" s="14" t="str">
        <f>IF($A633&lt;&gt;"",MINIFS(Merchant!$A:$A,Merchant!$B:$B,$G$2),)</f>
        <v/>
      </c>
      <c r="D633" s="14" t="str">
        <f t="shared" si="2"/>
        <v/>
      </c>
      <c r="E633" s="14" t="str">
        <f t="shared" si="3"/>
        <v/>
      </c>
      <c r="F633" s="6" t="str">
        <f>IF($A633&lt;&gt;"",MAXIFS(Token!$B:$B,Token!$A:$A,$D633),)</f>
        <v/>
      </c>
    </row>
    <row r="634">
      <c r="A634" s="35" t="str">
        <f>IF(AND($L634*1&gt;=$G$3,$L634*1&lt;=$G$4,$I634*$J634&gt;0,CONCATENATE($H634:$L634)&lt;&gt;CONCATENATE($H635:$L635),$I634/POW(10,$J634)*MAXIFS(Token!$B:$B,Token!$A:$A,$K634)&gt;0.01),$L634/86400+DATE(1970,1,1)+IF($L634*1&gt;=$G$5,$G$6,0),)</f>
        <v/>
      </c>
      <c r="B634" s="22" t="str">
        <f t="shared" si="1"/>
        <v/>
      </c>
      <c r="C634" s="14" t="str">
        <f>IF($A634&lt;&gt;"",MINIFS(Merchant!$A:$A,Merchant!$B:$B,$G$2),)</f>
        <v/>
      </c>
      <c r="D634" s="14" t="str">
        <f t="shared" si="2"/>
        <v/>
      </c>
      <c r="E634" s="14" t="str">
        <f t="shared" si="3"/>
        <v/>
      </c>
      <c r="F634" s="6" t="str">
        <f>IF($A634&lt;&gt;"",MAXIFS(Token!$B:$B,Token!$A:$A,$D634),)</f>
        <v/>
      </c>
    </row>
    <row r="635">
      <c r="A635" s="35" t="str">
        <f>IF(AND($L635*1&gt;=$G$3,$L635*1&lt;=$G$4,$I635*$J635&gt;0,CONCATENATE($H635:$L635)&lt;&gt;CONCATENATE($H636:$L636),$I635/POW(10,$J635)*MAXIFS(Token!$B:$B,Token!$A:$A,$K635)&gt;0.01),$L635/86400+DATE(1970,1,1)+IF($L635*1&gt;=$G$5,$G$6,0),)</f>
        <v/>
      </c>
      <c r="B635" s="22" t="str">
        <f t="shared" si="1"/>
        <v/>
      </c>
      <c r="C635" s="14" t="str">
        <f>IF($A635&lt;&gt;"",MINIFS(Merchant!$A:$A,Merchant!$B:$B,$G$2),)</f>
        <v/>
      </c>
      <c r="D635" s="14" t="str">
        <f t="shared" si="2"/>
        <v/>
      </c>
      <c r="E635" s="14" t="str">
        <f t="shared" si="3"/>
        <v/>
      </c>
      <c r="F635" s="6" t="str">
        <f>IF($A635&lt;&gt;"",MAXIFS(Token!$B:$B,Token!$A:$A,$D635),)</f>
        <v/>
      </c>
    </row>
    <row r="636">
      <c r="A636" s="35" t="str">
        <f>IF(AND($L636*1&gt;=$G$3,$L636*1&lt;=$G$4,$I636*$J636&gt;0,CONCATENATE($H636:$L636)&lt;&gt;CONCATENATE($H637:$L637),$I636/POW(10,$J636)*MAXIFS(Token!$B:$B,Token!$A:$A,$K636)&gt;0.01),$L636/86400+DATE(1970,1,1)+IF($L636*1&gt;=$G$5,$G$6,0),)</f>
        <v/>
      </c>
      <c r="B636" s="22" t="str">
        <f t="shared" si="1"/>
        <v/>
      </c>
      <c r="C636" s="14" t="str">
        <f>IF($A636&lt;&gt;"",MINIFS(Merchant!$A:$A,Merchant!$B:$B,$G$2),)</f>
        <v/>
      </c>
      <c r="D636" s="14" t="str">
        <f t="shared" si="2"/>
        <v/>
      </c>
      <c r="E636" s="14" t="str">
        <f t="shared" si="3"/>
        <v/>
      </c>
      <c r="F636" s="6" t="str">
        <f>IF($A636&lt;&gt;"",MAXIFS(Token!$B:$B,Token!$A:$A,$D636),)</f>
        <v/>
      </c>
    </row>
    <row r="637">
      <c r="A637" s="35" t="str">
        <f>IF(AND($L637*1&gt;=$G$3,$L637*1&lt;=$G$4,$I637*$J637&gt;0,CONCATENATE($H637:$L637)&lt;&gt;CONCATENATE($H638:$L638),$I637/POW(10,$J637)*MAXIFS(Token!$B:$B,Token!$A:$A,$K637)&gt;0.01),$L637/86400+DATE(1970,1,1)+IF($L637*1&gt;=$G$5,$G$6,0),)</f>
        <v/>
      </c>
      <c r="B637" s="22" t="str">
        <f t="shared" si="1"/>
        <v/>
      </c>
      <c r="C637" s="14" t="str">
        <f>IF($A637&lt;&gt;"",MINIFS(Merchant!$A:$A,Merchant!$B:$B,$G$2),)</f>
        <v/>
      </c>
      <c r="D637" s="14" t="str">
        <f t="shared" si="2"/>
        <v/>
      </c>
      <c r="E637" s="14" t="str">
        <f t="shared" si="3"/>
        <v/>
      </c>
      <c r="F637" s="6" t="str">
        <f>IF($A637&lt;&gt;"",MAXIFS(Token!$B:$B,Token!$A:$A,$D637),)</f>
        <v/>
      </c>
    </row>
    <row r="638">
      <c r="A638" s="35" t="str">
        <f>IF(AND($L638*1&gt;=$G$3,$L638*1&lt;=$G$4,$I638*$J638&gt;0,CONCATENATE($H638:$L638)&lt;&gt;CONCATENATE($H639:$L639),$I638/POW(10,$J638)*MAXIFS(Token!$B:$B,Token!$A:$A,$K638)&gt;0.01),$L638/86400+DATE(1970,1,1)+IF($L638*1&gt;=$G$5,$G$6,0),)</f>
        <v/>
      </c>
      <c r="B638" s="22" t="str">
        <f t="shared" si="1"/>
        <v/>
      </c>
      <c r="C638" s="14" t="str">
        <f>IF($A638&lt;&gt;"",MINIFS(Merchant!$A:$A,Merchant!$B:$B,$G$2),)</f>
        <v/>
      </c>
      <c r="D638" s="14" t="str">
        <f t="shared" si="2"/>
        <v/>
      </c>
      <c r="E638" s="14" t="str">
        <f t="shared" si="3"/>
        <v/>
      </c>
      <c r="F638" s="6" t="str">
        <f>IF($A638&lt;&gt;"",MAXIFS(Token!$B:$B,Token!$A:$A,$D638),)</f>
        <v/>
      </c>
    </row>
    <row r="639">
      <c r="A639" s="35" t="str">
        <f>IF(AND($L639*1&gt;=$G$3,$L639*1&lt;=$G$4,$I639*$J639&gt;0,CONCATENATE($H639:$L639)&lt;&gt;CONCATENATE($H640:$L640),$I639/POW(10,$J639)*MAXIFS(Token!$B:$B,Token!$A:$A,$K639)&gt;0.01),$L639/86400+DATE(1970,1,1)+IF($L639*1&gt;=$G$5,$G$6,0),)</f>
        <v/>
      </c>
      <c r="B639" s="22" t="str">
        <f t="shared" si="1"/>
        <v/>
      </c>
      <c r="C639" s="14" t="str">
        <f>IF($A639&lt;&gt;"",MINIFS(Merchant!$A:$A,Merchant!$B:$B,$G$2),)</f>
        <v/>
      </c>
      <c r="D639" s="14" t="str">
        <f t="shared" si="2"/>
        <v/>
      </c>
      <c r="E639" s="14" t="str">
        <f t="shared" si="3"/>
        <v/>
      </c>
      <c r="F639" s="6" t="str">
        <f>IF($A639&lt;&gt;"",MAXIFS(Token!$B:$B,Token!$A:$A,$D639),)</f>
        <v/>
      </c>
    </row>
    <row r="640">
      <c r="A640" s="35" t="str">
        <f>IF(AND($L640*1&gt;=$G$3,$L640*1&lt;=$G$4,$I640*$J640&gt;0,CONCATENATE($H640:$L640)&lt;&gt;CONCATENATE($H641:$L641),$I640/POW(10,$J640)*MAXIFS(Token!$B:$B,Token!$A:$A,$K640)&gt;0.01),$L640/86400+DATE(1970,1,1)+IF($L640*1&gt;=$G$5,$G$6,0),)</f>
        <v/>
      </c>
      <c r="B640" s="22" t="str">
        <f t="shared" si="1"/>
        <v/>
      </c>
      <c r="C640" s="14" t="str">
        <f>IF($A640&lt;&gt;"",MINIFS(Merchant!$A:$A,Merchant!$B:$B,$G$2),)</f>
        <v/>
      </c>
      <c r="D640" s="14" t="str">
        <f t="shared" si="2"/>
        <v/>
      </c>
      <c r="E640" s="14" t="str">
        <f t="shared" si="3"/>
        <v/>
      </c>
      <c r="F640" s="6" t="str">
        <f>IF($A640&lt;&gt;"",MAXIFS(Token!$B:$B,Token!$A:$A,$D640),)</f>
        <v/>
      </c>
    </row>
    <row r="641">
      <c r="A641" s="35" t="str">
        <f>IF(AND($L641*1&gt;=$G$3,$L641*1&lt;=$G$4,$I641*$J641&gt;0,CONCATENATE($H641:$L641)&lt;&gt;CONCATENATE($H642:$L642),$I641/POW(10,$J641)*MAXIFS(Token!$B:$B,Token!$A:$A,$K641)&gt;0.01),$L641/86400+DATE(1970,1,1)+IF($L641*1&gt;=$G$5,$G$6,0),)</f>
        <v/>
      </c>
      <c r="B641" s="22" t="str">
        <f t="shared" si="1"/>
        <v/>
      </c>
      <c r="C641" s="14" t="str">
        <f>IF($A641&lt;&gt;"",MINIFS(Merchant!$A:$A,Merchant!$B:$B,$G$2),)</f>
        <v/>
      </c>
      <c r="D641" s="14" t="str">
        <f t="shared" si="2"/>
        <v/>
      </c>
      <c r="E641" s="14" t="str">
        <f t="shared" si="3"/>
        <v/>
      </c>
      <c r="F641" s="6" t="str">
        <f>IF($A641&lt;&gt;"",MAXIFS(Token!$B:$B,Token!$A:$A,$D641),)</f>
        <v/>
      </c>
    </row>
    <row r="642">
      <c r="A642" s="35" t="str">
        <f>IF(AND($L642*1&gt;=$G$3,$L642*1&lt;=$G$4,$I642*$J642&gt;0,CONCATENATE($H642:$L642)&lt;&gt;CONCATENATE($H643:$L643),$I642/POW(10,$J642)*MAXIFS(Token!$B:$B,Token!$A:$A,$K642)&gt;0.01),$L642/86400+DATE(1970,1,1)+IF($L642*1&gt;=$G$5,$G$6,0),)</f>
        <v/>
      </c>
      <c r="B642" s="22" t="str">
        <f t="shared" si="1"/>
        <v/>
      </c>
      <c r="C642" s="14" t="str">
        <f>IF($A642&lt;&gt;"",MINIFS(Merchant!$A:$A,Merchant!$B:$B,$G$2),)</f>
        <v/>
      </c>
      <c r="D642" s="14" t="str">
        <f t="shared" si="2"/>
        <v/>
      </c>
      <c r="E642" s="14" t="str">
        <f t="shared" si="3"/>
        <v/>
      </c>
      <c r="F642" s="6" t="str">
        <f>IF($A642&lt;&gt;"",MAXIFS(Token!$B:$B,Token!$A:$A,$D642),)</f>
        <v/>
      </c>
    </row>
    <row r="643">
      <c r="A643" s="35" t="str">
        <f>IF(AND($L643*1&gt;=$G$3,$L643*1&lt;=$G$4,$I643*$J643&gt;0,CONCATENATE($H643:$L643)&lt;&gt;CONCATENATE($H644:$L644),$I643/POW(10,$J643)*MAXIFS(Token!$B:$B,Token!$A:$A,$K643)&gt;0.01),$L643/86400+DATE(1970,1,1)+IF($L643*1&gt;=$G$5,$G$6,0),)</f>
        <v/>
      </c>
      <c r="B643" s="22" t="str">
        <f t="shared" si="1"/>
        <v/>
      </c>
      <c r="C643" s="14" t="str">
        <f>IF($A643&lt;&gt;"",MINIFS(Merchant!$A:$A,Merchant!$B:$B,$G$2),)</f>
        <v/>
      </c>
      <c r="D643" s="14" t="str">
        <f t="shared" si="2"/>
        <v/>
      </c>
      <c r="E643" s="14" t="str">
        <f t="shared" si="3"/>
        <v/>
      </c>
      <c r="F643" s="6" t="str">
        <f>IF($A643&lt;&gt;"",MAXIFS(Token!$B:$B,Token!$A:$A,$D643),)</f>
        <v/>
      </c>
    </row>
    <row r="644">
      <c r="A644" s="35" t="str">
        <f>IF(AND($L644*1&gt;=$G$3,$L644*1&lt;=$G$4,$I644*$J644&gt;0,CONCATENATE($H644:$L644)&lt;&gt;CONCATENATE($H645:$L645),$I644/POW(10,$J644)*MAXIFS(Token!$B:$B,Token!$A:$A,$K644)&gt;0.01),$L644/86400+DATE(1970,1,1)+IF($L644*1&gt;=$G$5,$G$6,0),)</f>
        <v/>
      </c>
      <c r="B644" s="22" t="str">
        <f t="shared" si="1"/>
        <v/>
      </c>
      <c r="C644" s="14" t="str">
        <f>IF($A644&lt;&gt;"",MINIFS(Merchant!$A:$A,Merchant!$B:$B,$G$2),)</f>
        <v/>
      </c>
      <c r="D644" s="14" t="str">
        <f t="shared" si="2"/>
        <v/>
      </c>
      <c r="E644" s="14" t="str">
        <f t="shared" si="3"/>
        <v/>
      </c>
      <c r="F644" s="6" t="str">
        <f>IF($A644&lt;&gt;"",MAXIFS(Token!$B:$B,Token!$A:$A,$D644),)</f>
        <v/>
      </c>
    </row>
    <row r="645">
      <c r="A645" s="35" t="str">
        <f>IF(AND($L645*1&gt;=$G$3,$L645*1&lt;=$G$4,$I645*$J645&gt;0,CONCATENATE($H645:$L645)&lt;&gt;CONCATENATE($H646:$L646),$I645/POW(10,$J645)*MAXIFS(Token!$B:$B,Token!$A:$A,$K645)&gt;0.01),$L645/86400+DATE(1970,1,1)+IF($L645*1&gt;=$G$5,$G$6,0),)</f>
        <v/>
      </c>
      <c r="B645" s="22" t="str">
        <f t="shared" si="1"/>
        <v/>
      </c>
      <c r="C645" s="14" t="str">
        <f>IF($A645&lt;&gt;"",MINIFS(Merchant!$A:$A,Merchant!$B:$B,$G$2),)</f>
        <v/>
      </c>
      <c r="D645" s="14" t="str">
        <f t="shared" si="2"/>
        <v/>
      </c>
      <c r="E645" s="14" t="str">
        <f t="shared" si="3"/>
        <v/>
      </c>
      <c r="F645" s="6" t="str">
        <f>IF($A645&lt;&gt;"",MAXIFS(Token!$B:$B,Token!$A:$A,$D645),)</f>
        <v/>
      </c>
    </row>
    <row r="646">
      <c r="A646" s="35" t="str">
        <f>IF(AND($L646*1&gt;=$G$3,$L646*1&lt;=$G$4,$I646*$J646&gt;0,CONCATENATE($H646:$L646)&lt;&gt;CONCATENATE($H647:$L647),$I646/POW(10,$J646)*MAXIFS(Token!$B:$B,Token!$A:$A,$K646)&gt;0.01),$L646/86400+DATE(1970,1,1)+IF($L646*1&gt;=$G$5,$G$6,0),)</f>
        <v/>
      </c>
      <c r="B646" s="22" t="str">
        <f t="shared" si="1"/>
        <v/>
      </c>
      <c r="C646" s="14" t="str">
        <f>IF($A646&lt;&gt;"",MINIFS(Merchant!$A:$A,Merchant!$B:$B,$G$2),)</f>
        <v/>
      </c>
      <c r="D646" s="14" t="str">
        <f t="shared" si="2"/>
        <v/>
      </c>
      <c r="E646" s="14" t="str">
        <f t="shared" si="3"/>
        <v/>
      </c>
      <c r="F646" s="6" t="str">
        <f>IF($A646&lt;&gt;"",MAXIFS(Token!$B:$B,Token!$A:$A,$D646),)</f>
        <v/>
      </c>
    </row>
    <row r="647">
      <c r="A647" s="35" t="str">
        <f>IF(AND($L647*1&gt;=$G$3,$L647*1&lt;=$G$4,$I647*$J647&gt;0,CONCATENATE($H647:$L647)&lt;&gt;CONCATENATE($H648:$L648),$I647/POW(10,$J647)*MAXIFS(Token!$B:$B,Token!$A:$A,$K647)&gt;0.01),$L647/86400+DATE(1970,1,1)+IF($L647*1&gt;=$G$5,$G$6,0),)</f>
        <v/>
      </c>
      <c r="B647" s="22" t="str">
        <f t="shared" si="1"/>
        <v/>
      </c>
      <c r="C647" s="14" t="str">
        <f>IF($A647&lt;&gt;"",MINIFS(Merchant!$A:$A,Merchant!$B:$B,$G$2),)</f>
        <v/>
      </c>
      <c r="D647" s="14" t="str">
        <f t="shared" si="2"/>
        <v/>
      </c>
      <c r="E647" s="14" t="str">
        <f t="shared" si="3"/>
        <v/>
      </c>
      <c r="F647" s="6" t="str">
        <f>IF($A647&lt;&gt;"",MAXIFS(Token!$B:$B,Token!$A:$A,$D647),)</f>
        <v/>
      </c>
    </row>
    <row r="648">
      <c r="A648" s="35" t="str">
        <f>IF(AND($L648*1&gt;=$G$3,$L648*1&lt;=$G$4,$I648*$J648&gt;0,CONCATENATE($H648:$L648)&lt;&gt;CONCATENATE($H649:$L649),$I648/POW(10,$J648)*MAXIFS(Token!$B:$B,Token!$A:$A,$K648)&gt;0.01),$L648/86400+DATE(1970,1,1)+IF($L648*1&gt;=$G$5,$G$6,0),)</f>
        <v/>
      </c>
      <c r="B648" s="22" t="str">
        <f t="shared" si="1"/>
        <v/>
      </c>
      <c r="C648" s="14" t="str">
        <f>IF($A648&lt;&gt;"",MINIFS(Merchant!$A:$A,Merchant!$B:$B,$G$2),)</f>
        <v/>
      </c>
      <c r="D648" s="14" t="str">
        <f t="shared" si="2"/>
        <v/>
      </c>
      <c r="E648" s="14" t="str">
        <f t="shared" si="3"/>
        <v/>
      </c>
      <c r="F648" s="6" t="str">
        <f>IF($A648&lt;&gt;"",MAXIFS(Token!$B:$B,Token!$A:$A,$D648),)</f>
        <v/>
      </c>
    </row>
    <row r="649">
      <c r="A649" s="35" t="str">
        <f>IF(AND($L649*1&gt;=$G$3,$L649*1&lt;=$G$4,$I649*$J649&gt;0,CONCATENATE($H649:$L649)&lt;&gt;CONCATENATE($H650:$L650),$I649/POW(10,$J649)*MAXIFS(Token!$B:$B,Token!$A:$A,$K649)&gt;0.01),$L649/86400+DATE(1970,1,1)+IF($L649*1&gt;=$G$5,$G$6,0),)</f>
        <v/>
      </c>
      <c r="B649" s="22" t="str">
        <f t="shared" si="1"/>
        <v/>
      </c>
      <c r="C649" s="14" t="str">
        <f>IF($A649&lt;&gt;"",MINIFS(Merchant!$A:$A,Merchant!$B:$B,$G$2),)</f>
        <v/>
      </c>
      <c r="D649" s="14" t="str">
        <f t="shared" si="2"/>
        <v/>
      </c>
      <c r="E649" s="14" t="str">
        <f t="shared" si="3"/>
        <v/>
      </c>
      <c r="F649" s="6" t="str">
        <f>IF($A649&lt;&gt;"",MAXIFS(Token!$B:$B,Token!$A:$A,$D649),)</f>
        <v/>
      </c>
    </row>
    <row r="650">
      <c r="A650" s="35" t="str">
        <f>IF(AND($L650*1&gt;=$G$3,$L650*1&lt;=$G$4,$I650*$J650&gt;0,CONCATENATE($H650:$L650)&lt;&gt;CONCATENATE($H651:$L651),$I650/POW(10,$J650)*MAXIFS(Token!$B:$B,Token!$A:$A,$K650)&gt;0.01),$L650/86400+DATE(1970,1,1)+IF($L650*1&gt;=$G$5,$G$6,0),)</f>
        <v/>
      </c>
      <c r="B650" s="22" t="str">
        <f t="shared" si="1"/>
        <v/>
      </c>
      <c r="C650" s="14" t="str">
        <f>IF($A650&lt;&gt;"",MINIFS(Merchant!$A:$A,Merchant!$B:$B,$G$2),)</f>
        <v/>
      </c>
      <c r="D650" s="14" t="str">
        <f t="shared" si="2"/>
        <v/>
      </c>
      <c r="E650" s="14" t="str">
        <f t="shared" si="3"/>
        <v/>
      </c>
      <c r="F650" s="6" t="str">
        <f>IF($A650&lt;&gt;"",MAXIFS(Token!$B:$B,Token!$A:$A,$D650),)</f>
        <v/>
      </c>
    </row>
    <row r="651">
      <c r="A651" s="35" t="str">
        <f>IF(AND($L651*1&gt;=$G$3,$L651*1&lt;=$G$4,$I651*$J651&gt;0,CONCATENATE($H651:$L651)&lt;&gt;CONCATENATE($H652:$L652),$I651/POW(10,$J651)*MAXIFS(Token!$B:$B,Token!$A:$A,$K651)&gt;0.01),$L651/86400+DATE(1970,1,1)+IF($L651*1&gt;=$G$5,$G$6,0),)</f>
        <v/>
      </c>
      <c r="B651" s="22" t="str">
        <f t="shared" si="1"/>
        <v/>
      </c>
      <c r="C651" s="14" t="str">
        <f>IF($A651&lt;&gt;"",MINIFS(Merchant!$A:$A,Merchant!$B:$B,$G$2),)</f>
        <v/>
      </c>
      <c r="D651" s="14" t="str">
        <f t="shared" si="2"/>
        <v/>
      </c>
      <c r="E651" s="14" t="str">
        <f t="shared" si="3"/>
        <v/>
      </c>
      <c r="F651" s="6" t="str">
        <f>IF($A651&lt;&gt;"",MAXIFS(Token!$B:$B,Token!$A:$A,$D651),)</f>
        <v/>
      </c>
    </row>
    <row r="652">
      <c r="A652" s="35" t="str">
        <f>IF(AND($L652*1&gt;=$G$3,$L652*1&lt;=$G$4,$I652*$J652&gt;0,CONCATENATE($H652:$L652)&lt;&gt;CONCATENATE($H653:$L653),$I652/POW(10,$J652)*MAXIFS(Token!$B:$B,Token!$A:$A,$K652)&gt;0.01),$L652/86400+DATE(1970,1,1)+IF($L652*1&gt;=$G$5,$G$6,0),)</f>
        <v/>
      </c>
      <c r="B652" s="22" t="str">
        <f t="shared" si="1"/>
        <v/>
      </c>
      <c r="C652" s="14" t="str">
        <f>IF($A652&lt;&gt;"",MINIFS(Merchant!$A:$A,Merchant!$B:$B,$G$2),)</f>
        <v/>
      </c>
      <c r="D652" s="14" t="str">
        <f t="shared" si="2"/>
        <v/>
      </c>
      <c r="E652" s="14" t="str">
        <f t="shared" si="3"/>
        <v/>
      </c>
      <c r="F652" s="6" t="str">
        <f>IF($A652&lt;&gt;"",MAXIFS(Token!$B:$B,Token!$A:$A,$D652),)</f>
        <v/>
      </c>
    </row>
    <row r="653">
      <c r="A653" s="35" t="str">
        <f>IF(AND($L653*1&gt;=$G$3,$L653*1&lt;=$G$4,$I653*$J653&gt;0,CONCATENATE($H653:$L653)&lt;&gt;CONCATENATE($H654:$L654),$I653/POW(10,$J653)*MAXIFS(Token!$B:$B,Token!$A:$A,$K653)&gt;0.01),$L653/86400+DATE(1970,1,1)+IF($L653*1&gt;=$G$5,$G$6,0),)</f>
        <v/>
      </c>
      <c r="B653" s="22" t="str">
        <f t="shared" si="1"/>
        <v/>
      </c>
      <c r="C653" s="14" t="str">
        <f>IF($A653&lt;&gt;"",MINIFS(Merchant!$A:$A,Merchant!$B:$B,$G$2),)</f>
        <v/>
      </c>
      <c r="D653" s="14" t="str">
        <f t="shared" si="2"/>
        <v/>
      </c>
      <c r="E653" s="14" t="str">
        <f t="shared" si="3"/>
        <v/>
      </c>
      <c r="F653" s="6" t="str">
        <f>IF($A653&lt;&gt;"",MAXIFS(Token!$B:$B,Token!$A:$A,$D653),)</f>
        <v/>
      </c>
    </row>
    <row r="654">
      <c r="A654" s="35" t="str">
        <f>IF(AND($L654*1&gt;=$G$3,$L654*1&lt;=$G$4,$I654*$J654&gt;0,CONCATENATE($H654:$L654)&lt;&gt;CONCATENATE($H655:$L655),$I654/POW(10,$J654)*MAXIFS(Token!$B:$B,Token!$A:$A,$K654)&gt;0.01),$L654/86400+DATE(1970,1,1)+IF($L654*1&gt;=$G$5,$G$6,0),)</f>
        <v/>
      </c>
      <c r="B654" s="22" t="str">
        <f t="shared" si="1"/>
        <v/>
      </c>
      <c r="C654" s="14" t="str">
        <f>IF($A654&lt;&gt;"",MINIFS(Merchant!$A:$A,Merchant!$B:$B,$G$2),)</f>
        <v/>
      </c>
      <c r="D654" s="14" t="str">
        <f t="shared" si="2"/>
        <v/>
      </c>
      <c r="E654" s="14" t="str">
        <f t="shared" si="3"/>
        <v/>
      </c>
      <c r="F654" s="6" t="str">
        <f>IF($A654&lt;&gt;"",MAXIFS(Token!$B:$B,Token!$A:$A,$D654),)</f>
        <v/>
      </c>
    </row>
    <row r="655">
      <c r="A655" s="35" t="str">
        <f>IF(AND($L655*1&gt;=$G$3,$L655*1&lt;=$G$4,$I655*$J655&gt;0,CONCATENATE($H655:$L655)&lt;&gt;CONCATENATE($H656:$L656),$I655/POW(10,$J655)*MAXIFS(Token!$B:$B,Token!$A:$A,$K655)&gt;0.01),$L655/86400+DATE(1970,1,1)+IF($L655*1&gt;=$G$5,$G$6,0),)</f>
        <v/>
      </c>
      <c r="B655" s="22" t="str">
        <f t="shared" si="1"/>
        <v/>
      </c>
      <c r="C655" s="14" t="str">
        <f>IF($A655&lt;&gt;"",MINIFS(Merchant!$A:$A,Merchant!$B:$B,$G$2),)</f>
        <v/>
      </c>
      <c r="D655" s="14" t="str">
        <f t="shared" si="2"/>
        <v/>
      </c>
      <c r="E655" s="14" t="str">
        <f t="shared" si="3"/>
        <v/>
      </c>
      <c r="F655" s="6" t="str">
        <f>IF($A655&lt;&gt;"",MAXIFS(Token!$B:$B,Token!$A:$A,$D655),)</f>
        <v/>
      </c>
    </row>
    <row r="656">
      <c r="A656" s="35" t="str">
        <f>IF(AND($L656*1&gt;=$G$3,$L656*1&lt;=$G$4,$I656*$J656&gt;0,CONCATENATE($H656:$L656)&lt;&gt;CONCATENATE($H657:$L657),$I656/POW(10,$J656)*MAXIFS(Token!$B:$B,Token!$A:$A,$K656)&gt;0.01),$L656/86400+DATE(1970,1,1)+IF($L656*1&gt;=$G$5,$G$6,0),)</f>
        <v/>
      </c>
      <c r="B656" s="22" t="str">
        <f t="shared" si="1"/>
        <v/>
      </c>
      <c r="C656" s="14" t="str">
        <f>IF($A656&lt;&gt;"",MINIFS(Merchant!$A:$A,Merchant!$B:$B,$G$2),)</f>
        <v/>
      </c>
      <c r="D656" s="14" t="str">
        <f t="shared" si="2"/>
        <v/>
      </c>
      <c r="E656" s="14" t="str">
        <f t="shared" si="3"/>
        <v/>
      </c>
      <c r="F656" s="6" t="str">
        <f>IF($A656&lt;&gt;"",MAXIFS(Token!$B:$B,Token!$A:$A,$D656),)</f>
        <v/>
      </c>
    </row>
    <row r="657">
      <c r="A657" s="35" t="str">
        <f>IF(AND($L657*1&gt;=$G$3,$L657*1&lt;=$G$4,$I657*$J657&gt;0,CONCATENATE($H657:$L657)&lt;&gt;CONCATENATE($H658:$L658),$I657/POW(10,$J657)*MAXIFS(Token!$B:$B,Token!$A:$A,$K657)&gt;0.01),$L657/86400+DATE(1970,1,1)+IF($L657*1&gt;=$G$5,$G$6,0),)</f>
        <v/>
      </c>
      <c r="B657" s="22" t="str">
        <f t="shared" si="1"/>
        <v/>
      </c>
      <c r="C657" s="14" t="str">
        <f>IF($A657&lt;&gt;"",MINIFS(Merchant!$A:$A,Merchant!$B:$B,$G$2),)</f>
        <v/>
      </c>
      <c r="D657" s="14" t="str">
        <f t="shared" si="2"/>
        <v/>
      </c>
      <c r="E657" s="14" t="str">
        <f t="shared" si="3"/>
        <v/>
      </c>
      <c r="F657" s="6" t="str">
        <f>IF($A657&lt;&gt;"",MAXIFS(Token!$B:$B,Token!$A:$A,$D657),)</f>
        <v/>
      </c>
    </row>
    <row r="658">
      <c r="A658" s="35" t="str">
        <f>IF(AND($L658*1&gt;=$G$3,$L658*1&lt;=$G$4,$I658*$J658&gt;0,CONCATENATE($H658:$L658)&lt;&gt;CONCATENATE($H659:$L659),$I658/POW(10,$J658)*MAXIFS(Token!$B:$B,Token!$A:$A,$K658)&gt;0.01),$L658/86400+DATE(1970,1,1)+IF($L658*1&gt;=$G$5,$G$6,0),)</f>
        <v/>
      </c>
      <c r="B658" s="22" t="str">
        <f t="shared" si="1"/>
        <v/>
      </c>
      <c r="C658" s="14" t="str">
        <f>IF($A658&lt;&gt;"",MINIFS(Merchant!$A:$A,Merchant!$B:$B,$G$2),)</f>
        <v/>
      </c>
      <c r="D658" s="14" t="str">
        <f t="shared" si="2"/>
        <v/>
      </c>
      <c r="E658" s="14" t="str">
        <f t="shared" si="3"/>
        <v/>
      </c>
      <c r="F658" s="6" t="str">
        <f>IF($A658&lt;&gt;"",MAXIFS(Token!$B:$B,Token!$A:$A,$D658),)</f>
        <v/>
      </c>
    </row>
    <row r="659">
      <c r="A659" s="35" t="str">
        <f>IF(AND($L659*1&gt;=$G$3,$L659*1&lt;=$G$4,$I659*$J659&gt;0,CONCATENATE($H659:$L659)&lt;&gt;CONCATENATE($H660:$L660),$I659/POW(10,$J659)*MAXIFS(Token!$B:$B,Token!$A:$A,$K659)&gt;0.01),$L659/86400+DATE(1970,1,1)+IF($L659*1&gt;=$G$5,$G$6,0),)</f>
        <v/>
      </c>
      <c r="B659" s="22" t="str">
        <f t="shared" si="1"/>
        <v/>
      </c>
      <c r="C659" s="14" t="str">
        <f>IF($A659&lt;&gt;"",MINIFS(Merchant!$A:$A,Merchant!$B:$B,$G$2),)</f>
        <v/>
      </c>
      <c r="D659" s="14" t="str">
        <f t="shared" si="2"/>
        <v/>
      </c>
      <c r="E659" s="14" t="str">
        <f t="shared" si="3"/>
        <v/>
      </c>
      <c r="F659" s="6" t="str">
        <f>IF($A659&lt;&gt;"",MAXIFS(Token!$B:$B,Token!$A:$A,$D659),)</f>
        <v/>
      </c>
    </row>
    <row r="660">
      <c r="A660" s="35" t="str">
        <f>IF(AND($L660*1&gt;=$G$3,$L660*1&lt;=$G$4,$I660*$J660&gt;0,CONCATENATE($H660:$L660)&lt;&gt;CONCATENATE($H661:$L661),$I660/POW(10,$J660)*MAXIFS(Token!$B:$B,Token!$A:$A,$K660)&gt;0.01),$L660/86400+DATE(1970,1,1)+IF($L660*1&gt;=$G$5,$G$6,0),)</f>
        <v/>
      </c>
      <c r="B660" s="22" t="str">
        <f t="shared" si="1"/>
        <v/>
      </c>
      <c r="C660" s="14" t="str">
        <f>IF($A660&lt;&gt;"",MINIFS(Merchant!$A:$A,Merchant!$B:$B,$G$2),)</f>
        <v/>
      </c>
      <c r="D660" s="14" t="str">
        <f t="shared" si="2"/>
        <v/>
      </c>
      <c r="E660" s="14" t="str">
        <f t="shared" si="3"/>
        <v/>
      </c>
      <c r="F660" s="6" t="str">
        <f>IF($A660&lt;&gt;"",MAXIFS(Token!$B:$B,Token!$A:$A,$D660),)</f>
        <v/>
      </c>
    </row>
    <row r="661">
      <c r="A661" s="35" t="str">
        <f>IF(AND($L661*1&gt;=$G$3,$L661*1&lt;=$G$4,$I661*$J661&gt;0,CONCATENATE($H661:$L661)&lt;&gt;CONCATENATE($H662:$L662),$I661/POW(10,$J661)*MAXIFS(Token!$B:$B,Token!$A:$A,$K661)&gt;0.01),$L661/86400+DATE(1970,1,1)+IF($L661*1&gt;=$G$5,$G$6,0),)</f>
        <v/>
      </c>
      <c r="B661" s="22" t="str">
        <f t="shared" si="1"/>
        <v/>
      </c>
      <c r="C661" s="14" t="str">
        <f>IF($A661&lt;&gt;"",MINIFS(Merchant!$A:$A,Merchant!$B:$B,$G$2),)</f>
        <v/>
      </c>
      <c r="D661" s="14" t="str">
        <f t="shared" si="2"/>
        <v/>
      </c>
      <c r="E661" s="14" t="str">
        <f t="shared" si="3"/>
        <v/>
      </c>
      <c r="F661" s="6" t="str">
        <f>IF($A661&lt;&gt;"",MAXIFS(Token!$B:$B,Token!$A:$A,$D661),)</f>
        <v/>
      </c>
    </row>
    <row r="662">
      <c r="A662" s="35" t="str">
        <f>IF(AND($L662*1&gt;=$G$3,$L662*1&lt;=$G$4,$I662*$J662&gt;0,CONCATENATE($H662:$L662)&lt;&gt;CONCATENATE($H663:$L663),$I662/POW(10,$J662)*MAXIFS(Token!$B:$B,Token!$A:$A,$K662)&gt;0.01),$L662/86400+DATE(1970,1,1)+IF($L662*1&gt;=$G$5,$G$6,0),)</f>
        <v/>
      </c>
      <c r="B662" s="22" t="str">
        <f t="shared" si="1"/>
        <v/>
      </c>
      <c r="C662" s="14" t="str">
        <f>IF($A662&lt;&gt;"",MINIFS(Merchant!$A:$A,Merchant!$B:$B,$G$2),)</f>
        <v/>
      </c>
      <c r="D662" s="14" t="str">
        <f t="shared" si="2"/>
        <v/>
      </c>
      <c r="E662" s="14" t="str">
        <f t="shared" si="3"/>
        <v/>
      </c>
      <c r="F662" s="6" t="str">
        <f>IF($A662&lt;&gt;"",MAXIFS(Token!$B:$B,Token!$A:$A,$D662),)</f>
        <v/>
      </c>
    </row>
    <row r="663">
      <c r="A663" s="35" t="str">
        <f>IF(AND($L663*1&gt;=$G$3,$L663*1&lt;=$G$4,$I663*$J663&gt;0,CONCATENATE($H663:$L663)&lt;&gt;CONCATENATE($H664:$L664),$I663/POW(10,$J663)*MAXIFS(Token!$B:$B,Token!$A:$A,$K663)&gt;0.01),$L663/86400+DATE(1970,1,1)+IF($L663*1&gt;=$G$5,$G$6,0),)</f>
        <v/>
      </c>
      <c r="B663" s="22" t="str">
        <f t="shared" si="1"/>
        <v/>
      </c>
      <c r="C663" s="14" t="str">
        <f>IF($A663&lt;&gt;"",MINIFS(Merchant!$A:$A,Merchant!$B:$B,$G$2),)</f>
        <v/>
      </c>
      <c r="D663" s="14" t="str">
        <f t="shared" si="2"/>
        <v/>
      </c>
      <c r="E663" s="14" t="str">
        <f t="shared" si="3"/>
        <v/>
      </c>
      <c r="F663" s="6" t="str">
        <f>IF($A663&lt;&gt;"",MAXIFS(Token!$B:$B,Token!$A:$A,$D663),)</f>
        <v/>
      </c>
    </row>
    <row r="664">
      <c r="A664" s="35" t="str">
        <f>IF(AND($L664*1&gt;=$G$3,$L664*1&lt;=$G$4,$I664*$J664&gt;0,CONCATENATE($H664:$L664)&lt;&gt;CONCATENATE($H665:$L665),$I664/POW(10,$J664)*MAXIFS(Token!$B:$B,Token!$A:$A,$K664)&gt;0.01),$L664/86400+DATE(1970,1,1)+IF($L664*1&gt;=$G$5,$G$6,0),)</f>
        <v/>
      </c>
      <c r="B664" s="22" t="str">
        <f t="shared" si="1"/>
        <v/>
      </c>
      <c r="C664" s="14" t="str">
        <f>IF($A664&lt;&gt;"",MINIFS(Merchant!$A:$A,Merchant!$B:$B,$G$2),)</f>
        <v/>
      </c>
      <c r="D664" s="14" t="str">
        <f t="shared" si="2"/>
        <v/>
      </c>
      <c r="E664" s="14" t="str">
        <f t="shared" si="3"/>
        <v/>
      </c>
      <c r="F664" s="6" t="str">
        <f>IF($A664&lt;&gt;"",MAXIFS(Token!$B:$B,Token!$A:$A,$D664),)</f>
        <v/>
      </c>
    </row>
    <row r="665">
      <c r="A665" s="35" t="str">
        <f>IF(AND($L665*1&gt;=$G$3,$L665*1&lt;=$G$4,$I665*$J665&gt;0,CONCATENATE($H665:$L665)&lt;&gt;CONCATENATE($H666:$L666),$I665/POW(10,$J665)*MAXIFS(Token!$B:$B,Token!$A:$A,$K665)&gt;0.01),$L665/86400+DATE(1970,1,1)+IF($L665*1&gt;=$G$5,$G$6,0),)</f>
        <v/>
      </c>
      <c r="B665" s="22" t="str">
        <f t="shared" si="1"/>
        <v/>
      </c>
      <c r="C665" s="14" t="str">
        <f>IF($A665&lt;&gt;"",MINIFS(Merchant!$A:$A,Merchant!$B:$B,$G$2),)</f>
        <v/>
      </c>
      <c r="D665" s="14" t="str">
        <f t="shared" si="2"/>
        <v/>
      </c>
      <c r="E665" s="14" t="str">
        <f t="shared" si="3"/>
        <v/>
      </c>
      <c r="F665" s="6" t="str">
        <f>IF($A665&lt;&gt;"",MAXIFS(Token!$B:$B,Token!$A:$A,$D665),)</f>
        <v/>
      </c>
    </row>
    <row r="666">
      <c r="A666" s="35" t="str">
        <f>IF(AND($L666*1&gt;=$G$3,$L666*1&lt;=$G$4,$I666*$J666&gt;0,CONCATENATE($H666:$L666)&lt;&gt;CONCATENATE($H667:$L667),$I666/POW(10,$J666)*MAXIFS(Token!$B:$B,Token!$A:$A,$K666)&gt;0.01),$L666/86400+DATE(1970,1,1)+IF($L666*1&gt;=$G$5,$G$6,0),)</f>
        <v/>
      </c>
      <c r="B666" s="22" t="str">
        <f t="shared" si="1"/>
        <v/>
      </c>
      <c r="C666" s="14" t="str">
        <f>IF($A666&lt;&gt;"",MINIFS(Merchant!$A:$A,Merchant!$B:$B,$G$2),)</f>
        <v/>
      </c>
      <c r="D666" s="14" t="str">
        <f t="shared" si="2"/>
        <v/>
      </c>
      <c r="E666" s="14" t="str">
        <f t="shared" si="3"/>
        <v/>
      </c>
      <c r="F666" s="6" t="str">
        <f>IF($A666&lt;&gt;"",MAXIFS(Token!$B:$B,Token!$A:$A,$D666),)</f>
        <v/>
      </c>
    </row>
    <row r="667">
      <c r="A667" s="35" t="str">
        <f>IF(AND($L667*1&gt;=$G$3,$L667*1&lt;=$G$4,$I667*$J667&gt;0,CONCATENATE($H667:$L667)&lt;&gt;CONCATENATE($H668:$L668),$I667/POW(10,$J667)*MAXIFS(Token!$B:$B,Token!$A:$A,$K667)&gt;0.01),$L667/86400+DATE(1970,1,1)+IF($L667*1&gt;=$G$5,$G$6,0),)</f>
        <v/>
      </c>
      <c r="B667" s="22" t="str">
        <f t="shared" si="1"/>
        <v/>
      </c>
      <c r="C667" s="14" t="str">
        <f>IF($A667&lt;&gt;"",MINIFS(Merchant!$A:$A,Merchant!$B:$B,$G$2),)</f>
        <v/>
      </c>
      <c r="D667" s="14" t="str">
        <f t="shared" si="2"/>
        <v/>
      </c>
      <c r="E667" s="14" t="str">
        <f t="shared" si="3"/>
        <v/>
      </c>
      <c r="F667" s="6" t="str">
        <f>IF($A667&lt;&gt;"",MAXIFS(Token!$B:$B,Token!$A:$A,$D667),)</f>
        <v/>
      </c>
    </row>
    <row r="668">
      <c r="A668" s="35" t="str">
        <f>IF(AND($L668*1&gt;=$G$3,$L668*1&lt;=$G$4,$I668*$J668&gt;0,CONCATENATE($H668:$L668)&lt;&gt;CONCATENATE($H669:$L669),$I668/POW(10,$J668)*MAXIFS(Token!$B:$B,Token!$A:$A,$K668)&gt;0.01),$L668/86400+DATE(1970,1,1)+IF($L668*1&gt;=$G$5,$G$6,0),)</f>
        <v/>
      </c>
      <c r="B668" s="22" t="str">
        <f t="shared" si="1"/>
        <v/>
      </c>
      <c r="C668" s="14" t="str">
        <f>IF($A668&lt;&gt;"",MINIFS(Merchant!$A:$A,Merchant!$B:$B,$G$2),)</f>
        <v/>
      </c>
      <c r="D668" s="14" t="str">
        <f t="shared" si="2"/>
        <v/>
      </c>
      <c r="E668" s="14" t="str">
        <f t="shared" si="3"/>
        <v/>
      </c>
      <c r="F668" s="6" t="str">
        <f>IF($A668&lt;&gt;"",MAXIFS(Token!$B:$B,Token!$A:$A,$D668),)</f>
        <v/>
      </c>
    </row>
    <row r="669">
      <c r="A669" s="35" t="str">
        <f>IF(AND($L669*1&gt;=$G$3,$L669*1&lt;=$G$4,$I669*$J669&gt;0,CONCATENATE($H669:$L669)&lt;&gt;CONCATENATE($H670:$L670),$I669/POW(10,$J669)*MAXIFS(Token!$B:$B,Token!$A:$A,$K669)&gt;0.01),$L669/86400+DATE(1970,1,1)+IF($L669*1&gt;=$G$5,$G$6,0),)</f>
        <v/>
      </c>
      <c r="B669" s="22" t="str">
        <f t="shared" si="1"/>
        <v/>
      </c>
      <c r="C669" s="14" t="str">
        <f>IF($A669&lt;&gt;"",MINIFS(Merchant!$A:$A,Merchant!$B:$B,$G$2),)</f>
        <v/>
      </c>
      <c r="D669" s="14" t="str">
        <f t="shared" si="2"/>
        <v/>
      </c>
      <c r="E669" s="14" t="str">
        <f t="shared" si="3"/>
        <v/>
      </c>
      <c r="F669" s="6" t="str">
        <f>IF($A669&lt;&gt;"",MAXIFS(Token!$B:$B,Token!$A:$A,$D669),)</f>
        <v/>
      </c>
    </row>
    <row r="670">
      <c r="A670" s="35" t="str">
        <f>IF(AND($L670*1&gt;=$G$3,$L670*1&lt;=$G$4,$I670*$J670&gt;0,CONCATENATE($H670:$L670)&lt;&gt;CONCATENATE($H671:$L671),$I670/POW(10,$J670)*MAXIFS(Token!$B:$B,Token!$A:$A,$K670)&gt;0.01),$L670/86400+DATE(1970,1,1)+IF($L670*1&gt;=$G$5,$G$6,0),)</f>
        <v/>
      </c>
      <c r="B670" s="22" t="str">
        <f t="shared" si="1"/>
        <v/>
      </c>
      <c r="C670" s="14" t="str">
        <f>IF($A670&lt;&gt;"",MINIFS(Merchant!$A:$A,Merchant!$B:$B,$G$2),)</f>
        <v/>
      </c>
      <c r="D670" s="14" t="str">
        <f t="shared" si="2"/>
        <v/>
      </c>
      <c r="E670" s="14" t="str">
        <f t="shared" si="3"/>
        <v/>
      </c>
      <c r="F670" s="6" t="str">
        <f>IF($A670&lt;&gt;"",MAXIFS(Token!$B:$B,Token!$A:$A,$D670),)</f>
        <v/>
      </c>
    </row>
    <row r="671">
      <c r="A671" s="35" t="str">
        <f>IF(AND($L671*1&gt;=$G$3,$L671*1&lt;=$G$4,$I671*$J671&gt;0,CONCATENATE($H671:$L671)&lt;&gt;CONCATENATE($H672:$L672),$I671/POW(10,$J671)*MAXIFS(Token!$B:$B,Token!$A:$A,$K671)&gt;0.01),$L671/86400+DATE(1970,1,1)+IF($L671*1&gt;=$G$5,$G$6,0),)</f>
        <v/>
      </c>
      <c r="B671" s="22" t="str">
        <f t="shared" si="1"/>
        <v/>
      </c>
      <c r="C671" s="14" t="str">
        <f>IF($A671&lt;&gt;"",MINIFS(Merchant!$A:$A,Merchant!$B:$B,$G$2),)</f>
        <v/>
      </c>
      <c r="D671" s="14" t="str">
        <f t="shared" si="2"/>
        <v/>
      </c>
      <c r="E671" s="14" t="str">
        <f t="shared" si="3"/>
        <v/>
      </c>
      <c r="F671" s="6" t="str">
        <f>IF($A671&lt;&gt;"",MAXIFS(Token!$B:$B,Token!$A:$A,$D671),)</f>
        <v/>
      </c>
    </row>
    <row r="672">
      <c r="A672" s="35" t="str">
        <f>IF(AND($L672*1&gt;=$G$3,$L672*1&lt;=$G$4,$I672*$J672&gt;0,CONCATENATE($H672:$L672)&lt;&gt;CONCATENATE($H673:$L673),$I672/POW(10,$J672)*MAXIFS(Token!$B:$B,Token!$A:$A,$K672)&gt;0.01),$L672/86400+DATE(1970,1,1)+IF($L672*1&gt;=$G$5,$G$6,0),)</f>
        <v/>
      </c>
      <c r="B672" s="22" t="str">
        <f t="shared" si="1"/>
        <v/>
      </c>
      <c r="C672" s="14" t="str">
        <f>IF($A672&lt;&gt;"",MINIFS(Merchant!$A:$A,Merchant!$B:$B,$G$2),)</f>
        <v/>
      </c>
      <c r="D672" s="14" t="str">
        <f t="shared" si="2"/>
        <v/>
      </c>
      <c r="E672" s="14" t="str">
        <f t="shared" si="3"/>
        <v/>
      </c>
      <c r="F672" s="6" t="str">
        <f>IF($A672&lt;&gt;"",MAXIFS(Token!$B:$B,Token!$A:$A,$D672),)</f>
        <v/>
      </c>
    </row>
    <row r="673">
      <c r="A673" s="35" t="str">
        <f>IF(AND($L673*1&gt;=$G$3,$L673*1&lt;=$G$4,$I673*$J673&gt;0,CONCATENATE($H673:$L673)&lt;&gt;CONCATENATE($H674:$L674),$I673/POW(10,$J673)*MAXIFS(Token!$B:$B,Token!$A:$A,$K673)&gt;0.01),$L673/86400+DATE(1970,1,1)+IF($L673*1&gt;=$G$5,$G$6,0),)</f>
        <v/>
      </c>
      <c r="B673" s="22" t="str">
        <f t="shared" si="1"/>
        <v/>
      </c>
      <c r="C673" s="14" t="str">
        <f>IF($A673&lt;&gt;"",MINIFS(Merchant!$A:$A,Merchant!$B:$B,$G$2),)</f>
        <v/>
      </c>
      <c r="D673" s="14" t="str">
        <f t="shared" si="2"/>
        <v/>
      </c>
      <c r="E673" s="14" t="str">
        <f t="shared" si="3"/>
        <v/>
      </c>
      <c r="F673" s="6" t="str">
        <f>IF($A673&lt;&gt;"",MAXIFS(Token!$B:$B,Token!$A:$A,$D673),)</f>
        <v/>
      </c>
    </row>
    <row r="674">
      <c r="A674" s="35" t="str">
        <f>IF(AND($L674*1&gt;=$G$3,$L674*1&lt;=$G$4,$I674*$J674&gt;0,CONCATENATE($H674:$L674)&lt;&gt;CONCATENATE($H675:$L675),$I674/POW(10,$J674)*MAXIFS(Token!$B:$B,Token!$A:$A,$K674)&gt;0.01),$L674/86400+DATE(1970,1,1)+IF($L674*1&gt;=$G$5,$G$6,0),)</f>
        <v/>
      </c>
      <c r="B674" s="22" t="str">
        <f t="shared" si="1"/>
        <v/>
      </c>
      <c r="C674" s="14" t="str">
        <f>IF($A674&lt;&gt;"",MINIFS(Merchant!$A:$A,Merchant!$B:$B,$G$2),)</f>
        <v/>
      </c>
      <c r="D674" s="14" t="str">
        <f t="shared" si="2"/>
        <v/>
      </c>
      <c r="E674" s="14" t="str">
        <f t="shared" si="3"/>
        <v/>
      </c>
      <c r="F674" s="6" t="str">
        <f>IF($A674&lt;&gt;"",MAXIFS(Token!$B:$B,Token!$A:$A,$D674),)</f>
        <v/>
      </c>
    </row>
    <row r="675">
      <c r="A675" s="35" t="str">
        <f>IF(AND($L675*1&gt;=$G$3,$L675*1&lt;=$G$4,$I675*$J675&gt;0,CONCATENATE($H675:$L675)&lt;&gt;CONCATENATE($H676:$L676),$I675/POW(10,$J675)*MAXIFS(Token!$B:$B,Token!$A:$A,$K675)&gt;0.01),$L675/86400+DATE(1970,1,1)+IF($L675*1&gt;=$G$5,$G$6,0),)</f>
        <v/>
      </c>
      <c r="B675" s="22" t="str">
        <f t="shared" si="1"/>
        <v/>
      </c>
      <c r="C675" s="14" t="str">
        <f>IF($A675&lt;&gt;"",MINIFS(Merchant!$A:$A,Merchant!$B:$B,$G$2),)</f>
        <v/>
      </c>
      <c r="D675" s="14" t="str">
        <f t="shared" si="2"/>
        <v/>
      </c>
      <c r="E675" s="14" t="str">
        <f t="shared" si="3"/>
        <v/>
      </c>
      <c r="F675" s="6" t="str">
        <f>IF($A675&lt;&gt;"",MAXIFS(Token!$B:$B,Token!$A:$A,$D675),)</f>
        <v/>
      </c>
    </row>
    <row r="676">
      <c r="A676" s="35" t="str">
        <f>IF(AND($L676*1&gt;=$G$3,$L676*1&lt;=$G$4,$I676*$J676&gt;0,CONCATENATE($H676:$L676)&lt;&gt;CONCATENATE($H677:$L677),$I676/POW(10,$J676)*MAXIFS(Token!$B:$B,Token!$A:$A,$K676)&gt;0.01),$L676/86400+DATE(1970,1,1)+IF($L676*1&gt;=$G$5,$G$6,0),)</f>
        <v/>
      </c>
      <c r="B676" s="22" t="str">
        <f t="shared" si="1"/>
        <v/>
      </c>
      <c r="C676" s="14" t="str">
        <f>IF($A676&lt;&gt;"",MINIFS(Merchant!$A:$A,Merchant!$B:$B,$G$2),)</f>
        <v/>
      </c>
      <c r="D676" s="14" t="str">
        <f t="shared" si="2"/>
        <v/>
      </c>
      <c r="E676" s="14" t="str">
        <f t="shared" si="3"/>
        <v/>
      </c>
      <c r="F676" s="6" t="str">
        <f>IF($A676&lt;&gt;"",MAXIFS(Token!$B:$B,Token!$A:$A,$D676),)</f>
        <v/>
      </c>
    </row>
    <row r="677">
      <c r="A677" s="35" t="str">
        <f>IF(AND($L677*1&gt;=$G$3,$L677*1&lt;=$G$4,$I677*$J677&gt;0,CONCATENATE($H677:$L677)&lt;&gt;CONCATENATE($H678:$L678),$I677/POW(10,$J677)*MAXIFS(Token!$B:$B,Token!$A:$A,$K677)&gt;0.01),$L677/86400+DATE(1970,1,1)+IF($L677*1&gt;=$G$5,$G$6,0),)</f>
        <v/>
      </c>
      <c r="B677" s="22" t="str">
        <f t="shared" si="1"/>
        <v/>
      </c>
      <c r="C677" s="14" t="str">
        <f>IF($A677&lt;&gt;"",MINIFS(Merchant!$A:$A,Merchant!$B:$B,$G$2),)</f>
        <v/>
      </c>
      <c r="D677" s="14" t="str">
        <f t="shared" si="2"/>
        <v/>
      </c>
      <c r="E677" s="14" t="str">
        <f t="shared" si="3"/>
        <v/>
      </c>
      <c r="F677" s="6" t="str">
        <f>IF($A677&lt;&gt;"",MAXIFS(Token!$B:$B,Token!$A:$A,$D677),)</f>
        <v/>
      </c>
    </row>
    <row r="678">
      <c r="A678" s="35" t="str">
        <f>IF(AND($L678*1&gt;=$G$3,$L678*1&lt;=$G$4,$I678*$J678&gt;0,CONCATENATE($H678:$L678)&lt;&gt;CONCATENATE($H679:$L679),$I678/POW(10,$J678)*MAXIFS(Token!$B:$B,Token!$A:$A,$K678)&gt;0.01),$L678/86400+DATE(1970,1,1)+IF($L678*1&gt;=$G$5,$G$6,0),)</f>
        <v/>
      </c>
      <c r="B678" s="22" t="str">
        <f t="shared" si="1"/>
        <v/>
      </c>
      <c r="C678" s="14" t="str">
        <f>IF($A678&lt;&gt;"",MINIFS(Merchant!$A:$A,Merchant!$B:$B,$G$2),)</f>
        <v/>
      </c>
      <c r="D678" s="14" t="str">
        <f t="shared" si="2"/>
        <v/>
      </c>
      <c r="E678" s="14" t="str">
        <f t="shared" si="3"/>
        <v/>
      </c>
      <c r="F678" s="6" t="str">
        <f>IF($A678&lt;&gt;"",MAXIFS(Token!$B:$B,Token!$A:$A,$D678),)</f>
        <v/>
      </c>
    </row>
    <row r="679">
      <c r="A679" s="35" t="str">
        <f>IF(AND($L679*1&gt;=$G$3,$L679*1&lt;=$G$4,$I679*$J679&gt;0,CONCATENATE($H679:$L679)&lt;&gt;CONCATENATE($H680:$L680),$I679/POW(10,$J679)*MAXIFS(Token!$B:$B,Token!$A:$A,$K679)&gt;0.01),$L679/86400+DATE(1970,1,1)+IF($L679*1&gt;=$G$5,$G$6,0),)</f>
        <v/>
      </c>
      <c r="B679" s="22" t="str">
        <f t="shared" si="1"/>
        <v/>
      </c>
      <c r="C679" s="14" t="str">
        <f>IF($A679&lt;&gt;"",MINIFS(Merchant!$A:$A,Merchant!$B:$B,$G$2),)</f>
        <v/>
      </c>
      <c r="D679" s="14" t="str">
        <f t="shared" si="2"/>
        <v/>
      </c>
      <c r="E679" s="14" t="str">
        <f t="shared" si="3"/>
        <v/>
      </c>
      <c r="F679" s="6" t="str">
        <f>IF($A679&lt;&gt;"",MAXIFS(Token!$B:$B,Token!$A:$A,$D679),)</f>
        <v/>
      </c>
    </row>
    <row r="680">
      <c r="A680" s="35" t="str">
        <f>IF(AND($L680*1&gt;=$G$3,$L680*1&lt;=$G$4,$I680*$J680&gt;0,CONCATENATE($H680:$L680)&lt;&gt;CONCATENATE($H681:$L681),$I680/POW(10,$J680)*MAXIFS(Token!$B:$B,Token!$A:$A,$K680)&gt;0.01),$L680/86400+DATE(1970,1,1)+IF($L680*1&gt;=$G$5,$G$6,0),)</f>
        <v/>
      </c>
      <c r="B680" s="22" t="str">
        <f t="shared" si="1"/>
        <v/>
      </c>
      <c r="C680" s="14" t="str">
        <f>IF($A680&lt;&gt;"",MINIFS(Merchant!$A:$A,Merchant!$B:$B,$G$2),)</f>
        <v/>
      </c>
      <c r="D680" s="14" t="str">
        <f t="shared" si="2"/>
        <v/>
      </c>
      <c r="E680" s="14" t="str">
        <f t="shared" si="3"/>
        <v/>
      </c>
      <c r="F680" s="6" t="str">
        <f>IF($A680&lt;&gt;"",MAXIFS(Token!$B:$B,Token!$A:$A,$D680),)</f>
        <v/>
      </c>
    </row>
    <row r="681">
      <c r="A681" s="35" t="str">
        <f>IF(AND($L681*1&gt;=$G$3,$L681*1&lt;=$G$4,$I681*$J681&gt;0,CONCATENATE($H681:$L681)&lt;&gt;CONCATENATE($H682:$L682),$I681/POW(10,$J681)*MAXIFS(Token!$B:$B,Token!$A:$A,$K681)&gt;0.01),$L681/86400+DATE(1970,1,1)+IF($L681*1&gt;=$G$5,$G$6,0),)</f>
        <v/>
      </c>
      <c r="B681" s="22" t="str">
        <f t="shared" si="1"/>
        <v/>
      </c>
      <c r="C681" s="14" t="str">
        <f>IF($A681&lt;&gt;"",MINIFS(Merchant!$A:$A,Merchant!$B:$B,$G$2),)</f>
        <v/>
      </c>
      <c r="D681" s="14" t="str">
        <f t="shared" si="2"/>
        <v/>
      </c>
      <c r="E681" s="14" t="str">
        <f t="shared" si="3"/>
        <v/>
      </c>
      <c r="F681" s="6" t="str">
        <f>IF($A681&lt;&gt;"",MAXIFS(Token!$B:$B,Token!$A:$A,$D681),)</f>
        <v/>
      </c>
    </row>
    <row r="682">
      <c r="A682" s="35" t="str">
        <f>IF(AND($L682*1&gt;=$G$3,$L682*1&lt;=$G$4,$I682*$J682&gt;0,CONCATENATE($H682:$L682)&lt;&gt;CONCATENATE($H683:$L683),$I682/POW(10,$J682)*MAXIFS(Token!$B:$B,Token!$A:$A,$K682)&gt;0.01),$L682/86400+DATE(1970,1,1)+IF($L682*1&gt;=$G$5,$G$6,0),)</f>
        <v/>
      </c>
      <c r="B682" s="22" t="str">
        <f t="shared" si="1"/>
        <v/>
      </c>
      <c r="C682" s="14" t="str">
        <f>IF($A682&lt;&gt;"",MINIFS(Merchant!$A:$A,Merchant!$B:$B,$G$2),)</f>
        <v/>
      </c>
      <c r="D682" s="14" t="str">
        <f t="shared" si="2"/>
        <v/>
      </c>
      <c r="E682" s="14" t="str">
        <f t="shared" si="3"/>
        <v/>
      </c>
      <c r="F682" s="6" t="str">
        <f>IF($A682&lt;&gt;"",MAXIFS(Token!$B:$B,Token!$A:$A,$D682),)</f>
        <v/>
      </c>
    </row>
    <row r="683">
      <c r="A683" s="35" t="str">
        <f>IF(AND($L683*1&gt;=$G$3,$L683*1&lt;=$G$4,$I683*$J683&gt;0,CONCATENATE($H683:$L683)&lt;&gt;CONCATENATE($H684:$L684),$I683/POW(10,$J683)*MAXIFS(Token!$B:$B,Token!$A:$A,$K683)&gt;0.01),$L683/86400+DATE(1970,1,1)+IF($L683*1&gt;=$G$5,$G$6,0),)</f>
        <v/>
      </c>
      <c r="B683" s="22" t="str">
        <f t="shared" si="1"/>
        <v/>
      </c>
      <c r="C683" s="14" t="str">
        <f>IF($A683&lt;&gt;"",MINIFS(Merchant!$A:$A,Merchant!$B:$B,$G$2),)</f>
        <v/>
      </c>
      <c r="D683" s="14" t="str">
        <f t="shared" si="2"/>
        <v/>
      </c>
      <c r="E683" s="14" t="str">
        <f t="shared" si="3"/>
        <v/>
      </c>
      <c r="F683" s="6" t="str">
        <f>IF($A683&lt;&gt;"",MAXIFS(Token!$B:$B,Token!$A:$A,$D683),)</f>
        <v/>
      </c>
    </row>
    <row r="684">
      <c r="A684" s="35" t="str">
        <f>IF(AND($L684*1&gt;=$G$3,$L684*1&lt;=$G$4,$I684*$J684&gt;0,CONCATENATE($H684:$L684)&lt;&gt;CONCATENATE($H685:$L685),$I684/POW(10,$J684)*MAXIFS(Token!$B:$B,Token!$A:$A,$K684)&gt;0.01),$L684/86400+DATE(1970,1,1)+IF($L684*1&gt;=$G$5,$G$6,0),)</f>
        <v/>
      </c>
      <c r="B684" s="22" t="str">
        <f t="shared" si="1"/>
        <v/>
      </c>
      <c r="C684" s="14" t="str">
        <f>IF($A684&lt;&gt;"",MINIFS(Merchant!$A:$A,Merchant!$B:$B,$G$2),)</f>
        <v/>
      </c>
      <c r="D684" s="14" t="str">
        <f t="shared" si="2"/>
        <v/>
      </c>
      <c r="E684" s="14" t="str">
        <f t="shared" si="3"/>
        <v/>
      </c>
      <c r="F684" s="6" t="str">
        <f>IF($A684&lt;&gt;"",MAXIFS(Token!$B:$B,Token!$A:$A,$D684),)</f>
        <v/>
      </c>
    </row>
    <row r="685">
      <c r="A685" s="35" t="str">
        <f>IF(AND($L685*1&gt;=$G$3,$L685*1&lt;=$G$4,$I685*$J685&gt;0,CONCATENATE($H685:$L685)&lt;&gt;CONCATENATE($H686:$L686),$I685/POW(10,$J685)*MAXIFS(Token!$B:$B,Token!$A:$A,$K685)&gt;0.01),$L685/86400+DATE(1970,1,1)+IF($L685*1&gt;=$G$5,$G$6,0),)</f>
        <v/>
      </c>
      <c r="B685" s="22" t="str">
        <f t="shared" si="1"/>
        <v/>
      </c>
      <c r="C685" s="14" t="str">
        <f>IF($A685&lt;&gt;"",MINIFS(Merchant!$A:$A,Merchant!$B:$B,$G$2),)</f>
        <v/>
      </c>
      <c r="D685" s="14" t="str">
        <f t="shared" si="2"/>
        <v/>
      </c>
      <c r="E685" s="14" t="str">
        <f t="shared" si="3"/>
        <v/>
      </c>
      <c r="F685" s="6" t="str">
        <f>IF($A685&lt;&gt;"",MAXIFS(Token!$B:$B,Token!$A:$A,$D685),)</f>
        <v/>
      </c>
    </row>
    <row r="686">
      <c r="A686" s="35" t="str">
        <f>IF(AND($L686*1&gt;=$G$3,$L686*1&lt;=$G$4,$I686*$J686&gt;0,CONCATENATE($H686:$L686)&lt;&gt;CONCATENATE($H687:$L687),$I686/POW(10,$J686)*MAXIFS(Token!$B:$B,Token!$A:$A,$K686)&gt;0.01),$L686/86400+DATE(1970,1,1)+IF($L686*1&gt;=$G$5,$G$6,0),)</f>
        <v/>
      </c>
      <c r="B686" s="22" t="str">
        <f t="shared" si="1"/>
        <v/>
      </c>
      <c r="C686" s="14" t="str">
        <f>IF($A686&lt;&gt;"",MINIFS(Merchant!$A:$A,Merchant!$B:$B,$G$2),)</f>
        <v/>
      </c>
      <c r="D686" s="14" t="str">
        <f t="shared" si="2"/>
        <v/>
      </c>
      <c r="E686" s="14" t="str">
        <f t="shared" si="3"/>
        <v/>
      </c>
      <c r="F686" s="6" t="str">
        <f>IF($A686&lt;&gt;"",MAXIFS(Token!$B:$B,Token!$A:$A,$D686),)</f>
        <v/>
      </c>
    </row>
    <row r="687">
      <c r="A687" s="35" t="str">
        <f>IF(AND($L687*1&gt;=$G$3,$L687*1&lt;=$G$4,$I687*$J687&gt;0,CONCATENATE($H687:$L687)&lt;&gt;CONCATENATE($H688:$L688),$I687/POW(10,$J687)*MAXIFS(Token!$B:$B,Token!$A:$A,$K687)&gt;0.01),$L687/86400+DATE(1970,1,1)+IF($L687*1&gt;=$G$5,$G$6,0),)</f>
        <v/>
      </c>
      <c r="B687" s="22" t="str">
        <f t="shared" si="1"/>
        <v/>
      </c>
      <c r="C687" s="14" t="str">
        <f>IF($A687&lt;&gt;"",MINIFS(Merchant!$A:$A,Merchant!$B:$B,$G$2),)</f>
        <v/>
      </c>
      <c r="D687" s="14" t="str">
        <f t="shared" si="2"/>
        <v/>
      </c>
      <c r="E687" s="14" t="str">
        <f t="shared" si="3"/>
        <v/>
      </c>
      <c r="F687" s="6" t="str">
        <f>IF($A687&lt;&gt;"",MAXIFS(Token!$B:$B,Token!$A:$A,$D687),)</f>
        <v/>
      </c>
    </row>
    <row r="688">
      <c r="A688" s="35" t="str">
        <f>IF(AND($L688*1&gt;=$G$3,$L688*1&lt;=$G$4,$I688*$J688&gt;0,CONCATENATE($H688:$L688)&lt;&gt;CONCATENATE($H689:$L689),$I688/POW(10,$J688)*MAXIFS(Token!$B:$B,Token!$A:$A,$K688)&gt;0.01),$L688/86400+DATE(1970,1,1)+IF($L688*1&gt;=$G$5,$G$6,0),)</f>
        <v/>
      </c>
      <c r="B688" s="22" t="str">
        <f t="shared" si="1"/>
        <v/>
      </c>
      <c r="C688" s="14" t="str">
        <f>IF($A688&lt;&gt;"",MINIFS(Merchant!$A:$A,Merchant!$B:$B,$G$2),)</f>
        <v/>
      </c>
      <c r="D688" s="14" t="str">
        <f t="shared" si="2"/>
        <v/>
      </c>
      <c r="E688" s="14" t="str">
        <f t="shared" si="3"/>
        <v/>
      </c>
      <c r="F688" s="6" t="str">
        <f>IF($A688&lt;&gt;"",MAXIFS(Token!$B:$B,Token!$A:$A,$D688),)</f>
        <v/>
      </c>
    </row>
    <row r="689">
      <c r="A689" s="35" t="str">
        <f>IF(AND($L689*1&gt;=$G$3,$L689*1&lt;=$G$4,$I689*$J689&gt;0,CONCATENATE($H689:$L689)&lt;&gt;CONCATENATE($H690:$L690),$I689/POW(10,$J689)*MAXIFS(Token!$B:$B,Token!$A:$A,$K689)&gt;0.01),$L689/86400+DATE(1970,1,1)+IF($L689*1&gt;=$G$5,$G$6,0),)</f>
        <v/>
      </c>
      <c r="B689" s="22" t="str">
        <f t="shared" si="1"/>
        <v/>
      </c>
      <c r="C689" s="14" t="str">
        <f>IF($A689&lt;&gt;"",MINIFS(Merchant!$A:$A,Merchant!$B:$B,$G$2),)</f>
        <v/>
      </c>
      <c r="D689" s="14" t="str">
        <f t="shared" si="2"/>
        <v/>
      </c>
      <c r="E689" s="14" t="str">
        <f t="shared" si="3"/>
        <v/>
      </c>
      <c r="F689" s="6" t="str">
        <f>IF($A689&lt;&gt;"",MAXIFS(Token!$B:$B,Token!$A:$A,$D689),)</f>
        <v/>
      </c>
    </row>
    <row r="690">
      <c r="A690" s="35" t="str">
        <f>IF(AND($L690*1&gt;=$G$3,$L690*1&lt;=$G$4,$I690*$J690&gt;0,CONCATENATE($H690:$L690)&lt;&gt;CONCATENATE($H691:$L691),$I690/POW(10,$J690)*MAXIFS(Token!$B:$B,Token!$A:$A,$K690)&gt;0.01),$L690/86400+DATE(1970,1,1)+IF($L690*1&gt;=$G$5,$G$6,0),)</f>
        <v/>
      </c>
      <c r="B690" s="22" t="str">
        <f t="shared" si="1"/>
        <v/>
      </c>
      <c r="C690" s="14" t="str">
        <f>IF($A690&lt;&gt;"",MINIFS(Merchant!$A:$A,Merchant!$B:$B,$G$2),)</f>
        <v/>
      </c>
      <c r="D690" s="14" t="str">
        <f t="shared" si="2"/>
        <v/>
      </c>
      <c r="E690" s="14" t="str">
        <f t="shared" si="3"/>
        <v/>
      </c>
      <c r="F690" s="6" t="str">
        <f>IF($A690&lt;&gt;"",MAXIFS(Token!$B:$B,Token!$A:$A,$D690),)</f>
        <v/>
      </c>
    </row>
    <row r="691">
      <c r="A691" s="35" t="str">
        <f>IF(AND($L691*1&gt;=$G$3,$L691*1&lt;=$G$4,$I691*$J691&gt;0,CONCATENATE($H691:$L691)&lt;&gt;CONCATENATE($H692:$L692),$I691/POW(10,$J691)*MAXIFS(Token!$B:$B,Token!$A:$A,$K691)&gt;0.01),$L691/86400+DATE(1970,1,1)+IF($L691*1&gt;=$G$5,$G$6,0),)</f>
        <v/>
      </c>
      <c r="B691" s="22" t="str">
        <f t="shared" si="1"/>
        <v/>
      </c>
      <c r="C691" s="14" t="str">
        <f>IF($A691&lt;&gt;"",MINIFS(Merchant!$A:$A,Merchant!$B:$B,$G$2),)</f>
        <v/>
      </c>
      <c r="D691" s="14" t="str">
        <f t="shared" si="2"/>
        <v/>
      </c>
      <c r="E691" s="14" t="str">
        <f t="shared" si="3"/>
        <v/>
      </c>
      <c r="F691" s="6" t="str">
        <f>IF($A691&lt;&gt;"",MAXIFS(Token!$B:$B,Token!$A:$A,$D691),)</f>
        <v/>
      </c>
    </row>
    <row r="692">
      <c r="A692" s="35" t="str">
        <f>IF(AND($L692*1&gt;=$G$3,$L692*1&lt;=$G$4,$I692*$J692&gt;0,CONCATENATE($H692:$L692)&lt;&gt;CONCATENATE($H693:$L693),$I692/POW(10,$J692)*MAXIFS(Token!$B:$B,Token!$A:$A,$K692)&gt;0.01),$L692/86400+DATE(1970,1,1)+IF($L692*1&gt;=$G$5,$G$6,0),)</f>
        <v/>
      </c>
      <c r="B692" s="22" t="str">
        <f t="shared" si="1"/>
        <v/>
      </c>
      <c r="C692" s="14" t="str">
        <f>IF($A692&lt;&gt;"",MINIFS(Merchant!$A:$A,Merchant!$B:$B,$G$2),)</f>
        <v/>
      </c>
      <c r="D692" s="14" t="str">
        <f t="shared" si="2"/>
        <v/>
      </c>
      <c r="E692" s="14" t="str">
        <f t="shared" si="3"/>
        <v/>
      </c>
      <c r="F692" s="6" t="str">
        <f>IF($A692&lt;&gt;"",MAXIFS(Token!$B:$B,Token!$A:$A,$D692),)</f>
        <v/>
      </c>
    </row>
    <row r="693">
      <c r="A693" s="35" t="str">
        <f>IF(AND($L693*1&gt;=$G$3,$L693*1&lt;=$G$4,$I693*$J693&gt;0,CONCATENATE($H693:$L693)&lt;&gt;CONCATENATE($H694:$L694),$I693/POW(10,$J693)*MAXIFS(Token!$B:$B,Token!$A:$A,$K693)&gt;0.01),$L693/86400+DATE(1970,1,1)+IF($L693*1&gt;=$G$5,$G$6,0),)</f>
        <v/>
      </c>
      <c r="B693" s="22" t="str">
        <f t="shared" si="1"/>
        <v/>
      </c>
      <c r="C693" s="14" t="str">
        <f>IF($A693&lt;&gt;"",MINIFS(Merchant!$A:$A,Merchant!$B:$B,$G$2),)</f>
        <v/>
      </c>
      <c r="D693" s="14" t="str">
        <f t="shared" si="2"/>
        <v/>
      </c>
      <c r="E693" s="14" t="str">
        <f t="shared" si="3"/>
        <v/>
      </c>
      <c r="F693" s="6" t="str">
        <f>IF($A693&lt;&gt;"",MAXIFS(Token!$B:$B,Token!$A:$A,$D693),)</f>
        <v/>
      </c>
    </row>
    <row r="694">
      <c r="A694" s="35" t="str">
        <f>IF(AND($L694*1&gt;=$G$3,$L694*1&lt;=$G$4,$I694*$J694&gt;0,CONCATENATE($H694:$L694)&lt;&gt;CONCATENATE($H695:$L695),$I694/POW(10,$J694)*MAXIFS(Token!$B:$B,Token!$A:$A,$K694)&gt;0.01),$L694/86400+DATE(1970,1,1)+IF($L694*1&gt;=$G$5,$G$6,0),)</f>
        <v/>
      </c>
      <c r="B694" s="22" t="str">
        <f t="shared" si="1"/>
        <v/>
      </c>
      <c r="C694" s="14" t="str">
        <f>IF($A694&lt;&gt;"",MINIFS(Merchant!$A:$A,Merchant!$B:$B,$G$2),)</f>
        <v/>
      </c>
      <c r="D694" s="14" t="str">
        <f t="shared" si="2"/>
        <v/>
      </c>
      <c r="E694" s="14" t="str">
        <f t="shared" si="3"/>
        <v/>
      </c>
      <c r="F694" s="6" t="str">
        <f>IF($A694&lt;&gt;"",MAXIFS(Token!$B:$B,Token!$A:$A,$D694),)</f>
        <v/>
      </c>
    </row>
    <row r="695">
      <c r="A695" s="35" t="str">
        <f>IF(AND($L695*1&gt;=$G$3,$L695*1&lt;=$G$4,$I695*$J695&gt;0,CONCATENATE($H695:$L695)&lt;&gt;CONCATENATE($H696:$L696),$I695/POW(10,$J695)*MAXIFS(Token!$B:$B,Token!$A:$A,$K695)&gt;0.01),$L695/86400+DATE(1970,1,1)+IF($L695*1&gt;=$G$5,$G$6,0),)</f>
        <v/>
      </c>
      <c r="B695" s="22" t="str">
        <f t="shared" si="1"/>
        <v/>
      </c>
      <c r="C695" s="14" t="str">
        <f>IF($A695&lt;&gt;"",MINIFS(Merchant!$A:$A,Merchant!$B:$B,$G$2),)</f>
        <v/>
      </c>
      <c r="D695" s="14" t="str">
        <f t="shared" si="2"/>
        <v/>
      </c>
      <c r="E695" s="14" t="str">
        <f t="shared" si="3"/>
        <v/>
      </c>
      <c r="F695" s="6" t="str">
        <f>IF($A695&lt;&gt;"",MAXIFS(Token!$B:$B,Token!$A:$A,$D695),)</f>
        <v/>
      </c>
    </row>
    <row r="696">
      <c r="A696" s="35" t="str">
        <f>IF(AND($L696*1&gt;=$G$3,$L696*1&lt;=$G$4,$I696*$J696&gt;0,CONCATENATE($H696:$L696)&lt;&gt;CONCATENATE($H697:$L697),$I696/POW(10,$J696)*MAXIFS(Token!$B:$B,Token!$A:$A,$K696)&gt;0.01),$L696/86400+DATE(1970,1,1)+IF($L696*1&gt;=$G$5,$G$6,0),)</f>
        <v/>
      </c>
      <c r="B696" s="22" t="str">
        <f t="shared" si="1"/>
        <v/>
      </c>
      <c r="C696" s="14" t="str">
        <f>IF($A696&lt;&gt;"",MINIFS(Merchant!$A:$A,Merchant!$B:$B,$G$2),)</f>
        <v/>
      </c>
      <c r="D696" s="14" t="str">
        <f t="shared" si="2"/>
        <v/>
      </c>
      <c r="E696" s="14" t="str">
        <f t="shared" si="3"/>
        <v/>
      </c>
      <c r="F696" s="6" t="str">
        <f>IF($A696&lt;&gt;"",MAXIFS(Token!$B:$B,Token!$A:$A,$D696),)</f>
        <v/>
      </c>
    </row>
    <row r="697">
      <c r="A697" s="35" t="str">
        <f>IF(AND($L697*1&gt;=$G$3,$L697*1&lt;=$G$4,$I697*$J697&gt;0,CONCATENATE($H697:$L697)&lt;&gt;CONCATENATE($H698:$L698),$I697/POW(10,$J697)*MAXIFS(Token!$B:$B,Token!$A:$A,$K697)&gt;0.01),$L697/86400+DATE(1970,1,1)+IF($L697*1&gt;=$G$5,$G$6,0),)</f>
        <v/>
      </c>
      <c r="B697" s="22" t="str">
        <f t="shared" si="1"/>
        <v/>
      </c>
      <c r="C697" s="14" t="str">
        <f>IF($A697&lt;&gt;"",MINIFS(Merchant!$A:$A,Merchant!$B:$B,$G$2),)</f>
        <v/>
      </c>
      <c r="D697" s="14" t="str">
        <f t="shared" si="2"/>
        <v/>
      </c>
      <c r="E697" s="14" t="str">
        <f t="shared" si="3"/>
        <v/>
      </c>
      <c r="F697" s="6" t="str">
        <f>IF($A697&lt;&gt;"",MAXIFS(Token!$B:$B,Token!$A:$A,$D697),)</f>
        <v/>
      </c>
    </row>
    <row r="698">
      <c r="A698" s="35" t="str">
        <f>IF(AND($L698*1&gt;=$G$3,$L698*1&lt;=$G$4,$I698*$J698&gt;0,CONCATENATE($H698:$L698)&lt;&gt;CONCATENATE($H699:$L699),$I698/POW(10,$J698)*MAXIFS(Token!$B:$B,Token!$A:$A,$K698)&gt;0.01),$L698/86400+DATE(1970,1,1)+IF($L698*1&gt;=$G$5,$G$6,0),)</f>
        <v/>
      </c>
      <c r="B698" s="22" t="str">
        <f t="shared" si="1"/>
        <v/>
      </c>
      <c r="C698" s="14" t="str">
        <f>IF($A698&lt;&gt;"",MINIFS(Merchant!$A:$A,Merchant!$B:$B,$G$2),)</f>
        <v/>
      </c>
      <c r="D698" s="14" t="str">
        <f t="shared" si="2"/>
        <v/>
      </c>
      <c r="E698" s="14" t="str">
        <f t="shared" si="3"/>
        <v/>
      </c>
      <c r="F698" s="6" t="str">
        <f>IF($A698&lt;&gt;"",MAXIFS(Token!$B:$B,Token!$A:$A,$D698),)</f>
        <v/>
      </c>
    </row>
    <row r="699">
      <c r="A699" s="35" t="str">
        <f>IF(AND($L699*1&gt;=$G$3,$L699*1&lt;=$G$4,$I699*$J699&gt;0,CONCATENATE($H699:$L699)&lt;&gt;CONCATENATE($H700:$L700),$I699/POW(10,$J699)*MAXIFS(Token!$B:$B,Token!$A:$A,$K699)&gt;0.01),$L699/86400+DATE(1970,1,1)+IF($L699*1&gt;=$G$5,$G$6,0),)</f>
        <v/>
      </c>
      <c r="B699" s="22" t="str">
        <f t="shared" si="1"/>
        <v/>
      </c>
      <c r="C699" s="14" t="str">
        <f>IF($A699&lt;&gt;"",MINIFS(Merchant!$A:$A,Merchant!$B:$B,$G$2),)</f>
        <v/>
      </c>
      <c r="D699" s="14" t="str">
        <f t="shared" si="2"/>
        <v/>
      </c>
      <c r="E699" s="14" t="str">
        <f t="shared" si="3"/>
        <v/>
      </c>
      <c r="F699" s="6" t="str">
        <f>IF($A699&lt;&gt;"",MAXIFS(Token!$B:$B,Token!$A:$A,$D699),)</f>
        <v/>
      </c>
    </row>
    <row r="700">
      <c r="A700" s="35" t="str">
        <f>IF(AND($L700*1&gt;=$G$3,$L700*1&lt;=$G$4,$I700*$J700&gt;0,CONCATENATE($H700:$L700)&lt;&gt;CONCATENATE($H701:$L701),$I700/POW(10,$J700)*MAXIFS(Token!$B:$B,Token!$A:$A,$K700)&gt;0.01),$L700/86400+DATE(1970,1,1)+IF($L700*1&gt;=$G$5,$G$6,0),)</f>
        <v/>
      </c>
      <c r="B700" s="22" t="str">
        <f t="shared" si="1"/>
        <v/>
      </c>
      <c r="C700" s="14" t="str">
        <f>IF($A700&lt;&gt;"",MINIFS(Merchant!$A:$A,Merchant!$B:$B,$G$2),)</f>
        <v/>
      </c>
      <c r="D700" s="14" t="str">
        <f t="shared" si="2"/>
        <v/>
      </c>
      <c r="E700" s="14" t="str">
        <f t="shared" si="3"/>
        <v/>
      </c>
      <c r="F700" s="6" t="str">
        <f>IF($A700&lt;&gt;"",MAXIFS(Token!$B:$B,Token!$A:$A,$D700),)</f>
        <v/>
      </c>
    </row>
    <row r="701">
      <c r="A701" s="35" t="str">
        <f>IF(AND($L701*1&gt;=$G$3,$L701*1&lt;=$G$4,$I701*$J701&gt;0,CONCATENATE($H701:$L701)&lt;&gt;CONCATENATE($H702:$L702),$I701/POW(10,$J701)*MAXIFS(Token!$B:$B,Token!$A:$A,$K701)&gt;0.01),$L701/86400+DATE(1970,1,1)+IF($L701*1&gt;=$G$5,$G$6,0),)</f>
        <v/>
      </c>
      <c r="B701" s="22" t="str">
        <f t="shared" si="1"/>
        <v/>
      </c>
      <c r="C701" s="14" t="str">
        <f>IF($A701&lt;&gt;"",MINIFS(Merchant!$A:$A,Merchant!$B:$B,$G$2),)</f>
        <v/>
      </c>
      <c r="D701" s="14" t="str">
        <f t="shared" si="2"/>
        <v/>
      </c>
      <c r="E701" s="14" t="str">
        <f t="shared" si="3"/>
        <v/>
      </c>
      <c r="F701" s="6" t="str">
        <f>IF($A701&lt;&gt;"",MAXIFS(Token!$B:$B,Token!$A:$A,$D701),)</f>
        <v/>
      </c>
    </row>
    <row r="702">
      <c r="A702" s="35" t="str">
        <f>IF(AND($L702*1&gt;=$G$3,$L702*1&lt;=$G$4,$I702*$J702&gt;0,CONCATENATE($H702:$L702)&lt;&gt;CONCATENATE($H703:$L703),$I702/POW(10,$J702)*MAXIFS(Token!$B:$B,Token!$A:$A,$K702)&gt;0.01),$L702/86400+DATE(1970,1,1)+IF($L702*1&gt;=$G$5,$G$6,0),)</f>
        <v/>
      </c>
      <c r="B702" s="22" t="str">
        <f t="shared" si="1"/>
        <v/>
      </c>
      <c r="C702" s="14" t="str">
        <f>IF($A702&lt;&gt;"",MINIFS(Merchant!$A:$A,Merchant!$B:$B,$G$2),)</f>
        <v/>
      </c>
      <c r="D702" s="14" t="str">
        <f t="shared" si="2"/>
        <v/>
      </c>
      <c r="E702" s="14" t="str">
        <f t="shared" si="3"/>
        <v/>
      </c>
      <c r="F702" s="6" t="str">
        <f>IF($A702&lt;&gt;"",MAXIFS(Token!$B:$B,Token!$A:$A,$D702),)</f>
        <v/>
      </c>
    </row>
    <row r="703">
      <c r="A703" s="35" t="str">
        <f>IF(AND($L703*1&gt;=$G$3,$L703*1&lt;=$G$4,$I703*$J703&gt;0,CONCATENATE($H703:$L703)&lt;&gt;CONCATENATE($H704:$L704),$I703/POW(10,$J703)*MAXIFS(Token!$B:$B,Token!$A:$A,$K703)&gt;0.01),$L703/86400+DATE(1970,1,1)+IF($L703*1&gt;=$G$5,$G$6,0),)</f>
        <v/>
      </c>
      <c r="B703" s="22" t="str">
        <f t="shared" si="1"/>
        <v/>
      </c>
      <c r="C703" s="14" t="str">
        <f>IF($A703&lt;&gt;"",MINIFS(Merchant!$A:$A,Merchant!$B:$B,$G$2),)</f>
        <v/>
      </c>
      <c r="D703" s="14" t="str">
        <f t="shared" si="2"/>
        <v/>
      </c>
      <c r="E703" s="14" t="str">
        <f t="shared" si="3"/>
        <v/>
      </c>
      <c r="F703" s="6" t="str">
        <f>IF($A703&lt;&gt;"",MAXIFS(Token!$B:$B,Token!$A:$A,$D703),)</f>
        <v/>
      </c>
    </row>
    <row r="704">
      <c r="A704" s="35" t="str">
        <f>IF(AND($L704*1&gt;=$G$3,$L704*1&lt;=$G$4,$I704*$J704&gt;0,CONCATENATE($H704:$L704)&lt;&gt;CONCATENATE($H705:$L705),$I704/POW(10,$J704)*MAXIFS(Token!$B:$B,Token!$A:$A,$K704)&gt;0.01),$L704/86400+DATE(1970,1,1)+IF($L704*1&gt;=$G$5,$G$6,0),)</f>
        <v/>
      </c>
      <c r="B704" s="22" t="str">
        <f t="shared" si="1"/>
        <v/>
      </c>
      <c r="C704" s="14" t="str">
        <f>IF($A704&lt;&gt;"",MINIFS(Merchant!$A:$A,Merchant!$B:$B,$G$2),)</f>
        <v/>
      </c>
      <c r="D704" s="14" t="str">
        <f t="shared" si="2"/>
        <v/>
      </c>
      <c r="E704" s="14" t="str">
        <f t="shared" si="3"/>
        <v/>
      </c>
      <c r="F704" s="6" t="str">
        <f>IF($A704&lt;&gt;"",MAXIFS(Token!$B:$B,Token!$A:$A,$D704),)</f>
        <v/>
      </c>
    </row>
    <row r="705">
      <c r="A705" s="35" t="str">
        <f>IF(AND($L705*1&gt;=$G$3,$L705*1&lt;=$G$4,$I705*$J705&gt;0,CONCATENATE($H705:$L705)&lt;&gt;CONCATENATE($H706:$L706),$I705/POW(10,$J705)*MAXIFS(Token!$B:$B,Token!$A:$A,$K705)&gt;0.01),$L705/86400+DATE(1970,1,1)+IF($L705*1&gt;=$G$5,$G$6,0),)</f>
        <v/>
      </c>
      <c r="B705" s="22" t="str">
        <f t="shared" si="1"/>
        <v/>
      </c>
      <c r="C705" s="14" t="str">
        <f>IF($A705&lt;&gt;"",MINIFS(Merchant!$A:$A,Merchant!$B:$B,$G$2),)</f>
        <v/>
      </c>
      <c r="D705" s="14" t="str">
        <f t="shared" si="2"/>
        <v/>
      </c>
      <c r="E705" s="14" t="str">
        <f t="shared" si="3"/>
        <v/>
      </c>
      <c r="F705" s="6" t="str">
        <f>IF($A705&lt;&gt;"",MAXIFS(Token!$B:$B,Token!$A:$A,$D705),)</f>
        <v/>
      </c>
    </row>
    <row r="706">
      <c r="A706" s="35" t="str">
        <f>IF(AND($L706*1&gt;=$G$3,$L706*1&lt;=$G$4,$I706*$J706&gt;0,CONCATENATE($H706:$L706)&lt;&gt;CONCATENATE($H707:$L707),$I706/POW(10,$J706)*MAXIFS(Token!$B:$B,Token!$A:$A,$K706)&gt;0.01),$L706/86400+DATE(1970,1,1)+IF($L706*1&gt;=$G$5,$G$6,0),)</f>
        <v/>
      </c>
      <c r="B706" s="22" t="str">
        <f t="shared" si="1"/>
        <v/>
      </c>
      <c r="C706" s="14" t="str">
        <f>IF($A706&lt;&gt;"",MINIFS(Merchant!$A:$A,Merchant!$B:$B,$G$2),)</f>
        <v/>
      </c>
      <c r="D706" s="14" t="str">
        <f t="shared" si="2"/>
        <v/>
      </c>
      <c r="E706" s="14" t="str">
        <f t="shared" si="3"/>
        <v/>
      </c>
      <c r="F706" s="6" t="str">
        <f>IF($A706&lt;&gt;"",MAXIFS(Token!$B:$B,Token!$A:$A,$D706),)</f>
        <v/>
      </c>
    </row>
    <row r="707">
      <c r="A707" s="35" t="str">
        <f>IF(AND($L707*1&gt;=$G$3,$L707*1&lt;=$G$4,$I707*$J707&gt;0,CONCATENATE($H707:$L707)&lt;&gt;CONCATENATE($H708:$L708),$I707/POW(10,$J707)*MAXIFS(Token!$B:$B,Token!$A:$A,$K707)&gt;0.01),$L707/86400+DATE(1970,1,1)+IF($L707*1&gt;=$G$5,$G$6,0),)</f>
        <v/>
      </c>
      <c r="B707" s="22" t="str">
        <f t="shared" si="1"/>
        <v/>
      </c>
      <c r="C707" s="14" t="str">
        <f>IF($A707&lt;&gt;"",MINIFS(Merchant!$A:$A,Merchant!$B:$B,$G$2),)</f>
        <v/>
      </c>
      <c r="D707" s="14" t="str">
        <f t="shared" si="2"/>
        <v/>
      </c>
      <c r="E707" s="14" t="str">
        <f t="shared" si="3"/>
        <v/>
      </c>
      <c r="F707" s="6" t="str">
        <f>IF($A707&lt;&gt;"",MAXIFS(Token!$B:$B,Token!$A:$A,$D707),)</f>
        <v/>
      </c>
    </row>
    <row r="708">
      <c r="A708" s="35" t="str">
        <f>IF(AND($L708*1&gt;=$G$3,$L708*1&lt;=$G$4,$I708*$J708&gt;0,CONCATENATE($H708:$L708)&lt;&gt;CONCATENATE($H709:$L709),$I708/POW(10,$J708)*MAXIFS(Token!$B:$B,Token!$A:$A,$K708)&gt;0.01),$L708/86400+DATE(1970,1,1)+IF($L708*1&gt;=$G$5,$G$6,0),)</f>
        <v/>
      </c>
      <c r="B708" s="22" t="str">
        <f t="shared" si="1"/>
        <v/>
      </c>
      <c r="C708" s="14" t="str">
        <f>IF($A708&lt;&gt;"",MINIFS(Merchant!$A:$A,Merchant!$B:$B,$G$2),)</f>
        <v/>
      </c>
      <c r="D708" s="14" t="str">
        <f t="shared" si="2"/>
        <v/>
      </c>
      <c r="E708" s="14" t="str">
        <f t="shared" si="3"/>
        <v/>
      </c>
      <c r="F708" s="6" t="str">
        <f>IF($A708&lt;&gt;"",MAXIFS(Token!$B:$B,Token!$A:$A,$D708),)</f>
        <v/>
      </c>
    </row>
    <row r="709">
      <c r="A709" s="35" t="str">
        <f>IF(AND($L709*1&gt;=$G$3,$L709*1&lt;=$G$4,$I709*$J709&gt;0,CONCATENATE($H709:$L709)&lt;&gt;CONCATENATE($H710:$L710),$I709/POW(10,$J709)*MAXIFS(Token!$B:$B,Token!$A:$A,$K709)&gt;0.01),$L709/86400+DATE(1970,1,1)+IF($L709*1&gt;=$G$5,$G$6,0),)</f>
        <v/>
      </c>
      <c r="B709" s="22" t="str">
        <f t="shared" si="1"/>
        <v/>
      </c>
      <c r="C709" s="14" t="str">
        <f>IF($A709&lt;&gt;"",MINIFS(Merchant!$A:$A,Merchant!$B:$B,$G$2),)</f>
        <v/>
      </c>
      <c r="D709" s="14" t="str">
        <f t="shared" si="2"/>
        <v/>
      </c>
      <c r="E709" s="14" t="str">
        <f t="shared" si="3"/>
        <v/>
      </c>
      <c r="F709" s="6" t="str">
        <f>IF($A709&lt;&gt;"",MAXIFS(Token!$B:$B,Token!$A:$A,$D709),)</f>
        <v/>
      </c>
    </row>
    <row r="710">
      <c r="A710" s="35" t="str">
        <f>IF(AND($L710*1&gt;=$G$3,$L710*1&lt;=$G$4,$I710*$J710&gt;0,CONCATENATE($H710:$L710)&lt;&gt;CONCATENATE($H711:$L711),$I710/POW(10,$J710)*MAXIFS(Token!$B:$B,Token!$A:$A,$K710)&gt;0.01),$L710/86400+DATE(1970,1,1)+IF($L710*1&gt;=$G$5,$G$6,0),)</f>
        <v/>
      </c>
      <c r="B710" s="22" t="str">
        <f t="shared" si="1"/>
        <v/>
      </c>
      <c r="C710" s="14" t="str">
        <f>IF($A710&lt;&gt;"",MINIFS(Merchant!$A:$A,Merchant!$B:$B,$G$2),)</f>
        <v/>
      </c>
      <c r="D710" s="14" t="str">
        <f t="shared" si="2"/>
        <v/>
      </c>
      <c r="E710" s="14" t="str">
        <f t="shared" si="3"/>
        <v/>
      </c>
      <c r="F710" s="6" t="str">
        <f>IF($A710&lt;&gt;"",MAXIFS(Token!$B:$B,Token!$A:$A,$D710),)</f>
        <v/>
      </c>
    </row>
    <row r="711">
      <c r="A711" s="35" t="str">
        <f>IF(AND($L711*1&gt;=$G$3,$L711*1&lt;=$G$4,$I711*$J711&gt;0,CONCATENATE($H711:$L711)&lt;&gt;CONCATENATE($H712:$L712),$I711/POW(10,$J711)*MAXIFS(Token!$B:$B,Token!$A:$A,$K711)&gt;0.01),$L711/86400+DATE(1970,1,1)+IF($L711*1&gt;=$G$5,$G$6,0),)</f>
        <v/>
      </c>
      <c r="B711" s="22" t="str">
        <f t="shared" si="1"/>
        <v/>
      </c>
      <c r="C711" s="14" t="str">
        <f>IF($A711&lt;&gt;"",MINIFS(Merchant!$A:$A,Merchant!$B:$B,$G$2),)</f>
        <v/>
      </c>
      <c r="D711" s="14" t="str">
        <f t="shared" si="2"/>
        <v/>
      </c>
      <c r="E711" s="14" t="str">
        <f t="shared" si="3"/>
        <v/>
      </c>
      <c r="F711" s="6" t="str">
        <f>IF($A711&lt;&gt;"",MAXIFS(Token!$B:$B,Token!$A:$A,$D711),)</f>
        <v/>
      </c>
    </row>
    <row r="712">
      <c r="A712" s="35" t="str">
        <f>IF(AND($L712*1&gt;=$G$3,$L712*1&lt;=$G$4,$I712*$J712&gt;0,CONCATENATE($H712:$L712)&lt;&gt;CONCATENATE($H713:$L713),$I712/POW(10,$J712)*MAXIFS(Token!$B:$B,Token!$A:$A,$K712)&gt;0.01),$L712/86400+DATE(1970,1,1)+IF($L712*1&gt;=$G$5,$G$6,0),)</f>
        <v/>
      </c>
      <c r="B712" s="22" t="str">
        <f t="shared" si="1"/>
        <v/>
      </c>
      <c r="C712" s="14" t="str">
        <f>IF($A712&lt;&gt;"",MINIFS(Merchant!$A:$A,Merchant!$B:$B,$G$2),)</f>
        <v/>
      </c>
      <c r="D712" s="14" t="str">
        <f t="shared" si="2"/>
        <v/>
      </c>
      <c r="E712" s="14" t="str">
        <f t="shared" si="3"/>
        <v/>
      </c>
      <c r="F712" s="6" t="str">
        <f>IF($A712&lt;&gt;"",MAXIFS(Token!$B:$B,Token!$A:$A,$D712),)</f>
        <v/>
      </c>
    </row>
    <row r="713">
      <c r="A713" s="35" t="str">
        <f>IF(AND($L713*1&gt;=$G$3,$L713*1&lt;=$G$4,$I713*$J713&gt;0,CONCATENATE($H713:$L713)&lt;&gt;CONCATENATE($H714:$L714),$I713/POW(10,$J713)*MAXIFS(Token!$B:$B,Token!$A:$A,$K713)&gt;0.01),$L713/86400+DATE(1970,1,1)+IF($L713*1&gt;=$G$5,$G$6,0),)</f>
        <v/>
      </c>
      <c r="B713" s="22" t="str">
        <f t="shared" si="1"/>
        <v/>
      </c>
      <c r="C713" s="14" t="str">
        <f>IF($A713&lt;&gt;"",MINIFS(Merchant!$A:$A,Merchant!$B:$B,$G$2),)</f>
        <v/>
      </c>
      <c r="D713" s="14" t="str">
        <f t="shared" si="2"/>
        <v/>
      </c>
      <c r="E713" s="14" t="str">
        <f t="shared" si="3"/>
        <v/>
      </c>
      <c r="F713" s="6" t="str">
        <f>IF($A713&lt;&gt;"",MAXIFS(Token!$B:$B,Token!$A:$A,$D713),)</f>
        <v/>
      </c>
    </row>
    <row r="714">
      <c r="A714" s="35" t="str">
        <f>IF(AND($L714*1&gt;=$G$3,$L714*1&lt;=$G$4,$I714*$J714&gt;0,CONCATENATE($H714:$L714)&lt;&gt;CONCATENATE($H715:$L715),$I714/POW(10,$J714)*MAXIFS(Token!$B:$B,Token!$A:$A,$K714)&gt;0.01),$L714/86400+DATE(1970,1,1)+IF($L714*1&gt;=$G$5,$G$6,0),)</f>
        <v/>
      </c>
      <c r="B714" s="22" t="str">
        <f t="shared" si="1"/>
        <v/>
      </c>
      <c r="C714" s="14" t="str">
        <f>IF($A714&lt;&gt;"",MINIFS(Merchant!$A:$A,Merchant!$B:$B,$G$2),)</f>
        <v/>
      </c>
      <c r="D714" s="14" t="str">
        <f t="shared" si="2"/>
        <v/>
      </c>
      <c r="E714" s="14" t="str">
        <f t="shared" si="3"/>
        <v/>
      </c>
      <c r="F714" s="6" t="str">
        <f>IF($A714&lt;&gt;"",MAXIFS(Token!$B:$B,Token!$A:$A,$D714),)</f>
        <v/>
      </c>
    </row>
    <row r="715">
      <c r="A715" s="35" t="str">
        <f>IF(AND($L715*1&gt;=$G$3,$L715*1&lt;=$G$4,$I715*$J715&gt;0,CONCATENATE($H715:$L715)&lt;&gt;CONCATENATE($H716:$L716),$I715/POW(10,$J715)*MAXIFS(Token!$B:$B,Token!$A:$A,$K715)&gt;0.01),$L715/86400+DATE(1970,1,1)+IF($L715*1&gt;=$G$5,$G$6,0),)</f>
        <v/>
      </c>
      <c r="B715" s="22" t="str">
        <f t="shared" si="1"/>
        <v/>
      </c>
      <c r="C715" s="14" t="str">
        <f>IF($A715&lt;&gt;"",MINIFS(Merchant!$A:$A,Merchant!$B:$B,$G$2),)</f>
        <v/>
      </c>
      <c r="D715" s="14" t="str">
        <f t="shared" si="2"/>
        <v/>
      </c>
      <c r="E715" s="14" t="str">
        <f t="shared" si="3"/>
        <v/>
      </c>
      <c r="F715" s="6" t="str">
        <f>IF($A715&lt;&gt;"",MAXIFS(Token!$B:$B,Token!$A:$A,$D715),)</f>
        <v/>
      </c>
    </row>
    <row r="716">
      <c r="A716" s="35" t="str">
        <f>IF(AND($L716*1&gt;=$G$3,$L716*1&lt;=$G$4,$I716*$J716&gt;0,CONCATENATE($H716:$L716)&lt;&gt;CONCATENATE($H717:$L717),$I716/POW(10,$J716)*MAXIFS(Token!$B:$B,Token!$A:$A,$K716)&gt;0.01),$L716/86400+DATE(1970,1,1)+IF($L716*1&gt;=$G$5,$G$6,0),)</f>
        <v/>
      </c>
      <c r="B716" s="22" t="str">
        <f t="shared" si="1"/>
        <v/>
      </c>
      <c r="C716" s="14" t="str">
        <f>IF($A716&lt;&gt;"",MINIFS(Merchant!$A:$A,Merchant!$B:$B,$G$2),)</f>
        <v/>
      </c>
      <c r="D716" s="14" t="str">
        <f t="shared" si="2"/>
        <v/>
      </c>
      <c r="E716" s="14" t="str">
        <f t="shared" si="3"/>
        <v/>
      </c>
      <c r="F716" s="6" t="str">
        <f>IF($A716&lt;&gt;"",MAXIFS(Token!$B:$B,Token!$A:$A,$D716),)</f>
        <v/>
      </c>
    </row>
    <row r="717">
      <c r="A717" s="35" t="str">
        <f>IF(AND($L717*1&gt;=$G$3,$L717*1&lt;=$G$4,$I717*$J717&gt;0,CONCATENATE($H717:$L717)&lt;&gt;CONCATENATE($H718:$L718),$I717/POW(10,$J717)*MAXIFS(Token!$B:$B,Token!$A:$A,$K717)&gt;0.01),$L717/86400+DATE(1970,1,1)+IF($L717*1&gt;=$G$5,$G$6,0),)</f>
        <v/>
      </c>
      <c r="B717" s="22" t="str">
        <f t="shared" si="1"/>
        <v/>
      </c>
      <c r="C717" s="14" t="str">
        <f>IF($A717&lt;&gt;"",MINIFS(Merchant!$A:$A,Merchant!$B:$B,$G$2),)</f>
        <v/>
      </c>
      <c r="D717" s="14" t="str">
        <f t="shared" si="2"/>
        <v/>
      </c>
      <c r="E717" s="14" t="str">
        <f t="shared" si="3"/>
        <v/>
      </c>
      <c r="F717" s="6" t="str">
        <f>IF($A717&lt;&gt;"",MAXIFS(Token!$B:$B,Token!$A:$A,$D717),)</f>
        <v/>
      </c>
    </row>
    <row r="718">
      <c r="A718" s="35" t="str">
        <f>IF(AND($L718*1&gt;=$G$3,$L718*1&lt;=$G$4,$I718*$J718&gt;0,CONCATENATE($H718:$L718)&lt;&gt;CONCATENATE($H719:$L719),$I718/POW(10,$J718)*MAXIFS(Token!$B:$B,Token!$A:$A,$K718)&gt;0.01),$L718/86400+DATE(1970,1,1)+IF($L718*1&gt;=$G$5,$G$6,0),)</f>
        <v/>
      </c>
      <c r="B718" s="22" t="str">
        <f t="shared" si="1"/>
        <v/>
      </c>
      <c r="C718" s="14" t="str">
        <f>IF($A718&lt;&gt;"",MINIFS(Merchant!$A:$A,Merchant!$B:$B,$G$2),)</f>
        <v/>
      </c>
      <c r="D718" s="14" t="str">
        <f t="shared" si="2"/>
        <v/>
      </c>
      <c r="E718" s="14" t="str">
        <f t="shared" si="3"/>
        <v/>
      </c>
      <c r="F718" s="6" t="str">
        <f>IF($A718&lt;&gt;"",MAXIFS(Token!$B:$B,Token!$A:$A,$D718),)</f>
        <v/>
      </c>
    </row>
    <row r="719">
      <c r="A719" s="35" t="str">
        <f>IF(AND($L719*1&gt;=$G$3,$L719*1&lt;=$G$4,$I719*$J719&gt;0,CONCATENATE($H719:$L719)&lt;&gt;CONCATENATE($H720:$L720),$I719/POW(10,$J719)*MAXIFS(Token!$B:$B,Token!$A:$A,$K719)&gt;0.01),$L719/86400+DATE(1970,1,1)+IF($L719*1&gt;=$G$5,$G$6,0),)</f>
        <v/>
      </c>
      <c r="B719" s="22" t="str">
        <f t="shared" si="1"/>
        <v/>
      </c>
      <c r="C719" s="14" t="str">
        <f>IF($A719&lt;&gt;"",MINIFS(Merchant!$A:$A,Merchant!$B:$B,$G$2),)</f>
        <v/>
      </c>
      <c r="D719" s="14" t="str">
        <f t="shared" si="2"/>
        <v/>
      </c>
      <c r="E719" s="14" t="str">
        <f t="shared" si="3"/>
        <v/>
      </c>
      <c r="F719" s="6" t="str">
        <f>IF($A719&lt;&gt;"",MAXIFS(Token!$B:$B,Token!$A:$A,$D719),)</f>
        <v/>
      </c>
    </row>
    <row r="720">
      <c r="A720" s="35" t="str">
        <f>IF(AND($L720*1&gt;=$G$3,$L720*1&lt;=$G$4,$I720*$J720&gt;0,CONCATENATE($H720:$L720)&lt;&gt;CONCATENATE($H721:$L721),$I720/POW(10,$J720)*MAXIFS(Token!$B:$B,Token!$A:$A,$K720)&gt;0.01),$L720/86400+DATE(1970,1,1)+IF($L720*1&gt;=$G$5,$G$6,0),)</f>
        <v/>
      </c>
      <c r="B720" s="22" t="str">
        <f t="shared" si="1"/>
        <v/>
      </c>
      <c r="C720" s="14" t="str">
        <f>IF($A720&lt;&gt;"",MINIFS(Merchant!$A:$A,Merchant!$B:$B,$G$2),)</f>
        <v/>
      </c>
      <c r="D720" s="14" t="str">
        <f t="shared" si="2"/>
        <v/>
      </c>
      <c r="E720" s="14" t="str">
        <f t="shared" si="3"/>
        <v/>
      </c>
      <c r="F720" s="6" t="str">
        <f>IF($A720&lt;&gt;"",MAXIFS(Token!$B:$B,Token!$A:$A,$D720),)</f>
        <v/>
      </c>
    </row>
    <row r="721">
      <c r="A721" s="35" t="str">
        <f>IF(AND($L721*1&gt;=$G$3,$L721*1&lt;=$G$4,$I721*$J721&gt;0,CONCATENATE($H721:$L721)&lt;&gt;CONCATENATE($H722:$L722),$I721/POW(10,$J721)*MAXIFS(Token!$B:$B,Token!$A:$A,$K721)&gt;0.01),$L721/86400+DATE(1970,1,1)+IF($L721*1&gt;=$G$5,$G$6,0),)</f>
        <v/>
      </c>
      <c r="B721" s="22" t="str">
        <f t="shared" si="1"/>
        <v/>
      </c>
      <c r="C721" s="14" t="str">
        <f>IF($A721&lt;&gt;"",MINIFS(Merchant!$A:$A,Merchant!$B:$B,$G$2),)</f>
        <v/>
      </c>
      <c r="D721" s="14" t="str">
        <f t="shared" si="2"/>
        <v/>
      </c>
      <c r="E721" s="14" t="str">
        <f t="shared" si="3"/>
        <v/>
      </c>
      <c r="F721" s="6" t="str">
        <f>IF($A721&lt;&gt;"",MAXIFS(Token!$B:$B,Token!$A:$A,$D721),)</f>
        <v/>
      </c>
    </row>
    <row r="722">
      <c r="A722" s="35" t="str">
        <f>IF(AND($L722*1&gt;=$G$3,$L722*1&lt;=$G$4,$I722*$J722&gt;0,CONCATENATE($H722:$L722)&lt;&gt;CONCATENATE($H723:$L723),$I722/POW(10,$J722)*MAXIFS(Token!$B:$B,Token!$A:$A,$K722)&gt;0.01),$L722/86400+DATE(1970,1,1)+IF($L722*1&gt;=$G$5,$G$6,0),)</f>
        <v/>
      </c>
      <c r="B722" s="22" t="str">
        <f t="shared" si="1"/>
        <v/>
      </c>
      <c r="C722" s="14" t="str">
        <f>IF($A722&lt;&gt;"",MINIFS(Merchant!$A:$A,Merchant!$B:$B,$G$2),)</f>
        <v/>
      </c>
      <c r="D722" s="14" t="str">
        <f t="shared" si="2"/>
        <v/>
      </c>
      <c r="E722" s="14" t="str">
        <f t="shared" si="3"/>
        <v/>
      </c>
      <c r="F722" s="6" t="str">
        <f>IF($A722&lt;&gt;"",MAXIFS(Token!$B:$B,Token!$A:$A,$D722),)</f>
        <v/>
      </c>
    </row>
    <row r="723">
      <c r="A723" s="35" t="str">
        <f>IF(AND($L723*1&gt;=$G$3,$L723*1&lt;=$G$4,$I723*$J723&gt;0,CONCATENATE($H723:$L723)&lt;&gt;CONCATENATE($H724:$L724),$I723/POW(10,$J723)*MAXIFS(Token!$B:$B,Token!$A:$A,$K723)&gt;0.01),$L723/86400+DATE(1970,1,1)+IF($L723*1&gt;=$G$5,$G$6,0),)</f>
        <v/>
      </c>
      <c r="B723" s="22" t="str">
        <f t="shared" si="1"/>
        <v/>
      </c>
      <c r="C723" s="14" t="str">
        <f>IF($A723&lt;&gt;"",MINIFS(Merchant!$A:$A,Merchant!$B:$B,$G$2),)</f>
        <v/>
      </c>
      <c r="D723" s="14" t="str">
        <f t="shared" si="2"/>
        <v/>
      </c>
      <c r="E723" s="14" t="str">
        <f t="shared" si="3"/>
        <v/>
      </c>
      <c r="F723" s="6" t="str">
        <f>IF($A723&lt;&gt;"",MAXIFS(Token!$B:$B,Token!$A:$A,$D723),)</f>
        <v/>
      </c>
    </row>
    <row r="724">
      <c r="A724" s="35" t="str">
        <f>IF(AND($L724*1&gt;=$G$3,$L724*1&lt;=$G$4,$I724*$J724&gt;0,CONCATENATE($H724:$L724)&lt;&gt;CONCATENATE($H725:$L725),$I724/POW(10,$J724)*MAXIFS(Token!$B:$B,Token!$A:$A,$K724)&gt;0.01),$L724/86400+DATE(1970,1,1)+IF($L724*1&gt;=$G$5,$G$6,0),)</f>
        <v/>
      </c>
      <c r="B724" s="22" t="str">
        <f t="shared" si="1"/>
        <v/>
      </c>
      <c r="C724" s="14" t="str">
        <f>IF($A724&lt;&gt;"",MINIFS(Merchant!$A:$A,Merchant!$B:$B,$G$2),)</f>
        <v/>
      </c>
      <c r="D724" s="14" t="str">
        <f t="shared" si="2"/>
        <v/>
      </c>
      <c r="E724" s="14" t="str">
        <f t="shared" si="3"/>
        <v/>
      </c>
      <c r="F724" s="6" t="str">
        <f>IF($A724&lt;&gt;"",MAXIFS(Token!$B:$B,Token!$A:$A,$D724),)</f>
        <v/>
      </c>
    </row>
    <row r="725">
      <c r="A725" s="35" t="str">
        <f>IF(AND($L725*1&gt;=$G$3,$L725*1&lt;=$G$4,$I725*$J725&gt;0,CONCATENATE($H725:$L725)&lt;&gt;CONCATENATE($H726:$L726),$I725/POW(10,$J725)*MAXIFS(Token!$B:$B,Token!$A:$A,$K725)&gt;0.01),$L725/86400+DATE(1970,1,1)+IF($L725*1&gt;=$G$5,$G$6,0),)</f>
        <v/>
      </c>
      <c r="B725" s="22" t="str">
        <f t="shared" si="1"/>
        <v/>
      </c>
      <c r="C725" s="14" t="str">
        <f>IF($A725&lt;&gt;"",MINIFS(Merchant!$A:$A,Merchant!$B:$B,$G$2),)</f>
        <v/>
      </c>
      <c r="D725" s="14" t="str">
        <f t="shared" si="2"/>
        <v/>
      </c>
      <c r="E725" s="14" t="str">
        <f t="shared" si="3"/>
        <v/>
      </c>
      <c r="F725" s="6" t="str">
        <f>IF($A725&lt;&gt;"",MAXIFS(Token!$B:$B,Token!$A:$A,$D725),)</f>
        <v/>
      </c>
    </row>
    <row r="726">
      <c r="A726" s="35" t="str">
        <f>IF(AND($L726*1&gt;=$G$3,$L726*1&lt;=$G$4,$I726*$J726&gt;0,CONCATENATE($H726:$L726)&lt;&gt;CONCATENATE($H727:$L727),$I726/POW(10,$J726)*MAXIFS(Token!$B:$B,Token!$A:$A,$K726)&gt;0.01),$L726/86400+DATE(1970,1,1)+IF($L726*1&gt;=$G$5,$G$6,0),)</f>
        <v/>
      </c>
      <c r="B726" s="22" t="str">
        <f t="shared" si="1"/>
        <v/>
      </c>
      <c r="C726" s="14" t="str">
        <f>IF($A726&lt;&gt;"",MINIFS(Merchant!$A:$A,Merchant!$B:$B,$G$2),)</f>
        <v/>
      </c>
      <c r="D726" s="14" t="str">
        <f t="shared" si="2"/>
        <v/>
      </c>
      <c r="E726" s="14" t="str">
        <f t="shared" si="3"/>
        <v/>
      </c>
      <c r="F726" s="6" t="str">
        <f>IF($A726&lt;&gt;"",MAXIFS(Token!$B:$B,Token!$A:$A,$D726),)</f>
        <v/>
      </c>
    </row>
    <row r="727">
      <c r="A727" s="35" t="str">
        <f>IF(AND($L727*1&gt;=$G$3,$L727*1&lt;=$G$4,$I727*$J727&gt;0,CONCATENATE($H727:$L727)&lt;&gt;CONCATENATE($H728:$L728),$I727/POW(10,$J727)*MAXIFS(Token!$B:$B,Token!$A:$A,$K727)&gt;0.01),$L727/86400+DATE(1970,1,1)+IF($L727*1&gt;=$G$5,$G$6,0),)</f>
        <v/>
      </c>
      <c r="B727" s="22" t="str">
        <f t="shared" si="1"/>
        <v/>
      </c>
      <c r="C727" s="14" t="str">
        <f>IF($A727&lt;&gt;"",MINIFS(Merchant!$A:$A,Merchant!$B:$B,$G$2),)</f>
        <v/>
      </c>
      <c r="D727" s="14" t="str">
        <f t="shared" si="2"/>
        <v/>
      </c>
      <c r="E727" s="14" t="str">
        <f t="shared" si="3"/>
        <v/>
      </c>
      <c r="F727" s="6" t="str">
        <f>IF($A727&lt;&gt;"",MAXIFS(Token!$B:$B,Token!$A:$A,$D727),)</f>
        <v/>
      </c>
    </row>
    <row r="728">
      <c r="A728" s="35" t="str">
        <f>IF(AND($L728*1&gt;=$G$3,$L728*1&lt;=$G$4,$I728*$J728&gt;0,CONCATENATE($H728:$L728)&lt;&gt;CONCATENATE($H729:$L729),$I728/POW(10,$J728)*MAXIFS(Token!$B:$B,Token!$A:$A,$K728)&gt;0.01),$L728/86400+DATE(1970,1,1)+IF($L728*1&gt;=$G$5,$G$6,0),)</f>
        <v/>
      </c>
      <c r="B728" s="22" t="str">
        <f t="shared" si="1"/>
        <v/>
      </c>
      <c r="C728" s="14" t="str">
        <f>IF($A728&lt;&gt;"",MINIFS(Merchant!$A:$A,Merchant!$B:$B,$G$2),)</f>
        <v/>
      </c>
      <c r="D728" s="14" t="str">
        <f t="shared" si="2"/>
        <v/>
      </c>
      <c r="E728" s="14" t="str">
        <f t="shared" si="3"/>
        <v/>
      </c>
      <c r="F728" s="6" t="str">
        <f>IF($A728&lt;&gt;"",MAXIFS(Token!$B:$B,Token!$A:$A,$D728),)</f>
        <v/>
      </c>
    </row>
    <row r="729">
      <c r="A729" s="35" t="str">
        <f>IF(AND($L729*1&gt;=$G$3,$L729*1&lt;=$G$4,$I729*$J729&gt;0,CONCATENATE($H729:$L729)&lt;&gt;CONCATENATE($H730:$L730),$I729/POW(10,$J729)*MAXIFS(Token!$B:$B,Token!$A:$A,$K729)&gt;0.01),$L729/86400+DATE(1970,1,1)+IF($L729*1&gt;=$G$5,$G$6,0),)</f>
        <v/>
      </c>
      <c r="B729" s="22" t="str">
        <f t="shared" si="1"/>
        <v/>
      </c>
      <c r="C729" s="14" t="str">
        <f>IF($A729&lt;&gt;"",MINIFS(Merchant!$A:$A,Merchant!$B:$B,$G$2),)</f>
        <v/>
      </c>
      <c r="D729" s="14" t="str">
        <f t="shared" si="2"/>
        <v/>
      </c>
      <c r="E729" s="14" t="str">
        <f t="shared" si="3"/>
        <v/>
      </c>
      <c r="F729" s="6" t="str">
        <f>IF($A729&lt;&gt;"",MAXIFS(Token!$B:$B,Token!$A:$A,$D729),)</f>
        <v/>
      </c>
    </row>
    <row r="730">
      <c r="A730" s="35" t="str">
        <f>IF(AND($L730*1&gt;=$G$3,$L730*1&lt;=$G$4,$I730*$J730&gt;0,CONCATENATE($H730:$L730)&lt;&gt;CONCATENATE($H731:$L731),$I730/POW(10,$J730)*MAXIFS(Token!$B:$B,Token!$A:$A,$K730)&gt;0.01),$L730/86400+DATE(1970,1,1)+IF($L730*1&gt;=$G$5,$G$6,0),)</f>
        <v/>
      </c>
      <c r="B730" s="22" t="str">
        <f t="shared" si="1"/>
        <v/>
      </c>
      <c r="C730" s="14" t="str">
        <f>IF($A730&lt;&gt;"",MINIFS(Merchant!$A:$A,Merchant!$B:$B,$G$2),)</f>
        <v/>
      </c>
      <c r="D730" s="14" t="str">
        <f t="shared" si="2"/>
        <v/>
      </c>
      <c r="E730" s="14" t="str">
        <f t="shared" si="3"/>
        <v/>
      </c>
      <c r="F730" s="6" t="str">
        <f>IF($A730&lt;&gt;"",MAXIFS(Token!$B:$B,Token!$A:$A,$D730),)</f>
        <v/>
      </c>
    </row>
    <row r="731">
      <c r="A731" s="35" t="str">
        <f>IF(AND($L731*1&gt;=$G$3,$L731*1&lt;=$G$4,$I731*$J731&gt;0,CONCATENATE($H731:$L731)&lt;&gt;CONCATENATE($H732:$L732),$I731/POW(10,$J731)*MAXIFS(Token!$B:$B,Token!$A:$A,$K731)&gt;0.01),$L731/86400+DATE(1970,1,1)+IF($L731*1&gt;=$G$5,$G$6,0),)</f>
        <v/>
      </c>
      <c r="B731" s="22" t="str">
        <f t="shared" si="1"/>
        <v/>
      </c>
      <c r="C731" s="14" t="str">
        <f>IF($A731&lt;&gt;"",MINIFS(Merchant!$A:$A,Merchant!$B:$B,$G$2),)</f>
        <v/>
      </c>
      <c r="D731" s="14" t="str">
        <f t="shared" si="2"/>
        <v/>
      </c>
      <c r="E731" s="14" t="str">
        <f t="shared" si="3"/>
        <v/>
      </c>
      <c r="F731" s="6" t="str">
        <f>IF($A731&lt;&gt;"",MAXIFS(Token!$B:$B,Token!$A:$A,$D731),)</f>
        <v/>
      </c>
    </row>
    <row r="732">
      <c r="A732" s="35" t="str">
        <f>IF(AND($L732*1&gt;=$G$3,$L732*1&lt;=$G$4,$I732*$J732&gt;0,CONCATENATE($H732:$L732)&lt;&gt;CONCATENATE($H733:$L733),$I732/POW(10,$J732)*MAXIFS(Token!$B:$B,Token!$A:$A,$K732)&gt;0.01),$L732/86400+DATE(1970,1,1)+IF($L732*1&gt;=$G$5,$G$6,0),)</f>
        <v/>
      </c>
      <c r="B732" s="22" t="str">
        <f t="shared" si="1"/>
        <v/>
      </c>
      <c r="C732" s="14" t="str">
        <f>IF($A732&lt;&gt;"",MINIFS(Merchant!$A:$A,Merchant!$B:$B,$G$2),)</f>
        <v/>
      </c>
      <c r="D732" s="14" t="str">
        <f t="shared" si="2"/>
        <v/>
      </c>
      <c r="E732" s="14" t="str">
        <f t="shared" si="3"/>
        <v/>
      </c>
      <c r="F732" s="6" t="str">
        <f>IF($A732&lt;&gt;"",MAXIFS(Token!$B:$B,Token!$A:$A,$D732),)</f>
        <v/>
      </c>
    </row>
    <row r="733">
      <c r="A733" s="35" t="str">
        <f>IF(AND($L733*1&gt;=$G$3,$L733*1&lt;=$G$4,$I733*$J733&gt;0,CONCATENATE($H733:$L733)&lt;&gt;CONCATENATE($H734:$L734),$I733/POW(10,$J733)*MAXIFS(Token!$B:$B,Token!$A:$A,$K733)&gt;0.01),$L733/86400+DATE(1970,1,1)+IF($L733*1&gt;=$G$5,$G$6,0),)</f>
        <v/>
      </c>
      <c r="B733" s="22" t="str">
        <f t="shared" si="1"/>
        <v/>
      </c>
      <c r="C733" s="14" t="str">
        <f>IF($A733&lt;&gt;"",MINIFS(Merchant!$A:$A,Merchant!$B:$B,$G$2),)</f>
        <v/>
      </c>
      <c r="D733" s="14" t="str">
        <f t="shared" si="2"/>
        <v/>
      </c>
      <c r="E733" s="14" t="str">
        <f t="shared" si="3"/>
        <v/>
      </c>
      <c r="F733" s="6" t="str">
        <f>IF($A733&lt;&gt;"",MAXIFS(Token!$B:$B,Token!$A:$A,$D733),)</f>
        <v/>
      </c>
    </row>
    <row r="734">
      <c r="A734" s="35" t="str">
        <f>IF(AND($L734*1&gt;=$G$3,$L734*1&lt;=$G$4,$I734*$J734&gt;0,CONCATENATE($H734:$L734)&lt;&gt;CONCATENATE($H735:$L735),$I734/POW(10,$J734)*MAXIFS(Token!$B:$B,Token!$A:$A,$K734)&gt;0.01),$L734/86400+DATE(1970,1,1)+IF($L734*1&gt;=$G$5,$G$6,0),)</f>
        <v/>
      </c>
      <c r="B734" s="22" t="str">
        <f t="shared" si="1"/>
        <v/>
      </c>
      <c r="C734" s="14" t="str">
        <f>IF($A734&lt;&gt;"",MINIFS(Merchant!$A:$A,Merchant!$B:$B,$G$2),)</f>
        <v/>
      </c>
      <c r="D734" s="14" t="str">
        <f t="shared" si="2"/>
        <v/>
      </c>
      <c r="E734" s="14" t="str">
        <f t="shared" si="3"/>
        <v/>
      </c>
      <c r="F734" s="6" t="str">
        <f>IF($A734&lt;&gt;"",MAXIFS(Token!$B:$B,Token!$A:$A,$D734),)</f>
        <v/>
      </c>
    </row>
    <row r="735">
      <c r="A735" s="35" t="str">
        <f>IF(AND($L735*1&gt;=$G$3,$L735*1&lt;=$G$4,$I735*$J735&gt;0,CONCATENATE($H735:$L735)&lt;&gt;CONCATENATE($H736:$L736),$I735/POW(10,$J735)*MAXIFS(Token!$B:$B,Token!$A:$A,$K735)&gt;0.01),$L735/86400+DATE(1970,1,1)+IF($L735*1&gt;=$G$5,$G$6,0),)</f>
        <v/>
      </c>
      <c r="B735" s="22" t="str">
        <f t="shared" si="1"/>
        <v/>
      </c>
      <c r="C735" s="14" t="str">
        <f>IF($A735&lt;&gt;"",MINIFS(Merchant!$A:$A,Merchant!$B:$B,$G$2),)</f>
        <v/>
      </c>
      <c r="D735" s="14" t="str">
        <f t="shared" si="2"/>
        <v/>
      </c>
      <c r="E735" s="14" t="str">
        <f t="shared" si="3"/>
        <v/>
      </c>
      <c r="F735" s="6" t="str">
        <f>IF($A735&lt;&gt;"",MAXIFS(Token!$B:$B,Token!$A:$A,$D735),)</f>
        <v/>
      </c>
    </row>
    <row r="736">
      <c r="A736" s="35" t="str">
        <f>IF(AND($L736*1&gt;=$G$3,$L736*1&lt;=$G$4,$I736*$J736&gt;0,CONCATENATE($H736:$L736)&lt;&gt;CONCATENATE($H737:$L737),$I736/POW(10,$J736)*MAXIFS(Token!$B:$B,Token!$A:$A,$K736)&gt;0.01),$L736/86400+DATE(1970,1,1)+IF($L736*1&gt;=$G$5,$G$6,0),)</f>
        <v/>
      </c>
      <c r="B736" s="22" t="str">
        <f t="shared" si="1"/>
        <v/>
      </c>
      <c r="C736" s="14" t="str">
        <f>IF($A736&lt;&gt;"",MINIFS(Merchant!$A:$A,Merchant!$B:$B,$G$2),)</f>
        <v/>
      </c>
      <c r="D736" s="14" t="str">
        <f t="shared" si="2"/>
        <v/>
      </c>
      <c r="E736" s="14" t="str">
        <f t="shared" si="3"/>
        <v/>
      </c>
      <c r="F736" s="6" t="str">
        <f>IF($A736&lt;&gt;"",MAXIFS(Token!$B:$B,Token!$A:$A,$D736),)</f>
        <v/>
      </c>
    </row>
    <row r="737">
      <c r="A737" s="35" t="str">
        <f>IF(AND($L737*1&gt;=$G$3,$L737*1&lt;=$G$4,$I737*$J737&gt;0,CONCATENATE($H737:$L737)&lt;&gt;CONCATENATE($H738:$L738),$I737/POW(10,$J737)*MAXIFS(Token!$B:$B,Token!$A:$A,$K737)&gt;0.01),$L737/86400+DATE(1970,1,1)+IF($L737*1&gt;=$G$5,$G$6,0),)</f>
        <v/>
      </c>
      <c r="B737" s="22" t="str">
        <f t="shared" si="1"/>
        <v/>
      </c>
      <c r="C737" s="14" t="str">
        <f>IF($A737&lt;&gt;"",MINIFS(Merchant!$A:$A,Merchant!$B:$B,$G$2),)</f>
        <v/>
      </c>
      <c r="D737" s="14" t="str">
        <f t="shared" si="2"/>
        <v/>
      </c>
      <c r="E737" s="14" t="str">
        <f t="shared" si="3"/>
        <v/>
      </c>
      <c r="F737" s="6" t="str">
        <f>IF($A737&lt;&gt;"",MAXIFS(Token!$B:$B,Token!$A:$A,$D737),)</f>
        <v/>
      </c>
    </row>
    <row r="738">
      <c r="A738" s="35" t="str">
        <f>IF(AND($L738*1&gt;=$G$3,$L738*1&lt;=$G$4,$I738*$J738&gt;0,CONCATENATE($H738:$L738)&lt;&gt;CONCATENATE($H739:$L739),$I738/POW(10,$J738)*MAXIFS(Token!$B:$B,Token!$A:$A,$K738)&gt;0.01),$L738/86400+DATE(1970,1,1)+IF($L738*1&gt;=$G$5,$G$6,0),)</f>
        <v/>
      </c>
      <c r="B738" s="22" t="str">
        <f t="shared" si="1"/>
        <v/>
      </c>
      <c r="C738" s="14" t="str">
        <f>IF($A738&lt;&gt;"",MINIFS(Merchant!$A:$A,Merchant!$B:$B,$G$2),)</f>
        <v/>
      </c>
      <c r="D738" s="14" t="str">
        <f t="shared" si="2"/>
        <v/>
      </c>
      <c r="E738" s="14" t="str">
        <f t="shared" si="3"/>
        <v/>
      </c>
      <c r="F738" s="6" t="str">
        <f>IF($A738&lt;&gt;"",MAXIFS(Token!$B:$B,Token!$A:$A,$D738),)</f>
        <v/>
      </c>
    </row>
    <row r="739">
      <c r="A739" s="35" t="str">
        <f>IF(AND($L739*1&gt;=$G$3,$L739*1&lt;=$G$4,$I739*$J739&gt;0,CONCATENATE($H739:$L739)&lt;&gt;CONCATENATE($H740:$L740),$I739/POW(10,$J739)*MAXIFS(Token!$B:$B,Token!$A:$A,$K739)&gt;0.01),$L739/86400+DATE(1970,1,1)+IF($L739*1&gt;=$G$5,$G$6,0),)</f>
        <v/>
      </c>
      <c r="B739" s="22" t="str">
        <f t="shared" si="1"/>
        <v/>
      </c>
      <c r="C739" s="14" t="str">
        <f>IF($A739&lt;&gt;"",MINIFS(Merchant!$A:$A,Merchant!$B:$B,$G$2),)</f>
        <v/>
      </c>
      <c r="D739" s="14" t="str">
        <f t="shared" si="2"/>
        <v/>
      </c>
      <c r="E739" s="14" t="str">
        <f t="shared" si="3"/>
        <v/>
      </c>
      <c r="F739" s="6" t="str">
        <f>IF($A739&lt;&gt;"",MAXIFS(Token!$B:$B,Token!$A:$A,$D739),)</f>
        <v/>
      </c>
    </row>
    <row r="740">
      <c r="A740" s="35" t="str">
        <f>IF(AND($L740*1&gt;=$G$3,$L740*1&lt;=$G$4,$I740*$J740&gt;0,CONCATENATE($H740:$L740)&lt;&gt;CONCATENATE($H741:$L741),$I740/POW(10,$J740)*MAXIFS(Token!$B:$B,Token!$A:$A,$K740)&gt;0.01),$L740/86400+DATE(1970,1,1)+IF($L740*1&gt;=$G$5,$G$6,0),)</f>
        <v/>
      </c>
      <c r="B740" s="22" t="str">
        <f t="shared" si="1"/>
        <v/>
      </c>
      <c r="C740" s="14" t="str">
        <f>IF($A740&lt;&gt;"",MINIFS(Merchant!$A:$A,Merchant!$B:$B,$G$2),)</f>
        <v/>
      </c>
      <c r="D740" s="14" t="str">
        <f t="shared" si="2"/>
        <v/>
      </c>
      <c r="E740" s="14" t="str">
        <f t="shared" si="3"/>
        <v/>
      </c>
      <c r="F740" s="6" t="str">
        <f>IF($A740&lt;&gt;"",MAXIFS(Token!$B:$B,Token!$A:$A,$D740),)</f>
        <v/>
      </c>
    </row>
    <row r="741">
      <c r="A741" s="35" t="str">
        <f>IF(AND($L741*1&gt;=$G$3,$L741*1&lt;=$G$4,$I741*$J741&gt;0,CONCATENATE($H741:$L741)&lt;&gt;CONCATENATE($H742:$L742),$I741/POW(10,$J741)*MAXIFS(Token!$B:$B,Token!$A:$A,$K741)&gt;0.01),$L741/86400+DATE(1970,1,1)+IF($L741*1&gt;=$G$5,$G$6,0),)</f>
        <v/>
      </c>
      <c r="B741" s="22" t="str">
        <f t="shared" si="1"/>
        <v/>
      </c>
      <c r="C741" s="14" t="str">
        <f>IF($A741&lt;&gt;"",MINIFS(Merchant!$A:$A,Merchant!$B:$B,$G$2),)</f>
        <v/>
      </c>
      <c r="D741" s="14" t="str">
        <f t="shared" si="2"/>
        <v/>
      </c>
      <c r="E741" s="14" t="str">
        <f t="shared" si="3"/>
        <v/>
      </c>
      <c r="F741" s="6" t="str">
        <f>IF($A741&lt;&gt;"",MAXIFS(Token!$B:$B,Token!$A:$A,$D741),)</f>
        <v/>
      </c>
    </row>
    <row r="742">
      <c r="A742" s="35" t="str">
        <f>IF(AND($L742*1&gt;=$G$3,$L742*1&lt;=$G$4,$I742*$J742&gt;0,CONCATENATE($H742:$L742)&lt;&gt;CONCATENATE($H743:$L743),$I742/POW(10,$J742)*MAXIFS(Token!$B:$B,Token!$A:$A,$K742)&gt;0.01),$L742/86400+DATE(1970,1,1)+IF($L742*1&gt;=$G$5,$G$6,0),)</f>
        <v/>
      </c>
      <c r="B742" s="22" t="str">
        <f t="shared" si="1"/>
        <v/>
      </c>
      <c r="C742" s="14" t="str">
        <f>IF($A742&lt;&gt;"",MINIFS(Merchant!$A:$A,Merchant!$B:$B,$G$2),)</f>
        <v/>
      </c>
      <c r="D742" s="14" t="str">
        <f t="shared" si="2"/>
        <v/>
      </c>
      <c r="E742" s="14" t="str">
        <f t="shared" si="3"/>
        <v/>
      </c>
      <c r="F742" s="6" t="str">
        <f>IF($A742&lt;&gt;"",MAXIFS(Token!$B:$B,Token!$A:$A,$D742),)</f>
        <v/>
      </c>
    </row>
    <row r="743">
      <c r="A743" s="35" t="str">
        <f>IF(AND($L743*1&gt;=$G$3,$L743*1&lt;=$G$4,$I743*$J743&gt;0,CONCATENATE($H743:$L743)&lt;&gt;CONCATENATE($H744:$L744),$I743/POW(10,$J743)*MAXIFS(Token!$B:$B,Token!$A:$A,$K743)&gt;0.01),$L743/86400+DATE(1970,1,1)+IF($L743*1&gt;=$G$5,$G$6,0),)</f>
        <v/>
      </c>
      <c r="B743" s="22" t="str">
        <f t="shared" si="1"/>
        <v/>
      </c>
      <c r="C743" s="14" t="str">
        <f>IF($A743&lt;&gt;"",MINIFS(Merchant!$A:$A,Merchant!$B:$B,$G$2),)</f>
        <v/>
      </c>
      <c r="D743" s="14" t="str">
        <f t="shared" si="2"/>
        <v/>
      </c>
      <c r="E743" s="14" t="str">
        <f t="shared" si="3"/>
        <v/>
      </c>
      <c r="F743" s="6" t="str">
        <f>IF($A743&lt;&gt;"",MAXIFS(Token!$B:$B,Token!$A:$A,$D743),)</f>
        <v/>
      </c>
    </row>
    <row r="744">
      <c r="A744" s="35" t="str">
        <f>IF(AND($L744*1&gt;=$G$3,$L744*1&lt;=$G$4,$I744*$J744&gt;0,CONCATENATE($H744:$L744)&lt;&gt;CONCATENATE($H745:$L745),$I744/POW(10,$J744)*MAXIFS(Token!$B:$B,Token!$A:$A,$K744)&gt;0.01),$L744/86400+DATE(1970,1,1)+IF($L744*1&gt;=$G$5,$G$6,0),)</f>
        <v/>
      </c>
      <c r="B744" s="22" t="str">
        <f t="shared" si="1"/>
        <v/>
      </c>
      <c r="C744" s="14" t="str">
        <f>IF($A744&lt;&gt;"",MINIFS(Merchant!$A:$A,Merchant!$B:$B,$G$2),)</f>
        <v/>
      </c>
      <c r="D744" s="14" t="str">
        <f t="shared" si="2"/>
        <v/>
      </c>
      <c r="E744" s="14" t="str">
        <f t="shared" si="3"/>
        <v/>
      </c>
      <c r="F744" s="6" t="str">
        <f>IF($A744&lt;&gt;"",MAXIFS(Token!$B:$B,Token!$A:$A,$D744),)</f>
        <v/>
      </c>
    </row>
    <row r="745">
      <c r="A745" s="35" t="str">
        <f>IF(AND($L745*1&gt;=$G$3,$L745*1&lt;=$G$4,$I745*$J745&gt;0,CONCATENATE($H745:$L745)&lt;&gt;CONCATENATE($H746:$L746),$I745/POW(10,$J745)*MAXIFS(Token!$B:$B,Token!$A:$A,$K745)&gt;0.01),$L745/86400+DATE(1970,1,1)+IF($L745*1&gt;=$G$5,$G$6,0),)</f>
        <v/>
      </c>
      <c r="B745" s="22" t="str">
        <f t="shared" si="1"/>
        <v/>
      </c>
      <c r="C745" s="14" t="str">
        <f>IF($A745&lt;&gt;"",MINIFS(Merchant!$A:$A,Merchant!$B:$B,$G$2),)</f>
        <v/>
      </c>
      <c r="D745" s="14" t="str">
        <f t="shared" si="2"/>
        <v/>
      </c>
      <c r="E745" s="14" t="str">
        <f t="shared" si="3"/>
        <v/>
      </c>
      <c r="F745" s="6" t="str">
        <f>IF($A745&lt;&gt;"",MAXIFS(Token!$B:$B,Token!$A:$A,$D745),)</f>
        <v/>
      </c>
    </row>
    <row r="746">
      <c r="A746" s="35" t="str">
        <f>IF(AND($L746*1&gt;=$G$3,$L746*1&lt;=$G$4,$I746*$J746&gt;0,CONCATENATE($H746:$L746)&lt;&gt;CONCATENATE($H747:$L747),$I746/POW(10,$J746)*MAXIFS(Token!$B:$B,Token!$A:$A,$K746)&gt;0.01),$L746/86400+DATE(1970,1,1)+IF($L746*1&gt;=$G$5,$G$6,0),)</f>
        <v/>
      </c>
      <c r="B746" s="22" t="str">
        <f t="shared" si="1"/>
        <v/>
      </c>
      <c r="C746" s="14" t="str">
        <f>IF($A746&lt;&gt;"",MINIFS(Merchant!$A:$A,Merchant!$B:$B,$G$2),)</f>
        <v/>
      </c>
      <c r="D746" s="14" t="str">
        <f t="shared" si="2"/>
        <v/>
      </c>
      <c r="E746" s="14" t="str">
        <f t="shared" si="3"/>
        <v/>
      </c>
      <c r="F746" s="6" t="str">
        <f>IF($A746&lt;&gt;"",MAXIFS(Token!$B:$B,Token!$A:$A,$D746),)</f>
        <v/>
      </c>
    </row>
    <row r="747">
      <c r="A747" s="35" t="str">
        <f>IF(AND($L747*1&gt;=$G$3,$L747*1&lt;=$G$4,$I747*$J747&gt;0,CONCATENATE($H747:$L747)&lt;&gt;CONCATENATE($H748:$L748),$I747/POW(10,$J747)*MAXIFS(Token!$B:$B,Token!$A:$A,$K747)&gt;0.01),$L747/86400+DATE(1970,1,1)+IF($L747*1&gt;=$G$5,$G$6,0),)</f>
        <v/>
      </c>
      <c r="B747" s="22" t="str">
        <f t="shared" si="1"/>
        <v/>
      </c>
      <c r="C747" s="14" t="str">
        <f>IF($A747&lt;&gt;"",MINIFS(Merchant!$A:$A,Merchant!$B:$B,$G$2),)</f>
        <v/>
      </c>
      <c r="D747" s="14" t="str">
        <f t="shared" si="2"/>
        <v/>
      </c>
      <c r="E747" s="14" t="str">
        <f t="shared" si="3"/>
        <v/>
      </c>
      <c r="F747" s="6" t="str">
        <f>IF($A747&lt;&gt;"",MAXIFS(Token!$B:$B,Token!$A:$A,$D747),)</f>
        <v/>
      </c>
    </row>
    <row r="748">
      <c r="A748" s="35" t="str">
        <f>IF(AND($L748*1&gt;=$G$3,$L748*1&lt;=$G$4,$I748*$J748&gt;0,CONCATENATE($H748:$L748)&lt;&gt;CONCATENATE($H749:$L749),$I748/POW(10,$J748)*MAXIFS(Token!$B:$B,Token!$A:$A,$K748)&gt;0.01),$L748/86400+DATE(1970,1,1)+IF($L748*1&gt;=$G$5,$G$6,0),)</f>
        <v/>
      </c>
      <c r="B748" s="22" t="str">
        <f t="shared" si="1"/>
        <v/>
      </c>
      <c r="C748" s="14" t="str">
        <f>IF($A748&lt;&gt;"",MINIFS(Merchant!$A:$A,Merchant!$B:$B,$G$2),)</f>
        <v/>
      </c>
      <c r="D748" s="14" t="str">
        <f t="shared" si="2"/>
        <v/>
      </c>
      <c r="E748" s="14" t="str">
        <f t="shared" si="3"/>
        <v/>
      </c>
      <c r="F748" s="6" t="str">
        <f>IF($A748&lt;&gt;"",MAXIFS(Token!$B:$B,Token!$A:$A,$D748),)</f>
        <v/>
      </c>
    </row>
    <row r="749">
      <c r="A749" s="35" t="str">
        <f>IF(AND($L749*1&gt;=$G$3,$L749*1&lt;=$G$4,$I749*$J749&gt;0,CONCATENATE($H749:$L749)&lt;&gt;CONCATENATE($H750:$L750),$I749/POW(10,$J749)*MAXIFS(Token!$B:$B,Token!$A:$A,$K749)&gt;0.01),$L749/86400+DATE(1970,1,1)+IF($L749*1&gt;=$G$5,$G$6,0),)</f>
        <v/>
      </c>
      <c r="B749" s="22" t="str">
        <f t="shared" si="1"/>
        <v/>
      </c>
      <c r="C749" s="14" t="str">
        <f>IF($A749&lt;&gt;"",MINIFS(Merchant!$A:$A,Merchant!$B:$B,$G$2),)</f>
        <v/>
      </c>
      <c r="D749" s="14" t="str">
        <f t="shared" si="2"/>
        <v/>
      </c>
      <c r="E749" s="14" t="str">
        <f t="shared" si="3"/>
        <v/>
      </c>
      <c r="F749" s="6" t="str">
        <f>IF($A749&lt;&gt;"",MAXIFS(Token!$B:$B,Token!$A:$A,$D749),)</f>
        <v/>
      </c>
    </row>
    <row r="750">
      <c r="A750" s="35" t="str">
        <f>IF(AND($L750*1&gt;=$G$3,$L750*1&lt;=$G$4,$I750*$J750&gt;0,CONCATENATE($H750:$L750)&lt;&gt;CONCATENATE($H751:$L751),$I750/POW(10,$J750)*MAXIFS(Token!$B:$B,Token!$A:$A,$K750)&gt;0.01),$L750/86400+DATE(1970,1,1)+IF($L750*1&gt;=$G$5,$G$6,0),)</f>
        <v/>
      </c>
      <c r="B750" s="22" t="str">
        <f t="shared" si="1"/>
        <v/>
      </c>
      <c r="C750" s="14" t="str">
        <f>IF($A750&lt;&gt;"",MINIFS(Merchant!$A:$A,Merchant!$B:$B,$G$2),)</f>
        <v/>
      </c>
      <c r="D750" s="14" t="str">
        <f t="shared" si="2"/>
        <v/>
      </c>
      <c r="E750" s="14" t="str">
        <f t="shared" si="3"/>
        <v/>
      </c>
      <c r="F750" s="6" t="str">
        <f>IF($A750&lt;&gt;"",MAXIFS(Token!$B:$B,Token!$A:$A,$D750),)</f>
        <v/>
      </c>
    </row>
    <row r="751">
      <c r="A751" s="35" t="str">
        <f>IF(AND($L751*1&gt;=$G$3,$L751*1&lt;=$G$4,$I751*$J751&gt;0,CONCATENATE($H751:$L751)&lt;&gt;CONCATENATE($H752:$L752),$I751/POW(10,$J751)*MAXIFS(Token!$B:$B,Token!$A:$A,$K751)&gt;0.01),$L751/86400+DATE(1970,1,1)+IF($L751*1&gt;=$G$5,$G$6,0),)</f>
        <v/>
      </c>
      <c r="B751" s="22" t="str">
        <f t="shared" si="1"/>
        <v/>
      </c>
      <c r="C751" s="14" t="str">
        <f>IF($A751&lt;&gt;"",MINIFS(Merchant!$A:$A,Merchant!$B:$B,$G$2),)</f>
        <v/>
      </c>
      <c r="D751" s="14" t="str">
        <f t="shared" si="2"/>
        <v/>
      </c>
      <c r="E751" s="14" t="str">
        <f t="shared" si="3"/>
        <v/>
      </c>
      <c r="F751" s="6" t="str">
        <f>IF($A751&lt;&gt;"",MAXIFS(Token!$B:$B,Token!$A:$A,$D751),)</f>
        <v/>
      </c>
    </row>
    <row r="752">
      <c r="A752" s="35" t="str">
        <f>IF(AND($L752*1&gt;=$G$3,$L752*1&lt;=$G$4,$I752*$J752&gt;0,CONCATENATE($H752:$L752)&lt;&gt;CONCATENATE($H753:$L753),$I752/POW(10,$J752)*MAXIFS(Token!$B:$B,Token!$A:$A,$K752)&gt;0.01),$L752/86400+DATE(1970,1,1)+IF($L752*1&gt;=$G$5,$G$6,0),)</f>
        <v/>
      </c>
      <c r="B752" s="22" t="str">
        <f t="shared" si="1"/>
        <v/>
      </c>
      <c r="C752" s="14" t="str">
        <f>IF($A752&lt;&gt;"",MINIFS(Merchant!$A:$A,Merchant!$B:$B,$G$2),)</f>
        <v/>
      </c>
      <c r="D752" s="14" t="str">
        <f t="shared" si="2"/>
        <v/>
      </c>
      <c r="E752" s="14" t="str">
        <f t="shared" si="3"/>
        <v/>
      </c>
      <c r="F752" s="6" t="str">
        <f>IF($A752&lt;&gt;"",MAXIFS(Token!$B:$B,Token!$A:$A,$D752),)</f>
        <v/>
      </c>
    </row>
    <row r="753">
      <c r="A753" s="35" t="str">
        <f>IF(AND($L753*1&gt;=$G$3,$L753*1&lt;=$G$4,$I753*$J753&gt;0,CONCATENATE($H753:$L753)&lt;&gt;CONCATENATE($H754:$L754),$I753/POW(10,$J753)*MAXIFS(Token!$B:$B,Token!$A:$A,$K753)&gt;0.01),$L753/86400+DATE(1970,1,1)+IF($L753*1&gt;=$G$5,$G$6,0),)</f>
        <v/>
      </c>
      <c r="B753" s="22" t="str">
        <f t="shared" si="1"/>
        <v/>
      </c>
      <c r="C753" s="14" t="str">
        <f>IF($A753&lt;&gt;"",MINIFS(Merchant!$A:$A,Merchant!$B:$B,$G$2),)</f>
        <v/>
      </c>
      <c r="D753" s="14" t="str">
        <f t="shared" si="2"/>
        <v/>
      </c>
      <c r="E753" s="14" t="str">
        <f t="shared" si="3"/>
        <v/>
      </c>
      <c r="F753" s="6" t="str">
        <f>IF($A753&lt;&gt;"",MAXIFS(Token!$B:$B,Token!$A:$A,$D753),)</f>
        <v/>
      </c>
    </row>
    <row r="754">
      <c r="A754" s="35" t="str">
        <f>IF(AND($L754*1&gt;=$G$3,$L754*1&lt;=$G$4,$I754*$J754&gt;0,CONCATENATE($H754:$L754)&lt;&gt;CONCATENATE($H755:$L755),$I754/POW(10,$J754)*MAXIFS(Token!$B:$B,Token!$A:$A,$K754)&gt;0.01),$L754/86400+DATE(1970,1,1)+IF($L754*1&gt;=$G$5,$G$6,0),)</f>
        <v/>
      </c>
      <c r="B754" s="22" t="str">
        <f t="shared" si="1"/>
        <v/>
      </c>
      <c r="C754" s="14" t="str">
        <f>IF($A754&lt;&gt;"",MINIFS(Merchant!$A:$A,Merchant!$B:$B,$G$2),)</f>
        <v/>
      </c>
      <c r="D754" s="14" t="str">
        <f t="shared" si="2"/>
        <v/>
      </c>
      <c r="E754" s="14" t="str">
        <f t="shared" si="3"/>
        <v/>
      </c>
      <c r="F754" s="6" t="str">
        <f>IF($A754&lt;&gt;"",MAXIFS(Token!$B:$B,Token!$A:$A,$D754),)</f>
        <v/>
      </c>
    </row>
    <row r="755">
      <c r="A755" s="35" t="str">
        <f>IF(AND($L755*1&gt;=$G$3,$L755*1&lt;=$G$4,$I755*$J755&gt;0,CONCATENATE($H755:$L755)&lt;&gt;CONCATENATE($H756:$L756),$I755/POW(10,$J755)*MAXIFS(Token!$B:$B,Token!$A:$A,$K755)&gt;0.01),$L755/86400+DATE(1970,1,1)+IF($L755*1&gt;=$G$5,$G$6,0),)</f>
        <v/>
      </c>
      <c r="B755" s="22" t="str">
        <f t="shared" si="1"/>
        <v/>
      </c>
      <c r="C755" s="14" t="str">
        <f>IF($A755&lt;&gt;"",MINIFS(Merchant!$A:$A,Merchant!$B:$B,$G$2),)</f>
        <v/>
      </c>
      <c r="D755" s="14" t="str">
        <f t="shared" si="2"/>
        <v/>
      </c>
      <c r="E755" s="14" t="str">
        <f t="shared" si="3"/>
        <v/>
      </c>
      <c r="F755" s="6" t="str">
        <f>IF($A755&lt;&gt;"",MAXIFS(Token!$B:$B,Token!$A:$A,$D755),)</f>
        <v/>
      </c>
    </row>
    <row r="756">
      <c r="A756" s="35" t="str">
        <f>IF(AND($L756*1&gt;=$G$3,$L756*1&lt;=$G$4,$I756*$J756&gt;0,CONCATENATE($H756:$L756)&lt;&gt;CONCATENATE($H757:$L757),$I756/POW(10,$J756)*MAXIFS(Token!$B:$B,Token!$A:$A,$K756)&gt;0.01),$L756/86400+DATE(1970,1,1)+IF($L756*1&gt;=$G$5,$G$6,0),)</f>
        <v/>
      </c>
      <c r="B756" s="22" t="str">
        <f t="shared" si="1"/>
        <v/>
      </c>
      <c r="C756" s="14" t="str">
        <f>IF($A756&lt;&gt;"",MINIFS(Merchant!$A:$A,Merchant!$B:$B,$G$2),)</f>
        <v/>
      </c>
      <c r="D756" s="14" t="str">
        <f t="shared" si="2"/>
        <v/>
      </c>
      <c r="E756" s="14" t="str">
        <f t="shared" si="3"/>
        <v/>
      </c>
      <c r="F756" s="6" t="str">
        <f>IF($A756&lt;&gt;"",MAXIFS(Token!$B:$B,Token!$A:$A,$D756),)</f>
        <v/>
      </c>
    </row>
    <row r="757">
      <c r="A757" s="35" t="str">
        <f>IF(AND($L757*1&gt;=$G$3,$L757*1&lt;=$G$4,$I757*$J757&gt;0,CONCATENATE($H757:$L757)&lt;&gt;CONCATENATE($H758:$L758),$I757/POW(10,$J757)*MAXIFS(Token!$B:$B,Token!$A:$A,$K757)&gt;0.01),$L757/86400+DATE(1970,1,1)+IF($L757*1&gt;=$G$5,$G$6,0),)</f>
        <v/>
      </c>
      <c r="B757" s="22" t="str">
        <f t="shared" si="1"/>
        <v/>
      </c>
      <c r="C757" s="14" t="str">
        <f>IF($A757&lt;&gt;"",MINIFS(Merchant!$A:$A,Merchant!$B:$B,$G$2),)</f>
        <v/>
      </c>
      <c r="D757" s="14" t="str">
        <f t="shared" si="2"/>
        <v/>
      </c>
      <c r="E757" s="14" t="str">
        <f t="shared" si="3"/>
        <v/>
      </c>
      <c r="F757" s="6" t="str">
        <f>IF($A757&lt;&gt;"",MAXIFS(Token!$B:$B,Token!$A:$A,$D757),)</f>
        <v/>
      </c>
    </row>
    <row r="758">
      <c r="A758" s="35" t="str">
        <f>IF(AND($L758*1&gt;=$G$3,$L758*1&lt;=$G$4,$I758*$J758&gt;0,CONCATENATE($H758:$L758)&lt;&gt;CONCATENATE($H759:$L759),$I758/POW(10,$J758)*MAXIFS(Token!$B:$B,Token!$A:$A,$K758)&gt;0.01),$L758/86400+DATE(1970,1,1)+IF($L758*1&gt;=$G$5,$G$6,0),)</f>
        <v/>
      </c>
      <c r="B758" s="22" t="str">
        <f t="shared" si="1"/>
        <v/>
      </c>
      <c r="C758" s="14" t="str">
        <f>IF($A758&lt;&gt;"",MINIFS(Merchant!$A:$A,Merchant!$B:$B,$G$2),)</f>
        <v/>
      </c>
      <c r="D758" s="14" t="str">
        <f t="shared" si="2"/>
        <v/>
      </c>
      <c r="E758" s="14" t="str">
        <f t="shared" si="3"/>
        <v/>
      </c>
      <c r="F758" s="6" t="str">
        <f>IF($A758&lt;&gt;"",MAXIFS(Token!$B:$B,Token!$A:$A,$D758),)</f>
        <v/>
      </c>
    </row>
    <row r="759">
      <c r="A759" s="35" t="str">
        <f>IF(AND($L759*1&gt;=$G$3,$L759*1&lt;=$G$4,$I759*$J759&gt;0,CONCATENATE($H759:$L759)&lt;&gt;CONCATENATE($H760:$L760),$I759/POW(10,$J759)*MAXIFS(Token!$B:$B,Token!$A:$A,$K759)&gt;0.01),$L759/86400+DATE(1970,1,1)+IF($L759*1&gt;=$G$5,$G$6,0),)</f>
        <v/>
      </c>
      <c r="B759" s="22" t="str">
        <f t="shared" si="1"/>
        <v/>
      </c>
      <c r="C759" s="14" t="str">
        <f>IF($A759&lt;&gt;"",MINIFS(Merchant!$A:$A,Merchant!$B:$B,$G$2),)</f>
        <v/>
      </c>
      <c r="D759" s="14" t="str">
        <f t="shared" si="2"/>
        <v/>
      </c>
      <c r="E759" s="14" t="str">
        <f t="shared" si="3"/>
        <v/>
      </c>
      <c r="F759" s="6" t="str">
        <f>IF($A759&lt;&gt;"",MAXIFS(Token!$B:$B,Token!$A:$A,$D759),)</f>
        <v/>
      </c>
    </row>
    <row r="760">
      <c r="A760" s="35" t="str">
        <f>IF(AND($L760*1&gt;=$G$3,$L760*1&lt;=$G$4,$I760*$J760&gt;0,CONCATENATE($H760:$L760)&lt;&gt;CONCATENATE($H761:$L761),$I760/POW(10,$J760)*MAXIFS(Token!$B:$B,Token!$A:$A,$K760)&gt;0.01),$L760/86400+DATE(1970,1,1)+IF($L760*1&gt;=$G$5,$G$6,0),)</f>
        <v/>
      </c>
      <c r="B760" s="22" t="str">
        <f t="shared" si="1"/>
        <v/>
      </c>
      <c r="C760" s="14" t="str">
        <f>IF($A760&lt;&gt;"",MINIFS(Merchant!$A:$A,Merchant!$B:$B,$G$2),)</f>
        <v/>
      </c>
      <c r="D760" s="14" t="str">
        <f t="shared" si="2"/>
        <v/>
      </c>
      <c r="E760" s="14" t="str">
        <f t="shared" si="3"/>
        <v/>
      </c>
      <c r="F760" s="6" t="str">
        <f>IF($A760&lt;&gt;"",MAXIFS(Token!$B:$B,Token!$A:$A,$D760),)</f>
        <v/>
      </c>
    </row>
    <row r="761">
      <c r="A761" s="35" t="str">
        <f>IF(AND($L761*1&gt;=$G$3,$L761*1&lt;=$G$4,$I761*$J761&gt;0,CONCATENATE($H761:$L761)&lt;&gt;CONCATENATE($H762:$L762),$I761/POW(10,$J761)*MAXIFS(Token!$B:$B,Token!$A:$A,$K761)&gt;0.01),$L761/86400+DATE(1970,1,1)+IF($L761*1&gt;=$G$5,$G$6,0),)</f>
        <v/>
      </c>
      <c r="B761" s="22" t="str">
        <f t="shared" si="1"/>
        <v/>
      </c>
      <c r="C761" s="14" t="str">
        <f>IF($A761&lt;&gt;"",MINIFS(Merchant!$A:$A,Merchant!$B:$B,$G$2),)</f>
        <v/>
      </c>
      <c r="D761" s="14" t="str">
        <f t="shared" si="2"/>
        <v/>
      </c>
      <c r="E761" s="14" t="str">
        <f t="shared" si="3"/>
        <v/>
      </c>
      <c r="F761" s="6" t="str">
        <f>IF($A761&lt;&gt;"",MAXIFS(Token!$B:$B,Token!$A:$A,$D761),)</f>
        <v/>
      </c>
    </row>
    <row r="762">
      <c r="A762" s="35" t="str">
        <f>IF(AND($L762*1&gt;=$G$3,$L762*1&lt;=$G$4,$I762*$J762&gt;0,CONCATENATE($H762:$L762)&lt;&gt;CONCATENATE($H763:$L763),$I762/POW(10,$J762)*MAXIFS(Token!$B:$B,Token!$A:$A,$K762)&gt;0.01),$L762/86400+DATE(1970,1,1)+IF($L762*1&gt;=$G$5,$G$6,0),)</f>
        <v/>
      </c>
      <c r="B762" s="22" t="str">
        <f t="shared" si="1"/>
        <v/>
      </c>
      <c r="C762" s="14" t="str">
        <f>IF($A762&lt;&gt;"",MINIFS(Merchant!$A:$A,Merchant!$B:$B,$G$2),)</f>
        <v/>
      </c>
      <c r="D762" s="14" t="str">
        <f t="shared" si="2"/>
        <v/>
      </c>
      <c r="E762" s="14" t="str">
        <f t="shared" si="3"/>
        <v/>
      </c>
      <c r="F762" s="6" t="str">
        <f>IF($A762&lt;&gt;"",MAXIFS(Token!$B:$B,Token!$A:$A,$D762),)</f>
        <v/>
      </c>
    </row>
    <row r="763">
      <c r="A763" s="35" t="str">
        <f>IF(AND($L763*1&gt;=$G$3,$L763*1&lt;=$G$4,$I763*$J763&gt;0,CONCATENATE($H763:$L763)&lt;&gt;CONCATENATE($H764:$L764),$I763/POW(10,$J763)*MAXIFS(Token!$B:$B,Token!$A:$A,$K763)&gt;0.01),$L763/86400+DATE(1970,1,1)+IF($L763*1&gt;=$G$5,$G$6,0),)</f>
        <v/>
      </c>
      <c r="B763" s="22" t="str">
        <f t="shared" si="1"/>
        <v/>
      </c>
      <c r="C763" s="14" t="str">
        <f>IF($A763&lt;&gt;"",MINIFS(Merchant!$A:$A,Merchant!$B:$B,$G$2),)</f>
        <v/>
      </c>
      <c r="D763" s="14" t="str">
        <f t="shared" si="2"/>
        <v/>
      </c>
      <c r="E763" s="14" t="str">
        <f t="shared" si="3"/>
        <v/>
      </c>
      <c r="F763" s="6" t="str">
        <f>IF($A763&lt;&gt;"",MAXIFS(Token!$B:$B,Token!$A:$A,$D763),)</f>
        <v/>
      </c>
    </row>
    <row r="764">
      <c r="A764" s="35" t="str">
        <f>IF(AND($L764*1&gt;=$G$3,$L764*1&lt;=$G$4,$I764*$J764&gt;0,CONCATENATE($H764:$L764)&lt;&gt;CONCATENATE($H765:$L765),$I764/POW(10,$J764)*MAXIFS(Token!$B:$B,Token!$A:$A,$K764)&gt;0.01),$L764/86400+DATE(1970,1,1)+IF($L764*1&gt;=$G$5,$G$6,0),)</f>
        <v/>
      </c>
      <c r="B764" s="22" t="str">
        <f t="shared" si="1"/>
        <v/>
      </c>
      <c r="C764" s="14" t="str">
        <f>IF($A764&lt;&gt;"",MINIFS(Merchant!$A:$A,Merchant!$B:$B,$G$2),)</f>
        <v/>
      </c>
      <c r="D764" s="14" t="str">
        <f t="shared" si="2"/>
        <v/>
      </c>
      <c r="E764" s="14" t="str">
        <f t="shared" si="3"/>
        <v/>
      </c>
      <c r="F764" s="6" t="str">
        <f>IF($A764&lt;&gt;"",MAXIFS(Token!$B:$B,Token!$A:$A,$D764),)</f>
        <v/>
      </c>
    </row>
    <row r="765">
      <c r="A765" s="35" t="str">
        <f>IF(AND($L765*1&gt;=$G$3,$L765*1&lt;=$G$4,$I765*$J765&gt;0,CONCATENATE($H765:$L765)&lt;&gt;CONCATENATE($H766:$L766),$I765/POW(10,$J765)*MAXIFS(Token!$B:$B,Token!$A:$A,$K765)&gt;0.01),$L765/86400+DATE(1970,1,1)+IF($L765*1&gt;=$G$5,$G$6,0),)</f>
        <v/>
      </c>
      <c r="B765" s="22" t="str">
        <f t="shared" si="1"/>
        <v/>
      </c>
      <c r="C765" s="14" t="str">
        <f>IF($A765&lt;&gt;"",MINIFS(Merchant!$A:$A,Merchant!$B:$B,$G$2),)</f>
        <v/>
      </c>
      <c r="D765" s="14" t="str">
        <f t="shared" si="2"/>
        <v/>
      </c>
      <c r="E765" s="14" t="str">
        <f t="shared" si="3"/>
        <v/>
      </c>
      <c r="F765" s="6" t="str">
        <f>IF($A765&lt;&gt;"",MAXIFS(Token!$B:$B,Token!$A:$A,$D765),)</f>
        <v/>
      </c>
    </row>
    <row r="766">
      <c r="A766" s="35" t="str">
        <f>IF(AND($L766*1&gt;=$G$3,$L766*1&lt;=$G$4,$I766*$J766&gt;0,CONCATENATE($H766:$L766)&lt;&gt;CONCATENATE($H767:$L767),$I766/POW(10,$J766)*MAXIFS(Token!$B:$B,Token!$A:$A,$K766)&gt;0.01),$L766/86400+DATE(1970,1,1)+IF($L766*1&gt;=$G$5,$G$6,0),)</f>
        <v/>
      </c>
      <c r="B766" s="22" t="str">
        <f t="shared" si="1"/>
        <v/>
      </c>
      <c r="C766" s="14" t="str">
        <f>IF($A766&lt;&gt;"",MINIFS(Merchant!$A:$A,Merchant!$B:$B,$G$2),)</f>
        <v/>
      </c>
      <c r="D766" s="14" t="str">
        <f t="shared" si="2"/>
        <v/>
      </c>
      <c r="E766" s="14" t="str">
        <f t="shared" si="3"/>
        <v/>
      </c>
      <c r="F766" s="6" t="str">
        <f>IF($A766&lt;&gt;"",MAXIFS(Token!$B:$B,Token!$A:$A,$D766),)</f>
        <v/>
      </c>
    </row>
    <row r="767">
      <c r="A767" s="35" t="str">
        <f>IF(AND($L767*1&gt;=$G$3,$L767*1&lt;=$G$4,$I767*$J767&gt;0,CONCATENATE($H767:$L767)&lt;&gt;CONCATENATE($H768:$L768),$I767/POW(10,$J767)*MAXIFS(Token!$B:$B,Token!$A:$A,$K767)&gt;0.01),$L767/86400+DATE(1970,1,1)+IF($L767*1&gt;=$G$5,$G$6,0),)</f>
        <v/>
      </c>
      <c r="B767" s="22" t="str">
        <f t="shared" si="1"/>
        <v/>
      </c>
      <c r="C767" s="14" t="str">
        <f>IF($A767&lt;&gt;"",MINIFS(Merchant!$A:$A,Merchant!$B:$B,$G$2),)</f>
        <v/>
      </c>
      <c r="D767" s="14" t="str">
        <f t="shared" si="2"/>
        <v/>
      </c>
      <c r="E767" s="14" t="str">
        <f t="shared" si="3"/>
        <v/>
      </c>
      <c r="F767" s="6" t="str">
        <f>IF($A767&lt;&gt;"",MAXIFS(Token!$B:$B,Token!$A:$A,$D767),)</f>
        <v/>
      </c>
    </row>
    <row r="768">
      <c r="A768" s="35" t="str">
        <f>IF(AND($L768*1&gt;=$G$3,$L768*1&lt;=$G$4,$I768*$J768&gt;0,CONCATENATE($H768:$L768)&lt;&gt;CONCATENATE($H769:$L769),$I768/POW(10,$J768)*MAXIFS(Token!$B:$B,Token!$A:$A,$K768)&gt;0.01),$L768/86400+DATE(1970,1,1)+IF($L768*1&gt;=$G$5,$G$6,0),)</f>
        <v/>
      </c>
      <c r="B768" s="22" t="str">
        <f t="shared" si="1"/>
        <v/>
      </c>
      <c r="C768" s="14" t="str">
        <f>IF($A768&lt;&gt;"",MINIFS(Merchant!$A:$A,Merchant!$B:$B,$G$2),)</f>
        <v/>
      </c>
      <c r="D768" s="14" t="str">
        <f t="shared" si="2"/>
        <v/>
      </c>
      <c r="E768" s="14" t="str">
        <f t="shared" si="3"/>
        <v/>
      </c>
      <c r="F768" s="6" t="str">
        <f>IF($A768&lt;&gt;"",MAXIFS(Token!$B:$B,Token!$A:$A,$D768),)</f>
        <v/>
      </c>
    </row>
    <row r="769">
      <c r="A769" s="35" t="str">
        <f>IF(AND($L769*1&gt;=$G$3,$L769*1&lt;=$G$4,$I769*$J769&gt;0,CONCATENATE($H769:$L769)&lt;&gt;CONCATENATE($H770:$L770),$I769/POW(10,$J769)*MAXIFS(Token!$B:$B,Token!$A:$A,$K769)&gt;0.01),$L769/86400+DATE(1970,1,1)+IF($L769*1&gt;=$G$5,$G$6,0),)</f>
        <v/>
      </c>
      <c r="B769" s="22" t="str">
        <f t="shared" si="1"/>
        <v/>
      </c>
      <c r="C769" s="14" t="str">
        <f>IF($A769&lt;&gt;"",MINIFS(Merchant!$A:$A,Merchant!$B:$B,$G$2),)</f>
        <v/>
      </c>
      <c r="D769" s="14" t="str">
        <f t="shared" si="2"/>
        <v/>
      </c>
      <c r="E769" s="14" t="str">
        <f t="shared" si="3"/>
        <v/>
      </c>
      <c r="F769" s="6" t="str">
        <f>IF($A769&lt;&gt;"",MAXIFS(Token!$B:$B,Token!$A:$A,$D769),)</f>
        <v/>
      </c>
    </row>
    <row r="770">
      <c r="A770" s="35" t="str">
        <f>IF(AND($L770*1&gt;=$G$3,$L770*1&lt;=$G$4,$I770*$J770&gt;0,CONCATENATE($H770:$L770)&lt;&gt;CONCATENATE($H771:$L771),$I770/POW(10,$J770)*MAXIFS(Token!$B:$B,Token!$A:$A,$K770)&gt;0.01),$L770/86400+DATE(1970,1,1)+IF($L770*1&gt;=$G$5,$G$6,0),)</f>
        <v/>
      </c>
      <c r="B770" s="22" t="str">
        <f t="shared" si="1"/>
        <v/>
      </c>
      <c r="C770" s="14" t="str">
        <f>IF($A770&lt;&gt;"",MINIFS(Merchant!$A:$A,Merchant!$B:$B,$G$2),)</f>
        <v/>
      </c>
      <c r="D770" s="14" t="str">
        <f t="shared" si="2"/>
        <v/>
      </c>
      <c r="E770" s="14" t="str">
        <f t="shared" si="3"/>
        <v/>
      </c>
      <c r="F770" s="6" t="str">
        <f>IF($A770&lt;&gt;"",MAXIFS(Token!$B:$B,Token!$A:$A,$D770),)</f>
        <v/>
      </c>
    </row>
    <row r="771">
      <c r="A771" s="35" t="str">
        <f>IF(AND($L771*1&gt;=$G$3,$L771*1&lt;=$G$4,$I771*$J771&gt;0,CONCATENATE($H771:$L771)&lt;&gt;CONCATENATE($H772:$L772),$I771/POW(10,$J771)*MAXIFS(Token!$B:$B,Token!$A:$A,$K771)&gt;0.01),$L771/86400+DATE(1970,1,1)+IF($L771*1&gt;=$G$5,$G$6,0),)</f>
        <v/>
      </c>
      <c r="B771" s="22" t="str">
        <f t="shared" si="1"/>
        <v/>
      </c>
      <c r="C771" s="14" t="str">
        <f>IF($A771&lt;&gt;"",MINIFS(Merchant!$A:$A,Merchant!$B:$B,$G$2),)</f>
        <v/>
      </c>
      <c r="D771" s="14" t="str">
        <f t="shared" si="2"/>
        <v/>
      </c>
      <c r="E771" s="14" t="str">
        <f t="shared" si="3"/>
        <v/>
      </c>
      <c r="F771" s="6" t="str">
        <f>IF($A771&lt;&gt;"",MAXIFS(Token!$B:$B,Token!$A:$A,$D771),)</f>
        <v/>
      </c>
    </row>
    <row r="772">
      <c r="A772" s="35" t="str">
        <f>IF(AND($L772*1&gt;=$G$3,$L772*1&lt;=$G$4,$I772*$J772&gt;0,CONCATENATE($H772:$L772)&lt;&gt;CONCATENATE($H773:$L773),$I772/POW(10,$J772)*MAXIFS(Token!$B:$B,Token!$A:$A,$K772)&gt;0.01),$L772/86400+DATE(1970,1,1)+IF($L772*1&gt;=$G$5,$G$6,0),)</f>
        <v/>
      </c>
      <c r="B772" s="22" t="str">
        <f t="shared" si="1"/>
        <v/>
      </c>
      <c r="C772" s="14" t="str">
        <f>IF($A772&lt;&gt;"",MINIFS(Merchant!$A:$A,Merchant!$B:$B,$G$2),)</f>
        <v/>
      </c>
      <c r="D772" s="14" t="str">
        <f t="shared" si="2"/>
        <v/>
      </c>
      <c r="E772" s="14" t="str">
        <f t="shared" si="3"/>
        <v/>
      </c>
      <c r="F772" s="6" t="str">
        <f>IF($A772&lt;&gt;"",MAXIFS(Token!$B:$B,Token!$A:$A,$D772),)</f>
        <v/>
      </c>
    </row>
    <row r="773">
      <c r="A773" s="35" t="str">
        <f>IF(AND($L773*1&gt;=$G$3,$L773*1&lt;=$G$4,$I773*$J773&gt;0,CONCATENATE($H773:$L773)&lt;&gt;CONCATENATE($H774:$L774),$I773/POW(10,$J773)*MAXIFS(Token!$B:$B,Token!$A:$A,$K773)&gt;0.01),$L773/86400+DATE(1970,1,1)+IF($L773*1&gt;=$G$5,$G$6,0),)</f>
        <v/>
      </c>
      <c r="B773" s="22" t="str">
        <f t="shared" si="1"/>
        <v/>
      </c>
      <c r="C773" s="14" t="str">
        <f>IF($A773&lt;&gt;"",MINIFS(Merchant!$A:$A,Merchant!$B:$B,$G$2),)</f>
        <v/>
      </c>
      <c r="D773" s="14" t="str">
        <f t="shared" si="2"/>
        <v/>
      </c>
      <c r="E773" s="14" t="str">
        <f t="shared" si="3"/>
        <v/>
      </c>
      <c r="F773" s="6" t="str">
        <f>IF($A773&lt;&gt;"",MAXIFS(Token!$B:$B,Token!$A:$A,$D773),)</f>
        <v/>
      </c>
    </row>
    <row r="774">
      <c r="A774" s="35" t="str">
        <f>IF(AND($L774*1&gt;=$G$3,$L774*1&lt;=$G$4,$I774*$J774&gt;0,CONCATENATE($H774:$L774)&lt;&gt;CONCATENATE($H775:$L775),$I774/POW(10,$J774)*MAXIFS(Token!$B:$B,Token!$A:$A,$K774)&gt;0.01),$L774/86400+DATE(1970,1,1)+IF($L774*1&gt;=$G$5,$G$6,0),)</f>
        <v/>
      </c>
      <c r="B774" s="22" t="str">
        <f t="shared" si="1"/>
        <v/>
      </c>
      <c r="C774" s="14" t="str">
        <f>IF($A774&lt;&gt;"",MINIFS(Merchant!$A:$A,Merchant!$B:$B,$G$2),)</f>
        <v/>
      </c>
      <c r="D774" s="14" t="str">
        <f t="shared" si="2"/>
        <v/>
      </c>
      <c r="E774" s="14" t="str">
        <f t="shared" si="3"/>
        <v/>
      </c>
      <c r="F774" s="6" t="str">
        <f>IF($A774&lt;&gt;"",MAXIFS(Token!$B:$B,Token!$A:$A,$D774),)</f>
        <v/>
      </c>
    </row>
    <row r="775">
      <c r="A775" s="35" t="str">
        <f>IF(AND($L775*1&gt;=$G$3,$L775*1&lt;=$G$4,$I775*$J775&gt;0,CONCATENATE($H775:$L775)&lt;&gt;CONCATENATE($H776:$L776),$I775/POW(10,$J775)*MAXIFS(Token!$B:$B,Token!$A:$A,$K775)&gt;0.01),$L775/86400+DATE(1970,1,1)+IF($L775*1&gt;=$G$5,$G$6,0),)</f>
        <v/>
      </c>
      <c r="B775" s="22" t="str">
        <f t="shared" si="1"/>
        <v/>
      </c>
      <c r="C775" s="14" t="str">
        <f>IF($A775&lt;&gt;"",MINIFS(Merchant!$A:$A,Merchant!$B:$B,$G$2),)</f>
        <v/>
      </c>
      <c r="D775" s="14" t="str">
        <f t="shared" si="2"/>
        <v/>
      </c>
      <c r="E775" s="14" t="str">
        <f t="shared" si="3"/>
        <v/>
      </c>
      <c r="F775" s="6" t="str">
        <f>IF($A775&lt;&gt;"",MAXIFS(Token!$B:$B,Token!$A:$A,$D775),)</f>
        <v/>
      </c>
    </row>
    <row r="776">
      <c r="A776" s="35" t="str">
        <f>IF(AND($L776*1&gt;=$G$3,$L776*1&lt;=$G$4,$I776*$J776&gt;0,CONCATENATE($H776:$L776)&lt;&gt;CONCATENATE($H777:$L777),$I776/POW(10,$J776)*MAXIFS(Token!$B:$B,Token!$A:$A,$K776)&gt;0.01),$L776/86400+DATE(1970,1,1)+IF($L776*1&gt;=$G$5,$G$6,0),)</f>
        <v/>
      </c>
      <c r="B776" s="22" t="str">
        <f t="shared" si="1"/>
        <v/>
      </c>
      <c r="C776" s="14" t="str">
        <f>IF($A776&lt;&gt;"",MINIFS(Merchant!$A:$A,Merchant!$B:$B,$G$2),)</f>
        <v/>
      </c>
      <c r="D776" s="14" t="str">
        <f t="shared" si="2"/>
        <v/>
      </c>
      <c r="E776" s="14" t="str">
        <f t="shared" si="3"/>
        <v/>
      </c>
      <c r="F776" s="6" t="str">
        <f>IF($A776&lt;&gt;"",MAXIFS(Token!$B:$B,Token!$A:$A,$D776),)</f>
        <v/>
      </c>
    </row>
    <row r="777">
      <c r="A777" s="35" t="str">
        <f>IF(AND($L777*1&gt;=$G$3,$L777*1&lt;=$G$4,$I777*$J777&gt;0,CONCATENATE($H777:$L777)&lt;&gt;CONCATENATE($H778:$L778),$I777/POW(10,$J777)*MAXIFS(Token!$B:$B,Token!$A:$A,$K777)&gt;0.01),$L777/86400+DATE(1970,1,1)+IF($L777*1&gt;=$G$5,$G$6,0),)</f>
        <v/>
      </c>
      <c r="B777" s="22" t="str">
        <f t="shared" si="1"/>
        <v/>
      </c>
      <c r="C777" s="14" t="str">
        <f>IF($A777&lt;&gt;"",MINIFS(Merchant!$A:$A,Merchant!$B:$B,$G$2),)</f>
        <v/>
      </c>
      <c r="D777" s="14" t="str">
        <f t="shared" si="2"/>
        <v/>
      </c>
      <c r="E777" s="14" t="str">
        <f t="shared" si="3"/>
        <v/>
      </c>
      <c r="F777" s="6" t="str">
        <f>IF($A777&lt;&gt;"",MAXIFS(Token!$B:$B,Token!$A:$A,$D777),)</f>
        <v/>
      </c>
    </row>
    <row r="778">
      <c r="A778" s="35" t="str">
        <f>IF(AND($L778*1&gt;=$G$3,$L778*1&lt;=$G$4,$I778*$J778&gt;0,CONCATENATE($H778:$L778)&lt;&gt;CONCATENATE($H779:$L779),$I778/POW(10,$J778)*MAXIFS(Token!$B:$B,Token!$A:$A,$K778)&gt;0.01),$L778/86400+DATE(1970,1,1)+IF($L778*1&gt;=$G$5,$G$6,0),)</f>
        <v/>
      </c>
      <c r="B778" s="22" t="str">
        <f t="shared" si="1"/>
        <v/>
      </c>
      <c r="C778" s="14" t="str">
        <f>IF($A778&lt;&gt;"",MINIFS(Merchant!$A:$A,Merchant!$B:$B,$G$2),)</f>
        <v/>
      </c>
      <c r="D778" s="14" t="str">
        <f t="shared" si="2"/>
        <v/>
      </c>
      <c r="E778" s="14" t="str">
        <f t="shared" si="3"/>
        <v/>
      </c>
      <c r="F778" s="6" t="str">
        <f>IF($A778&lt;&gt;"",MAXIFS(Token!$B:$B,Token!$A:$A,$D778),)</f>
        <v/>
      </c>
    </row>
    <row r="779">
      <c r="A779" s="35" t="str">
        <f>IF(AND($L779*1&gt;=$G$3,$L779*1&lt;=$G$4,$I779*$J779&gt;0,CONCATENATE($H779:$L779)&lt;&gt;CONCATENATE($H780:$L780),$I779/POW(10,$J779)*MAXIFS(Token!$B:$B,Token!$A:$A,$K779)&gt;0.01),$L779/86400+DATE(1970,1,1)+IF($L779*1&gt;=$G$5,$G$6,0),)</f>
        <v/>
      </c>
      <c r="B779" s="22" t="str">
        <f t="shared" si="1"/>
        <v/>
      </c>
      <c r="C779" s="14" t="str">
        <f>IF($A779&lt;&gt;"",MINIFS(Merchant!$A:$A,Merchant!$B:$B,$G$2),)</f>
        <v/>
      </c>
      <c r="D779" s="14" t="str">
        <f t="shared" si="2"/>
        <v/>
      </c>
      <c r="E779" s="14" t="str">
        <f t="shared" si="3"/>
        <v/>
      </c>
      <c r="F779" s="6" t="str">
        <f>IF($A779&lt;&gt;"",MAXIFS(Token!$B:$B,Token!$A:$A,$D779),)</f>
        <v/>
      </c>
    </row>
    <row r="780">
      <c r="A780" s="35" t="str">
        <f>IF(AND($L780*1&gt;=$G$3,$L780*1&lt;=$G$4,$I780*$J780&gt;0,CONCATENATE($H780:$L780)&lt;&gt;CONCATENATE($H781:$L781),$I780/POW(10,$J780)*MAXIFS(Token!$B:$B,Token!$A:$A,$K780)&gt;0.01),$L780/86400+DATE(1970,1,1)+IF($L780*1&gt;=$G$5,$G$6,0),)</f>
        <v/>
      </c>
      <c r="B780" s="22" t="str">
        <f t="shared" si="1"/>
        <v/>
      </c>
      <c r="C780" s="14" t="str">
        <f>IF($A780&lt;&gt;"",MINIFS(Merchant!$A:$A,Merchant!$B:$B,$G$2),)</f>
        <v/>
      </c>
      <c r="D780" s="14" t="str">
        <f t="shared" si="2"/>
        <v/>
      </c>
      <c r="E780" s="14" t="str">
        <f t="shared" si="3"/>
        <v/>
      </c>
      <c r="F780" s="6" t="str">
        <f>IF($A780&lt;&gt;"",MAXIFS(Token!$B:$B,Token!$A:$A,$D780),)</f>
        <v/>
      </c>
    </row>
    <row r="781">
      <c r="A781" s="35" t="str">
        <f>IF(AND($L781*1&gt;=$G$3,$L781*1&lt;=$G$4,$I781*$J781&gt;0,CONCATENATE($H781:$L781)&lt;&gt;CONCATENATE($H782:$L782),$I781/POW(10,$J781)*MAXIFS(Token!$B:$B,Token!$A:$A,$K781)&gt;0.01),$L781/86400+DATE(1970,1,1)+IF($L781*1&gt;=$G$5,$G$6,0),)</f>
        <v/>
      </c>
      <c r="B781" s="22" t="str">
        <f t="shared" si="1"/>
        <v/>
      </c>
      <c r="C781" s="14" t="str">
        <f>IF($A781&lt;&gt;"",MINIFS(Merchant!$A:$A,Merchant!$B:$B,$G$2),)</f>
        <v/>
      </c>
      <c r="D781" s="14" t="str">
        <f t="shared" si="2"/>
        <v/>
      </c>
      <c r="E781" s="14" t="str">
        <f t="shared" si="3"/>
        <v/>
      </c>
      <c r="F781" s="6" t="str">
        <f>IF($A781&lt;&gt;"",MAXIFS(Token!$B:$B,Token!$A:$A,$D781),)</f>
        <v/>
      </c>
    </row>
    <row r="782">
      <c r="A782" s="35" t="str">
        <f>IF(AND($L782*1&gt;=$G$3,$L782*1&lt;=$G$4,$I782*$J782&gt;0,CONCATENATE($H782:$L782)&lt;&gt;CONCATENATE($H783:$L783),$I782/POW(10,$J782)*MAXIFS(Token!$B:$B,Token!$A:$A,$K782)&gt;0.01),$L782/86400+DATE(1970,1,1)+IF($L782*1&gt;=$G$5,$G$6,0),)</f>
        <v/>
      </c>
      <c r="B782" s="22" t="str">
        <f t="shared" si="1"/>
        <v/>
      </c>
      <c r="C782" s="14" t="str">
        <f>IF($A782&lt;&gt;"",MINIFS(Merchant!$A:$A,Merchant!$B:$B,$G$2),)</f>
        <v/>
      </c>
      <c r="D782" s="14" t="str">
        <f t="shared" si="2"/>
        <v/>
      </c>
      <c r="E782" s="14" t="str">
        <f t="shared" si="3"/>
        <v/>
      </c>
      <c r="F782" s="6" t="str">
        <f>IF($A782&lt;&gt;"",MAXIFS(Token!$B:$B,Token!$A:$A,$D782),)</f>
        <v/>
      </c>
    </row>
    <row r="783">
      <c r="A783" s="35" t="str">
        <f>IF(AND($L783*1&gt;=$G$3,$L783*1&lt;=$G$4,$I783*$J783&gt;0,CONCATENATE($H783:$L783)&lt;&gt;CONCATENATE($H784:$L784),$I783/POW(10,$J783)*MAXIFS(Token!$B:$B,Token!$A:$A,$K783)&gt;0.01),$L783/86400+DATE(1970,1,1)+IF($L783*1&gt;=$G$5,$G$6,0),)</f>
        <v/>
      </c>
      <c r="B783" s="22" t="str">
        <f t="shared" si="1"/>
        <v/>
      </c>
      <c r="C783" s="14" t="str">
        <f>IF($A783&lt;&gt;"",MINIFS(Merchant!$A:$A,Merchant!$B:$B,$G$2),)</f>
        <v/>
      </c>
      <c r="D783" s="14" t="str">
        <f t="shared" si="2"/>
        <v/>
      </c>
      <c r="E783" s="14" t="str">
        <f t="shared" si="3"/>
        <v/>
      </c>
      <c r="F783" s="6" t="str">
        <f>IF($A783&lt;&gt;"",MAXIFS(Token!$B:$B,Token!$A:$A,$D783),)</f>
        <v/>
      </c>
    </row>
    <row r="784">
      <c r="A784" s="35" t="str">
        <f>IF(AND($L784*1&gt;=$G$3,$L784*1&lt;=$G$4,$I784*$J784&gt;0,CONCATENATE($H784:$L784)&lt;&gt;CONCATENATE($H785:$L785),$I784/POW(10,$J784)*MAXIFS(Token!$B:$B,Token!$A:$A,$K784)&gt;0.01),$L784/86400+DATE(1970,1,1)+IF($L784*1&gt;=$G$5,$G$6,0),)</f>
        <v/>
      </c>
      <c r="B784" s="22" t="str">
        <f t="shared" si="1"/>
        <v/>
      </c>
      <c r="C784" s="14" t="str">
        <f>IF($A784&lt;&gt;"",MINIFS(Merchant!$A:$A,Merchant!$B:$B,$G$2),)</f>
        <v/>
      </c>
      <c r="D784" s="14" t="str">
        <f t="shared" si="2"/>
        <v/>
      </c>
      <c r="E784" s="14" t="str">
        <f t="shared" si="3"/>
        <v/>
      </c>
      <c r="F784" s="6" t="str">
        <f>IF($A784&lt;&gt;"",MAXIFS(Token!$B:$B,Token!$A:$A,$D784),)</f>
        <v/>
      </c>
    </row>
    <row r="785">
      <c r="A785" s="35" t="str">
        <f>IF(AND($L785*1&gt;=$G$3,$L785*1&lt;=$G$4,$I785*$J785&gt;0,CONCATENATE($H785:$L785)&lt;&gt;CONCATENATE($H786:$L786),$I785/POW(10,$J785)*MAXIFS(Token!$B:$B,Token!$A:$A,$K785)&gt;0.01),$L785/86400+DATE(1970,1,1)+IF($L785*1&gt;=$G$5,$G$6,0),)</f>
        <v/>
      </c>
      <c r="B785" s="22" t="str">
        <f t="shared" si="1"/>
        <v/>
      </c>
      <c r="C785" s="14" t="str">
        <f>IF($A785&lt;&gt;"",MINIFS(Merchant!$A:$A,Merchant!$B:$B,$G$2),)</f>
        <v/>
      </c>
      <c r="D785" s="14" t="str">
        <f t="shared" si="2"/>
        <v/>
      </c>
      <c r="E785" s="14" t="str">
        <f t="shared" si="3"/>
        <v/>
      </c>
      <c r="F785" s="6" t="str">
        <f>IF($A785&lt;&gt;"",MAXIFS(Token!$B:$B,Token!$A:$A,$D785),)</f>
        <v/>
      </c>
    </row>
    <row r="786">
      <c r="A786" s="35" t="str">
        <f>IF(AND($L786*1&gt;=$G$3,$L786*1&lt;=$G$4,$I786*$J786&gt;0,CONCATENATE($H786:$L786)&lt;&gt;CONCATENATE($H787:$L787),$I786/POW(10,$J786)*MAXIFS(Token!$B:$B,Token!$A:$A,$K786)&gt;0.01),$L786/86400+DATE(1970,1,1)+IF($L786*1&gt;=$G$5,$G$6,0),)</f>
        <v/>
      </c>
      <c r="B786" s="22" t="str">
        <f t="shared" si="1"/>
        <v/>
      </c>
      <c r="C786" s="14" t="str">
        <f>IF($A786&lt;&gt;"",MINIFS(Merchant!$A:$A,Merchant!$B:$B,$G$2),)</f>
        <v/>
      </c>
      <c r="D786" s="14" t="str">
        <f t="shared" si="2"/>
        <v/>
      </c>
      <c r="E786" s="14" t="str">
        <f t="shared" si="3"/>
        <v/>
      </c>
      <c r="F786" s="6" t="str">
        <f>IF($A786&lt;&gt;"",MAXIFS(Token!$B:$B,Token!$A:$A,$D786),)</f>
        <v/>
      </c>
    </row>
    <row r="787">
      <c r="A787" s="35" t="str">
        <f>IF(AND($L787*1&gt;=$G$3,$L787*1&lt;=$G$4,$I787*$J787&gt;0,CONCATENATE($H787:$L787)&lt;&gt;CONCATENATE($H788:$L788),$I787/POW(10,$J787)*MAXIFS(Token!$B:$B,Token!$A:$A,$K787)&gt;0.01),$L787/86400+DATE(1970,1,1)+IF($L787*1&gt;=$G$5,$G$6,0),)</f>
        <v/>
      </c>
      <c r="B787" s="22" t="str">
        <f t="shared" si="1"/>
        <v/>
      </c>
      <c r="C787" s="14" t="str">
        <f>IF($A787&lt;&gt;"",MINIFS(Merchant!$A:$A,Merchant!$B:$B,$G$2),)</f>
        <v/>
      </c>
      <c r="D787" s="14" t="str">
        <f t="shared" si="2"/>
        <v/>
      </c>
      <c r="E787" s="14" t="str">
        <f t="shared" si="3"/>
        <v/>
      </c>
      <c r="F787" s="6" t="str">
        <f>IF($A787&lt;&gt;"",MAXIFS(Token!$B:$B,Token!$A:$A,$D787),)</f>
        <v/>
      </c>
    </row>
    <row r="788">
      <c r="A788" s="35" t="str">
        <f>IF(AND($L788*1&gt;=$G$3,$L788*1&lt;=$G$4,$I788*$J788&gt;0,CONCATENATE($H788:$L788)&lt;&gt;CONCATENATE($H789:$L789),$I788/POW(10,$J788)*MAXIFS(Token!$B:$B,Token!$A:$A,$K788)&gt;0.01),$L788/86400+DATE(1970,1,1)+IF($L788*1&gt;=$G$5,$G$6,0),)</f>
        <v/>
      </c>
      <c r="B788" s="22" t="str">
        <f t="shared" si="1"/>
        <v/>
      </c>
      <c r="C788" s="14" t="str">
        <f>IF($A788&lt;&gt;"",MINIFS(Merchant!$A:$A,Merchant!$B:$B,$G$2),)</f>
        <v/>
      </c>
      <c r="D788" s="14" t="str">
        <f t="shared" si="2"/>
        <v/>
      </c>
      <c r="E788" s="14" t="str">
        <f t="shared" si="3"/>
        <v/>
      </c>
      <c r="F788" s="6" t="str">
        <f>IF($A788&lt;&gt;"",MAXIFS(Token!$B:$B,Token!$A:$A,$D788),)</f>
        <v/>
      </c>
    </row>
    <row r="789">
      <c r="A789" s="35" t="str">
        <f>IF(AND($L789*1&gt;=$G$3,$L789*1&lt;=$G$4,$I789*$J789&gt;0,CONCATENATE($H789:$L789)&lt;&gt;CONCATENATE($H790:$L790),$I789/POW(10,$J789)*MAXIFS(Token!$B:$B,Token!$A:$A,$K789)&gt;0.01),$L789/86400+DATE(1970,1,1)+IF($L789*1&gt;=$G$5,$G$6,0),)</f>
        <v/>
      </c>
      <c r="B789" s="22" t="str">
        <f t="shared" si="1"/>
        <v/>
      </c>
      <c r="C789" s="14" t="str">
        <f>IF($A789&lt;&gt;"",MINIFS(Merchant!$A:$A,Merchant!$B:$B,$G$2),)</f>
        <v/>
      </c>
      <c r="D789" s="14" t="str">
        <f t="shared" si="2"/>
        <v/>
      </c>
      <c r="E789" s="14" t="str">
        <f t="shared" si="3"/>
        <v/>
      </c>
      <c r="F789" s="6" t="str">
        <f>IF($A789&lt;&gt;"",MAXIFS(Token!$B:$B,Token!$A:$A,$D789),)</f>
        <v/>
      </c>
    </row>
    <row r="790">
      <c r="A790" s="35" t="str">
        <f>IF(AND($L790*1&gt;=$G$3,$L790*1&lt;=$G$4,$I790*$J790&gt;0,CONCATENATE($H790:$L790)&lt;&gt;CONCATENATE($H791:$L791),$I790/POW(10,$J790)*MAXIFS(Token!$B:$B,Token!$A:$A,$K790)&gt;0.01),$L790/86400+DATE(1970,1,1)+IF($L790*1&gt;=$G$5,$G$6,0),)</f>
        <v/>
      </c>
      <c r="B790" s="22" t="str">
        <f t="shared" si="1"/>
        <v/>
      </c>
      <c r="C790" s="14" t="str">
        <f>IF($A790&lt;&gt;"",MINIFS(Merchant!$A:$A,Merchant!$B:$B,$G$2),)</f>
        <v/>
      </c>
      <c r="D790" s="14" t="str">
        <f t="shared" si="2"/>
        <v/>
      </c>
      <c r="E790" s="14" t="str">
        <f t="shared" si="3"/>
        <v/>
      </c>
      <c r="F790" s="6" t="str">
        <f>IF($A790&lt;&gt;"",MAXIFS(Token!$B:$B,Token!$A:$A,$D790),)</f>
        <v/>
      </c>
    </row>
    <row r="791">
      <c r="A791" s="35" t="str">
        <f>IF(AND($L791*1&gt;=$G$3,$L791*1&lt;=$G$4,$I791*$J791&gt;0,CONCATENATE($H791:$L791)&lt;&gt;CONCATENATE($H792:$L792),$I791/POW(10,$J791)*MAXIFS(Token!$B:$B,Token!$A:$A,$K791)&gt;0.01),$L791/86400+DATE(1970,1,1)+IF($L791*1&gt;=$G$5,$G$6,0),)</f>
        <v/>
      </c>
      <c r="B791" s="22" t="str">
        <f t="shared" si="1"/>
        <v/>
      </c>
      <c r="C791" s="14" t="str">
        <f>IF($A791&lt;&gt;"",MINIFS(Merchant!$A:$A,Merchant!$B:$B,$G$2),)</f>
        <v/>
      </c>
      <c r="D791" s="14" t="str">
        <f t="shared" si="2"/>
        <v/>
      </c>
      <c r="E791" s="14" t="str">
        <f t="shared" si="3"/>
        <v/>
      </c>
      <c r="F791" s="6" t="str">
        <f>IF($A791&lt;&gt;"",MAXIFS(Token!$B:$B,Token!$A:$A,$D791),)</f>
        <v/>
      </c>
    </row>
    <row r="792">
      <c r="A792" s="35" t="str">
        <f>IF(AND($L792*1&gt;=$G$3,$L792*1&lt;=$G$4,$I792*$J792&gt;0,CONCATENATE($H792:$L792)&lt;&gt;CONCATENATE($H793:$L793),$I792/POW(10,$J792)*MAXIFS(Token!$B:$B,Token!$A:$A,$K792)&gt;0.01),$L792/86400+DATE(1970,1,1)+IF($L792*1&gt;=$G$5,$G$6,0),)</f>
        <v/>
      </c>
      <c r="B792" s="22" t="str">
        <f t="shared" si="1"/>
        <v/>
      </c>
      <c r="C792" s="14" t="str">
        <f>IF($A792&lt;&gt;"",MINIFS(Merchant!$A:$A,Merchant!$B:$B,$G$2),)</f>
        <v/>
      </c>
      <c r="D792" s="14" t="str">
        <f t="shared" si="2"/>
        <v/>
      </c>
      <c r="E792" s="14" t="str">
        <f t="shared" si="3"/>
        <v/>
      </c>
      <c r="F792" s="6" t="str">
        <f>IF($A792&lt;&gt;"",MAXIFS(Token!$B:$B,Token!$A:$A,$D792),)</f>
        <v/>
      </c>
    </row>
    <row r="793">
      <c r="A793" s="35" t="str">
        <f>IF(AND($L793*1&gt;=$G$3,$L793*1&lt;=$G$4,$I793*$J793&gt;0,CONCATENATE($H793:$L793)&lt;&gt;CONCATENATE($H794:$L794),$I793/POW(10,$J793)*MAXIFS(Token!$B:$B,Token!$A:$A,$K793)&gt;0.01),$L793/86400+DATE(1970,1,1)+IF($L793*1&gt;=$G$5,$G$6,0),)</f>
        <v/>
      </c>
      <c r="B793" s="22" t="str">
        <f t="shared" si="1"/>
        <v/>
      </c>
      <c r="C793" s="14" t="str">
        <f>IF($A793&lt;&gt;"",MINIFS(Merchant!$A:$A,Merchant!$B:$B,$G$2),)</f>
        <v/>
      </c>
      <c r="D793" s="14" t="str">
        <f t="shared" si="2"/>
        <v/>
      </c>
      <c r="E793" s="14" t="str">
        <f t="shared" si="3"/>
        <v/>
      </c>
      <c r="F793" s="6" t="str">
        <f>IF($A793&lt;&gt;"",MAXIFS(Token!$B:$B,Token!$A:$A,$D793),)</f>
        <v/>
      </c>
    </row>
    <row r="794">
      <c r="A794" s="35" t="str">
        <f>IF(AND($L794*1&gt;=$G$3,$L794*1&lt;=$G$4,$I794*$J794&gt;0,CONCATENATE($H794:$L794)&lt;&gt;CONCATENATE($H795:$L795),$I794/POW(10,$J794)*MAXIFS(Token!$B:$B,Token!$A:$A,$K794)&gt;0.01),$L794/86400+DATE(1970,1,1)+IF($L794*1&gt;=$G$5,$G$6,0),)</f>
        <v/>
      </c>
      <c r="B794" s="22" t="str">
        <f t="shared" si="1"/>
        <v/>
      </c>
      <c r="C794" s="14" t="str">
        <f>IF($A794&lt;&gt;"",MINIFS(Merchant!$A:$A,Merchant!$B:$B,$G$2),)</f>
        <v/>
      </c>
      <c r="D794" s="14" t="str">
        <f t="shared" si="2"/>
        <v/>
      </c>
      <c r="E794" s="14" t="str">
        <f t="shared" si="3"/>
        <v/>
      </c>
      <c r="F794" s="6" t="str">
        <f>IF($A794&lt;&gt;"",MAXIFS(Token!$B:$B,Token!$A:$A,$D794),)</f>
        <v/>
      </c>
    </row>
    <row r="795">
      <c r="A795" s="35" t="str">
        <f>IF(AND($L795*1&gt;=$G$3,$L795*1&lt;=$G$4,$I795*$J795&gt;0,CONCATENATE($H795:$L795)&lt;&gt;CONCATENATE($H796:$L796),$I795/POW(10,$J795)*MAXIFS(Token!$B:$B,Token!$A:$A,$K795)&gt;0.01),$L795/86400+DATE(1970,1,1)+IF($L795*1&gt;=$G$5,$G$6,0),)</f>
        <v/>
      </c>
      <c r="B795" s="22" t="str">
        <f t="shared" si="1"/>
        <v/>
      </c>
      <c r="C795" s="14" t="str">
        <f>IF($A795&lt;&gt;"",MINIFS(Merchant!$A:$A,Merchant!$B:$B,$G$2),)</f>
        <v/>
      </c>
      <c r="D795" s="14" t="str">
        <f t="shared" si="2"/>
        <v/>
      </c>
      <c r="E795" s="14" t="str">
        <f t="shared" si="3"/>
        <v/>
      </c>
      <c r="F795" s="6" t="str">
        <f>IF($A795&lt;&gt;"",MAXIFS(Token!$B:$B,Token!$A:$A,$D795),)</f>
        <v/>
      </c>
    </row>
    <row r="796">
      <c r="A796" s="35" t="str">
        <f>IF(AND($L796*1&gt;=$G$3,$L796*1&lt;=$G$4,$I796*$J796&gt;0,CONCATENATE($H796:$L796)&lt;&gt;CONCATENATE($H797:$L797),$I796/POW(10,$J796)*MAXIFS(Token!$B:$B,Token!$A:$A,$K796)&gt;0.01),$L796/86400+DATE(1970,1,1)+IF($L796*1&gt;=$G$5,$G$6,0),)</f>
        <v/>
      </c>
      <c r="B796" s="22" t="str">
        <f t="shared" si="1"/>
        <v/>
      </c>
      <c r="C796" s="14" t="str">
        <f>IF($A796&lt;&gt;"",MINIFS(Merchant!$A:$A,Merchant!$B:$B,$G$2),)</f>
        <v/>
      </c>
      <c r="D796" s="14" t="str">
        <f t="shared" si="2"/>
        <v/>
      </c>
      <c r="E796" s="14" t="str">
        <f t="shared" si="3"/>
        <v/>
      </c>
      <c r="F796" s="6" t="str">
        <f>IF($A796&lt;&gt;"",MAXIFS(Token!$B:$B,Token!$A:$A,$D796),)</f>
        <v/>
      </c>
    </row>
    <row r="797">
      <c r="A797" s="35" t="str">
        <f>IF(AND($L797*1&gt;=$G$3,$L797*1&lt;=$G$4,$I797*$J797&gt;0,CONCATENATE($H797:$L797)&lt;&gt;CONCATENATE($H798:$L798),$I797/POW(10,$J797)*MAXIFS(Token!$B:$B,Token!$A:$A,$K797)&gt;0.01),$L797/86400+DATE(1970,1,1)+IF($L797*1&gt;=$G$5,$G$6,0),)</f>
        <v/>
      </c>
      <c r="B797" s="22" t="str">
        <f t="shared" si="1"/>
        <v/>
      </c>
      <c r="C797" s="14" t="str">
        <f>IF($A797&lt;&gt;"",MINIFS(Merchant!$A:$A,Merchant!$B:$B,$G$2),)</f>
        <v/>
      </c>
      <c r="D797" s="14" t="str">
        <f t="shared" si="2"/>
        <v/>
      </c>
      <c r="E797" s="14" t="str">
        <f t="shared" si="3"/>
        <v/>
      </c>
      <c r="F797" s="6" t="str">
        <f>IF($A797&lt;&gt;"",MAXIFS(Token!$B:$B,Token!$A:$A,$D797),)</f>
        <v/>
      </c>
    </row>
    <row r="798">
      <c r="A798" s="35" t="str">
        <f>IF(AND($L798*1&gt;=$G$3,$L798*1&lt;=$G$4,$I798*$J798&gt;0,CONCATENATE($H798:$L798)&lt;&gt;CONCATENATE($H799:$L799),$I798/POW(10,$J798)*MAXIFS(Token!$B:$B,Token!$A:$A,$K798)&gt;0.01),$L798/86400+DATE(1970,1,1)+IF($L798*1&gt;=$G$5,$G$6,0),)</f>
        <v/>
      </c>
      <c r="B798" s="22" t="str">
        <f t="shared" si="1"/>
        <v/>
      </c>
      <c r="C798" s="14" t="str">
        <f>IF($A798&lt;&gt;"",MINIFS(Merchant!$A:$A,Merchant!$B:$B,$G$2),)</f>
        <v/>
      </c>
      <c r="D798" s="14" t="str">
        <f t="shared" si="2"/>
        <v/>
      </c>
      <c r="E798" s="14" t="str">
        <f t="shared" si="3"/>
        <v/>
      </c>
      <c r="F798" s="6" t="str">
        <f>IF($A798&lt;&gt;"",MAXIFS(Token!$B:$B,Token!$A:$A,$D798),)</f>
        <v/>
      </c>
    </row>
    <row r="799">
      <c r="A799" s="35" t="str">
        <f>IF(AND($L799*1&gt;=$G$3,$L799*1&lt;=$G$4,$I799*$J799&gt;0,CONCATENATE($H799:$L799)&lt;&gt;CONCATENATE($H800:$L800),$I799/POW(10,$J799)*MAXIFS(Token!$B:$B,Token!$A:$A,$K799)&gt;0.01),$L799/86400+DATE(1970,1,1)+IF($L799*1&gt;=$G$5,$G$6,0),)</f>
        <v/>
      </c>
      <c r="B799" s="22" t="str">
        <f t="shared" si="1"/>
        <v/>
      </c>
      <c r="C799" s="14" t="str">
        <f>IF($A799&lt;&gt;"",MINIFS(Merchant!$A:$A,Merchant!$B:$B,$G$2),)</f>
        <v/>
      </c>
      <c r="D799" s="14" t="str">
        <f t="shared" si="2"/>
        <v/>
      </c>
      <c r="E799" s="14" t="str">
        <f t="shared" si="3"/>
        <v/>
      </c>
      <c r="F799" s="6" t="str">
        <f>IF($A799&lt;&gt;"",MAXIFS(Token!$B:$B,Token!$A:$A,$D799),)</f>
        <v/>
      </c>
    </row>
    <row r="800">
      <c r="A800" s="35" t="str">
        <f>IF(AND($L800*1&gt;=$G$3,$L800*1&lt;=$G$4,$I800*$J800&gt;0,CONCATENATE($H800:$L800)&lt;&gt;CONCATENATE($H801:$L801),$I800/POW(10,$J800)*MAXIFS(Token!$B:$B,Token!$A:$A,$K800)&gt;0.01),$L800/86400+DATE(1970,1,1)+IF($L800*1&gt;=$G$5,$G$6,0),)</f>
        <v/>
      </c>
      <c r="B800" s="22" t="str">
        <f t="shared" si="1"/>
        <v/>
      </c>
      <c r="C800" s="14" t="str">
        <f>IF($A800&lt;&gt;"",MINIFS(Merchant!$A:$A,Merchant!$B:$B,$G$2),)</f>
        <v/>
      </c>
      <c r="D800" s="14" t="str">
        <f t="shared" si="2"/>
        <v/>
      </c>
      <c r="E800" s="14" t="str">
        <f t="shared" si="3"/>
        <v/>
      </c>
      <c r="F800" s="6" t="str">
        <f>IF($A800&lt;&gt;"",MAXIFS(Token!$B:$B,Token!$A:$A,$D800),)</f>
        <v/>
      </c>
    </row>
    <row r="801">
      <c r="A801" s="35" t="str">
        <f>IF(AND($L801*1&gt;=$G$3,$L801*1&lt;=$G$4,$I801*$J801&gt;0,CONCATENATE($H801:$L801)&lt;&gt;CONCATENATE($H802:$L802),$I801/POW(10,$J801)*MAXIFS(Token!$B:$B,Token!$A:$A,$K801)&gt;0.01),$L801/86400+DATE(1970,1,1)+IF($L801*1&gt;=$G$5,$G$6,0),)</f>
        <v/>
      </c>
      <c r="B801" s="22" t="str">
        <f t="shared" si="1"/>
        <v/>
      </c>
      <c r="C801" s="14" t="str">
        <f>IF($A801&lt;&gt;"",MINIFS(Merchant!$A:$A,Merchant!$B:$B,$G$2),)</f>
        <v/>
      </c>
      <c r="D801" s="14" t="str">
        <f t="shared" si="2"/>
        <v/>
      </c>
      <c r="E801" s="14" t="str">
        <f t="shared" si="3"/>
        <v/>
      </c>
      <c r="F801" s="6" t="str">
        <f>IF($A801&lt;&gt;"",MAXIFS(Token!$B:$B,Token!$A:$A,$D801),)</f>
        <v/>
      </c>
    </row>
    <row r="802">
      <c r="A802" s="35" t="str">
        <f>IF(AND($L802*1&gt;=$G$3,$L802*1&lt;=$G$4,$I802*$J802&gt;0,CONCATENATE($H802:$L802)&lt;&gt;CONCATENATE($H803:$L803),$I802/POW(10,$J802)*MAXIFS(Token!$B:$B,Token!$A:$A,$K802)&gt;0.01),$L802/86400+DATE(1970,1,1)+IF($L802*1&gt;=$G$5,$G$6,0),)</f>
        <v/>
      </c>
      <c r="B802" s="22" t="str">
        <f t="shared" si="1"/>
        <v/>
      </c>
      <c r="C802" s="14" t="str">
        <f>IF($A802&lt;&gt;"",MINIFS(Merchant!$A:$A,Merchant!$B:$B,$G$2),)</f>
        <v/>
      </c>
      <c r="D802" s="14" t="str">
        <f t="shared" si="2"/>
        <v/>
      </c>
      <c r="E802" s="14" t="str">
        <f t="shared" si="3"/>
        <v/>
      </c>
      <c r="F802" s="6" t="str">
        <f>IF($A802&lt;&gt;"",MAXIFS(Token!$B:$B,Token!$A:$A,$D802),)</f>
        <v/>
      </c>
    </row>
    <row r="803">
      <c r="A803" s="35" t="str">
        <f>IF(AND($L803*1&gt;=$G$3,$L803*1&lt;=$G$4,$I803*$J803&gt;0,CONCATENATE($H803:$L803)&lt;&gt;CONCATENATE($H804:$L804),$I803/POW(10,$J803)*MAXIFS(Token!$B:$B,Token!$A:$A,$K803)&gt;0.01),$L803/86400+DATE(1970,1,1)+IF($L803*1&gt;=$G$5,$G$6,0),)</f>
        <v/>
      </c>
      <c r="B803" s="22" t="str">
        <f t="shared" si="1"/>
        <v/>
      </c>
      <c r="C803" s="14" t="str">
        <f>IF($A803&lt;&gt;"",MINIFS(Merchant!$A:$A,Merchant!$B:$B,$G$2),)</f>
        <v/>
      </c>
      <c r="D803" s="14" t="str">
        <f t="shared" si="2"/>
        <v/>
      </c>
      <c r="E803" s="14" t="str">
        <f t="shared" si="3"/>
        <v/>
      </c>
      <c r="F803" s="6" t="str">
        <f>IF($A803&lt;&gt;"",MAXIFS(Token!$B:$B,Token!$A:$A,$D803),)</f>
        <v/>
      </c>
    </row>
    <row r="804">
      <c r="A804" s="35" t="str">
        <f>IF(AND($L804*1&gt;=$G$3,$L804*1&lt;=$G$4,$I804*$J804&gt;0,CONCATENATE($H804:$L804)&lt;&gt;CONCATENATE($H805:$L805),$I804/POW(10,$J804)*MAXIFS(Token!$B:$B,Token!$A:$A,$K804)&gt;0.01),$L804/86400+DATE(1970,1,1)+IF($L804*1&gt;=$G$5,$G$6,0),)</f>
        <v/>
      </c>
      <c r="B804" s="22" t="str">
        <f t="shared" si="1"/>
        <v/>
      </c>
      <c r="C804" s="14" t="str">
        <f>IF($A804&lt;&gt;"",MINIFS(Merchant!$A:$A,Merchant!$B:$B,$G$2),)</f>
        <v/>
      </c>
      <c r="D804" s="14" t="str">
        <f t="shared" si="2"/>
        <v/>
      </c>
      <c r="E804" s="14" t="str">
        <f t="shared" si="3"/>
        <v/>
      </c>
      <c r="F804" s="6" t="str">
        <f>IF($A804&lt;&gt;"",MAXIFS(Token!$B:$B,Token!$A:$A,$D804),)</f>
        <v/>
      </c>
    </row>
    <row r="805">
      <c r="A805" s="35" t="str">
        <f>IF(AND($L805*1&gt;=$G$3,$L805*1&lt;=$G$4,$I805*$J805&gt;0,CONCATENATE($H805:$L805)&lt;&gt;CONCATENATE($H806:$L806),$I805/POW(10,$J805)*MAXIFS(Token!$B:$B,Token!$A:$A,$K805)&gt;0.01),$L805/86400+DATE(1970,1,1)+IF($L805*1&gt;=$G$5,$G$6,0),)</f>
        <v/>
      </c>
      <c r="B805" s="22" t="str">
        <f t="shared" si="1"/>
        <v/>
      </c>
      <c r="C805" s="14" t="str">
        <f>IF($A805&lt;&gt;"",MINIFS(Merchant!$A:$A,Merchant!$B:$B,$G$2),)</f>
        <v/>
      </c>
      <c r="D805" s="14" t="str">
        <f t="shared" si="2"/>
        <v/>
      </c>
      <c r="E805" s="14" t="str">
        <f t="shared" si="3"/>
        <v/>
      </c>
      <c r="F805" s="6" t="str">
        <f>IF($A805&lt;&gt;"",MAXIFS(Token!$B:$B,Token!$A:$A,$D805),)</f>
        <v/>
      </c>
    </row>
    <row r="806">
      <c r="A806" s="35" t="str">
        <f>IF(AND($L806*1&gt;=$G$3,$L806*1&lt;=$G$4,$I806*$J806&gt;0,CONCATENATE($H806:$L806)&lt;&gt;CONCATENATE($H807:$L807),$I806/POW(10,$J806)*MAXIFS(Token!$B:$B,Token!$A:$A,$K806)&gt;0.01),$L806/86400+DATE(1970,1,1)+IF($L806*1&gt;=$G$5,$G$6,0),)</f>
        <v/>
      </c>
      <c r="B806" s="22" t="str">
        <f t="shared" si="1"/>
        <v/>
      </c>
      <c r="C806" s="14" t="str">
        <f>IF($A806&lt;&gt;"",MINIFS(Merchant!$A:$A,Merchant!$B:$B,$G$2),)</f>
        <v/>
      </c>
      <c r="D806" s="14" t="str">
        <f t="shared" si="2"/>
        <v/>
      </c>
      <c r="E806" s="14" t="str">
        <f t="shared" si="3"/>
        <v/>
      </c>
      <c r="F806" s="6" t="str">
        <f>IF($A806&lt;&gt;"",MAXIFS(Token!$B:$B,Token!$A:$A,$D806),)</f>
        <v/>
      </c>
    </row>
    <row r="807">
      <c r="A807" s="35" t="str">
        <f>IF(AND($L807*1&gt;=$G$3,$L807*1&lt;=$G$4,$I807*$J807&gt;0,CONCATENATE($H807:$L807)&lt;&gt;CONCATENATE($H808:$L808),$I807/POW(10,$J807)*MAXIFS(Token!$B:$B,Token!$A:$A,$K807)&gt;0.01),$L807/86400+DATE(1970,1,1)+IF($L807*1&gt;=$G$5,$G$6,0),)</f>
        <v/>
      </c>
      <c r="B807" s="22" t="str">
        <f t="shared" si="1"/>
        <v/>
      </c>
      <c r="C807" s="14" t="str">
        <f>IF($A807&lt;&gt;"",MINIFS(Merchant!$A:$A,Merchant!$B:$B,$G$2),)</f>
        <v/>
      </c>
      <c r="D807" s="14" t="str">
        <f t="shared" si="2"/>
        <v/>
      </c>
      <c r="E807" s="14" t="str">
        <f t="shared" si="3"/>
        <v/>
      </c>
      <c r="F807" s="6" t="str">
        <f>IF($A807&lt;&gt;"",MAXIFS(Token!$B:$B,Token!$A:$A,$D807),)</f>
        <v/>
      </c>
    </row>
    <row r="808">
      <c r="A808" s="35" t="str">
        <f>IF(AND($L808*1&gt;=$G$3,$L808*1&lt;=$G$4,$I808*$J808&gt;0,CONCATENATE($H808:$L808)&lt;&gt;CONCATENATE($H809:$L809),$I808/POW(10,$J808)*MAXIFS(Token!$B:$B,Token!$A:$A,$K808)&gt;0.01),$L808/86400+DATE(1970,1,1)+IF($L808*1&gt;=$G$5,$G$6,0),)</f>
        <v/>
      </c>
      <c r="B808" s="22" t="str">
        <f t="shared" si="1"/>
        <v/>
      </c>
      <c r="C808" s="14" t="str">
        <f>IF($A808&lt;&gt;"",MINIFS(Merchant!$A:$A,Merchant!$B:$B,$G$2),)</f>
        <v/>
      </c>
      <c r="D808" s="14" t="str">
        <f t="shared" si="2"/>
        <v/>
      </c>
      <c r="E808" s="14" t="str">
        <f t="shared" si="3"/>
        <v/>
      </c>
      <c r="F808" s="6" t="str">
        <f>IF($A808&lt;&gt;"",MAXIFS(Token!$B:$B,Token!$A:$A,$D808),)</f>
        <v/>
      </c>
    </row>
    <row r="809">
      <c r="A809" s="35" t="str">
        <f>IF(AND($L809*1&gt;=$G$3,$L809*1&lt;=$G$4,$I809*$J809&gt;0,CONCATENATE($H809:$L809)&lt;&gt;CONCATENATE($H810:$L810),$I809/POW(10,$J809)*MAXIFS(Token!$B:$B,Token!$A:$A,$K809)&gt;0.01),$L809/86400+DATE(1970,1,1)+IF($L809*1&gt;=$G$5,$G$6,0),)</f>
        <v/>
      </c>
      <c r="B809" s="22" t="str">
        <f t="shared" si="1"/>
        <v/>
      </c>
      <c r="C809" s="14" t="str">
        <f>IF($A809&lt;&gt;"",MINIFS(Merchant!$A:$A,Merchant!$B:$B,$G$2),)</f>
        <v/>
      </c>
      <c r="D809" s="14" t="str">
        <f t="shared" si="2"/>
        <v/>
      </c>
      <c r="E809" s="14" t="str">
        <f t="shared" si="3"/>
        <v/>
      </c>
      <c r="F809" s="6" t="str">
        <f>IF($A809&lt;&gt;"",MAXIFS(Token!$B:$B,Token!$A:$A,$D809),)</f>
        <v/>
      </c>
    </row>
    <row r="810">
      <c r="A810" s="35" t="str">
        <f>IF(AND($L810*1&gt;=$G$3,$L810*1&lt;=$G$4,$I810*$J810&gt;0,CONCATENATE($H810:$L810)&lt;&gt;CONCATENATE($H811:$L811),$I810/POW(10,$J810)*MAXIFS(Token!$B:$B,Token!$A:$A,$K810)&gt;0.01),$L810/86400+DATE(1970,1,1)+IF($L810*1&gt;=$G$5,$G$6,0),)</f>
        <v/>
      </c>
      <c r="B810" s="22" t="str">
        <f t="shared" si="1"/>
        <v/>
      </c>
      <c r="C810" s="14" t="str">
        <f>IF($A810&lt;&gt;"",MINIFS(Merchant!$A:$A,Merchant!$B:$B,$G$2),)</f>
        <v/>
      </c>
      <c r="D810" s="14" t="str">
        <f t="shared" si="2"/>
        <v/>
      </c>
      <c r="E810" s="14" t="str">
        <f t="shared" si="3"/>
        <v/>
      </c>
      <c r="F810" s="6" t="str">
        <f>IF($A810&lt;&gt;"",MAXIFS(Token!$B:$B,Token!$A:$A,$D810),)</f>
        <v/>
      </c>
    </row>
    <row r="811">
      <c r="A811" s="35" t="str">
        <f>IF(AND($L811*1&gt;=$G$3,$L811*1&lt;=$G$4,$I811*$J811&gt;0,CONCATENATE($H811:$L811)&lt;&gt;CONCATENATE($H812:$L812),$I811/POW(10,$J811)*MAXIFS(Token!$B:$B,Token!$A:$A,$K811)&gt;0.01),$L811/86400+DATE(1970,1,1)+IF($L811*1&gt;=$G$5,$G$6,0),)</f>
        <v/>
      </c>
      <c r="B811" s="22" t="str">
        <f t="shared" si="1"/>
        <v/>
      </c>
      <c r="C811" s="14" t="str">
        <f>IF($A811&lt;&gt;"",MINIFS(Merchant!$A:$A,Merchant!$B:$B,$G$2),)</f>
        <v/>
      </c>
      <c r="D811" s="14" t="str">
        <f t="shared" si="2"/>
        <v/>
      </c>
      <c r="E811" s="14" t="str">
        <f t="shared" si="3"/>
        <v/>
      </c>
      <c r="F811" s="6" t="str">
        <f>IF($A811&lt;&gt;"",MAXIFS(Token!$B:$B,Token!$A:$A,$D811),)</f>
        <v/>
      </c>
    </row>
    <row r="812">
      <c r="A812" s="35" t="str">
        <f>IF(AND($L812*1&gt;=$G$3,$L812*1&lt;=$G$4,$I812*$J812&gt;0,CONCATENATE($H812:$L812)&lt;&gt;CONCATENATE($H813:$L813),$I812/POW(10,$J812)*MAXIFS(Token!$B:$B,Token!$A:$A,$K812)&gt;0.01),$L812/86400+DATE(1970,1,1)+IF($L812*1&gt;=$G$5,$G$6,0),)</f>
        <v/>
      </c>
      <c r="B812" s="22" t="str">
        <f t="shared" si="1"/>
        <v/>
      </c>
      <c r="C812" s="14" t="str">
        <f>IF($A812&lt;&gt;"",MINIFS(Merchant!$A:$A,Merchant!$B:$B,$G$2),)</f>
        <v/>
      </c>
      <c r="D812" s="14" t="str">
        <f t="shared" si="2"/>
        <v/>
      </c>
      <c r="E812" s="14" t="str">
        <f t="shared" si="3"/>
        <v/>
      </c>
      <c r="F812" s="6" t="str">
        <f>IF($A812&lt;&gt;"",MAXIFS(Token!$B:$B,Token!$A:$A,$D812),)</f>
        <v/>
      </c>
    </row>
    <row r="813">
      <c r="A813" s="35" t="str">
        <f>IF(AND($L813*1&gt;=$G$3,$L813*1&lt;=$G$4,$I813*$J813&gt;0,CONCATENATE($H813:$L813)&lt;&gt;CONCATENATE($H814:$L814),$I813/POW(10,$J813)*MAXIFS(Token!$B:$B,Token!$A:$A,$K813)&gt;0.01),$L813/86400+DATE(1970,1,1)+IF($L813*1&gt;=$G$5,$G$6,0),)</f>
        <v/>
      </c>
      <c r="B813" s="22" t="str">
        <f t="shared" si="1"/>
        <v/>
      </c>
      <c r="C813" s="14" t="str">
        <f>IF($A813&lt;&gt;"",MINIFS(Merchant!$A:$A,Merchant!$B:$B,$G$2),)</f>
        <v/>
      </c>
      <c r="D813" s="14" t="str">
        <f t="shared" si="2"/>
        <v/>
      </c>
      <c r="E813" s="14" t="str">
        <f t="shared" si="3"/>
        <v/>
      </c>
      <c r="F813" s="6" t="str">
        <f>IF($A813&lt;&gt;"",MAXIFS(Token!$B:$B,Token!$A:$A,$D813),)</f>
        <v/>
      </c>
    </row>
    <row r="814">
      <c r="A814" s="35" t="str">
        <f>IF(AND($L814*1&gt;=$G$3,$L814*1&lt;=$G$4,$I814*$J814&gt;0,CONCATENATE($H814:$L814)&lt;&gt;CONCATENATE($H815:$L815),$I814/POW(10,$J814)*MAXIFS(Token!$B:$B,Token!$A:$A,$K814)&gt;0.01),$L814/86400+DATE(1970,1,1)+IF($L814*1&gt;=$G$5,$G$6,0),)</f>
        <v/>
      </c>
      <c r="B814" s="22" t="str">
        <f t="shared" si="1"/>
        <v/>
      </c>
      <c r="C814" s="14" t="str">
        <f>IF($A814&lt;&gt;"",MINIFS(Merchant!$A:$A,Merchant!$B:$B,$G$2),)</f>
        <v/>
      </c>
      <c r="D814" s="14" t="str">
        <f t="shared" si="2"/>
        <v/>
      </c>
      <c r="E814" s="14" t="str">
        <f t="shared" si="3"/>
        <v/>
      </c>
      <c r="F814" s="6" t="str">
        <f>IF($A814&lt;&gt;"",MAXIFS(Token!$B:$B,Token!$A:$A,$D814),)</f>
        <v/>
      </c>
    </row>
    <row r="815">
      <c r="A815" s="35" t="str">
        <f>IF(AND($L815*1&gt;=$G$3,$L815*1&lt;=$G$4,$I815*$J815&gt;0,CONCATENATE($H815:$L815)&lt;&gt;CONCATENATE($H816:$L816),$I815/POW(10,$J815)*MAXIFS(Token!$B:$B,Token!$A:$A,$K815)&gt;0.01),$L815/86400+DATE(1970,1,1)+IF($L815*1&gt;=$G$5,$G$6,0),)</f>
        <v/>
      </c>
      <c r="B815" s="22" t="str">
        <f t="shared" si="1"/>
        <v/>
      </c>
      <c r="C815" s="14" t="str">
        <f>IF($A815&lt;&gt;"",MINIFS(Merchant!$A:$A,Merchant!$B:$B,$G$2),)</f>
        <v/>
      </c>
      <c r="D815" s="14" t="str">
        <f t="shared" si="2"/>
        <v/>
      </c>
      <c r="E815" s="14" t="str">
        <f t="shared" si="3"/>
        <v/>
      </c>
      <c r="F815" s="6" t="str">
        <f>IF($A815&lt;&gt;"",MAXIFS(Token!$B:$B,Token!$A:$A,$D815),)</f>
        <v/>
      </c>
    </row>
    <row r="816">
      <c r="A816" s="35" t="str">
        <f>IF(AND($L816*1&gt;=$G$3,$L816*1&lt;=$G$4,$I816*$J816&gt;0,CONCATENATE($H816:$L816)&lt;&gt;CONCATENATE($H817:$L817),$I816/POW(10,$J816)*MAXIFS(Token!$B:$B,Token!$A:$A,$K816)&gt;0.01),$L816/86400+DATE(1970,1,1)+IF($L816*1&gt;=$G$5,$G$6,0),)</f>
        <v/>
      </c>
      <c r="B816" s="22" t="str">
        <f t="shared" si="1"/>
        <v/>
      </c>
      <c r="C816" s="14" t="str">
        <f>IF($A816&lt;&gt;"",MINIFS(Merchant!$A:$A,Merchant!$B:$B,$G$2),)</f>
        <v/>
      </c>
      <c r="D816" s="14" t="str">
        <f t="shared" si="2"/>
        <v/>
      </c>
      <c r="E816" s="14" t="str">
        <f t="shared" si="3"/>
        <v/>
      </c>
      <c r="F816" s="6" t="str">
        <f>IF($A816&lt;&gt;"",MAXIFS(Token!$B:$B,Token!$A:$A,$D816),)</f>
        <v/>
      </c>
    </row>
    <row r="817">
      <c r="A817" s="35" t="str">
        <f>IF(AND($L817*1&gt;=$G$3,$L817*1&lt;=$G$4,$I817*$J817&gt;0,CONCATENATE($H817:$L817)&lt;&gt;CONCATENATE($H818:$L818),$I817/POW(10,$J817)*MAXIFS(Token!$B:$B,Token!$A:$A,$K817)&gt;0.01),$L817/86400+DATE(1970,1,1)+IF($L817*1&gt;=$G$5,$G$6,0),)</f>
        <v/>
      </c>
      <c r="B817" s="22" t="str">
        <f t="shared" si="1"/>
        <v/>
      </c>
      <c r="C817" s="14" t="str">
        <f>IF($A817&lt;&gt;"",MINIFS(Merchant!$A:$A,Merchant!$B:$B,$G$2),)</f>
        <v/>
      </c>
      <c r="D817" s="14" t="str">
        <f t="shared" si="2"/>
        <v/>
      </c>
      <c r="E817" s="14" t="str">
        <f t="shared" si="3"/>
        <v/>
      </c>
      <c r="F817" s="6" t="str">
        <f>IF($A817&lt;&gt;"",MAXIFS(Token!$B:$B,Token!$A:$A,$D817),)</f>
        <v/>
      </c>
    </row>
    <row r="818">
      <c r="A818" s="35" t="str">
        <f>IF(AND($L818*1&gt;=$G$3,$L818*1&lt;=$G$4,$I818*$J818&gt;0,CONCATENATE($H818:$L818)&lt;&gt;CONCATENATE($H819:$L819),$I818/POW(10,$J818)*MAXIFS(Token!$B:$B,Token!$A:$A,$K818)&gt;0.01),$L818/86400+DATE(1970,1,1)+IF($L818*1&gt;=$G$5,$G$6,0),)</f>
        <v/>
      </c>
      <c r="B818" s="22" t="str">
        <f t="shared" si="1"/>
        <v/>
      </c>
      <c r="C818" s="14" t="str">
        <f>IF($A818&lt;&gt;"",MINIFS(Merchant!$A:$A,Merchant!$B:$B,$G$2),)</f>
        <v/>
      </c>
      <c r="D818" s="14" t="str">
        <f t="shared" si="2"/>
        <v/>
      </c>
      <c r="E818" s="14" t="str">
        <f t="shared" si="3"/>
        <v/>
      </c>
      <c r="F818" s="6" t="str">
        <f>IF($A818&lt;&gt;"",MAXIFS(Token!$B:$B,Token!$A:$A,$D818),)</f>
        <v/>
      </c>
    </row>
    <row r="819">
      <c r="A819" s="35" t="str">
        <f>IF(AND($L819*1&gt;=$G$3,$L819*1&lt;=$G$4,$I819*$J819&gt;0,CONCATENATE($H819:$L819)&lt;&gt;CONCATENATE($H820:$L820),$I819/POW(10,$J819)*MAXIFS(Token!$B:$B,Token!$A:$A,$K819)&gt;0.01),$L819/86400+DATE(1970,1,1)+IF($L819*1&gt;=$G$5,$G$6,0),)</f>
        <v/>
      </c>
      <c r="B819" s="22" t="str">
        <f t="shared" si="1"/>
        <v/>
      </c>
      <c r="C819" s="14" t="str">
        <f>IF($A819&lt;&gt;"",MINIFS(Merchant!$A:$A,Merchant!$B:$B,$G$2),)</f>
        <v/>
      </c>
      <c r="D819" s="14" t="str">
        <f t="shared" si="2"/>
        <v/>
      </c>
      <c r="E819" s="14" t="str">
        <f t="shared" si="3"/>
        <v/>
      </c>
      <c r="F819" s="6" t="str">
        <f>IF($A819&lt;&gt;"",MAXIFS(Token!$B:$B,Token!$A:$A,$D819),)</f>
        <v/>
      </c>
    </row>
    <row r="820">
      <c r="A820" s="35" t="str">
        <f>IF(AND($L820*1&gt;=$G$3,$L820*1&lt;=$G$4,$I820*$J820&gt;0,CONCATENATE($H820:$L820)&lt;&gt;CONCATENATE($H821:$L821),$I820/POW(10,$J820)*MAXIFS(Token!$B:$B,Token!$A:$A,$K820)&gt;0.01),$L820/86400+DATE(1970,1,1)+IF($L820*1&gt;=$G$5,$G$6,0),)</f>
        <v/>
      </c>
      <c r="B820" s="22" t="str">
        <f t="shared" si="1"/>
        <v/>
      </c>
      <c r="C820" s="14" t="str">
        <f>IF($A820&lt;&gt;"",MINIFS(Merchant!$A:$A,Merchant!$B:$B,$G$2),)</f>
        <v/>
      </c>
      <c r="D820" s="14" t="str">
        <f t="shared" si="2"/>
        <v/>
      </c>
      <c r="E820" s="14" t="str">
        <f t="shared" si="3"/>
        <v/>
      </c>
      <c r="F820" s="6" t="str">
        <f>IF($A820&lt;&gt;"",MAXIFS(Token!$B:$B,Token!$A:$A,$D820),)</f>
        <v/>
      </c>
    </row>
    <row r="821">
      <c r="A821" s="35" t="str">
        <f>IF(AND($L821*1&gt;=$G$3,$L821*1&lt;=$G$4,$I821*$J821&gt;0,CONCATENATE($H821:$L821)&lt;&gt;CONCATENATE($H822:$L822),$I821/POW(10,$J821)*MAXIFS(Token!$B:$B,Token!$A:$A,$K821)&gt;0.01),$L821/86400+DATE(1970,1,1)+IF($L821*1&gt;=$G$5,$G$6,0),)</f>
        <v/>
      </c>
      <c r="B821" s="22" t="str">
        <f t="shared" si="1"/>
        <v/>
      </c>
      <c r="C821" s="14" t="str">
        <f>IF($A821&lt;&gt;"",MINIFS(Merchant!$A:$A,Merchant!$B:$B,$G$2),)</f>
        <v/>
      </c>
      <c r="D821" s="14" t="str">
        <f t="shared" si="2"/>
        <v/>
      </c>
      <c r="E821" s="14" t="str">
        <f t="shared" si="3"/>
        <v/>
      </c>
      <c r="F821" s="6" t="str">
        <f>IF($A821&lt;&gt;"",MAXIFS(Token!$B:$B,Token!$A:$A,$D821),)</f>
        <v/>
      </c>
    </row>
    <row r="822">
      <c r="A822" s="35" t="str">
        <f>IF(AND($L822*1&gt;=$G$3,$L822*1&lt;=$G$4,$I822*$J822&gt;0,CONCATENATE($H822:$L822)&lt;&gt;CONCATENATE($H823:$L823),$I822/POW(10,$J822)*MAXIFS(Token!$B:$B,Token!$A:$A,$K822)&gt;0.01),$L822/86400+DATE(1970,1,1)+IF($L822*1&gt;=$G$5,$G$6,0),)</f>
        <v/>
      </c>
      <c r="B822" s="22" t="str">
        <f t="shared" si="1"/>
        <v/>
      </c>
      <c r="C822" s="14" t="str">
        <f>IF($A822&lt;&gt;"",MINIFS(Merchant!$A:$A,Merchant!$B:$B,$G$2),)</f>
        <v/>
      </c>
      <c r="D822" s="14" t="str">
        <f t="shared" si="2"/>
        <v/>
      </c>
      <c r="E822" s="14" t="str">
        <f t="shared" si="3"/>
        <v/>
      </c>
      <c r="F822" s="6" t="str">
        <f>IF($A822&lt;&gt;"",MAXIFS(Token!$B:$B,Token!$A:$A,$D822),)</f>
        <v/>
      </c>
    </row>
    <row r="823">
      <c r="A823" s="35" t="str">
        <f>IF(AND($L823*1&gt;=$G$3,$L823*1&lt;=$G$4,$I823*$J823&gt;0,CONCATENATE($H823:$L823)&lt;&gt;CONCATENATE($H824:$L824),$I823/POW(10,$J823)*MAXIFS(Token!$B:$B,Token!$A:$A,$K823)&gt;0.01),$L823/86400+DATE(1970,1,1)+IF($L823*1&gt;=$G$5,$G$6,0),)</f>
        <v/>
      </c>
      <c r="B823" s="22" t="str">
        <f t="shared" si="1"/>
        <v/>
      </c>
      <c r="C823" s="14" t="str">
        <f>IF($A823&lt;&gt;"",MINIFS(Merchant!$A:$A,Merchant!$B:$B,$G$2),)</f>
        <v/>
      </c>
      <c r="D823" s="14" t="str">
        <f t="shared" si="2"/>
        <v/>
      </c>
      <c r="E823" s="14" t="str">
        <f t="shared" si="3"/>
        <v/>
      </c>
      <c r="F823" s="6" t="str">
        <f>IF($A823&lt;&gt;"",MAXIFS(Token!$B:$B,Token!$A:$A,$D823),)</f>
        <v/>
      </c>
    </row>
    <row r="824">
      <c r="A824" s="35" t="str">
        <f>IF(AND($L824*1&gt;=$G$3,$L824*1&lt;=$G$4,$I824*$J824&gt;0,CONCATENATE($H824:$L824)&lt;&gt;CONCATENATE($H825:$L825),$I824/POW(10,$J824)*MAXIFS(Token!$B:$B,Token!$A:$A,$K824)&gt;0.01),$L824/86400+DATE(1970,1,1)+IF($L824*1&gt;=$G$5,$G$6,0),)</f>
        <v/>
      </c>
      <c r="B824" s="22" t="str">
        <f t="shared" si="1"/>
        <v/>
      </c>
      <c r="C824" s="14" t="str">
        <f>IF($A824&lt;&gt;"",MINIFS(Merchant!$A:$A,Merchant!$B:$B,$G$2),)</f>
        <v/>
      </c>
      <c r="D824" s="14" t="str">
        <f t="shared" si="2"/>
        <v/>
      </c>
      <c r="E824" s="14" t="str">
        <f t="shared" si="3"/>
        <v/>
      </c>
      <c r="F824" s="6" t="str">
        <f>IF($A824&lt;&gt;"",MAXIFS(Token!$B:$B,Token!$A:$A,$D824),)</f>
        <v/>
      </c>
    </row>
    <row r="825">
      <c r="A825" s="35" t="str">
        <f>IF(AND($L825*1&gt;=$G$3,$L825*1&lt;=$G$4,$I825*$J825&gt;0,CONCATENATE($H825:$L825)&lt;&gt;CONCATENATE($H826:$L826),$I825/POW(10,$J825)*MAXIFS(Token!$B:$B,Token!$A:$A,$K825)&gt;0.01),$L825/86400+DATE(1970,1,1)+IF($L825*1&gt;=$G$5,$G$6,0),)</f>
        <v/>
      </c>
      <c r="B825" s="22" t="str">
        <f t="shared" si="1"/>
        <v/>
      </c>
      <c r="C825" s="14" t="str">
        <f>IF($A825&lt;&gt;"",MINIFS(Merchant!$A:$A,Merchant!$B:$B,$G$2),)</f>
        <v/>
      </c>
      <c r="D825" s="14" t="str">
        <f t="shared" si="2"/>
        <v/>
      </c>
      <c r="E825" s="14" t="str">
        <f t="shared" si="3"/>
        <v/>
      </c>
      <c r="F825" s="6" t="str">
        <f>IF($A825&lt;&gt;"",MAXIFS(Token!$B:$B,Token!$A:$A,$D825),)</f>
        <v/>
      </c>
    </row>
    <row r="826">
      <c r="A826" s="35" t="str">
        <f>IF(AND($L826*1&gt;=$G$3,$L826*1&lt;=$G$4,$I826*$J826&gt;0,CONCATENATE($H826:$L826)&lt;&gt;CONCATENATE($H827:$L827),$I826/POW(10,$J826)*MAXIFS(Token!$B:$B,Token!$A:$A,$K826)&gt;0.01),$L826/86400+DATE(1970,1,1)+IF($L826*1&gt;=$G$5,$G$6,0),)</f>
        <v/>
      </c>
      <c r="B826" s="22" t="str">
        <f t="shared" si="1"/>
        <v/>
      </c>
      <c r="C826" s="14" t="str">
        <f>IF($A826&lt;&gt;"",MINIFS(Merchant!$A:$A,Merchant!$B:$B,$G$2),)</f>
        <v/>
      </c>
      <c r="D826" s="14" t="str">
        <f t="shared" si="2"/>
        <v/>
      </c>
      <c r="E826" s="14" t="str">
        <f t="shared" si="3"/>
        <v/>
      </c>
      <c r="F826" s="6" t="str">
        <f>IF($A826&lt;&gt;"",MAXIFS(Token!$B:$B,Token!$A:$A,$D826),)</f>
        <v/>
      </c>
    </row>
    <row r="827">
      <c r="A827" s="35" t="str">
        <f>IF(AND($L827*1&gt;=$G$3,$L827*1&lt;=$G$4,$I827*$J827&gt;0,CONCATENATE($H827:$L827)&lt;&gt;CONCATENATE($H828:$L828),$I827/POW(10,$J827)*MAXIFS(Token!$B:$B,Token!$A:$A,$K827)&gt;0.01),$L827/86400+DATE(1970,1,1)+IF($L827*1&gt;=$G$5,$G$6,0),)</f>
        <v/>
      </c>
      <c r="B827" s="22" t="str">
        <f t="shared" si="1"/>
        <v/>
      </c>
      <c r="C827" s="14" t="str">
        <f>IF($A827&lt;&gt;"",MINIFS(Merchant!$A:$A,Merchant!$B:$B,$G$2),)</f>
        <v/>
      </c>
      <c r="D827" s="14" t="str">
        <f t="shared" si="2"/>
        <v/>
      </c>
      <c r="E827" s="14" t="str">
        <f t="shared" si="3"/>
        <v/>
      </c>
      <c r="F827" s="6" t="str">
        <f>IF($A827&lt;&gt;"",MAXIFS(Token!$B:$B,Token!$A:$A,$D827),)</f>
        <v/>
      </c>
    </row>
    <row r="828">
      <c r="A828" s="35" t="str">
        <f>IF(AND($L828*1&gt;=$G$3,$L828*1&lt;=$G$4,$I828*$J828&gt;0,CONCATENATE($H828:$L828)&lt;&gt;CONCATENATE($H829:$L829),$I828/POW(10,$J828)*MAXIFS(Token!$B:$B,Token!$A:$A,$K828)&gt;0.01),$L828/86400+DATE(1970,1,1)+IF($L828*1&gt;=$G$5,$G$6,0),)</f>
        <v/>
      </c>
      <c r="B828" s="22" t="str">
        <f t="shared" si="1"/>
        <v/>
      </c>
      <c r="C828" s="14" t="str">
        <f>IF($A828&lt;&gt;"",MINIFS(Merchant!$A:$A,Merchant!$B:$B,$G$2),)</f>
        <v/>
      </c>
      <c r="D828" s="14" t="str">
        <f t="shared" si="2"/>
        <v/>
      </c>
      <c r="E828" s="14" t="str">
        <f t="shared" si="3"/>
        <v/>
      </c>
      <c r="F828" s="6" t="str">
        <f>IF($A828&lt;&gt;"",MAXIFS(Token!$B:$B,Token!$A:$A,$D828),)</f>
        <v/>
      </c>
    </row>
    <row r="829">
      <c r="A829" s="35" t="str">
        <f>IF(AND($L829*1&gt;=$G$3,$L829*1&lt;=$G$4,$I829*$J829&gt;0,CONCATENATE($H829:$L829)&lt;&gt;CONCATENATE($H830:$L830),$I829/POW(10,$J829)*MAXIFS(Token!$B:$B,Token!$A:$A,$K829)&gt;0.01),$L829/86400+DATE(1970,1,1)+IF($L829*1&gt;=$G$5,$G$6,0),)</f>
        <v/>
      </c>
      <c r="B829" s="22" t="str">
        <f t="shared" si="1"/>
        <v/>
      </c>
      <c r="C829" s="14" t="str">
        <f>IF($A829&lt;&gt;"",MINIFS(Merchant!$A:$A,Merchant!$B:$B,$G$2),)</f>
        <v/>
      </c>
      <c r="D829" s="14" t="str">
        <f t="shared" si="2"/>
        <v/>
      </c>
      <c r="E829" s="14" t="str">
        <f t="shared" si="3"/>
        <v/>
      </c>
      <c r="F829" s="6" t="str">
        <f>IF($A829&lt;&gt;"",MAXIFS(Token!$B:$B,Token!$A:$A,$D829),)</f>
        <v/>
      </c>
    </row>
    <row r="830">
      <c r="A830" s="35" t="str">
        <f>IF(AND($L830*1&gt;=$G$3,$L830*1&lt;=$G$4,$I830*$J830&gt;0,CONCATENATE($H830:$L830)&lt;&gt;CONCATENATE($H831:$L831),$I830/POW(10,$J830)*MAXIFS(Token!$B:$B,Token!$A:$A,$K830)&gt;0.01),$L830/86400+DATE(1970,1,1)+IF($L830*1&gt;=$G$5,$G$6,0),)</f>
        <v/>
      </c>
      <c r="B830" s="22" t="str">
        <f t="shared" si="1"/>
        <v/>
      </c>
      <c r="C830" s="14" t="str">
        <f>IF($A830&lt;&gt;"",MINIFS(Merchant!$A:$A,Merchant!$B:$B,$G$2),)</f>
        <v/>
      </c>
      <c r="D830" s="14" t="str">
        <f t="shared" si="2"/>
        <v/>
      </c>
      <c r="E830" s="14" t="str">
        <f t="shared" si="3"/>
        <v/>
      </c>
      <c r="F830" s="6" t="str">
        <f>IF($A830&lt;&gt;"",MAXIFS(Token!$B:$B,Token!$A:$A,$D830),)</f>
        <v/>
      </c>
    </row>
    <row r="831">
      <c r="A831" s="35" t="str">
        <f>IF(AND($L831*1&gt;=$G$3,$L831*1&lt;=$G$4,$I831*$J831&gt;0,CONCATENATE($H831:$L831)&lt;&gt;CONCATENATE($H832:$L832),$I831/POW(10,$J831)*MAXIFS(Token!$B:$B,Token!$A:$A,$K831)&gt;0.01),$L831/86400+DATE(1970,1,1)+IF($L831*1&gt;=$G$5,$G$6,0),)</f>
        <v/>
      </c>
      <c r="B831" s="22" t="str">
        <f t="shared" si="1"/>
        <v/>
      </c>
      <c r="C831" s="14" t="str">
        <f>IF($A831&lt;&gt;"",MINIFS(Merchant!$A:$A,Merchant!$B:$B,$G$2),)</f>
        <v/>
      </c>
      <c r="D831" s="14" t="str">
        <f t="shared" si="2"/>
        <v/>
      </c>
      <c r="E831" s="14" t="str">
        <f t="shared" si="3"/>
        <v/>
      </c>
      <c r="F831" s="6" t="str">
        <f>IF($A831&lt;&gt;"",MAXIFS(Token!$B:$B,Token!$A:$A,$D831),)</f>
        <v/>
      </c>
    </row>
    <row r="832">
      <c r="A832" s="35" t="str">
        <f>IF(AND($L832*1&gt;=$G$3,$L832*1&lt;=$G$4,$I832*$J832&gt;0,CONCATENATE($H832:$L832)&lt;&gt;CONCATENATE($H833:$L833),$I832/POW(10,$J832)*MAXIFS(Token!$B:$B,Token!$A:$A,$K832)&gt;0.01),$L832/86400+DATE(1970,1,1)+IF($L832*1&gt;=$G$5,$G$6,0),)</f>
        <v/>
      </c>
      <c r="B832" s="22" t="str">
        <f t="shared" si="1"/>
        <v/>
      </c>
      <c r="C832" s="14" t="str">
        <f>IF($A832&lt;&gt;"",MINIFS(Merchant!$A:$A,Merchant!$B:$B,$G$2),)</f>
        <v/>
      </c>
      <c r="D832" s="14" t="str">
        <f t="shared" si="2"/>
        <v/>
      </c>
      <c r="E832" s="14" t="str">
        <f t="shared" si="3"/>
        <v/>
      </c>
      <c r="F832" s="6" t="str">
        <f>IF($A832&lt;&gt;"",MAXIFS(Token!$B:$B,Token!$A:$A,$D832),)</f>
        <v/>
      </c>
    </row>
    <row r="833">
      <c r="A833" s="35" t="str">
        <f>IF(AND($L833*1&gt;=$G$3,$L833*1&lt;=$G$4,$I833*$J833&gt;0,CONCATENATE($H833:$L833)&lt;&gt;CONCATENATE($H834:$L834),$I833/POW(10,$J833)*MAXIFS(Token!$B:$B,Token!$A:$A,$K833)&gt;0.01),$L833/86400+DATE(1970,1,1)+IF($L833*1&gt;=$G$5,$G$6,0),)</f>
        <v/>
      </c>
      <c r="B833" s="22" t="str">
        <f t="shared" si="1"/>
        <v/>
      </c>
      <c r="C833" s="14" t="str">
        <f>IF($A833&lt;&gt;"",MINIFS(Merchant!$A:$A,Merchant!$B:$B,$G$2),)</f>
        <v/>
      </c>
      <c r="D833" s="14" t="str">
        <f t="shared" si="2"/>
        <v/>
      </c>
      <c r="E833" s="14" t="str">
        <f t="shared" si="3"/>
        <v/>
      </c>
      <c r="F833" s="6" t="str">
        <f>IF($A833&lt;&gt;"",MAXIFS(Token!$B:$B,Token!$A:$A,$D833),)</f>
        <v/>
      </c>
    </row>
    <row r="834">
      <c r="A834" s="35" t="str">
        <f>IF(AND($L834*1&gt;=$G$3,$L834*1&lt;=$G$4,$I834*$J834&gt;0,CONCATENATE($H834:$L834)&lt;&gt;CONCATENATE($H835:$L835),$I834/POW(10,$J834)*MAXIFS(Token!$B:$B,Token!$A:$A,$K834)&gt;0.01),$L834/86400+DATE(1970,1,1)+IF($L834*1&gt;=$G$5,$G$6,0),)</f>
        <v/>
      </c>
      <c r="B834" s="22" t="str">
        <f t="shared" si="1"/>
        <v/>
      </c>
      <c r="C834" s="14" t="str">
        <f>IF($A834&lt;&gt;"",MINIFS(Merchant!$A:$A,Merchant!$B:$B,$G$2),)</f>
        <v/>
      </c>
      <c r="D834" s="14" t="str">
        <f t="shared" si="2"/>
        <v/>
      </c>
      <c r="E834" s="14" t="str">
        <f t="shared" si="3"/>
        <v/>
      </c>
      <c r="F834" s="6" t="str">
        <f>IF($A834&lt;&gt;"",MAXIFS(Token!$B:$B,Token!$A:$A,$D834),)</f>
        <v/>
      </c>
    </row>
    <row r="835">
      <c r="A835" s="35" t="str">
        <f>IF(AND($L835*1&gt;=$G$3,$L835*1&lt;=$G$4,$I835*$J835&gt;0,CONCATENATE($H835:$L835)&lt;&gt;CONCATENATE($H836:$L836),$I835/POW(10,$J835)*MAXIFS(Token!$B:$B,Token!$A:$A,$K835)&gt;0.01),$L835/86400+DATE(1970,1,1)+IF($L835*1&gt;=$G$5,$G$6,0),)</f>
        <v/>
      </c>
      <c r="B835" s="22" t="str">
        <f t="shared" si="1"/>
        <v/>
      </c>
      <c r="C835" s="14" t="str">
        <f>IF($A835&lt;&gt;"",MINIFS(Merchant!$A:$A,Merchant!$B:$B,$G$2),)</f>
        <v/>
      </c>
      <c r="D835" s="14" t="str">
        <f t="shared" si="2"/>
        <v/>
      </c>
      <c r="E835" s="14" t="str">
        <f t="shared" si="3"/>
        <v/>
      </c>
      <c r="F835" s="6" t="str">
        <f>IF($A835&lt;&gt;"",MAXIFS(Token!$B:$B,Token!$A:$A,$D835),)</f>
        <v/>
      </c>
    </row>
    <row r="836">
      <c r="A836" s="35" t="str">
        <f>IF(AND($L836*1&gt;=$G$3,$L836*1&lt;=$G$4,$I836*$J836&gt;0,CONCATENATE($H836:$L836)&lt;&gt;CONCATENATE($H837:$L837),$I836/POW(10,$J836)*MAXIFS(Token!$B:$B,Token!$A:$A,$K836)&gt;0.01),$L836/86400+DATE(1970,1,1)+IF($L836*1&gt;=$G$5,$G$6,0),)</f>
        <v/>
      </c>
      <c r="B836" s="22" t="str">
        <f t="shared" si="1"/>
        <v/>
      </c>
      <c r="C836" s="14" t="str">
        <f>IF($A836&lt;&gt;"",MINIFS(Merchant!$A:$A,Merchant!$B:$B,$G$2),)</f>
        <v/>
      </c>
      <c r="D836" s="14" t="str">
        <f t="shared" si="2"/>
        <v/>
      </c>
      <c r="E836" s="14" t="str">
        <f t="shared" si="3"/>
        <v/>
      </c>
      <c r="F836" s="6" t="str">
        <f>IF($A836&lt;&gt;"",MAXIFS(Token!$B:$B,Token!$A:$A,$D836),)</f>
        <v/>
      </c>
    </row>
    <row r="837">
      <c r="A837" s="35" t="str">
        <f>IF(AND($L837*1&gt;=$G$3,$L837*1&lt;=$G$4,$I837*$J837&gt;0,CONCATENATE($H837:$L837)&lt;&gt;CONCATENATE($H838:$L838),$I837/POW(10,$J837)*MAXIFS(Token!$B:$B,Token!$A:$A,$K837)&gt;0.01),$L837/86400+DATE(1970,1,1)+IF($L837*1&gt;=$G$5,$G$6,0),)</f>
        <v/>
      </c>
      <c r="B837" s="22" t="str">
        <f t="shared" si="1"/>
        <v/>
      </c>
      <c r="C837" s="14" t="str">
        <f>IF($A837&lt;&gt;"",MINIFS(Merchant!$A:$A,Merchant!$B:$B,$G$2),)</f>
        <v/>
      </c>
      <c r="D837" s="14" t="str">
        <f t="shared" si="2"/>
        <v/>
      </c>
      <c r="E837" s="14" t="str">
        <f t="shared" si="3"/>
        <v/>
      </c>
      <c r="F837" s="6" t="str">
        <f>IF($A837&lt;&gt;"",MAXIFS(Token!$B:$B,Token!$A:$A,$D837),)</f>
        <v/>
      </c>
    </row>
    <row r="838">
      <c r="A838" s="35" t="str">
        <f>IF(AND($L838*1&gt;=$G$3,$L838*1&lt;=$G$4,$I838*$J838&gt;0,CONCATENATE($H838:$L838)&lt;&gt;CONCATENATE($H839:$L839),$I838/POW(10,$J838)*MAXIFS(Token!$B:$B,Token!$A:$A,$K838)&gt;0.01),$L838/86400+DATE(1970,1,1)+IF($L838*1&gt;=$G$5,$G$6,0),)</f>
        <v/>
      </c>
      <c r="B838" s="22" t="str">
        <f t="shared" si="1"/>
        <v/>
      </c>
      <c r="C838" s="14" t="str">
        <f>IF($A838&lt;&gt;"",MINIFS(Merchant!$A:$A,Merchant!$B:$B,$G$2),)</f>
        <v/>
      </c>
      <c r="D838" s="14" t="str">
        <f t="shared" si="2"/>
        <v/>
      </c>
      <c r="E838" s="14" t="str">
        <f t="shared" si="3"/>
        <v/>
      </c>
      <c r="F838" s="6" t="str">
        <f>IF($A838&lt;&gt;"",MAXIFS(Token!$B:$B,Token!$A:$A,$D838),)</f>
        <v/>
      </c>
    </row>
    <row r="839">
      <c r="A839" s="35" t="str">
        <f>IF(AND($L839*1&gt;=$G$3,$L839*1&lt;=$G$4,$I839*$J839&gt;0,CONCATENATE($H839:$L839)&lt;&gt;CONCATENATE($H840:$L840),$I839/POW(10,$J839)*MAXIFS(Token!$B:$B,Token!$A:$A,$K839)&gt;0.01),$L839/86400+DATE(1970,1,1)+IF($L839*1&gt;=$G$5,$G$6,0),)</f>
        <v/>
      </c>
      <c r="B839" s="22" t="str">
        <f t="shared" si="1"/>
        <v/>
      </c>
      <c r="C839" s="14" t="str">
        <f>IF($A839&lt;&gt;"",MINIFS(Merchant!$A:$A,Merchant!$B:$B,$G$2),)</f>
        <v/>
      </c>
      <c r="D839" s="14" t="str">
        <f t="shared" si="2"/>
        <v/>
      </c>
      <c r="E839" s="14" t="str">
        <f t="shared" si="3"/>
        <v/>
      </c>
      <c r="F839" s="6" t="str">
        <f>IF($A839&lt;&gt;"",MAXIFS(Token!$B:$B,Token!$A:$A,$D839),)</f>
        <v/>
      </c>
    </row>
    <row r="840">
      <c r="A840" s="35" t="str">
        <f>IF(AND($L840*1&gt;=$G$3,$L840*1&lt;=$G$4,$I840*$J840&gt;0,CONCATENATE($H840:$L840)&lt;&gt;CONCATENATE($H841:$L841),$I840/POW(10,$J840)*MAXIFS(Token!$B:$B,Token!$A:$A,$K840)&gt;0.01),$L840/86400+DATE(1970,1,1)+IF($L840*1&gt;=$G$5,$G$6,0),)</f>
        <v/>
      </c>
      <c r="B840" s="22" t="str">
        <f t="shared" si="1"/>
        <v/>
      </c>
      <c r="C840" s="14" t="str">
        <f>IF($A840&lt;&gt;"",MINIFS(Merchant!$A:$A,Merchant!$B:$B,$G$2),)</f>
        <v/>
      </c>
      <c r="D840" s="14" t="str">
        <f t="shared" si="2"/>
        <v/>
      </c>
      <c r="E840" s="14" t="str">
        <f t="shared" si="3"/>
        <v/>
      </c>
      <c r="F840" s="6" t="str">
        <f>IF($A840&lt;&gt;"",MAXIFS(Token!$B:$B,Token!$A:$A,$D840),)</f>
        <v/>
      </c>
    </row>
    <row r="841">
      <c r="A841" s="35" t="str">
        <f>IF(AND($L841*1&gt;=$G$3,$L841*1&lt;=$G$4,$I841*$J841&gt;0,CONCATENATE($H841:$L841)&lt;&gt;CONCATENATE($H842:$L842),$I841/POW(10,$J841)*MAXIFS(Token!$B:$B,Token!$A:$A,$K841)&gt;0.01),$L841/86400+DATE(1970,1,1)+IF($L841*1&gt;=$G$5,$G$6,0),)</f>
        <v/>
      </c>
      <c r="B841" s="22" t="str">
        <f t="shared" si="1"/>
        <v/>
      </c>
      <c r="C841" s="14" t="str">
        <f>IF($A841&lt;&gt;"",MINIFS(Merchant!$A:$A,Merchant!$B:$B,$G$2),)</f>
        <v/>
      </c>
      <c r="D841" s="14" t="str">
        <f t="shared" si="2"/>
        <v/>
      </c>
      <c r="E841" s="14" t="str">
        <f t="shared" si="3"/>
        <v/>
      </c>
      <c r="F841" s="6" t="str">
        <f>IF($A841&lt;&gt;"",MAXIFS(Token!$B:$B,Token!$A:$A,$D841),)</f>
        <v/>
      </c>
    </row>
    <row r="842">
      <c r="A842" s="35" t="str">
        <f>IF(AND($L842*1&gt;=$G$3,$L842*1&lt;=$G$4,$I842*$J842&gt;0,CONCATENATE($H842:$L842)&lt;&gt;CONCATENATE($H843:$L843),$I842/POW(10,$J842)*MAXIFS(Token!$B:$B,Token!$A:$A,$K842)&gt;0.01),$L842/86400+DATE(1970,1,1)+IF($L842*1&gt;=$G$5,$G$6,0),)</f>
        <v/>
      </c>
      <c r="B842" s="22" t="str">
        <f t="shared" si="1"/>
        <v/>
      </c>
      <c r="C842" s="14" t="str">
        <f>IF($A842&lt;&gt;"",MINIFS(Merchant!$A:$A,Merchant!$B:$B,$G$2),)</f>
        <v/>
      </c>
      <c r="D842" s="14" t="str">
        <f t="shared" si="2"/>
        <v/>
      </c>
      <c r="E842" s="14" t="str">
        <f t="shared" si="3"/>
        <v/>
      </c>
      <c r="F842" s="6" t="str">
        <f>IF($A842&lt;&gt;"",MAXIFS(Token!$B:$B,Token!$A:$A,$D842),)</f>
        <v/>
      </c>
    </row>
    <row r="843">
      <c r="A843" s="35" t="str">
        <f>IF(AND($L843*1&gt;=$G$3,$L843*1&lt;=$G$4,$I843*$J843&gt;0,CONCATENATE($H843:$L843)&lt;&gt;CONCATENATE($H844:$L844),$I843/POW(10,$J843)*MAXIFS(Token!$B:$B,Token!$A:$A,$K843)&gt;0.01),$L843/86400+DATE(1970,1,1)+IF($L843*1&gt;=$G$5,$G$6,0),)</f>
        <v/>
      </c>
      <c r="B843" s="22" t="str">
        <f t="shared" si="1"/>
        <v/>
      </c>
      <c r="C843" s="14" t="str">
        <f>IF($A843&lt;&gt;"",MINIFS(Merchant!$A:$A,Merchant!$B:$B,$G$2),)</f>
        <v/>
      </c>
      <c r="D843" s="14" t="str">
        <f t="shared" si="2"/>
        <v/>
      </c>
      <c r="E843" s="14" t="str">
        <f t="shared" si="3"/>
        <v/>
      </c>
      <c r="F843" s="6" t="str">
        <f>IF($A843&lt;&gt;"",MAXIFS(Token!$B:$B,Token!$A:$A,$D843),)</f>
        <v/>
      </c>
    </row>
    <row r="844">
      <c r="A844" s="35" t="str">
        <f>IF(AND($L844*1&gt;=$G$3,$L844*1&lt;=$G$4,$I844*$J844&gt;0,CONCATENATE($H844:$L844)&lt;&gt;CONCATENATE($H845:$L845),$I844/POW(10,$J844)*MAXIFS(Token!$B:$B,Token!$A:$A,$K844)&gt;0.01),$L844/86400+DATE(1970,1,1)+IF($L844*1&gt;=$G$5,$G$6,0),)</f>
        <v/>
      </c>
      <c r="B844" s="22" t="str">
        <f t="shared" si="1"/>
        <v/>
      </c>
      <c r="C844" s="14" t="str">
        <f>IF($A844&lt;&gt;"",MINIFS(Merchant!$A:$A,Merchant!$B:$B,$G$2),)</f>
        <v/>
      </c>
      <c r="D844" s="14" t="str">
        <f t="shared" si="2"/>
        <v/>
      </c>
      <c r="E844" s="14" t="str">
        <f t="shared" si="3"/>
        <v/>
      </c>
      <c r="F844" s="6" t="str">
        <f>IF($A844&lt;&gt;"",MAXIFS(Token!$B:$B,Token!$A:$A,$D844),)</f>
        <v/>
      </c>
    </row>
    <row r="845">
      <c r="A845" s="35" t="str">
        <f>IF(AND($L845*1&gt;=$G$3,$L845*1&lt;=$G$4,$I845*$J845&gt;0,CONCATENATE($H845:$L845)&lt;&gt;CONCATENATE($H846:$L846),$I845/POW(10,$J845)*MAXIFS(Token!$B:$B,Token!$A:$A,$K845)&gt;0.01),$L845/86400+DATE(1970,1,1)+IF($L845*1&gt;=$G$5,$G$6,0),)</f>
        <v/>
      </c>
      <c r="B845" s="22" t="str">
        <f t="shared" si="1"/>
        <v/>
      </c>
      <c r="C845" s="14" t="str">
        <f>IF($A845&lt;&gt;"",MINIFS(Merchant!$A:$A,Merchant!$B:$B,$G$2),)</f>
        <v/>
      </c>
      <c r="D845" s="14" t="str">
        <f t="shared" si="2"/>
        <v/>
      </c>
      <c r="E845" s="14" t="str">
        <f t="shared" si="3"/>
        <v/>
      </c>
      <c r="F845" s="6" t="str">
        <f>IF($A845&lt;&gt;"",MAXIFS(Token!$B:$B,Token!$A:$A,$D845),)</f>
        <v/>
      </c>
    </row>
    <row r="846">
      <c r="A846" s="35" t="str">
        <f>IF(AND($L846*1&gt;=$G$3,$L846*1&lt;=$G$4,$I846*$J846&gt;0,CONCATENATE($H846:$L846)&lt;&gt;CONCATENATE($H847:$L847),$I846/POW(10,$J846)*MAXIFS(Token!$B:$B,Token!$A:$A,$K846)&gt;0.01),$L846/86400+DATE(1970,1,1)+IF($L846*1&gt;=$G$5,$G$6,0),)</f>
        <v/>
      </c>
      <c r="B846" s="22" t="str">
        <f t="shared" si="1"/>
        <v/>
      </c>
      <c r="C846" s="14" t="str">
        <f>IF($A846&lt;&gt;"",MINIFS(Merchant!$A:$A,Merchant!$B:$B,$G$2),)</f>
        <v/>
      </c>
      <c r="D846" s="14" t="str">
        <f t="shared" si="2"/>
        <v/>
      </c>
      <c r="E846" s="14" t="str">
        <f t="shared" si="3"/>
        <v/>
      </c>
      <c r="F846" s="6" t="str">
        <f>IF($A846&lt;&gt;"",MAXIFS(Token!$B:$B,Token!$A:$A,$D846),)</f>
        <v/>
      </c>
    </row>
    <row r="847">
      <c r="A847" s="35" t="str">
        <f>IF(AND($L847*1&gt;=$G$3,$L847*1&lt;=$G$4,$I847*$J847&gt;0,CONCATENATE($H847:$L847)&lt;&gt;CONCATENATE($H848:$L848),$I847/POW(10,$J847)*MAXIFS(Token!$B:$B,Token!$A:$A,$K847)&gt;0.01),$L847/86400+DATE(1970,1,1)+IF($L847*1&gt;=$G$5,$G$6,0),)</f>
        <v/>
      </c>
      <c r="B847" s="22" t="str">
        <f t="shared" si="1"/>
        <v/>
      </c>
      <c r="C847" s="14" t="str">
        <f>IF($A847&lt;&gt;"",MINIFS(Merchant!$A:$A,Merchant!$B:$B,$G$2),)</f>
        <v/>
      </c>
      <c r="D847" s="14" t="str">
        <f t="shared" si="2"/>
        <v/>
      </c>
      <c r="E847" s="14" t="str">
        <f t="shared" si="3"/>
        <v/>
      </c>
      <c r="F847" s="6" t="str">
        <f>IF($A847&lt;&gt;"",MAXIFS(Token!$B:$B,Token!$A:$A,$D847),)</f>
        <v/>
      </c>
    </row>
    <row r="848">
      <c r="A848" s="35" t="str">
        <f>IF(AND($L848*1&gt;=$G$3,$L848*1&lt;=$G$4,$I848*$J848&gt;0,CONCATENATE($H848:$L848)&lt;&gt;CONCATENATE($H849:$L849),$I848/POW(10,$J848)*MAXIFS(Token!$B:$B,Token!$A:$A,$K848)&gt;0.01),$L848/86400+DATE(1970,1,1)+IF($L848*1&gt;=$G$5,$G$6,0),)</f>
        <v/>
      </c>
      <c r="B848" s="22" t="str">
        <f t="shared" si="1"/>
        <v/>
      </c>
      <c r="C848" s="14" t="str">
        <f>IF($A848&lt;&gt;"",MINIFS(Merchant!$A:$A,Merchant!$B:$B,$G$2),)</f>
        <v/>
      </c>
      <c r="D848" s="14" t="str">
        <f t="shared" si="2"/>
        <v/>
      </c>
      <c r="E848" s="14" t="str">
        <f t="shared" si="3"/>
        <v/>
      </c>
      <c r="F848" s="6" t="str">
        <f>IF($A848&lt;&gt;"",MAXIFS(Token!$B:$B,Token!$A:$A,$D848),)</f>
        <v/>
      </c>
    </row>
    <row r="849">
      <c r="A849" s="35" t="str">
        <f>IF(AND($L849*1&gt;=$G$3,$L849*1&lt;=$G$4,$I849*$J849&gt;0,CONCATENATE($H849:$L849)&lt;&gt;CONCATENATE($H850:$L850),$I849/POW(10,$J849)*MAXIFS(Token!$B:$B,Token!$A:$A,$K849)&gt;0.01),$L849/86400+DATE(1970,1,1)+IF($L849*1&gt;=$G$5,$G$6,0),)</f>
        <v/>
      </c>
      <c r="B849" s="22" t="str">
        <f t="shared" si="1"/>
        <v/>
      </c>
      <c r="C849" s="14" t="str">
        <f>IF($A849&lt;&gt;"",MINIFS(Merchant!$A:$A,Merchant!$B:$B,$G$2),)</f>
        <v/>
      </c>
      <c r="D849" s="14" t="str">
        <f t="shared" si="2"/>
        <v/>
      </c>
      <c r="E849" s="14" t="str">
        <f t="shared" si="3"/>
        <v/>
      </c>
      <c r="F849" s="6" t="str">
        <f>IF($A849&lt;&gt;"",MAXIFS(Token!$B:$B,Token!$A:$A,$D849),)</f>
        <v/>
      </c>
    </row>
    <row r="850">
      <c r="A850" s="35" t="str">
        <f>IF(AND($L850*1&gt;=$G$3,$L850*1&lt;=$G$4,$I850*$J850&gt;0,CONCATENATE($H850:$L850)&lt;&gt;CONCATENATE($H851:$L851),$I850/POW(10,$J850)*MAXIFS(Token!$B:$B,Token!$A:$A,$K850)&gt;0.01),$L850/86400+DATE(1970,1,1)+IF($L850*1&gt;=$G$5,$G$6,0),)</f>
        <v/>
      </c>
      <c r="B850" s="22" t="str">
        <f t="shared" si="1"/>
        <v/>
      </c>
      <c r="C850" s="14" t="str">
        <f>IF($A850&lt;&gt;"",MINIFS(Merchant!$A:$A,Merchant!$B:$B,$G$2),)</f>
        <v/>
      </c>
      <c r="D850" s="14" t="str">
        <f t="shared" si="2"/>
        <v/>
      </c>
      <c r="E850" s="14" t="str">
        <f t="shared" si="3"/>
        <v/>
      </c>
      <c r="F850" s="6" t="str">
        <f>IF($A850&lt;&gt;"",MAXIFS(Token!$B:$B,Token!$A:$A,$D850),)</f>
        <v/>
      </c>
    </row>
    <row r="851">
      <c r="A851" s="35" t="str">
        <f>IF(AND($L851*1&gt;=$G$3,$L851*1&lt;=$G$4,$I851*$J851&gt;0,CONCATENATE($H851:$L851)&lt;&gt;CONCATENATE($H852:$L852),$I851/POW(10,$J851)*MAXIFS(Token!$B:$B,Token!$A:$A,$K851)&gt;0.01),$L851/86400+DATE(1970,1,1)+IF($L851*1&gt;=$G$5,$G$6,0),)</f>
        <v/>
      </c>
      <c r="B851" s="22" t="str">
        <f t="shared" si="1"/>
        <v/>
      </c>
      <c r="C851" s="14" t="str">
        <f>IF($A851&lt;&gt;"",MINIFS(Merchant!$A:$A,Merchant!$B:$B,$G$2),)</f>
        <v/>
      </c>
      <c r="D851" s="14" t="str">
        <f t="shared" si="2"/>
        <v/>
      </c>
      <c r="E851" s="14" t="str">
        <f t="shared" si="3"/>
        <v/>
      </c>
      <c r="F851" s="6" t="str">
        <f>IF($A851&lt;&gt;"",MAXIFS(Token!$B:$B,Token!$A:$A,$D851),)</f>
        <v/>
      </c>
    </row>
    <row r="852">
      <c r="A852" s="35" t="str">
        <f>IF(AND($L852*1&gt;=$G$3,$L852*1&lt;=$G$4,$I852*$J852&gt;0,CONCATENATE($H852:$L852)&lt;&gt;CONCATENATE($H853:$L853),$I852/POW(10,$J852)*MAXIFS(Token!$B:$B,Token!$A:$A,$K852)&gt;0.01),$L852/86400+DATE(1970,1,1)+IF($L852*1&gt;=$G$5,$G$6,0),)</f>
        <v/>
      </c>
      <c r="B852" s="22" t="str">
        <f t="shared" si="1"/>
        <v/>
      </c>
      <c r="C852" s="14" t="str">
        <f>IF($A852&lt;&gt;"",MINIFS(Merchant!$A:$A,Merchant!$B:$B,$G$2),)</f>
        <v/>
      </c>
      <c r="D852" s="14" t="str">
        <f t="shared" si="2"/>
        <v/>
      </c>
      <c r="E852" s="14" t="str">
        <f t="shared" si="3"/>
        <v/>
      </c>
      <c r="F852" s="6" t="str">
        <f>IF($A852&lt;&gt;"",MAXIFS(Token!$B:$B,Token!$A:$A,$D852),)</f>
        <v/>
      </c>
    </row>
    <row r="853">
      <c r="A853" s="35" t="str">
        <f>IF(AND($L853*1&gt;=$G$3,$L853*1&lt;=$G$4,$I853*$J853&gt;0,CONCATENATE($H853:$L853)&lt;&gt;CONCATENATE($H854:$L854),$I853/POW(10,$J853)*MAXIFS(Token!$B:$B,Token!$A:$A,$K853)&gt;0.01),$L853/86400+DATE(1970,1,1)+IF($L853*1&gt;=$G$5,$G$6,0),)</f>
        <v/>
      </c>
      <c r="B853" s="22" t="str">
        <f t="shared" si="1"/>
        <v/>
      </c>
      <c r="C853" s="14" t="str">
        <f>IF($A853&lt;&gt;"",MINIFS(Merchant!$A:$A,Merchant!$B:$B,$G$2),)</f>
        <v/>
      </c>
      <c r="D853" s="14" t="str">
        <f t="shared" si="2"/>
        <v/>
      </c>
      <c r="E853" s="14" t="str">
        <f t="shared" si="3"/>
        <v/>
      </c>
      <c r="F853" s="6" t="str">
        <f>IF($A853&lt;&gt;"",MAXIFS(Token!$B:$B,Token!$A:$A,$D853),)</f>
        <v/>
      </c>
    </row>
    <row r="854">
      <c r="A854" s="35" t="str">
        <f>IF(AND($L854*1&gt;=$G$3,$L854*1&lt;=$G$4,$I854*$J854&gt;0,CONCATENATE($H854:$L854)&lt;&gt;CONCATENATE($H855:$L855),$I854/POW(10,$J854)*MAXIFS(Token!$B:$B,Token!$A:$A,$K854)&gt;0.01),$L854/86400+DATE(1970,1,1)+IF($L854*1&gt;=$G$5,$G$6,0),)</f>
        <v/>
      </c>
      <c r="B854" s="22" t="str">
        <f t="shared" si="1"/>
        <v/>
      </c>
      <c r="C854" s="14" t="str">
        <f>IF($A854&lt;&gt;"",MINIFS(Merchant!$A:$A,Merchant!$B:$B,$G$2),)</f>
        <v/>
      </c>
      <c r="D854" s="14" t="str">
        <f t="shared" si="2"/>
        <v/>
      </c>
      <c r="E854" s="14" t="str">
        <f t="shared" si="3"/>
        <v/>
      </c>
      <c r="F854" s="6" t="str">
        <f>IF($A854&lt;&gt;"",MAXIFS(Token!$B:$B,Token!$A:$A,$D854),)</f>
        <v/>
      </c>
    </row>
    <row r="855">
      <c r="A855" s="35" t="str">
        <f>IF(AND($L855*1&gt;=$G$3,$L855*1&lt;=$G$4,$I855*$J855&gt;0,CONCATENATE($H855:$L855)&lt;&gt;CONCATENATE($H856:$L856),$I855/POW(10,$J855)*MAXIFS(Token!$B:$B,Token!$A:$A,$K855)&gt;0.01),$L855/86400+DATE(1970,1,1)+IF($L855*1&gt;=$G$5,$G$6,0),)</f>
        <v/>
      </c>
      <c r="B855" s="22" t="str">
        <f t="shared" si="1"/>
        <v/>
      </c>
      <c r="C855" s="14" t="str">
        <f>IF($A855&lt;&gt;"",MINIFS(Merchant!$A:$A,Merchant!$B:$B,$G$2),)</f>
        <v/>
      </c>
      <c r="D855" s="14" t="str">
        <f t="shared" si="2"/>
        <v/>
      </c>
      <c r="E855" s="14" t="str">
        <f t="shared" si="3"/>
        <v/>
      </c>
      <c r="F855" s="6" t="str">
        <f>IF($A855&lt;&gt;"",MAXIFS(Token!$B:$B,Token!$A:$A,$D855),)</f>
        <v/>
      </c>
    </row>
    <row r="856">
      <c r="A856" s="35" t="str">
        <f>IF(AND($L856*1&gt;=$G$3,$L856*1&lt;=$G$4,$I856*$J856&gt;0,CONCATENATE($H856:$L856)&lt;&gt;CONCATENATE($H857:$L857),$I856/POW(10,$J856)*MAXIFS(Token!$B:$B,Token!$A:$A,$K856)&gt;0.01),$L856/86400+DATE(1970,1,1)+IF($L856*1&gt;=$G$5,$G$6,0),)</f>
        <v/>
      </c>
      <c r="B856" s="22" t="str">
        <f t="shared" si="1"/>
        <v/>
      </c>
      <c r="C856" s="14" t="str">
        <f>IF($A856&lt;&gt;"",MINIFS(Merchant!$A:$A,Merchant!$B:$B,$G$2),)</f>
        <v/>
      </c>
      <c r="D856" s="14" t="str">
        <f t="shared" si="2"/>
        <v/>
      </c>
      <c r="E856" s="14" t="str">
        <f t="shared" si="3"/>
        <v/>
      </c>
      <c r="F856" s="6" t="str">
        <f>IF($A856&lt;&gt;"",MAXIFS(Token!$B:$B,Token!$A:$A,$D856),)</f>
        <v/>
      </c>
    </row>
    <row r="857">
      <c r="A857" s="35" t="str">
        <f>IF(AND($L857*1&gt;=$G$3,$L857*1&lt;=$G$4,$I857*$J857&gt;0,CONCATENATE($H857:$L857)&lt;&gt;CONCATENATE($H858:$L858),$I857/POW(10,$J857)*MAXIFS(Token!$B:$B,Token!$A:$A,$K857)&gt;0.01),$L857/86400+DATE(1970,1,1)+IF($L857*1&gt;=$G$5,$G$6,0),)</f>
        <v/>
      </c>
      <c r="B857" s="22" t="str">
        <f t="shared" si="1"/>
        <v/>
      </c>
      <c r="C857" s="14" t="str">
        <f>IF($A857&lt;&gt;"",MINIFS(Merchant!$A:$A,Merchant!$B:$B,$G$2),)</f>
        <v/>
      </c>
      <c r="D857" s="14" t="str">
        <f t="shared" si="2"/>
        <v/>
      </c>
      <c r="E857" s="14" t="str">
        <f t="shared" si="3"/>
        <v/>
      </c>
      <c r="F857" s="6" t="str">
        <f>IF($A857&lt;&gt;"",MAXIFS(Token!$B:$B,Token!$A:$A,$D857),)</f>
        <v/>
      </c>
    </row>
    <row r="858">
      <c r="A858" s="35" t="str">
        <f>IF(AND($L858*1&gt;=$G$3,$L858*1&lt;=$G$4,$I858*$J858&gt;0,CONCATENATE($H858:$L858)&lt;&gt;CONCATENATE($H859:$L859),$I858/POW(10,$J858)*MAXIFS(Token!$B:$B,Token!$A:$A,$K858)&gt;0.01),$L858/86400+DATE(1970,1,1)+IF($L858*1&gt;=$G$5,$G$6,0),)</f>
        <v/>
      </c>
      <c r="B858" s="22" t="str">
        <f t="shared" si="1"/>
        <v/>
      </c>
      <c r="C858" s="14" t="str">
        <f>IF($A858&lt;&gt;"",MINIFS(Merchant!$A:$A,Merchant!$B:$B,$G$2),)</f>
        <v/>
      </c>
      <c r="D858" s="14" t="str">
        <f t="shared" si="2"/>
        <v/>
      </c>
      <c r="E858" s="14" t="str">
        <f t="shared" si="3"/>
        <v/>
      </c>
      <c r="F858" s="6" t="str">
        <f>IF($A858&lt;&gt;"",MAXIFS(Token!$B:$B,Token!$A:$A,$D858),)</f>
        <v/>
      </c>
    </row>
    <row r="859">
      <c r="A859" s="35" t="str">
        <f>IF(AND($L859*1&gt;=$G$3,$L859*1&lt;=$G$4,$I859*$J859&gt;0,CONCATENATE($H859:$L859)&lt;&gt;CONCATENATE($H860:$L860),$I859/POW(10,$J859)*MAXIFS(Token!$B:$B,Token!$A:$A,$K859)&gt;0.01),$L859/86400+DATE(1970,1,1)+IF($L859*1&gt;=$G$5,$G$6,0),)</f>
        <v/>
      </c>
      <c r="B859" s="22" t="str">
        <f t="shared" si="1"/>
        <v/>
      </c>
      <c r="C859" s="14" t="str">
        <f>IF($A859&lt;&gt;"",MINIFS(Merchant!$A:$A,Merchant!$B:$B,$G$2),)</f>
        <v/>
      </c>
      <c r="D859" s="14" t="str">
        <f t="shared" si="2"/>
        <v/>
      </c>
      <c r="E859" s="14" t="str">
        <f t="shared" si="3"/>
        <v/>
      </c>
      <c r="F859" s="6" t="str">
        <f>IF($A859&lt;&gt;"",MAXIFS(Token!$B:$B,Token!$A:$A,$D859),)</f>
        <v/>
      </c>
    </row>
    <row r="860">
      <c r="A860" s="35" t="str">
        <f>IF(AND($L860*1&gt;=$G$3,$L860*1&lt;=$G$4,$I860*$J860&gt;0,CONCATENATE($H860:$L860)&lt;&gt;CONCATENATE($H861:$L861),$I860/POW(10,$J860)*MAXIFS(Token!$B:$B,Token!$A:$A,$K860)&gt;0.01),$L860/86400+DATE(1970,1,1)+IF($L860*1&gt;=$G$5,$G$6,0),)</f>
        <v/>
      </c>
      <c r="B860" s="22" t="str">
        <f t="shared" si="1"/>
        <v/>
      </c>
      <c r="C860" s="14" t="str">
        <f>IF($A860&lt;&gt;"",MINIFS(Merchant!$A:$A,Merchant!$B:$B,$G$2),)</f>
        <v/>
      </c>
      <c r="D860" s="14" t="str">
        <f t="shared" si="2"/>
        <v/>
      </c>
      <c r="E860" s="14" t="str">
        <f t="shared" si="3"/>
        <v/>
      </c>
      <c r="F860" s="6" t="str">
        <f>IF($A860&lt;&gt;"",MAXIFS(Token!$B:$B,Token!$A:$A,$D860),)</f>
        <v/>
      </c>
    </row>
    <row r="861">
      <c r="A861" s="35" t="str">
        <f>IF(AND($L861*1&gt;=$G$3,$L861*1&lt;=$G$4,$I861*$J861&gt;0,CONCATENATE($H861:$L861)&lt;&gt;CONCATENATE($H862:$L862),$I861/POW(10,$J861)*MAXIFS(Token!$B:$B,Token!$A:$A,$K861)&gt;0.01),$L861/86400+DATE(1970,1,1)+IF($L861*1&gt;=$G$5,$G$6,0),)</f>
        <v/>
      </c>
      <c r="B861" s="22" t="str">
        <f t="shared" si="1"/>
        <v/>
      </c>
      <c r="C861" s="14" t="str">
        <f>IF($A861&lt;&gt;"",MINIFS(Merchant!$A:$A,Merchant!$B:$B,$G$2),)</f>
        <v/>
      </c>
      <c r="D861" s="14" t="str">
        <f t="shared" si="2"/>
        <v/>
      </c>
      <c r="E861" s="14" t="str">
        <f t="shared" si="3"/>
        <v/>
      </c>
      <c r="F861" s="6" t="str">
        <f>IF($A861&lt;&gt;"",MAXIFS(Token!$B:$B,Token!$A:$A,$D861),)</f>
        <v/>
      </c>
    </row>
    <row r="862">
      <c r="A862" s="35" t="str">
        <f>IF(AND($L862*1&gt;=$G$3,$L862*1&lt;=$G$4,$I862*$J862&gt;0,CONCATENATE($H862:$L862)&lt;&gt;CONCATENATE($H863:$L863),$I862/POW(10,$J862)*MAXIFS(Token!$B:$B,Token!$A:$A,$K862)&gt;0.01),$L862/86400+DATE(1970,1,1)+IF($L862*1&gt;=$G$5,$G$6,0),)</f>
        <v/>
      </c>
      <c r="B862" s="22" t="str">
        <f t="shared" si="1"/>
        <v/>
      </c>
      <c r="C862" s="14" t="str">
        <f>IF($A862&lt;&gt;"",MINIFS(Merchant!$A:$A,Merchant!$B:$B,$G$2),)</f>
        <v/>
      </c>
      <c r="D862" s="14" t="str">
        <f t="shared" si="2"/>
        <v/>
      </c>
      <c r="E862" s="14" t="str">
        <f t="shared" si="3"/>
        <v/>
      </c>
      <c r="F862" s="6" t="str">
        <f>IF($A862&lt;&gt;"",MAXIFS(Token!$B:$B,Token!$A:$A,$D862),)</f>
        <v/>
      </c>
    </row>
    <row r="863">
      <c r="A863" s="35" t="str">
        <f>IF(AND($L863*1&gt;=$G$3,$L863*1&lt;=$G$4,$I863*$J863&gt;0,CONCATENATE($H863:$L863)&lt;&gt;CONCATENATE($H864:$L864),$I863/POW(10,$J863)*MAXIFS(Token!$B:$B,Token!$A:$A,$K863)&gt;0.01),$L863/86400+DATE(1970,1,1)+IF($L863*1&gt;=$G$5,$G$6,0),)</f>
        <v/>
      </c>
      <c r="B863" s="22" t="str">
        <f t="shared" si="1"/>
        <v/>
      </c>
      <c r="C863" s="14" t="str">
        <f>IF($A863&lt;&gt;"",MINIFS(Merchant!$A:$A,Merchant!$B:$B,$G$2),)</f>
        <v/>
      </c>
      <c r="D863" s="14" t="str">
        <f t="shared" si="2"/>
        <v/>
      </c>
      <c r="E863" s="14" t="str">
        <f t="shared" si="3"/>
        <v/>
      </c>
      <c r="F863" s="6" t="str">
        <f>IF($A863&lt;&gt;"",MAXIFS(Token!$B:$B,Token!$A:$A,$D863),)</f>
        <v/>
      </c>
    </row>
    <row r="864">
      <c r="A864" s="35" t="str">
        <f>IF(AND($L864*1&gt;=$G$3,$L864*1&lt;=$G$4,$I864*$J864&gt;0,CONCATENATE($H864:$L864)&lt;&gt;CONCATENATE($H865:$L865),$I864/POW(10,$J864)*MAXIFS(Token!$B:$B,Token!$A:$A,$K864)&gt;0.01),$L864/86400+DATE(1970,1,1)+IF($L864*1&gt;=$G$5,$G$6,0),)</f>
        <v/>
      </c>
      <c r="B864" s="22" t="str">
        <f t="shared" si="1"/>
        <v/>
      </c>
      <c r="C864" s="14" t="str">
        <f>IF($A864&lt;&gt;"",MINIFS(Merchant!$A:$A,Merchant!$B:$B,$G$2),)</f>
        <v/>
      </c>
      <c r="D864" s="14" t="str">
        <f t="shared" si="2"/>
        <v/>
      </c>
      <c r="E864" s="14" t="str">
        <f t="shared" si="3"/>
        <v/>
      </c>
      <c r="F864" s="6" t="str">
        <f>IF($A864&lt;&gt;"",MAXIFS(Token!$B:$B,Token!$A:$A,$D864),)</f>
        <v/>
      </c>
    </row>
    <row r="865">
      <c r="A865" s="35" t="str">
        <f>IF(AND($L865*1&gt;=$G$3,$L865*1&lt;=$G$4,$I865*$J865&gt;0,CONCATENATE($H865:$L865)&lt;&gt;CONCATENATE($H866:$L866),$I865/POW(10,$J865)*MAXIFS(Token!$B:$B,Token!$A:$A,$K865)&gt;0.01),$L865/86400+DATE(1970,1,1)+IF($L865*1&gt;=$G$5,$G$6,0),)</f>
        <v/>
      </c>
      <c r="B865" s="22" t="str">
        <f t="shared" si="1"/>
        <v/>
      </c>
      <c r="C865" s="14" t="str">
        <f>IF($A865&lt;&gt;"",MINIFS(Merchant!$A:$A,Merchant!$B:$B,$G$2),)</f>
        <v/>
      </c>
      <c r="D865" s="14" t="str">
        <f t="shared" si="2"/>
        <v/>
      </c>
      <c r="E865" s="14" t="str">
        <f t="shared" si="3"/>
        <v/>
      </c>
      <c r="F865" s="6" t="str">
        <f>IF($A865&lt;&gt;"",MAXIFS(Token!$B:$B,Token!$A:$A,$D865),)</f>
        <v/>
      </c>
    </row>
    <row r="866">
      <c r="A866" s="35" t="str">
        <f>IF(AND($L866*1&gt;=$G$3,$L866*1&lt;=$G$4,$I866*$J866&gt;0,CONCATENATE($H866:$L866)&lt;&gt;CONCATENATE($H867:$L867),$I866/POW(10,$J866)*MAXIFS(Token!$B:$B,Token!$A:$A,$K866)&gt;0.01),$L866/86400+DATE(1970,1,1)+IF($L866*1&gt;=$G$5,$G$6,0),)</f>
        <v/>
      </c>
      <c r="B866" s="22" t="str">
        <f t="shared" si="1"/>
        <v/>
      </c>
      <c r="C866" s="14" t="str">
        <f>IF($A866&lt;&gt;"",MINIFS(Merchant!$A:$A,Merchant!$B:$B,$G$2),)</f>
        <v/>
      </c>
      <c r="D866" s="14" t="str">
        <f t="shared" si="2"/>
        <v/>
      </c>
      <c r="E866" s="14" t="str">
        <f t="shared" si="3"/>
        <v/>
      </c>
      <c r="F866" s="6" t="str">
        <f>IF($A866&lt;&gt;"",MAXIFS(Token!$B:$B,Token!$A:$A,$D866),)</f>
        <v/>
      </c>
    </row>
    <row r="867">
      <c r="A867" s="35" t="str">
        <f>IF(AND($L867*1&gt;=$G$3,$L867*1&lt;=$G$4,$I867*$J867&gt;0,CONCATENATE($H867:$L867)&lt;&gt;CONCATENATE($H868:$L868),$I867/POW(10,$J867)*MAXIFS(Token!$B:$B,Token!$A:$A,$K867)&gt;0.01),$L867/86400+DATE(1970,1,1)+IF($L867*1&gt;=$G$5,$G$6,0),)</f>
        <v/>
      </c>
      <c r="B867" s="22" t="str">
        <f t="shared" si="1"/>
        <v/>
      </c>
      <c r="C867" s="14" t="str">
        <f>IF($A867&lt;&gt;"",MINIFS(Merchant!$A:$A,Merchant!$B:$B,$G$2),)</f>
        <v/>
      </c>
      <c r="D867" s="14" t="str">
        <f t="shared" si="2"/>
        <v/>
      </c>
      <c r="E867" s="14" t="str">
        <f t="shared" si="3"/>
        <v/>
      </c>
      <c r="F867" s="6" t="str">
        <f>IF($A867&lt;&gt;"",MAXIFS(Token!$B:$B,Token!$A:$A,$D867),)</f>
        <v/>
      </c>
    </row>
    <row r="868">
      <c r="A868" s="35" t="str">
        <f>IF(AND($L868*1&gt;=$G$3,$L868*1&lt;=$G$4,$I868*$J868&gt;0,CONCATENATE($H868:$L868)&lt;&gt;CONCATENATE($H869:$L869),$I868/POW(10,$J868)*MAXIFS(Token!$B:$B,Token!$A:$A,$K868)&gt;0.01),$L868/86400+DATE(1970,1,1)+IF($L868*1&gt;=$G$5,$G$6,0),)</f>
        <v/>
      </c>
      <c r="B868" s="22" t="str">
        <f t="shared" si="1"/>
        <v/>
      </c>
      <c r="C868" s="14" t="str">
        <f>IF($A868&lt;&gt;"",MINIFS(Merchant!$A:$A,Merchant!$B:$B,$G$2),)</f>
        <v/>
      </c>
      <c r="D868" s="14" t="str">
        <f t="shared" si="2"/>
        <v/>
      </c>
      <c r="E868" s="14" t="str">
        <f t="shared" si="3"/>
        <v/>
      </c>
      <c r="F868" s="6" t="str">
        <f>IF($A868&lt;&gt;"",MAXIFS(Token!$B:$B,Token!$A:$A,$D868),)</f>
        <v/>
      </c>
    </row>
    <row r="869">
      <c r="A869" s="35" t="str">
        <f>IF(AND($L869*1&gt;=$G$3,$L869*1&lt;=$G$4,$I869*$J869&gt;0,CONCATENATE($H869:$L869)&lt;&gt;CONCATENATE($H870:$L870),$I869/POW(10,$J869)*MAXIFS(Token!$B:$B,Token!$A:$A,$K869)&gt;0.01),$L869/86400+DATE(1970,1,1)+IF($L869*1&gt;=$G$5,$G$6,0),)</f>
        <v/>
      </c>
      <c r="B869" s="22" t="str">
        <f t="shared" si="1"/>
        <v/>
      </c>
      <c r="C869" s="14" t="str">
        <f>IF($A869&lt;&gt;"",MINIFS(Merchant!$A:$A,Merchant!$B:$B,$G$2),)</f>
        <v/>
      </c>
      <c r="D869" s="14" t="str">
        <f t="shared" si="2"/>
        <v/>
      </c>
      <c r="E869" s="14" t="str">
        <f t="shared" si="3"/>
        <v/>
      </c>
      <c r="F869" s="6" t="str">
        <f>IF($A869&lt;&gt;"",MAXIFS(Token!$B:$B,Token!$A:$A,$D869),)</f>
        <v/>
      </c>
    </row>
    <row r="870">
      <c r="A870" s="35" t="str">
        <f>IF(AND($L870*1&gt;=$G$3,$L870*1&lt;=$G$4,$I870*$J870&gt;0,CONCATENATE($H870:$L870)&lt;&gt;CONCATENATE($H871:$L871),$I870/POW(10,$J870)*MAXIFS(Token!$B:$B,Token!$A:$A,$K870)&gt;0.01),$L870/86400+DATE(1970,1,1)+IF($L870*1&gt;=$G$5,$G$6,0),)</f>
        <v/>
      </c>
      <c r="B870" s="22" t="str">
        <f t="shared" si="1"/>
        <v/>
      </c>
      <c r="C870" s="14" t="str">
        <f>IF($A870&lt;&gt;"",MINIFS(Merchant!$A:$A,Merchant!$B:$B,$G$2),)</f>
        <v/>
      </c>
      <c r="D870" s="14" t="str">
        <f t="shared" si="2"/>
        <v/>
      </c>
      <c r="E870" s="14" t="str">
        <f t="shared" si="3"/>
        <v/>
      </c>
      <c r="F870" s="6" t="str">
        <f>IF($A870&lt;&gt;"",MAXIFS(Token!$B:$B,Token!$A:$A,$D870),)</f>
        <v/>
      </c>
    </row>
    <row r="871">
      <c r="A871" s="35" t="str">
        <f>IF(AND($L871*1&gt;=$G$3,$L871*1&lt;=$G$4,$I871*$J871&gt;0,CONCATENATE($H871:$L871)&lt;&gt;CONCATENATE($H872:$L872),$I871/POW(10,$J871)*MAXIFS(Token!$B:$B,Token!$A:$A,$K871)&gt;0.01),$L871/86400+DATE(1970,1,1)+IF($L871*1&gt;=$G$5,$G$6,0),)</f>
        <v/>
      </c>
      <c r="B871" s="22" t="str">
        <f t="shared" si="1"/>
        <v/>
      </c>
      <c r="C871" s="14" t="str">
        <f>IF($A871&lt;&gt;"",MINIFS(Merchant!$A:$A,Merchant!$B:$B,$G$2),)</f>
        <v/>
      </c>
      <c r="D871" s="14" t="str">
        <f t="shared" si="2"/>
        <v/>
      </c>
      <c r="E871" s="14" t="str">
        <f t="shared" si="3"/>
        <v/>
      </c>
      <c r="F871" s="6" t="str">
        <f>IF($A871&lt;&gt;"",MAXIFS(Token!$B:$B,Token!$A:$A,$D871),)</f>
        <v/>
      </c>
    </row>
    <row r="872">
      <c r="A872" s="35" t="str">
        <f>IF(AND($L872*1&gt;=$G$3,$L872*1&lt;=$G$4,$I872*$J872&gt;0,CONCATENATE($H872:$L872)&lt;&gt;CONCATENATE($H873:$L873),$I872/POW(10,$J872)*MAXIFS(Token!$B:$B,Token!$A:$A,$K872)&gt;0.01),$L872/86400+DATE(1970,1,1)+IF($L872*1&gt;=$G$5,$G$6,0),)</f>
        <v/>
      </c>
      <c r="B872" s="22" t="str">
        <f t="shared" si="1"/>
        <v/>
      </c>
      <c r="C872" s="14" t="str">
        <f>IF($A872&lt;&gt;"",MINIFS(Merchant!$A:$A,Merchant!$B:$B,$G$2),)</f>
        <v/>
      </c>
      <c r="D872" s="14" t="str">
        <f t="shared" si="2"/>
        <v/>
      </c>
      <c r="E872" s="14" t="str">
        <f t="shared" si="3"/>
        <v/>
      </c>
      <c r="F872" s="6" t="str">
        <f>IF($A872&lt;&gt;"",MAXIFS(Token!$B:$B,Token!$A:$A,$D872),)</f>
        <v/>
      </c>
    </row>
    <row r="873">
      <c r="A873" s="35" t="str">
        <f>IF(AND($L873*1&gt;=$G$3,$L873*1&lt;=$G$4,$I873*$J873&gt;0,CONCATENATE($H873:$L873)&lt;&gt;CONCATENATE($H874:$L874),$I873/POW(10,$J873)*MAXIFS(Token!$B:$B,Token!$A:$A,$K873)&gt;0.01),$L873/86400+DATE(1970,1,1)+IF($L873*1&gt;=$G$5,$G$6,0),)</f>
        <v/>
      </c>
      <c r="B873" s="22" t="str">
        <f t="shared" si="1"/>
        <v/>
      </c>
      <c r="C873" s="14" t="str">
        <f>IF($A873&lt;&gt;"",MINIFS(Merchant!$A:$A,Merchant!$B:$B,$G$2),)</f>
        <v/>
      </c>
      <c r="D873" s="14" t="str">
        <f t="shared" si="2"/>
        <v/>
      </c>
      <c r="E873" s="14" t="str">
        <f t="shared" si="3"/>
        <v/>
      </c>
      <c r="F873" s="6" t="str">
        <f>IF($A873&lt;&gt;"",MAXIFS(Token!$B:$B,Token!$A:$A,$D873),)</f>
        <v/>
      </c>
    </row>
    <row r="874">
      <c r="A874" s="35" t="str">
        <f>IF(AND($L874*1&gt;=$G$3,$L874*1&lt;=$G$4,$I874*$J874&gt;0,CONCATENATE($H874:$L874)&lt;&gt;CONCATENATE($H875:$L875),$I874/POW(10,$J874)*MAXIFS(Token!$B:$B,Token!$A:$A,$K874)&gt;0.01),$L874/86400+DATE(1970,1,1)+IF($L874*1&gt;=$G$5,$G$6,0),)</f>
        <v/>
      </c>
      <c r="B874" s="22" t="str">
        <f t="shared" si="1"/>
        <v/>
      </c>
      <c r="C874" s="14" t="str">
        <f>IF($A874&lt;&gt;"",MINIFS(Merchant!$A:$A,Merchant!$B:$B,$G$2),)</f>
        <v/>
      </c>
      <c r="D874" s="14" t="str">
        <f t="shared" si="2"/>
        <v/>
      </c>
      <c r="E874" s="14" t="str">
        <f t="shared" si="3"/>
        <v/>
      </c>
      <c r="F874" s="6" t="str">
        <f>IF($A874&lt;&gt;"",MAXIFS(Token!$B:$B,Token!$A:$A,$D874),)</f>
        <v/>
      </c>
    </row>
    <row r="875">
      <c r="A875" s="35" t="str">
        <f>IF(AND($L875*1&gt;=$G$3,$L875*1&lt;=$G$4,$I875*$J875&gt;0,CONCATENATE($H875:$L875)&lt;&gt;CONCATENATE($H876:$L876),$I875/POW(10,$J875)*MAXIFS(Token!$B:$B,Token!$A:$A,$K875)&gt;0.01),$L875/86400+DATE(1970,1,1)+IF($L875*1&gt;=$G$5,$G$6,0),)</f>
        <v/>
      </c>
      <c r="B875" s="22" t="str">
        <f t="shared" si="1"/>
        <v/>
      </c>
      <c r="C875" s="14" t="str">
        <f>IF($A875&lt;&gt;"",MINIFS(Merchant!$A:$A,Merchant!$B:$B,$G$2),)</f>
        <v/>
      </c>
      <c r="D875" s="14" t="str">
        <f t="shared" si="2"/>
        <v/>
      </c>
      <c r="E875" s="14" t="str">
        <f t="shared" si="3"/>
        <v/>
      </c>
      <c r="F875" s="6" t="str">
        <f>IF($A875&lt;&gt;"",MAXIFS(Token!$B:$B,Token!$A:$A,$D875),)</f>
        <v/>
      </c>
    </row>
    <row r="876">
      <c r="A876" s="35" t="str">
        <f>IF(AND($L876*1&gt;=$G$3,$L876*1&lt;=$G$4,$I876*$J876&gt;0,CONCATENATE($H876:$L876)&lt;&gt;CONCATENATE($H877:$L877),$I876/POW(10,$J876)*MAXIFS(Token!$B:$B,Token!$A:$A,$K876)&gt;0.01),$L876/86400+DATE(1970,1,1)+IF($L876*1&gt;=$G$5,$G$6,0),)</f>
        <v/>
      </c>
      <c r="B876" s="22" t="str">
        <f t="shared" si="1"/>
        <v/>
      </c>
      <c r="C876" s="14" t="str">
        <f>IF($A876&lt;&gt;"",MINIFS(Merchant!$A:$A,Merchant!$B:$B,$G$2),)</f>
        <v/>
      </c>
      <c r="D876" s="14" t="str">
        <f t="shared" si="2"/>
        <v/>
      </c>
      <c r="E876" s="14" t="str">
        <f t="shared" si="3"/>
        <v/>
      </c>
      <c r="F876" s="6" t="str">
        <f>IF($A876&lt;&gt;"",MAXIFS(Token!$B:$B,Token!$A:$A,$D876),)</f>
        <v/>
      </c>
    </row>
    <row r="877">
      <c r="A877" s="35" t="str">
        <f>IF(AND($L877*1&gt;=$G$3,$L877*1&lt;=$G$4,$I877*$J877&gt;0,CONCATENATE($H877:$L877)&lt;&gt;CONCATENATE($H878:$L878),$I877/POW(10,$J877)*MAXIFS(Token!$B:$B,Token!$A:$A,$K877)&gt;0.01),$L877/86400+DATE(1970,1,1)+IF($L877*1&gt;=$G$5,$G$6,0),)</f>
        <v/>
      </c>
      <c r="B877" s="22" t="str">
        <f t="shared" si="1"/>
        <v/>
      </c>
      <c r="C877" s="14" t="str">
        <f>IF($A877&lt;&gt;"",MINIFS(Merchant!$A:$A,Merchant!$B:$B,$G$2),)</f>
        <v/>
      </c>
      <c r="D877" s="14" t="str">
        <f t="shared" si="2"/>
        <v/>
      </c>
      <c r="E877" s="14" t="str">
        <f t="shared" si="3"/>
        <v/>
      </c>
      <c r="F877" s="6" t="str">
        <f>IF($A877&lt;&gt;"",MAXIFS(Token!$B:$B,Token!$A:$A,$D877),)</f>
        <v/>
      </c>
    </row>
    <row r="878">
      <c r="A878" s="35" t="str">
        <f>IF(AND($L878*1&gt;=$G$3,$L878*1&lt;=$G$4,$I878*$J878&gt;0,CONCATENATE($H878:$L878)&lt;&gt;CONCATENATE($H879:$L879),$I878/POW(10,$J878)*MAXIFS(Token!$B:$B,Token!$A:$A,$K878)&gt;0.01),$L878/86400+DATE(1970,1,1)+IF($L878*1&gt;=$G$5,$G$6,0),)</f>
        <v/>
      </c>
      <c r="B878" s="22" t="str">
        <f t="shared" si="1"/>
        <v/>
      </c>
      <c r="C878" s="14" t="str">
        <f>IF($A878&lt;&gt;"",MINIFS(Merchant!$A:$A,Merchant!$B:$B,$G$2),)</f>
        <v/>
      </c>
      <c r="D878" s="14" t="str">
        <f t="shared" si="2"/>
        <v/>
      </c>
      <c r="E878" s="14" t="str">
        <f t="shared" si="3"/>
        <v/>
      </c>
      <c r="F878" s="6" t="str">
        <f>IF($A878&lt;&gt;"",MAXIFS(Token!$B:$B,Token!$A:$A,$D878),)</f>
        <v/>
      </c>
    </row>
    <row r="879">
      <c r="A879" s="35" t="str">
        <f>IF(AND($L879*1&gt;=$G$3,$L879*1&lt;=$G$4,$I879*$J879&gt;0,CONCATENATE($H879:$L879)&lt;&gt;CONCATENATE($H880:$L880),$I879/POW(10,$J879)*MAXIFS(Token!$B:$B,Token!$A:$A,$K879)&gt;0.01),$L879/86400+DATE(1970,1,1)+IF($L879*1&gt;=$G$5,$G$6,0),)</f>
        <v/>
      </c>
      <c r="B879" s="22" t="str">
        <f t="shared" si="1"/>
        <v/>
      </c>
      <c r="C879" s="14" t="str">
        <f>IF($A879&lt;&gt;"",MINIFS(Merchant!$A:$A,Merchant!$B:$B,$G$2),)</f>
        <v/>
      </c>
      <c r="D879" s="14" t="str">
        <f t="shared" si="2"/>
        <v/>
      </c>
      <c r="E879" s="14" t="str">
        <f t="shared" si="3"/>
        <v/>
      </c>
      <c r="F879" s="6" t="str">
        <f>IF($A879&lt;&gt;"",MAXIFS(Token!$B:$B,Token!$A:$A,$D879),)</f>
        <v/>
      </c>
    </row>
    <row r="880">
      <c r="A880" s="35" t="str">
        <f>IF(AND($L880*1&gt;=$G$3,$L880*1&lt;=$G$4,$I880*$J880&gt;0,CONCATENATE($H880:$L880)&lt;&gt;CONCATENATE($H881:$L881),$I880/POW(10,$J880)*MAXIFS(Token!$B:$B,Token!$A:$A,$K880)&gt;0.01),$L880/86400+DATE(1970,1,1)+IF($L880*1&gt;=$G$5,$G$6,0),)</f>
        <v/>
      </c>
      <c r="B880" s="22" t="str">
        <f t="shared" si="1"/>
        <v/>
      </c>
      <c r="C880" s="14" t="str">
        <f>IF($A880&lt;&gt;"",MINIFS(Merchant!$A:$A,Merchant!$B:$B,$G$2),)</f>
        <v/>
      </c>
      <c r="D880" s="14" t="str">
        <f t="shared" si="2"/>
        <v/>
      </c>
      <c r="E880" s="14" t="str">
        <f t="shared" si="3"/>
        <v/>
      </c>
      <c r="F880" s="6" t="str">
        <f>IF($A880&lt;&gt;"",MAXIFS(Token!$B:$B,Token!$A:$A,$D880),)</f>
        <v/>
      </c>
    </row>
    <row r="881">
      <c r="A881" s="35" t="str">
        <f>IF(AND($L881*1&gt;=$G$3,$L881*1&lt;=$G$4,$I881*$J881&gt;0,CONCATENATE($H881:$L881)&lt;&gt;CONCATENATE($H882:$L882),$I881/POW(10,$J881)*MAXIFS(Token!$B:$B,Token!$A:$A,$K881)&gt;0.01),$L881/86400+DATE(1970,1,1)+IF($L881*1&gt;=$G$5,$G$6,0),)</f>
        <v/>
      </c>
      <c r="B881" s="22" t="str">
        <f t="shared" si="1"/>
        <v/>
      </c>
      <c r="C881" s="14" t="str">
        <f>IF($A881&lt;&gt;"",MINIFS(Merchant!$A:$A,Merchant!$B:$B,$G$2),)</f>
        <v/>
      </c>
      <c r="D881" s="14" t="str">
        <f t="shared" si="2"/>
        <v/>
      </c>
      <c r="E881" s="14" t="str">
        <f t="shared" si="3"/>
        <v/>
      </c>
      <c r="F881" s="6" t="str">
        <f>IF($A881&lt;&gt;"",MAXIFS(Token!$B:$B,Token!$A:$A,$D881),)</f>
        <v/>
      </c>
    </row>
    <row r="882">
      <c r="A882" s="35" t="str">
        <f>IF(AND($L882*1&gt;=$G$3,$L882*1&lt;=$G$4,$I882*$J882&gt;0,CONCATENATE($H882:$L882)&lt;&gt;CONCATENATE($H883:$L883),$I882/POW(10,$J882)*MAXIFS(Token!$B:$B,Token!$A:$A,$K882)&gt;0.01),$L882/86400+DATE(1970,1,1)+IF($L882*1&gt;=$G$5,$G$6,0),)</f>
        <v/>
      </c>
      <c r="B882" s="22" t="str">
        <f t="shared" si="1"/>
        <v/>
      </c>
      <c r="C882" s="14" t="str">
        <f>IF($A882&lt;&gt;"",MINIFS(Merchant!$A:$A,Merchant!$B:$B,$G$2),)</f>
        <v/>
      </c>
      <c r="D882" s="14" t="str">
        <f t="shared" si="2"/>
        <v/>
      </c>
      <c r="E882" s="14" t="str">
        <f t="shared" si="3"/>
        <v/>
      </c>
      <c r="F882" s="6" t="str">
        <f>IF($A882&lt;&gt;"",MAXIFS(Token!$B:$B,Token!$A:$A,$D882),)</f>
        <v/>
      </c>
    </row>
    <row r="883">
      <c r="A883" s="35" t="str">
        <f>IF(AND($L883*1&gt;=$G$3,$L883*1&lt;=$G$4,$I883*$J883&gt;0,CONCATENATE($H883:$L883)&lt;&gt;CONCATENATE($H884:$L884),$I883/POW(10,$J883)*MAXIFS(Token!$B:$B,Token!$A:$A,$K883)&gt;0.01),$L883/86400+DATE(1970,1,1)+IF($L883*1&gt;=$G$5,$G$6,0),)</f>
        <v/>
      </c>
      <c r="B883" s="22" t="str">
        <f t="shared" si="1"/>
        <v/>
      </c>
      <c r="C883" s="14" t="str">
        <f>IF($A883&lt;&gt;"",MINIFS(Merchant!$A:$A,Merchant!$B:$B,$G$2),)</f>
        <v/>
      </c>
      <c r="D883" s="14" t="str">
        <f t="shared" si="2"/>
        <v/>
      </c>
      <c r="E883" s="14" t="str">
        <f t="shared" si="3"/>
        <v/>
      </c>
      <c r="F883" s="6" t="str">
        <f>IF($A883&lt;&gt;"",MAXIFS(Token!$B:$B,Token!$A:$A,$D883),)</f>
        <v/>
      </c>
    </row>
    <row r="884">
      <c r="A884" s="35" t="str">
        <f>IF(AND($L884*1&gt;=$G$3,$L884*1&lt;=$G$4,$I884*$J884&gt;0,CONCATENATE($H884:$L884)&lt;&gt;CONCATENATE($H885:$L885),$I884/POW(10,$J884)*MAXIFS(Token!$B:$B,Token!$A:$A,$K884)&gt;0.01),$L884/86400+DATE(1970,1,1)+IF($L884*1&gt;=$G$5,$G$6,0),)</f>
        <v/>
      </c>
      <c r="B884" s="22" t="str">
        <f t="shared" si="1"/>
        <v/>
      </c>
      <c r="C884" s="14" t="str">
        <f>IF($A884&lt;&gt;"",MINIFS(Merchant!$A:$A,Merchant!$B:$B,$G$2),)</f>
        <v/>
      </c>
      <c r="D884" s="14" t="str">
        <f t="shared" si="2"/>
        <v/>
      </c>
      <c r="E884" s="14" t="str">
        <f t="shared" si="3"/>
        <v/>
      </c>
      <c r="F884" s="6" t="str">
        <f>IF($A884&lt;&gt;"",MAXIFS(Token!$B:$B,Token!$A:$A,$D884),)</f>
        <v/>
      </c>
    </row>
    <row r="885">
      <c r="A885" s="35" t="str">
        <f>IF(AND($L885*1&gt;=$G$3,$L885*1&lt;=$G$4,$I885*$J885&gt;0,CONCATENATE($H885:$L885)&lt;&gt;CONCATENATE($H886:$L886),$I885/POW(10,$J885)*MAXIFS(Token!$B:$B,Token!$A:$A,$K885)&gt;0.01),$L885/86400+DATE(1970,1,1)+IF($L885*1&gt;=$G$5,$G$6,0),)</f>
        <v/>
      </c>
      <c r="B885" s="22" t="str">
        <f t="shared" si="1"/>
        <v/>
      </c>
      <c r="C885" s="14" t="str">
        <f>IF($A885&lt;&gt;"",MINIFS(Merchant!$A:$A,Merchant!$B:$B,$G$2),)</f>
        <v/>
      </c>
      <c r="D885" s="14" t="str">
        <f t="shared" si="2"/>
        <v/>
      </c>
      <c r="E885" s="14" t="str">
        <f t="shared" si="3"/>
        <v/>
      </c>
      <c r="F885" s="6" t="str">
        <f>IF($A885&lt;&gt;"",MAXIFS(Token!$B:$B,Token!$A:$A,$D885),)</f>
        <v/>
      </c>
    </row>
    <row r="886">
      <c r="A886" s="35" t="str">
        <f>IF(AND($L886*1&gt;=$G$3,$L886*1&lt;=$G$4,$I886*$J886&gt;0,CONCATENATE($H886:$L886)&lt;&gt;CONCATENATE($H887:$L887),$I886/POW(10,$J886)*MAXIFS(Token!$B:$B,Token!$A:$A,$K886)&gt;0.01),$L886/86400+DATE(1970,1,1)+IF($L886*1&gt;=$G$5,$G$6,0),)</f>
        <v/>
      </c>
      <c r="B886" s="22" t="str">
        <f t="shared" si="1"/>
        <v/>
      </c>
      <c r="C886" s="14" t="str">
        <f>IF($A886&lt;&gt;"",MINIFS(Merchant!$A:$A,Merchant!$B:$B,$G$2),)</f>
        <v/>
      </c>
      <c r="D886" s="14" t="str">
        <f t="shared" si="2"/>
        <v/>
      </c>
      <c r="E886" s="14" t="str">
        <f t="shared" si="3"/>
        <v/>
      </c>
      <c r="F886" s="6" t="str">
        <f>IF($A886&lt;&gt;"",MAXIFS(Token!$B:$B,Token!$A:$A,$D886),)</f>
        <v/>
      </c>
    </row>
    <row r="887">
      <c r="A887" s="35" t="str">
        <f>IF(AND($L887*1&gt;=$G$3,$L887*1&lt;=$G$4,$I887*$J887&gt;0,CONCATENATE($H887:$L887)&lt;&gt;CONCATENATE($H888:$L888),$I887/POW(10,$J887)*MAXIFS(Token!$B:$B,Token!$A:$A,$K887)&gt;0.01),$L887/86400+DATE(1970,1,1)+IF($L887*1&gt;=$G$5,$G$6,0),)</f>
        <v/>
      </c>
      <c r="B887" s="22" t="str">
        <f t="shared" si="1"/>
        <v/>
      </c>
      <c r="C887" s="14" t="str">
        <f>IF($A887&lt;&gt;"",MINIFS(Merchant!$A:$A,Merchant!$B:$B,$G$2),)</f>
        <v/>
      </c>
      <c r="D887" s="14" t="str">
        <f t="shared" si="2"/>
        <v/>
      </c>
      <c r="E887" s="14" t="str">
        <f t="shared" si="3"/>
        <v/>
      </c>
      <c r="F887" s="6" t="str">
        <f>IF($A887&lt;&gt;"",MAXIFS(Token!$B:$B,Token!$A:$A,$D887),)</f>
        <v/>
      </c>
    </row>
    <row r="888">
      <c r="A888" s="35" t="str">
        <f>IF(AND($L888*1&gt;=$G$3,$L888*1&lt;=$G$4,$I888*$J888&gt;0,CONCATENATE($H888:$L888)&lt;&gt;CONCATENATE($H889:$L889),$I888/POW(10,$J888)*MAXIFS(Token!$B:$B,Token!$A:$A,$K888)&gt;0.01),$L888/86400+DATE(1970,1,1)+IF($L888*1&gt;=$G$5,$G$6,0),)</f>
        <v/>
      </c>
      <c r="B888" s="22" t="str">
        <f t="shared" si="1"/>
        <v/>
      </c>
      <c r="C888" s="14" t="str">
        <f>IF($A888&lt;&gt;"",MINIFS(Merchant!$A:$A,Merchant!$B:$B,$G$2),)</f>
        <v/>
      </c>
      <c r="D888" s="14" t="str">
        <f t="shared" si="2"/>
        <v/>
      </c>
      <c r="E888" s="14" t="str">
        <f t="shared" si="3"/>
        <v/>
      </c>
      <c r="F888" s="6" t="str">
        <f>IF($A888&lt;&gt;"",MAXIFS(Token!$B:$B,Token!$A:$A,$D888),)</f>
        <v/>
      </c>
    </row>
    <row r="889">
      <c r="A889" s="35" t="str">
        <f>IF(AND($L889*1&gt;=$G$3,$L889*1&lt;=$G$4,$I889*$J889&gt;0,CONCATENATE($H889:$L889)&lt;&gt;CONCATENATE($H890:$L890),$I889/POW(10,$J889)*MAXIFS(Token!$B:$B,Token!$A:$A,$K889)&gt;0.01),$L889/86400+DATE(1970,1,1)+IF($L889*1&gt;=$G$5,$G$6,0),)</f>
        <v/>
      </c>
      <c r="B889" s="22" t="str">
        <f t="shared" si="1"/>
        <v/>
      </c>
      <c r="C889" s="14" t="str">
        <f>IF($A889&lt;&gt;"",MINIFS(Merchant!$A:$A,Merchant!$B:$B,$G$2),)</f>
        <v/>
      </c>
      <c r="D889" s="14" t="str">
        <f t="shared" si="2"/>
        <v/>
      </c>
      <c r="E889" s="14" t="str">
        <f t="shared" si="3"/>
        <v/>
      </c>
      <c r="F889" s="6" t="str">
        <f>IF($A889&lt;&gt;"",MAXIFS(Token!$B:$B,Token!$A:$A,$D889),)</f>
        <v/>
      </c>
    </row>
    <row r="890">
      <c r="A890" s="35" t="str">
        <f>IF(AND($L890*1&gt;=$G$3,$L890*1&lt;=$G$4,$I890*$J890&gt;0,CONCATENATE($H890:$L890)&lt;&gt;CONCATENATE($H891:$L891),$I890/POW(10,$J890)*MAXIFS(Token!$B:$B,Token!$A:$A,$K890)&gt;0.01),$L890/86400+DATE(1970,1,1)+IF($L890*1&gt;=$G$5,$G$6,0),)</f>
        <v/>
      </c>
      <c r="B890" s="22" t="str">
        <f t="shared" si="1"/>
        <v/>
      </c>
      <c r="C890" s="14" t="str">
        <f>IF($A890&lt;&gt;"",MINIFS(Merchant!$A:$A,Merchant!$B:$B,$G$2),)</f>
        <v/>
      </c>
      <c r="D890" s="14" t="str">
        <f t="shared" si="2"/>
        <v/>
      </c>
      <c r="E890" s="14" t="str">
        <f t="shared" si="3"/>
        <v/>
      </c>
      <c r="F890" s="6" t="str">
        <f>IF($A890&lt;&gt;"",MAXIFS(Token!$B:$B,Token!$A:$A,$D890),)</f>
        <v/>
      </c>
    </row>
    <row r="891">
      <c r="A891" s="35" t="str">
        <f>IF(AND($L891*1&gt;=$G$3,$L891*1&lt;=$G$4,$I891*$J891&gt;0,CONCATENATE($H891:$L891)&lt;&gt;CONCATENATE($H892:$L892),$I891/POW(10,$J891)*MAXIFS(Token!$B:$B,Token!$A:$A,$K891)&gt;0.01),$L891/86400+DATE(1970,1,1)+IF($L891*1&gt;=$G$5,$G$6,0),)</f>
        <v/>
      </c>
      <c r="B891" s="22" t="str">
        <f t="shared" si="1"/>
        <v/>
      </c>
      <c r="C891" s="14" t="str">
        <f>IF($A891&lt;&gt;"",MINIFS(Merchant!$A:$A,Merchant!$B:$B,$G$2),)</f>
        <v/>
      </c>
      <c r="D891" s="14" t="str">
        <f t="shared" si="2"/>
        <v/>
      </c>
      <c r="E891" s="14" t="str">
        <f t="shared" si="3"/>
        <v/>
      </c>
      <c r="F891" s="6" t="str">
        <f>IF($A891&lt;&gt;"",MAXIFS(Token!$B:$B,Token!$A:$A,$D891),)</f>
        <v/>
      </c>
    </row>
    <row r="892">
      <c r="A892" s="35" t="str">
        <f>IF(AND($L892*1&gt;=$G$3,$L892*1&lt;=$G$4,$I892*$J892&gt;0,CONCATENATE($H892:$L892)&lt;&gt;CONCATENATE($H893:$L893),$I892/POW(10,$J892)*MAXIFS(Token!$B:$B,Token!$A:$A,$K892)&gt;0.01),$L892/86400+DATE(1970,1,1)+IF($L892*1&gt;=$G$5,$G$6,0),)</f>
        <v/>
      </c>
      <c r="B892" s="22" t="str">
        <f t="shared" si="1"/>
        <v/>
      </c>
      <c r="C892" s="14" t="str">
        <f>IF($A892&lt;&gt;"",MINIFS(Merchant!$A:$A,Merchant!$B:$B,$G$2),)</f>
        <v/>
      </c>
      <c r="D892" s="14" t="str">
        <f t="shared" si="2"/>
        <v/>
      </c>
      <c r="E892" s="14" t="str">
        <f t="shared" si="3"/>
        <v/>
      </c>
      <c r="F892" s="6" t="str">
        <f>IF($A892&lt;&gt;"",MAXIFS(Token!$B:$B,Token!$A:$A,$D892),)</f>
        <v/>
      </c>
    </row>
    <row r="893">
      <c r="A893" s="35" t="str">
        <f>IF(AND($L893*1&gt;=$G$3,$L893*1&lt;=$G$4,$I893*$J893&gt;0,CONCATENATE($H893:$L893)&lt;&gt;CONCATENATE($H894:$L894),$I893/POW(10,$J893)*MAXIFS(Token!$B:$B,Token!$A:$A,$K893)&gt;0.01),$L893/86400+DATE(1970,1,1)+IF($L893*1&gt;=$G$5,$G$6,0),)</f>
        <v/>
      </c>
      <c r="B893" s="22" t="str">
        <f t="shared" si="1"/>
        <v/>
      </c>
      <c r="C893" s="14" t="str">
        <f>IF($A893&lt;&gt;"",MINIFS(Merchant!$A:$A,Merchant!$B:$B,$G$2),)</f>
        <v/>
      </c>
      <c r="D893" s="14" t="str">
        <f t="shared" si="2"/>
        <v/>
      </c>
      <c r="E893" s="14" t="str">
        <f t="shared" si="3"/>
        <v/>
      </c>
      <c r="F893" s="6" t="str">
        <f>IF($A893&lt;&gt;"",MAXIFS(Token!$B:$B,Token!$A:$A,$D893),)</f>
        <v/>
      </c>
    </row>
    <row r="894">
      <c r="A894" s="35" t="str">
        <f>IF(AND($L894*1&gt;=$G$3,$L894*1&lt;=$G$4,$I894*$J894&gt;0,CONCATENATE($H894:$L894)&lt;&gt;CONCATENATE($H895:$L895),$I894/POW(10,$J894)*MAXIFS(Token!$B:$B,Token!$A:$A,$K894)&gt;0.01),$L894/86400+DATE(1970,1,1)+IF($L894*1&gt;=$G$5,$G$6,0),)</f>
        <v/>
      </c>
      <c r="B894" s="22" t="str">
        <f t="shared" si="1"/>
        <v/>
      </c>
      <c r="C894" s="14" t="str">
        <f>IF($A894&lt;&gt;"",MINIFS(Merchant!$A:$A,Merchant!$B:$B,$G$2),)</f>
        <v/>
      </c>
      <c r="D894" s="14" t="str">
        <f t="shared" si="2"/>
        <v/>
      </c>
      <c r="E894" s="14" t="str">
        <f t="shared" si="3"/>
        <v/>
      </c>
      <c r="F894" s="6" t="str">
        <f>IF($A894&lt;&gt;"",MAXIFS(Token!$B:$B,Token!$A:$A,$D894),)</f>
        <v/>
      </c>
    </row>
    <row r="895">
      <c r="A895" s="35" t="str">
        <f>IF(AND($L895*1&gt;=$G$3,$L895*1&lt;=$G$4,$I895*$J895&gt;0,CONCATENATE($H895:$L895)&lt;&gt;CONCATENATE($H896:$L896),$I895/POW(10,$J895)*MAXIFS(Token!$B:$B,Token!$A:$A,$K895)&gt;0.01),$L895/86400+DATE(1970,1,1)+IF($L895*1&gt;=$G$5,$G$6,0),)</f>
        <v/>
      </c>
      <c r="B895" s="22" t="str">
        <f t="shared" si="1"/>
        <v/>
      </c>
      <c r="C895" s="14" t="str">
        <f>IF($A895&lt;&gt;"",MINIFS(Merchant!$A:$A,Merchant!$B:$B,$G$2),)</f>
        <v/>
      </c>
      <c r="D895" s="14" t="str">
        <f t="shared" si="2"/>
        <v/>
      </c>
      <c r="E895" s="14" t="str">
        <f t="shared" si="3"/>
        <v/>
      </c>
      <c r="F895" s="6" t="str">
        <f>IF($A895&lt;&gt;"",MAXIFS(Token!$B:$B,Token!$A:$A,$D895),)</f>
        <v/>
      </c>
    </row>
    <row r="896">
      <c r="A896" s="35" t="str">
        <f>IF(AND($L896*1&gt;=$G$3,$L896*1&lt;=$G$4,$I896*$J896&gt;0,CONCATENATE($H896:$L896)&lt;&gt;CONCATENATE($H897:$L897),$I896/POW(10,$J896)*MAXIFS(Token!$B:$B,Token!$A:$A,$K896)&gt;0.01),$L896/86400+DATE(1970,1,1)+IF($L896*1&gt;=$G$5,$G$6,0),)</f>
        <v/>
      </c>
      <c r="B896" s="22" t="str">
        <f t="shared" si="1"/>
        <v/>
      </c>
      <c r="C896" s="14" t="str">
        <f>IF($A896&lt;&gt;"",MINIFS(Merchant!$A:$A,Merchant!$B:$B,$G$2),)</f>
        <v/>
      </c>
      <c r="D896" s="14" t="str">
        <f t="shared" si="2"/>
        <v/>
      </c>
      <c r="E896" s="14" t="str">
        <f t="shared" si="3"/>
        <v/>
      </c>
      <c r="F896" s="6" t="str">
        <f>IF($A896&lt;&gt;"",MAXIFS(Token!$B:$B,Token!$A:$A,$D896),)</f>
        <v/>
      </c>
    </row>
    <row r="897">
      <c r="A897" s="35" t="str">
        <f>IF(AND($L897*1&gt;=$G$3,$L897*1&lt;=$G$4,$I897*$J897&gt;0,CONCATENATE($H897:$L897)&lt;&gt;CONCATENATE($H898:$L898),$I897/POW(10,$J897)*MAXIFS(Token!$B:$B,Token!$A:$A,$K897)&gt;0.01),$L897/86400+DATE(1970,1,1)+IF($L897*1&gt;=$G$5,$G$6,0),)</f>
        <v/>
      </c>
      <c r="B897" s="22" t="str">
        <f t="shared" si="1"/>
        <v/>
      </c>
      <c r="C897" s="14" t="str">
        <f>IF($A897&lt;&gt;"",MINIFS(Merchant!$A:$A,Merchant!$B:$B,$G$2),)</f>
        <v/>
      </c>
      <c r="D897" s="14" t="str">
        <f t="shared" si="2"/>
        <v/>
      </c>
      <c r="E897" s="14" t="str">
        <f t="shared" si="3"/>
        <v/>
      </c>
      <c r="F897" s="6" t="str">
        <f>IF($A897&lt;&gt;"",MAXIFS(Token!$B:$B,Token!$A:$A,$D897),)</f>
        <v/>
      </c>
    </row>
    <row r="898">
      <c r="A898" s="35" t="str">
        <f>IF(AND($L898*1&gt;=$G$3,$L898*1&lt;=$G$4,$I898*$J898&gt;0,CONCATENATE($H898:$L898)&lt;&gt;CONCATENATE($H899:$L899),$I898/POW(10,$J898)*MAXIFS(Token!$B:$B,Token!$A:$A,$K898)&gt;0.01),$L898/86400+DATE(1970,1,1)+IF($L898*1&gt;=$G$5,$G$6,0),)</f>
        <v/>
      </c>
      <c r="B898" s="22" t="str">
        <f t="shared" si="1"/>
        <v/>
      </c>
      <c r="C898" s="14" t="str">
        <f>IF($A898&lt;&gt;"",MINIFS(Merchant!$A:$A,Merchant!$B:$B,$G$2),)</f>
        <v/>
      </c>
      <c r="D898" s="14" t="str">
        <f t="shared" si="2"/>
        <v/>
      </c>
      <c r="E898" s="14" t="str">
        <f t="shared" si="3"/>
        <v/>
      </c>
      <c r="F898" s="6" t="str">
        <f>IF($A898&lt;&gt;"",MAXIFS(Token!$B:$B,Token!$A:$A,$D898),)</f>
        <v/>
      </c>
    </row>
    <row r="899">
      <c r="A899" s="35" t="str">
        <f>IF(AND($L899*1&gt;=$G$3,$L899*1&lt;=$G$4,$I899*$J899&gt;0,CONCATENATE($H899:$L899)&lt;&gt;CONCATENATE($H900:$L900),$I899/POW(10,$J899)*MAXIFS(Token!$B:$B,Token!$A:$A,$K899)&gt;0.01),$L899/86400+DATE(1970,1,1)+IF($L899*1&gt;=$G$5,$G$6,0),)</f>
        <v/>
      </c>
      <c r="B899" s="22" t="str">
        <f t="shared" si="1"/>
        <v/>
      </c>
      <c r="C899" s="14" t="str">
        <f>IF($A899&lt;&gt;"",MINIFS(Merchant!$A:$A,Merchant!$B:$B,$G$2),)</f>
        <v/>
      </c>
      <c r="D899" s="14" t="str">
        <f t="shared" si="2"/>
        <v/>
      </c>
      <c r="E899" s="14" t="str">
        <f t="shared" si="3"/>
        <v/>
      </c>
      <c r="F899" s="6" t="str">
        <f>IF($A899&lt;&gt;"",MAXIFS(Token!$B:$B,Token!$A:$A,$D899),)</f>
        <v/>
      </c>
    </row>
    <row r="900">
      <c r="A900" s="35" t="str">
        <f>IF(AND($L900*1&gt;=$G$3,$L900*1&lt;=$G$4,$I900*$J900&gt;0,CONCATENATE($H900:$L900)&lt;&gt;CONCATENATE($H901:$L901),$I900/POW(10,$J900)*MAXIFS(Token!$B:$B,Token!$A:$A,$K900)&gt;0.01),$L900/86400+DATE(1970,1,1)+IF($L900*1&gt;=$G$5,$G$6,0),)</f>
        <v/>
      </c>
      <c r="B900" s="22" t="str">
        <f t="shared" si="1"/>
        <v/>
      </c>
      <c r="C900" s="14" t="str">
        <f>IF($A900&lt;&gt;"",MINIFS(Merchant!$A:$A,Merchant!$B:$B,$G$2),)</f>
        <v/>
      </c>
      <c r="D900" s="14" t="str">
        <f t="shared" si="2"/>
        <v/>
      </c>
      <c r="E900" s="14" t="str">
        <f t="shared" si="3"/>
        <v/>
      </c>
      <c r="F900" s="6" t="str">
        <f>IF($A900&lt;&gt;"",MAXIFS(Token!$B:$B,Token!$A:$A,$D900),)</f>
        <v/>
      </c>
    </row>
    <row r="901">
      <c r="A901" s="35" t="str">
        <f>IF(AND($L901*1&gt;=$G$3,$L901*1&lt;=$G$4,$I901*$J901&gt;0,CONCATENATE($H901:$L901)&lt;&gt;CONCATENATE($H902:$L902),$I901/POW(10,$J901)*MAXIFS(Token!$B:$B,Token!$A:$A,$K901)&gt;0.01),$L901/86400+DATE(1970,1,1)+IF($L901*1&gt;=$G$5,$G$6,0),)</f>
        <v/>
      </c>
      <c r="B901" s="22" t="str">
        <f t="shared" si="1"/>
        <v/>
      </c>
      <c r="C901" s="14" t="str">
        <f>IF($A901&lt;&gt;"",MINIFS(Merchant!$A:$A,Merchant!$B:$B,$G$2),)</f>
        <v/>
      </c>
      <c r="D901" s="14" t="str">
        <f t="shared" si="2"/>
        <v/>
      </c>
      <c r="E901" s="14" t="str">
        <f t="shared" si="3"/>
        <v/>
      </c>
      <c r="F901" s="6" t="str">
        <f>IF($A901&lt;&gt;"",MAXIFS(Token!$B:$B,Token!$A:$A,$D901),)</f>
        <v/>
      </c>
    </row>
    <row r="902">
      <c r="A902" s="35" t="str">
        <f>IF(AND($L902*1&gt;=$G$3,$L902*1&lt;=$G$4,$I902*$J902&gt;0,CONCATENATE($H902:$L902)&lt;&gt;CONCATENATE($H903:$L903),$I902/POW(10,$J902)*MAXIFS(Token!$B:$B,Token!$A:$A,$K902)&gt;0.01),$L902/86400+DATE(1970,1,1)+IF($L902*1&gt;=$G$5,$G$6,0),)</f>
        <v/>
      </c>
      <c r="B902" s="22" t="str">
        <f t="shared" si="1"/>
        <v/>
      </c>
      <c r="C902" s="14" t="str">
        <f>IF($A902&lt;&gt;"",MINIFS(Merchant!$A:$A,Merchant!$B:$B,$G$2),)</f>
        <v/>
      </c>
      <c r="D902" s="14" t="str">
        <f t="shared" si="2"/>
        <v/>
      </c>
      <c r="E902" s="14" t="str">
        <f t="shared" si="3"/>
        <v/>
      </c>
      <c r="F902" s="6" t="str">
        <f>IF($A902&lt;&gt;"",MAXIFS(Token!$B:$B,Token!$A:$A,$D902),)</f>
        <v/>
      </c>
    </row>
    <row r="903">
      <c r="A903" s="35" t="str">
        <f>IF(AND($L903*1&gt;=$G$3,$L903*1&lt;=$G$4,$I903*$J903&gt;0,CONCATENATE($H903:$L903)&lt;&gt;CONCATENATE($H904:$L904),$I903/POW(10,$J903)*MAXIFS(Token!$B:$B,Token!$A:$A,$K903)&gt;0.01),$L903/86400+DATE(1970,1,1)+IF($L903*1&gt;=$G$5,$G$6,0),)</f>
        <v/>
      </c>
      <c r="B903" s="22" t="str">
        <f t="shared" si="1"/>
        <v/>
      </c>
      <c r="C903" s="14" t="str">
        <f>IF($A903&lt;&gt;"",MINIFS(Merchant!$A:$A,Merchant!$B:$B,$G$2),)</f>
        <v/>
      </c>
      <c r="D903" s="14" t="str">
        <f t="shared" si="2"/>
        <v/>
      </c>
      <c r="E903" s="14" t="str">
        <f t="shared" si="3"/>
        <v/>
      </c>
      <c r="F903" s="6" t="str">
        <f>IF($A903&lt;&gt;"",MAXIFS(Token!$B:$B,Token!$A:$A,$D903),)</f>
        <v/>
      </c>
    </row>
    <row r="904">
      <c r="A904" s="35" t="str">
        <f>IF(AND($L904*1&gt;=$G$3,$L904*1&lt;=$G$4,$I904*$J904&gt;0,CONCATENATE($H904:$L904)&lt;&gt;CONCATENATE($H905:$L905),$I904/POW(10,$J904)*MAXIFS(Token!$B:$B,Token!$A:$A,$K904)&gt;0.01),$L904/86400+DATE(1970,1,1)+IF($L904*1&gt;=$G$5,$G$6,0),)</f>
        <v/>
      </c>
      <c r="B904" s="22" t="str">
        <f t="shared" si="1"/>
        <v/>
      </c>
      <c r="C904" s="14" t="str">
        <f>IF($A904&lt;&gt;"",MINIFS(Merchant!$A:$A,Merchant!$B:$B,$G$2),)</f>
        <v/>
      </c>
      <c r="D904" s="14" t="str">
        <f t="shared" si="2"/>
        <v/>
      </c>
      <c r="E904" s="14" t="str">
        <f t="shared" si="3"/>
        <v/>
      </c>
      <c r="F904" s="6" t="str">
        <f>IF($A904&lt;&gt;"",MAXIFS(Token!$B:$B,Token!$A:$A,$D904),)</f>
        <v/>
      </c>
    </row>
    <row r="905">
      <c r="A905" s="35" t="str">
        <f>IF(AND($L905*1&gt;=$G$3,$L905*1&lt;=$G$4,$I905*$J905&gt;0,CONCATENATE($H905:$L905)&lt;&gt;CONCATENATE($H906:$L906),$I905/POW(10,$J905)*MAXIFS(Token!$B:$B,Token!$A:$A,$K905)&gt;0.01),$L905/86400+DATE(1970,1,1)+IF($L905*1&gt;=$G$5,$G$6,0),)</f>
        <v/>
      </c>
      <c r="B905" s="22" t="str">
        <f t="shared" si="1"/>
        <v/>
      </c>
      <c r="C905" s="14" t="str">
        <f>IF($A905&lt;&gt;"",MINIFS(Merchant!$A:$A,Merchant!$B:$B,$G$2),)</f>
        <v/>
      </c>
      <c r="D905" s="14" t="str">
        <f t="shared" si="2"/>
        <v/>
      </c>
      <c r="E905" s="14" t="str">
        <f t="shared" si="3"/>
        <v/>
      </c>
      <c r="F905" s="6" t="str">
        <f>IF($A905&lt;&gt;"",MAXIFS(Token!$B:$B,Token!$A:$A,$D905),)</f>
        <v/>
      </c>
    </row>
    <row r="906">
      <c r="A906" s="35" t="str">
        <f>IF(AND($L906*1&gt;=$G$3,$L906*1&lt;=$G$4,$I906*$J906&gt;0,CONCATENATE($H906:$L906)&lt;&gt;CONCATENATE($H907:$L907),$I906/POW(10,$J906)*MAXIFS(Token!$B:$B,Token!$A:$A,$K906)&gt;0.01),$L906/86400+DATE(1970,1,1)+IF($L906*1&gt;=$G$5,$G$6,0),)</f>
        <v/>
      </c>
      <c r="B906" s="22" t="str">
        <f t="shared" si="1"/>
        <v/>
      </c>
      <c r="C906" s="14" t="str">
        <f>IF($A906&lt;&gt;"",MINIFS(Merchant!$A:$A,Merchant!$B:$B,$G$2),)</f>
        <v/>
      </c>
      <c r="D906" s="14" t="str">
        <f t="shared" si="2"/>
        <v/>
      </c>
      <c r="E906" s="14" t="str">
        <f t="shared" si="3"/>
        <v/>
      </c>
      <c r="F906" s="6" t="str">
        <f>IF($A906&lt;&gt;"",MAXIFS(Token!$B:$B,Token!$A:$A,$D906),)</f>
        <v/>
      </c>
    </row>
    <row r="907">
      <c r="A907" s="35" t="str">
        <f>IF(AND($L907*1&gt;=$G$3,$L907*1&lt;=$G$4,$I907*$J907&gt;0,CONCATENATE($H907:$L907)&lt;&gt;CONCATENATE($H908:$L908),$I907/POW(10,$J907)*MAXIFS(Token!$B:$B,Token!$A:$A,$K907)&gt;0.01),$L907/86400+DATE(1970,1,1)+IF($L907*1&gt;=$G$5,$G$6,0),)</f>
        <v/>
      </c>
      <c r="B907" s="22" t="str">
        <f t="shared" si="1"/>
        <v/>
      </c>
      <c r="C907" s="14" t="str">
        <f>IF($A907&lt;&gt;"",MINIFS(Merchant!$A:$A,Merchant!$B:$B,$G$2),)</f>
        <v/>
      </c>
      <c r="D907" s="14" t="str">
        <f t="shared" si="2"/>
        <v/>
      </c>
      <c r="E907" s="14" t="str">
        <f t="shared" si="3"/>
        <v/>
      </c>
      <c r="F907" s="6" t="str">
        <f>IF($A907&lt;&gt;"",MAXIFS(Token!$B:$B,Token!$A:$A,$D907),)</f>
        <v/>
      </c>
    </row>
    <row r="908">
      <c r="A908" s="35" t="str">
        <f>IF(AND($L908*1&gt;=$G$3,$L908*1&lt;=$G$4,$I908*$J908&gt;0,CONCATENATE($H908:$L908)&lt;&gt;CONCATENATE($H909:$L909),$I908/POW(10,$J908)*MAXIFS(Token!$B:$B,Token!$A:$A,$K908)&gt;0.01),$L908/86400+DATE(1970,1,1)+IF($L908*1&gt;=$G$5,$G$6,0),)</f>
        <v/>
      </c>
      <c r="B908" s="22" t="str">
        <f t="shared" si="1"/>
        <v/>
      </c>
      <c r="C908" s="14" t="str">
        <f>IF($A908&lt;&gt;"",MINIFS(Merchant!$A:$A,Merchant!$B:$B,$G$2),)</f>
        <v/>
      </c>
      <c r="D908" s="14" t="str">
        <f t="shared" si="2"/>
        <v/>
      </c>
      <c r="E908" s="14" t="str">
        <f t="shared" si="3"/>
        <v/>
      </c>
      <c r="F908" s="6" t="str">
        <f>IF($A908&lt;&gt;"",MAXIFS(Token!$B:$B,Token!$A:$A,$D908),)</f>
        <v/>
      </c>
    </row>
    <row r="909">
      <c r="A909" s="35" t="str">
        <f>IF(AND($L909*1&gt;=$G$3,$L909*1&lt;=$G$4,$I909*$J909&gt;0,CONCATENATE($H909:$L909)&lt;&gt;CONCATENATE($H910:$L910),$I909/POW(10,$J909)*MAXIFS(Token!$B:$B,Token!$A:$A,$K909)&gt;0.01),$L909/86400+DATE(1970,1,1)+IF($L909*1&gt;=$G$5,$G$6,0),)</f>
        <v/>
      </c>
      <c r="B909" s="22" t="str">
        <f t="shared" si="1"/>
        <v/>
      </c>
      <c r="C909" s="14" t="str">
        <f>IF($A909&lt;&gt;"",MINIFS(Merchant!$A:$A,Merchant!$B:$B,$G$2),)</f>
        <v/>
      </c>
      <c r="D909" s="14" t="str">
        <f t="shared" si="2"/>
        <v/>
      </c>
      <c r="E909" s="14" t="str">
        <f t="shared" si="3"/>
        <v/>
      </c>
      <c r="F909" s="6" t="str">
        <f>IF($A909&lt;&gt;"",MAXIFS(Token!$B:$B,Token!$A:$A,$D909),)</f>
        <v/>
      </c>
    </row>
    <row r="910">
      <c r="A910" s="35" t="str">
        <f>IF(AND($L910*1&gt;=$G$3,$L910*1&lt;=$G$4,$I910*$J910&gt;0,CONCATENATE($H910:$L910)&lt;&gt;CONCATENATE($H911:$L911),$I910/POW(10,$J910)*MAXIFS(Token!$B:$B,Token!$A:$A,$K910)&gt;0.01),$L910/86400+DATE(1970,1,1)+IF($L910*1&gt;=$G$5,$G$6,0),)</f>
        <v/>
      </c>
      <c r="B910" s="22" t="str">
        <f t="shared" si="1"/>
        <v/>
      </c>
      <c r="C910" s="14" t="str">
        <f>IF($A910&lt;&gt;"",MINIFS(Merchant!$A:$A,Merchant!$B:$B,$G$2),)</f>
        <v/>
      </c>
      <c r="D910" s="14" t="str">
        <f t="shared" si="2"/>
        <v/>
      </c>
      <c r="E910" s="14" t="str">
        <f t="shared" si="3"/>
        <v/>
      </c>
      <c r="F910" s="6" t="str">
        <f>IF($A910&lt;&gt;"",MAXIFS(Token!$B:$B,Token!$A:$A,$D910),)</f>
        <v/>
      </c>
    </row>
    <row r="911">
      <c r="A911" s="35" t="str">
        <f>IF(AND($L911*1&gt;=$G$3,$L911*1&lt;=$G$4,$I911*$J911&gt;0,CONCATENATE($H911:$L911)&lt;&gt;CONCATENATE($H912:$L912),$I911/POW(10,$J911)*MAXIFS(Token!$B:$B,Token!$A:$A,$K911)&gt;0.01),$L911/86400+DATE(1970,1,1)+IF($L911*1&gt;=$G$5,$G$6,0),)</f>
        <v/>
      </c>
      <c r="B911" s="22" t="str">
        <f t="shared" si="1"/>
        <v/>
      </c>
      <c r="C911" s="14" t="str">
        <f>IF($A911&lt;&gt;"",MINIFS(Merchant!$A:$A,Merchant!$B:$B,$G$2),)</f>
        <v/>
      </c>
      <c r="D911" s="14" t="str">
        <f t="shared" si="2"/>
        <v/>
      </c>
      <c r="E911" s="14" t="str">
        <f t="shared" si="3"/>
        <v/>
      </c>
      <c r="F911" s="6" t="str">
        <f>IF($A911&lt;&gt;"",MAXIFS(Token!$B:$B,Token!$A:$A,$D911),)</f>
        <v/>
      </c>
    </row>
    <row r="912">
      <c r="A912" s="35" t="str">
        <f>IF(AND($L912*1&gt;=$G$3,$L912*1&lt;=$G$4,$I912*$J912&gt;0,CONCATENATE($H912:$L912)&lt;&gt;CONCATENATE($H913:$L913),$I912/POW(10,$J912)*MAXIFS(Token!$B:$B,Token!$A:$A,$K912)&gt;0.01),$L912/86400+DATE(1970,1,1)+IF($L912*1&gt;=$G$5,$G$6,0),)</f>
        <v/>
      </c>
      <c r="B912" s="22" t="str">
        <f t="shared" si="1"/>
        <v/>
      </c>
      <c r="C912" s="14" t="str">
        <f>IF($A912&lt;&gt;"",MINIFS(Merchant!$A:$A,Merchant!$B:$B,$G$2),)</f>
        <v/>
      </c>
      <c r="D912" s="14" t="str">
        <f t="shared" si="2"/>
        <v/>
      </c>
      <c r="E912" s="14" t="str">
        <f t="shared" si="3"/>
        <v/>
      </c>
      <c r="F912" s="6" t="str">
        <f>IF($A912&lt;&gt;"",MAXIFS(Token!$B:$B,Token!$A:$A,$D912),)</f>
        <v/>
      </c>
    </row>
    <row r="913">
      <c r="A913" s="35" t="str">
        <f>IF(AND($L913*1&gt;=$G$3,$L913*1&lt;=$G$4,$I913*$J913&gt;0,CONCATENATE($H913:$L913)&lt;&gt;CONCATENATE($H914:$L914),$I913/POW(10,$J913)*MAXIFS(Token!$B:$B,Token!$A:$A,$K913)&gt;0.01),$L913/86400+DATE(1970,1,1)+IF($L913*1&gt;=$G$5,$G$6,0),)</f>
        <v/>
      </c>
      <c r="B913" s="22" t="str">
        <f t="shared" si="1"/>
        <v/>
      </c>
      <c r="C913" s="14" t="str">
        <f>IF($A913&lt;&gt;"",MINIFS(Merchant!$A:$A,Merchant!$B:$B,$G$2),)</f>
        <v/>
      </c>
      <c r="D913" s="14" t="str">
        <f t="shared" si="2"/>
        <v/>
      </c>
      <c r="E913" s="14" t="str">
        <f t="shared" si="3"/>
        <v/>
      </c>
      <c r="F913" s="6" t="str">
        <f>IF($A913&lt;&gt;"",MAXIFS(Token!$B:$B,Token!$A:$A,$D913),)</f>
        <v/>
      </c>
    </row>
    <row r="914">
      <c r="A914" s="35" t="str">
        <f>IF(AND($L914*1&gt;=$G$3,$L914*1&lt;=$G$4,$I914*$J914&gt;0,CONCATENATE($H914:$L914)&lt;&gt;CONCATENATE($H915:$L915),$I914/POW(10,$J914)*MAXIFS(Token!$B:$B,Token!$A:$A,$K914)&gt;0.01),$L914/86400+DATE(1970,1,1)+IF($L914*1&gt;=$G$5,$G$6,0),)</f>
        <v/>
      </c>
      <c r="B914" s="22" t="str">
        <f t="shared" si="1"/>
        <v/>
      </c>
      <c r="C914" s="14" t="str">
        <f>IF($A914&lt;&gt;"",MINIFS(Merchant!$A:$A,Merchant!$B:$B,$G$2),)</f>
        <v/>
      </c>
      <c r="D914" s="14" t="str">
        <f t="shared" si="2"/>
        <v/>
      </c>
      <c r="E914" s="14" t="str">
        <f t="shared" si="3"/>
        <v/>
      </c>
      <c r="F914" s="6" t="str">
        <f>IF($A914&lt;&gt;"",MAXIFS(Token!$B:$B,Token!$A:$A,$D914),)</f>
        <v/>
      </c>
    </row>
    <row r="915">
      <c r="A915" s="35" t="str">
        <f>IF(AND($L915*1&gt;=$G$3,$L915*1&lt;=$G$4,$I915*$J915&gt;0,CONCATENATE($H915:$L915)&lt;&gt;CONCATENATE($H916:$L916),$I915/POW(10,$J915)*MAXIFS(Token!$B:$B,Token!$A:$A,$K915)&gt;0.01),$L915/86400+DATE(1970,1,1)+IF($L915*1&gt;=$G$5,$G$6,0),)</f>
        <v/>
      </c>
      <c r="B915" s="22" t="str">
        <f t="shared" si="1"/>
        <v/>
      </c>
      <c r="C915" s="14" t="str">
        <f>IF($A915&lt;&gt;"",MINIFS(Merchant!$A:$A,Merchant!$B:$B,$G$2),)</f>
        <v/>
      </c>
      <c r="D915" s="14" t="str">
        <f t="shared" si="2"/>
        <v/>
      </c>
      <c r="E915" s="14" t="str">
        <f t="shared" si="3"/>
        <v/>
      </c>
      <c r="F915" s="6" t="str">
        <f>IF($A915&lt;&gt;"",MAXIFS(Token!$B:$B,Token!$A:$A,$D915),)</f>
        <v/>
      </c>
    </row>
    <row r="916">
      <c r="A916" s="35" t="str">
        <f>IF(AND($L916*1&gt;=$G$3,$L916*1&lt;=$G$4,$I916*$J916&gt;0,CONCATENATE($H916:$L916)&lt;&gt;CONCATENATE($H917:$L917),$I916/POW(10,$J916)*MAXIFS(Token!$B:$B,Token!$A:$A,$K916)&gt;0.01),$L916/86400+DATE(1970,1,1)+IF($L916*1&gt;=$G$5,$G$6,0),)</f>
        <v/>
      </c>
      <c r="B916" s="22" t="str">
        <f t="shared" si="1"/>
        <v/>
      </c>
      <c r="C916" s="14" t="str">
        <f>IF($A916&lt;&gt;"",MINIFS(Merchant!$A:$A,Merchant!$B:$B,$G$2),)</f>
        <v/>
      </c>
      <c r="D916" s="14" t="str">
        <f t="shared" si="2"/>
        <v/>
      </c>
      <c r="E916" s="14" t="str">
        <f t="shared" si="3"/>
        <v/>
      </c>
      <c r="F916" s="6" t="str">
        <f>IF($A916&lt;&gt;"",MAXIFS(Token!$B:$B,Token!$A:$A,$D916),)</f>
        <v/>
      </c>
    </row>
    <row r="917">
      <c r="A917" s="35" t="str">
        <f>IF(AND($L917*1&gt;=$G$3,$L917*1&lt;=$G$4,$I917*$J917&gt;0,CONCATENATE($H917:$L917)&lt;&gt;CONCATENATE($H918:$L918),$I917/POW(10,$J917)*MAXIFS(Token!$B:$B,Token!$A:$A,$K917)&gt;0.01),$L917/86400+DATE(1970,1,1)+IF($L917*1&gt;=$G$5,$G$6,0),)</f>
        <v/>
      </c>
      <c r="B917" s="22" t="str">
        <f t="shared" si="1"/>
        <v/>
      </c>
      <c r="C917" s="14" t="str">
        <f>IF($A917&lt;&gt;"",MINIFS(Merchant!$A:$A,Merchant!$B:$B,$G$2),)</f>
        <v/>
      </c>
      <c r="D917" s="14" t="str">
        <f t="shared" si="2"/>
        <v/>
      </c>
      <c r="E917" s="14" t="str">
        <f t="shared" si="3"/>
        <v/>
      </c>
      <c r="F917" s="6" t="str">
        <f>IF($A917&lt;&gt;"",MAXIFS(Token!$B:$B,Token!$A:$A,$D917),)</f>
        <v/>
      </c>
    </row>
    <row r="918">
      <c r="A918" s="35" t="str">
        <f>IF(AND($L918*1&gt;=$G$3,$L918*1&lt;=$G$4,$I918*$J918&gt;0,CONCATENATE($H918:$L918)&lt;&gt;CONCATENATE($H919:$L919),$I918/POW(10,$J918)*MAXIFS(Token!$B:$B,Token!$A:$A,$K918)&gt;0.01),$L918/86400+DATE(1970,1,1)+IF($L918*1&gt;=$G$5,$G$6,0),)</f>
        <v/>
      </c>
      <c r="B918" s="22" t="str">
        <f t="shared" si="1"/>
        <v/>
      </c>
      <c r="C918" s="14" t="str">
        <f>IF($A918&lt;&gt;"",MINIFS(Merchant!$A:$A,Merchant!$B:$B,$G$2),)</f>
        <v/>
      </c>
      <c r="D918" s="14" t="str">
        <f t="shared" si="2"/>
        <v/>
      </c>
      <c r="E918" s="14" t="str">
        <f t="shared" si="3"/>
        <v/>
      </c>
      <c r="F918" s="6" t="str">
        <f>IF($A918&lt;&gt;"",MAXIFS(Token!$B:$B,Token!$A:$A,$D918),)</f>
        <v/>
      </c>
    </row>
    <row r="919">
      <c r="A919" s="35" t="str">
        <f>IF(AND($L919*1&gt;=$G$3,$L919*1&lt;=$G$4,$I919*$J919&gt;0,CONCATENATE($H919:$L919)&lt;&gt;CONCATENATE($H920:$L920),$I919/POW(10,$J919)*MAXIFS(Token!$B:$B,Token!$A:$A,$K919)&gt;0.01),$L919/86400+DATE(1970,1,1)+IF($L919*1&gt;=$G$5,$G$6,0),)</f>
        <v/>
      </c>
      <c r="B919" s="22" t="str">
        <f t="shared" si="1"/>
        <v/>
      </c>
      <c r="C919" s="14" t="str">
        <f>IF($A919&lt;&gt;"",MINIFS(Merchant!$A:$A,Merchant!$B:$B,$G$2),)</f>
        <v/>
      </c>
      <c r="D919" s="14" t="str">
        <f t="shared" si="2"/>
        <v/>
      </c>
      <c r="E919" s="14" t="str">
        <f t="shared" si="3"/>
        <v/>
      </c>
      <c r="F919" s="6" t="str">
        <f>IF($A919&lt;&gt;"",MAXIFS(Token!$B:$B,Token!$A:$A,$D919),)</f>
        <v/>
      </c>
    </row>
    <row r="920">
      <c r="A920" s="35" t="str">
        <f>IF(AND($L920*1&gt;=$G$3,$L920*1&lt;=$G$4,$I920*$J920&gt;0,CONCATENATE($H920:$L920)&lt;&gt;CONCATENATE($H921:$L921),$I920/POW(10,$J920)*MAXIFS(Token!$B:$B,Token!$A:$A,$K920)&gt;0.01),$L920/86400+DATE(1970,1,1)+IF($L920*1&gt;=$G$5,$G$6,0),)</f>
        <v/>
      </c>
      <c r="B920" s="22" t="str">
        <f t="shared" si="1"/>
        <v/>
      </c>
      <c r="C920" s="14" t="str">
        <f>IF($A920&lt;&gt;"",MINIFS(Merchant!$A:$A,Merchant!$B:$B,$G$2),)</f>
        <v/>
      </c>
      <c r="D920" s="14" t="str">
        <f t="shared" si="2"/>
        <v/>
      </c>
      <c r="E920" s="14" t="str">
        <f t="shared" si="3"/>
        <v/>
      </c>
      <c r="F920" s="6" t="str">
        <f>IF($A920&lt;&gt;"",MAXIFS(Token!$B:$B,Token!$A:$A,$D920),)</f>
        <v/>
      </c>
    </row>
    <row r="921">
      <c r="A921" s="35" t="str">
        <f>IF(AND($L921*1&gt;=$G$3,$L921*1&lt;=$G$4,$I921*$J921&gt;0,CONCATENATE($H921:$L921)&lt;&gt;CONCATENATE($H922:$L922),$I921/POW(10,$J921)*MAXIFS(Token!$B:$B,Token!$A:$A,$K921)&gt;0.01),$L921/86400+DATE(1970,1,1)+IF($L921*1&gt;=$G$5,$G$6,0),)</f>
        <v/>
      </c>
      <c r="B921" s="22" t="str">
        <f t="shared" si="1"/>
        <v/>
      </c>
      <c r="C921" s="14" t="str">
        <f>IF($A921&lt;&gt;"",MINIFS(Merchant!$A:$A,Merchant!$B:$B,$G$2),)</f>
        <v/>
      </c>
      <c r="D921" s="14" t="str">
        <f t="shared" si="2"/>
        <v/>
      </c>
      <c r="E921" s="14" t="str">
        <f t="shared" si="3"/>
        <v/>
      </c>
      <c r="F921" s="6" t="str">
        <f>IF($A921&lt;&gt;"",MAXIFS(Token!$B:$B,Token!$A:$A,$D921),)</f>
        <v/>
      </c>
    </row>
    <row r="922">
      <c r="A922" s="35" t="str">
        <f>IF(AND($L922*1&gt;=$G$3,$L922*1&lt;=$G$4,$I922*$J922&gt;0,CONCATENATE($H922:$L922)&lt;&gt;CONCATENATE($H923:$L923),$I922/POW(10,$J922)*MAXIFS(Token!$B:$B,Token!$A:$A,$K922)&gt;0.01),$L922/86400+DATE(1970,1,1)+IF($L922*1&gt;=$G$5,$G$6,0),)</f>
        <v/>
      </c>
      <c r="B922" s="22" t="str">
        <f t="shared" si="1"/>
        <v/>
      </c>
      <c r="C922" s="14" t="str">
        <f>IF($A922&lt;&gt;"",MINIFS(Merchant!$A:$A,Merchant!$B:$B,$G$2),)</f>
        <v/>
      </c>
      <c r="D922" s="14" t="str">
        <f t="shared" si="2"/>
        <v/>
      </c>
      <c r="E922" s="14" t="str">
        <f t="shared" si="3"/>
        <v/>
      </c>
      <c r="F922" s="6" t="str">
        <f>IF($A922&lt;&gt;"",MAXIFS(Token!$B:$B,Token!$A:$A,$D922),)</f>
        <v/>
      </c>
    </row>
    <row r="923">
      <c r="A923" s="35" t="str">
        <f>IF(AND($L923*1&gt;=$G$3,$L923*1&lt;=$G$4,$I923*$J923&gt;0,CONCATENATE($H923:$L923)&lt;&gt;CONCATENATE($H924:$L924),$I923/POW(10,$J923)*MAXIFS(Token!$B:$B,Token!$A:$A,$K923)&gt;0.01),$L923/86400+DATE(1970,1,1)+IF($L923*1&gt;=$G$5,$G$6,0),)</f>
        <v/>
      </c>
      <c r="B923" s="22" t="str">
        <f t="shared" si="1"/>
        <v/>
      </c>
      <c r="C923" s="14" t="str">
        <f>IF($A923&lt;&gt;"",MINIFS(Merchant!$A:$A,Merchant!$B:$B,$G$2),)</f>
        <v/>
      </c>
      <c r="D923" s="14" t="str">
        <f t="shared" si="2"/>
        <v/>
      </c>
      <c r="E923" s="14" t="str">
        <f t="shared" si="3"/>
        <v/>
      </c>
      <c r="F923" s="6" t="str">
        <f>IF($A923&lt;&gt;"",MAXIFS(Token!$B:$B,Token!$A:$A,$D923),)</f>
        <v/>
      </c>
    </row>
    <row r="924">
      <c r="A924" s="35" t="str">
        <f>IF(AND($L924*1&gt;=$G$3,$L924*1&lt;=$G$4,$I924*$J924&gt;0,CONCATENATE($H924:$L924)&lt;&gt;CONCATENATE($H925:$L925),$I924/POW(10,$J924)*MAXIFS(Token!$B:$B,Token!$A:$A,$K924)&gt;0.01),$L924/86400+DATE(1970,1,1)+IF($L924*1&gt;=$G$5,$G$6,0),)</f>
        <v/>
      </c>
      <c r="B924" s="22" t="str">
        <f t="shared" si="1"/>
        <v/>
      </c>
      <c r="C924" s="14" t="str">
        <f>IF($A924&lt;&gt;"",MINIFS(Merchant!$A:$A,Merchant!$B:$B,$G$2),)</f>
        <v/>
      </c>
      <c r="D924" s="14" t="str">
        <f t="shared" si="2"/>
        <v/>
      </c>
      <c r="E924" s="14" t="str">
        <f t="shared" si="3"/>
        <v/>
      </c>
      <c r="F924" s="6" t="str">
        <f>IF($A924&lt;&gt;"",MAXIFS(Token!$B:$B,Token!$A:$A,$D924),)</f>
        <v/>
      </c>
    </row>
    <row r="925">
      <c r="A925" s="35" t="str">
        <f>IF(AND($L925*1&gt;=$G$3,$L925*1&lt;=$G$4,$I925*$J925&gt;0,CONCATENATE($H925:$L925)&lt;&gt;CONCATENATE($H926:$L926),$I925/POW(10,$J925)*MAXIFS(Token!$B:$B,Token!$A:$A,$K925)&gt;0.01),$L925/86400+DATE(1970,1,1)+IF($L925*1&gt;=$G$5,$G$6,0),)</f>
        <v/>
      </c>
      <c r="B925" s="22" t="str">
        <f t="shared" si="1"/>
        <v/>
      </c>
      <c r="C925" s="14" t="str">
        <f>IF($A925&lt;&gt;"",MINIFS(Merchant!$A:$A,Merchant!$B:$B,$G$2),)</f>
        <v/>
      </c>
      <c r="D925" s="14" t="str">
        <f t="shared" si="2"/>
        <v/>
      </c>
      <c r="E925" s="14" t="str">
        <f t="shared" si="3"/>
        <v/>
      </c>
      <c r="F925" s="6" t="str">
        <f>IF($A925&lt;&gt;"",MAXIFS(Token!$B:$B,Token!$A:$A,$D925),)</f>
        <v/>
      </c>
    </row>
    <row r="926">
      <c r="A926" s="35" t="str">
        <f>IF(AND($L926*1&gt;=$G$3,$L926*1&lt;=$G$4,$I926*$J926&gt;0,CONCATENATE($H926:$L926)&lt;&gt;CONCATENATE($H927:$L927),$I926/POW(10,$J926)*MAXIFS(Token!$B:$B,Token!$A:$A,$K926)&gt;0.01),$L926/86400+DATE(1970,1,1)+IF($L926*1&gt;=$G$5,$G$6,0),)</f>
        <v/>
      </c>
      <c r="B926" s="22" t="str">
        <f t="shared" si="1"/>
        <v/>
      </c>
      <c r="C926" s="14" t="str">
        <f>IF($A926&lt;&gt;"",MINIFS(Merchant!$A:$A,Merchant!$B:$B,$G$2),)</f>
        <v/>
      </c>
      <c r="D926" s="14" t="str">
        <f t="shared" si="2"/>
        <v/>
      </c>
      <c r="E926" s="14" t="str">
        <f t="shared" si="3"/>
        <v/>
      </c>
      <c r="F926" s="6" t="str">
        <f>IF($A926&lt;&gt;"",MAXIFS(Token!$B:$B,Token!$A:$A,$D926),)</f>
        <v/>
      </c>
    </row>
    <row r="927">
      <c r="A927" s="35" t="str">
        <f>IF(AND($L927*1&gt;=$G$3,$L927*1&lt;=$G$4,$I927*$J927&gt;0,CONCATENATE($H927:$L927)&lt;&gt;CONCATENATE($H928:$L928),$I927/POW(10,$J927)*MAXIFS(Token!$B:$B,Token!$A:$A,$K927)&gt;0.01),$L927/86400+DATE(1970,1,1)+IF($L927*1&gt;=$G$5,$G$6,0),)</f>
        <v/>
      </c>
      <c r="B927" s="22" t="str">
        <f t="shared" si="1"/>
        <v/>
      </c>
      <c r="C927" s="14" t="str">
        <f>IF($A927&lt;&gt;"",MINIFS(Merchant!$A:$A,Merchant!$B:$B,$G$2),)</f>
        <v/>
      </c>
      <c r="D927" s="14" t="str">
        <f t="shared" si="2"/>
        <v/>
      </c>
      <c r="E927" s="14" t="str">
        <f t="shared" si="3"/>
        <v/>
      </c>
      <c r="F927" s="6" t="str">
        <f>IF($A927&lt;&gt;"",MAXIFS(Token!$B:$B,Token!$A:$A,$D927),)</f>
        <v/>
      </c>
    </row>
    <row r="928">
      <c r="A928" s="35" t="str">
        <f>IF(AND($L928*1&gt;=$G$3,$L928*1&lt;=$G$4,$I928*$J928&gt;0,CONCATENATE($H928:$L928)&lt;&gt;CONCATENATE($H929:$L929),$I928/POW(10,$J928)*MAXIFS(Token!$B:$B,Token!$A:$A,$K928)&gt;0.01),$L928/86400+DATE(1970,1,1)+IF($L928*1&gt;=$G$5,$G$6,0),)</f>
        <v/>
      </c>
      <c r="B928" s="22" t="str">
        <f t="shared" si="1"/>
        <v/>
      </c>
      <c r="C928" s="14" t="str">
        <f>IF($A928&lt;&gt;"",MINIFS(Merchant!$A:$A,Merchant!$B:$B,$G$2),)</f>
        <v/>
      </c>
      <c r="D928" s="14" t="str">
        <f t="shared" si="2"/>
        <v/>
      </c>
      <c r="E928" s="14" t="str">
        <f t="shared" si="3"/>
        <v/>
      </c>
      <c r="F928" s="6" t="str">
        <f>IF($A928&lt;&gt;"",MAXIFS(Token!$B:$B,Token!$A:$A,$D928),)</f>
        <v/>
      </c>
    </row>
    <row r="929">
      <c r="A929" s="35" t="str">
        <f>IF(AND($L929*1&gt;=$G$3,$L929*1&lt;=$G$4,$I929*$J929&gt;0,CONCATENATE($H929:$L929)&lt;&gt;CONCATENATE($H930:$L930),$I929/POW(10,$J929)*MAXIFS(Token!$B:$B,Token!$A:$A,$K929)&gt;0.01),$L929/86400+DATE(1970,1,1)+IF($L929*1&gt;=$G$5,$G$6,0),)</f>
        <v/>
      </c>
      <c r="B929" s="22" t="str">
        <f t="shared" si="1"/>
        <v/>
      </c>
      <c r="C929" s="14" t="str">
        <f>IF($A929&lt;&gt;"",MINIFS(Merchant!$A:$A,Merchant!$B:$B,$G$2),)</f>
        <v/>
      </c>
      <c r="D929" s="14" t="str">
        <f t="shared" si="2"/>
        <v/>
      </c>
      <c r="E929" s="14" t="str">
        <f t="shared" si="3"/>
        <v/>
      </c>
      <c r="F929" s="6" t="str">
        <f>IF($A929&lt;&gt;"",MAXIFS(Token!$B:$B,Token!$A:$A,$D929),)</f>
        <v/>
      </c>
    </row>
    <row r="930">
      <c r="A930" s="35" t="str">
        <f>IF(AND($L930*1&gt;=$G$3,$L930*1&lt;=$G$4,$I930*$J930&gt;0,CONCATENATE($H930:$L930)&lt;&gt;CONCATENATE($H931:$L931),$I930/POW(10,$J930)*MAXIFS(Token!$B:$B,Token!$A:$A,$K930)&gt;0.01),$L930/86400+DATE(1970,1,1)+IF($L930*1&gt;=$G$5,$G$6,0),)</f>
        <v/>
      </c>
      <c r="B930" s="22" t="str">
        <f t="shared" si="1"/>
        <v/>
      </c>
      <c r="C930" s="14" t="str">
        <f>IF($A930&lt;&gt;"",MINIFS(Merchant!$A:$A,Merchant!$B:$B,$G$2),)</f>
        <v/>
      </c>
      <c r="D930" s="14" t="str">
        <f t="shared" si="2"/>
        <v/>
      </c>
      <c r="E930" s="14" t="str">
        <f t="shared" si="3"/>
        <v/>
      </c>
      <c r="F930" s="6" t="str">
        <f>IF($A930&lt;&gt;"",MAXIFS(Token!$B:$B,Token!$A:$A,$D930),)</f>
        <v/>
      </c>
    </row>
    <row r="931">
      <c r="A931" s="35" t="str">
        <f>IF(AND($L931*1&gt;=$G$3,$L931*1&lt;=$G$4,$I931*$J931&gt;0,CONCATENATE($H931:$L931)&lt;&gt;CONCATENATE($H932:$L932),$I931/POW(10,$J931)*MAXIFS(Token!$B:$B,Token!$A:$A,$K931)&gt;0.01),$L931/86400+DATE(1970,1,1)+IF($L931*1&gt;=$G$5,$G$6,0),)</f>
        <v/>
      </c>
      <c r="B931" s="22" t="str">
        <f t="shared" si="1"/>
        <v/>
      </c>
      <c r="C931" s="14" t="str">
        <f>IF($A931&lt;&gt;"",MINIFS(Merchant!$A:$A,Merchant!$B:$B,$G$2),)</f>
        <v/>
      </c>
      <c r="D931" s="14" t="str">
        <f t="shared" si="2"/>
        <v/>
      </c>
      <c r="E931" s="14" t="str">
        <f t="shared" si="3"/>
        <v/>
      </c>
      <c r="F931" s="6" t="str">
        <f>IF($A931&lt;&gt;"",MAXIFS(Token!$B:$B,Token!$A:$A,$D931),)</f>
        <v/>
      </c>
    </row>
    <row r="932">
      <c r="A932" s="35" t="str">
        <f>IF(AND($L932*1&gt;=$G$3,$L932*1&lt;=$G$4,$I932*$J932&gt;0,CONCATENATE($H932:$L932)&lt;&gt;CONCATENATE($H933:$L933),$I932/POW(10,$J932)*MAXIFS(Token!$B:$B,Token!$A:$A,$K932)&gt;0.01),$L932/86400+DATE(1970,1,1)+IF($L932*1&gt;=$G$5,$G$6,0),)</f>
        <v/>
      </c>
      <c r="B932" s="22" t="str">
        <f t="shared" si="1"/>
        <v/>
      </c>
      <c r="C932" s="14" t="str">
        <f>IF($A932&lt;&gt;"",MINIFS(Merchant!$A:$A,Merchant!$B:$B,$G$2),)</f>
        <v/>
      </c>
      <c r="D932" s="14" t="str">
        <f t="shared" si="2"/>
        <v/>
      </c>
      <c r="E932" s="14" t="str">
        <f t="shared" si="3"/>
        <v/>
      </c>
      <c r="F932" s="6" t="str">
        <f>IF($A932&lt;&gt;"",MAXIFS(Token!$B:$B,Token!$A:$A,$D932),)</f>
        <v/>
      </c>
    </row>
    <row r="933">
      <c r="A933" s="35" t="str">
        <f>IF(AND($L933*1&gt;=$G$3,$L933*1&lt;=$G$4,$I933*$J933&gt;0,CONCATENATE($H933:$L933)&lt;&gt;CONCATENATE($H934:$L934),$I933/POW(10,$J933)*MAXIFS(Token!$B:$B,Token!$A:$A,$K933)&gt;0.01),$L933/86400+DATE(1970,1,1)+IF($L933*1&gt;=$G$5,$G$6,0),)</f>
        <v/>
      </c>
      <c r="B933" s="22" t="str">
        <f t="shared" si="1"/>
        <v/>
      </c>
      <c r="C933" s="14" t="str">
        <f>IF($A933&lt;&gt;"",MINIFS(Merchant!$A:$A,Merchant!$B:$B,$G$2),)</f>
        <v/>
      </c>
      <c r="D933" s="14" t="str">
        <f t="shared" si="2"/>
        <v/>
      </c>
      <c r="E933" s="14" t="str">
        <f t="shared" si="3"/>
        <v/>
      </c>
      <c r="F933" s="6" t="str">
        <f>IF($A933&lt;&gt;"",MAXIFS(Token!$B:$B,Token!$A:$A,$D933),)</f>
        <v/>
      </c>
    </row>
    <row r="934">
      <c r="A934" s="35" t="str">
        <f>IF(AND($L934*1&gt;=$G$3,$L934*1&lt;=$G$4,$I934*$J934&gt;0,CONCATENATE($H934:$L934)&lt;&gt;CONCATENATE($H935:$L935),$I934/POW(10,$J934)*MAXIFS(Token!$B:$B,Token!$A:$A,$K934)&gt;0.01),$L934/86400+DATE(1970,1,1)+IF($L934*1&gt;=$G$5,$G$6,0),)</f>
        <v/>
      </c>
      <c r="B934" s="22" t="str">
        <f t="shared" si="1"/>
        <v/>
      </c>
      <c r="C934" s="14" t="str">
        <f>IF($A934&lt;&gt;"",MINIFS(Merchant!$A:$A,Merchant!$B:$B,$G$2),)</f>
        <v/>
      </c>
      <c r="D934" s="14" t="str">
        <f t="shared" si="2"/>
        <v/>
      </c>
      <c r="E934" s="14" t="str">
        <f t="shared" si="3"/>
        <v/>
      </c>
      <c r="F934" s="6" t="str">
        <f>IF($A934&lt;&gt;"",MAXIFS(Token!$B:$B,Token!$A:$A,$D934),)</f>
        <v/>
      </c>
    </row>
    <row r="935">
      <c r="A935" s="35" t="str">
        <f>IF(AND($L935*1&gt;=$G$3,$L935*1&lt;=$G$4,$I935*$J935&gt;0,CONCATENATE($H935:$L935)&lt;&gt;CONCATENATE($H936:$L936),$I935/POW(10,$J935)*MAXIFS(Token!$B:$B,Token!$A:$A,$K935)&gt;0.01),$L935/86400+DATE(1970,1,1)+IF($L935*1&gt;=$G$5,$G$6,0),)</f>
        <v/>
      </c>
      <c r="B935" s="22" t="str">
        <f t="shared" si="1"/>
        <v/>
      </c>
      <c r="C935" s="14" t="str">
        <f>IF($A935&lt;&gt;"",MINIFS(Merchant!$A:$A,Merchant!$B:$B,$G$2),)</f>
        <v/>
      </c>
      <c r="D935" s="14" t="str">
        <f t="shared" si="2"/>
        <v/>
      </c>
      <c r="E935" s="14" t="str">
        <f t="shared" si="3"/>
        <v/>
      </c>
      <c r="F935" s="6" t="str">
        <f>IF($A935&lt;&gt;"",MAXIFS(Token!$B:$B,Token!$A:$A,$D935),)</f>
        <v/>
      </c>
    </row>
    <row r="936">
      <c r="A936" s="35" t="str">
        <f>IF(AND($L936*1&gt;=$G$3,$L936*1&lt;=$G$4,$I936*$J936&gt;0,CONCATENATE($H936:$L936)&lt;&gt;CONCATENATE($H937:$L937),$I936/POW(10,$J936)*MAXIFS(Token!$B:$B,Token!$A:$A,$K936)&gt;0.01),$L936/86400+DATE(1970,1,1)+IF($L936*1&gt;=$G$5,$G$6,0),)</f>
        <v/>
      </c>
      <c r="B936" s="22" t="str">
        <f t="shared" si="1"/>
        <v/>
      </c>
      <c r="C936" s="14" t="str">
        <f>IF($A936&lt;&gt;"",MINIFS(Merchant!$A:$A,Merchant!$B:$B,$G$2),)</f>
        <v/>
      </c>
      <c r="D936" s="14" t="str">
        <f t="shared" si="2"/>
        <v/>
      </c>
      <c r="E936" s="14" t="str">
        <f t="shared" si="3"/>
        <v/>
      </c>
      <c r="F936" s="6" t="str">
        <f>IF($A936&lt;&gt;"",MAXIFS(Token!$B:$B,Token!$A:$A,$D936),)</f>
        <v/>
      </c>
    </row>
    <row r="937">
      <c r="A937" s="35" t="str">
        <f>IF(AND($L937*1&gt;=$G$3,$L937*1&lt;=$G$4,$I937*$J937&gt;0,CONCATENATE($H937:$L937)&lt;&gt;CONCATENATE($H938:$L938),$I937/POW(10,$J937)*MAXIFS(Token!$B:$B,Token!$A:$A,$K937)&gt;0.01),$L937/86400+DATE(1970,1,1)+IF($L937*1&gt;=$G$5,$G$6,0),)</f>
        <v/>
      </c>
      <c r="B937" s="22" t="str">
        <f t="shared" si="1"/>
        <v/>
      </c>
      <c r="C937" s="14" t="str">
        <f>IF($A937&lt;&gt;"",MINIFS(Merchant!$A:$A,Merchant!$B:$B,$G$2),)</f>
        <v/>
      </c>
      <c r="D937" s="14" t="str">
        <f t="shared" si="2"/>
        <v/>
      </c>
      <c r="E937" s="14" t="str">
        <f t="shared" si="3"/>
        <v/>
      </c>
      <c r="F937" s="6" t="str">
        <f>IF($A937&lt;&gt;"",MAXIFS(Token!$B:$B,Token!$A:$A,$D937),)</f>
        <v/>
      </c>
    </row>
    <row r="938">
      <c r="A938" s="35" t="str">
        <f>IF(AND($L938*1&gt;=$G$3,$L938*1&lt;=$G$4,$I938*$J938&gt;0,CONCATENATE($H938:$L938)&lt;&gt;CONCATENATE($H939:$L939),$I938/POW(10,$J938)*MAXIFS(Token!$B:$B,Token!$A:$A,$K938)&gt;0.01),$L938/86400+DATE(1970,1,1)+IF($L938*1&gt;=$G$5,$G$6,0),)</f>
        <v/>
      </c>
      <c r="B938" s="22" t="str">
        <f t="shared" si="1"/>
        <v/>
      </c>
      <c r="C938" s="14" t="str">
        <f>IF($A938&lt;&gt;"",MINIFS(Merchant!$A:$A,Merchant!$B:$B,$G$2),)</f>
        <v/>
      </c>
      <c r="D938" s="14" t="str">
        <f t="shared" si="2"/>
        <v/>
      </c>
      <c r="E938" s="14" t="str">
        <f t="shared" si="3"/>
        <v/>
      </c>
      <c r="F938" s="6" t="str">
        <f>IF($A938&lt;&gt;"",MAXIFS(Token!$B:$B,Token!$A:$A,$D938),)</f>
        <v/>
      </c>
    </row>
    <row r="939">
      <c r="A939" s="35" t="str">
        <f>IF(AND($L939*1&gt;=$G$3,$L939*1&lt;=$G$4,$I939*$J939&gt;0,CONCATENATE($H939:$L939)&lt;&gt;CONCATENATE($H940:$L940),$I939/POW(10,$J939)*MAXIFS(Token!$B:$B,Token!$A:$A,$K939)&gt;0.01),$L939/86400+DATE(1970,1,1)+IF($L939*1&gt;=$G$5,$G$6,0),)</f>
        <v/>
      </c>
      <c r="B939" s="22" t="str">
        <f t="shared" si="1"/>
        <v/>
      </c>
      <c r="C939" s="14" t="str">
        <f>IF($A939&lt;&gt;"",MINIFS(Merchant!$A:$A,Merchant!$B:$B,$G$2),)</f>
        <v/>
      </c>
      <c r="D939" s="14" t="str">
        <f t="shared" si="2"/>
        <v/>
      </c>
      <c r="E939" s="14" t="str">
        <f t="shared" si="3"/>
        <v/>
      </c>
      <c r="F939" s="6" t="str">
        <f>IF($A939&lt;&gt;"",MAXIFS(Token!$B:$B,Token!$A:$A,$D939),)</f>
        <v/>
      </c>
    </row>
    <row r="940">
      <c r="A940" s="35" t="str">
        <f>IF(AND($L940*1&gt;=$G$3,$L940*1&lt;=$G$4,$I940*$J940&gt;0,CONCATENATE($H940:$L940)&lt;&gt;CONCATENATE($H941:$L941),$I940/POW(10,$J940)*MAXIFS(Token!$B:$B,Token!$A:$A,$K940)&gt;0.01),$L940/86400+DATE(1970,1,1)+IF($L940*1&gt;=$G$5,$G$6,0),)</f>
        <v/>
      </c>
      <c r="B940" s="22" t="str">
        <f t="shared" si="1"/>
        <v/>
      </c>
      <c r="C940" s="14" t="str">
        <f>IF($A940&lt;&gt;"",MINIFS(Merchant!$A:$A,Merchant!$B:$B,$G$2),)</f>
        <v/>
      </c>
      <c r="D940" s="14" t="str">
        <f t="shared" si="2"/>
        <v/>
      </c>
      <c r="E940" s="14" t="str">
        <f t="shared" si="3"/>
        <v/>
      </c>
      <c r="F940" s="6" t="str">
        <f>IF($A940&lt;&gt;"",MAXIFS(Token!$B:$B,Token!$A:$A,$D940),)</f>
        <v/>
      </c>
    </row>
    <row r="941">
      <c r="A941" s="35" t="str">
        <f>IF(AND($L941*1&gt;=$G$3,$L941*1&lt;=$G$4,$I941*$J941&gt;0,CONCATENATE($H941:$L941)&lt;&gt;CONCATENATE($H942:$L942),$I941/POW(10,$J941)*MAXIFS(Token!$B:$B,Token!$A:$A,$K941)&gt;0.01),$L941/86400+DATE(1970,1,1)+IF($L941*1&gt;=$G$5,$G$6,0),)</f>
        <v/>
      </c>
      <c r="B941" s="22" t="str">
        <f t="shared" si="1"/>
        <v/>
      </c>
      <c r="C941" s="14" t="str">
        <f>IF($A941&lt;&gt;"",MINIFS(Merchant!$A:$A,Merchant!$B:$B,$G$2),)</f>
        <v/>
      </c>
      <c r="D941" s="14" t="str">
        <f t="shared" si="2"/>
        <v/>
      </c>
      <c r="E941" s="14" t="str">
        <f t="shared" si="3"/>
        <v/>
      </c>
      <c r="F941" s="6" t="str">
        <f>IF($A941&lt;&gt;"",MAXIFS(Token!$B:$B,Token!$A:$A,$D941),)</f>
        <v/>
      </c>
    </row>
    <row r="942">
      <c r="A942" s="35" t="str">
        <f>IF(AND($L942*1&gt;=$G$3,$L942*1&lt;=$G$4,$I942*$J942&gt;0,CONCATENATE($H942:$L942)&lt;&gt;CONCATENATE($H943:$L943),$I942/POW(10,$J942)*MAXIFS(Token!$B:$B,Token!$A:$A,$K942)&gt;0.01),$L942/86400+DATE(1970,1,1)+IF($L942*1&gt;=$G$5,$G$6,0),)</f>
        <v/>
      </c>
      <c r="B942" s="22" t="str">
        <f t="shared" si="1"/>
        <v/>
      </c>
      <c r="C942" s="14" t="str">
        <f>IF($A942&lt;&gt;"",MINIFS(Merchant!$A:$A,Merchant!$B:$B,$G$2),)</f>
        <v/>
      </c>
      <c r="D942" s="14" t="str">
        <f t="shared" si="2"/>
        <v/>
      </c>
      <c r="E942" s="14" t="str">
        <f t="shared" si="3"/>
        <v/>
      </c>
      <c r="F942" s="6" t="str">
        <f>IF($A942&lt;&gt;"",MAXIFS(Token!$B:$B,Token!$A:$A,$D942),)</f>
        <v/>
      </c>
    </row>
    <row r="943">
      <c r="A943" s="35" t="str">
        <f>IF(AND($L943*1&gt;=$G$3,$L943*1&lt;=$G$4,$I943*$J943&gt;0,CONCATENATE($H943:$L943)&lt;&gt;CONCATENATE($H944:$L944),$I943/POW(10,$J943)*MAXIFS(Token!$B:$B,Token!$A:$A,$K943)&gt;0.01),$L943/86400+DATE(1970,1,1)+IF($L943*1&gt;=$G$5,$G$6,0),)</f>
        <v/>
      </c>
      <c r="B943" s="22" t="str">
        <f t="shared" si="1"/>
        <v/>
      </c>
      <c r="C943" s="14" t="str">
        <f>IF($A943&lt;&gt;"",MINIFS(Merchant!$A:$A,Merchant!$B:$B,$G$2),)</f>
        <v/>
      </c>
      <c r="D943" s="14" t="str">
        <f t="shared" si="2"/>
        <v/>
      </c>
      <c r="E943" s="14" t="str">
        <f t="shared" si="3"/>
        <v/>
      </c>
      <c r="F943" s="6" t="str">
        <f>IF($A943&lt;&gt;"",MAXIFS(Token!$B:$B,Token!$A:$A,$D943),)</f>
        <v/>
      </c>
    </row>
    <row r="944">
      <c r="A944" s="35" t="str">
        <f>IF(AND($L944*1&gt;=$G$3,$L944*1&lt;=$G$4,$I944*$J944&gt;0,CONCATENATE($H944:$L944)&lt;&gt;CONCATENATE($H945:$L945),$I944/POW(10,$J944)*MAXIFS(Token!$B:$B,Token!$A:$A,$K944)&gt;0.01),$L944/86400+DATE(1970,1,1)+IF($L944*1&gt;=$G$5,$G$6,0),)</f>
        <v/>
      </c>
      <c r="B944" s="22" t="str">
        <f t="shared" si="1"/>
        <v/>
      </c>
      <c r="C944" s="14" t="str">
        <f>IF($A944&lt;&gt;"",MINIFS(Merchant!$A:$A,Merchant!$B:$B,$G$2),)</f>
        <v/>
      </c>
      <c r="D944" s="14" t="str">
        <f t="shared" si="2"/>
        <v/>
      </c>
      <c r="E944" s="14" t="str">
        <f t="shared" si="3"/>
        <v/>
      </c>
      <c r="F944" s="6" t="str">
        <f>IF($A944&lt;&gt;"",MAXIFS(Token!$B:$B,Token!$A:$A,$D944),)</f>
        <v/>
      </c>
    </row>
    <row r="945">
      <c r="A945" s="35" t="str">
        <f>IF(AND($L945*1&gt;=$G$3,$L945*1&lt;=$G$4,$I945*$J945&gt;0,CONCATENATE($H945:$L945)&lt;&gt;CONCATENATE($H946:$L946),$I945/POW(10,$J945)*MAXIFS(Token!$B:$B,Token!$A:$A,$K945)&gt;0.01),$L945/86400+DATE(1970,1,1)+IF($L945*1&gt;=$G$5,$G$6,0),)</f>
        <v/>
      </c>
      <c r="B945" s="22" t="str">
        <f t="shared" si="1"/>
        <v/>
      </c>
      <c r="C945" s="14" t="str">
        <f>IF($A945&lt;&gt;"",MINIFS(Merchant!$A:$A,Merchant!$B:$B,$G$2),)</f>
        <v/>
      </c>
      <c r="D945" s="14" t="str">
        <f t="shared" si="2"/>
        <v/>
      </c>
      <c r="E945" s="14" t="str">
        <f t="shared" si="3"/>
        <v/>
      </c>
      <c r="F945" s="6" t="str">
        <f>IF($A945&lt;&gt;"",MAXIFS(Token!$B:$B,Token!$A:$A,$D945),)</f>
        <v/>
      </c>
    </row>
    <row r="946">
      <c r="A946" s="35" t="str">
        <f>IF(AND($L946*1&gt;=$G$3,$L946*1&lt;=$G$4,$I946*$J946&gt;0,CONCATENATE($H946:$L946)&lt;&gt;CONCATENATE($H947:$L947),$I946/POW(10,$J946)*MAXIFS(Token!$B:$B,Token!$A:$A,$K946)&gt;0.01),$L946/86400+DATE(1970,1,1)+IF($L946*1&gt;=$G$5,$G$6,0),)</f>
        <v/>
      </c>
      <c r="B946" s="22" t="str">
        <f t="shared" si="1"/>
        <v/>
      </c>
      <c r="C946" s="14" t="str">
        <f>IF($A946&lt;&gt;"",MINIFS(Merchant!$A:$A,Merchant!$B:$B,$G$2),)</f>
        <v/>
      </c>
      <c r="D946" s="14" t="str">
        <f t="shared" si="2"/>
        <v/>
      </c>
      <c r="E946" s="14" t="str">
        <f t="shared" si="3"/>
        <v/>
      </c>
      <c r="F946" s="6" t="str">
        <f>IF($A946&lt;&gt;"",MAXIFS(Token!$B:$B,Token!$A:$A,$D946),)</f>
        <v/>
      </c>
    </row>
    <row r="947">
      <c r="A947" s="35" t="str">
        <f>IF(AND($L947*1&gt;=$G$3,$L947*1&lt;=$G$4,$I947*$J947&gt;0,CONCATENATE($H947:$L947)&lt;&gt;CONCATENATE($H948:$L948),$I947/POW(10,$J947)*MAXIFS(Token!$B:$B,Token!$A:$A,$K947)&gt;0.01),$L947/86400+DATE(1970,1,1)+IF($L947*1&gt;=$G$5,$G$6,0),)</f>
        <v/>
      </c>
      <c r="B947" s="22" t="str">
        <f t="shared" si="1"/>
        <v/>
      </c>
      <c r="C947" s="14" t="str">
        <f>IF($A947&lt;&gt;"",MINIFS(Merchant!$A:$A,Merchant!$B:$B,$G$2),)</f>
        <v/>
      </c>
      <c r="D947" s="14" t="str">
        <f t="shared" si="2"/>
        <v/>
      </c>
      <c r="E947" s="14" t="str">
        <f t="shared" si="3"/>
        <v/>
      </c>
      <c r="F947" s="6" t="str">
        <f>IF($A947&lt;&gt;"",MAXIFS(Token!$B:$B,Token!$A:$A,$D947),)</f>
        <v/>
      </c>
    </row>
    <row r="948">
      <c r="A948" s="35" t="str">
        <f>IF(AND($L948*1&gt;=$G$3,$L948*1&lt;=$G$4,$I948*$J948&gt;0,CONCATENATE($H948:$L948)&lt;&gt;CONCATENATE($H949:$L949),$I948/POW(10,$J948)*MAXIFS(Token!$B:$B,Token!$A:$A,$K948)&gt;0.01),$L948/86400+DATE(1970,1,1)+IF($L948*1&gt;=$G$5,$G$6,0),)</f>
        <v/>
      </c>
      <c r="B948" s="22" t="str">
        <f t="shared" si="1"/>
        <v/>
      </c>
      <c r="C948" s="14" t="str">
        <f>IF($A948&lt;&gt;"",MINIFS(Merchant!$A:$A,Merchant!$B:$B,$G$2),)</f>
        <v/>
      </c>
      <c r="D948" s="14" t="str">
        <f t="shared" si="2"/>
        <v/>
      </c>
      <c r="E948" s="14" t="str">
        <f t="shared" si="3"/>
        <v/>
      </c>
      <c r="F948" s="6" t="str">
        <f>IF($A948&lt;&gt;"",MAXIFS(Token!$B:$B,Token!$A:$A,$D948),)</f>
        <v/>
      </c>
    </row>
    <row r="949">
      <c r="A949" s="35" t="str">
        <f>IF(AND($L949*1&gt;=$G$3,$L949*1&lt;=$G$4,$I949*$J949&gt;0,CONCATENATE($H949:$L949)&lt;&gt;CONCATENATE($H950:$L950),$I949/POW(10,$J949)*MAXIFS(Token!$B:$B,Token!$A:$A,$K949)&gt;0.01),$L949/86400+DATE(1970,1,1)+IF($L949*1&gt;=$G$5,$G$6,0),)</f>
        <v/>
      </c>
      <c r="B949" s="22" t="str">
        <f t="shared" si="1"/>
        <v/>
      </c>
      <c r="C949" s="14" t="str">
        <f>IF($A949&lt;&gt;"",MINIFS(Merchant!$A:$A,Merchant!$B:$B,$G$2),)</f>
        <v/>
      </c>
      <c r="D949" s="14" t="str">
        <f t="shared" si="2"/>
        <v/>
      </c>
      <c r="E949" s="14" t="str">
        <f t="shared" si="3"/>
        <v/>
      </c>
      <c r="F949" s="6" t="str">
        <f>IF($A949&lt;&gt;"",MAXIFS(Token!$B:$B,Token!$A:$A,$D949),)</f>
        <v/>
      </c>
    </row>
    <row r="950">
      <c r="A950" s="35" t="str">
        <f>IF(AND($L950*1&gt;=$G$3,$L950*1&lt;=$G$4,$I950*$J950&gt;0,CONCATENATE($H950:$L950)&lt;&gt;CONCATENATE($H951:$L951),$I950/POW(10,$J950)*MAXIFS(Token!$B:$B,Token!$A:$A,$K950)&gt;0.01),$L950/86400+DATE(1970,1,1)+IF($L950*1&gt;=$G$5,$G$6,0),)</f>
        <v/>
      </c>
      <c r="B950" s="22" t="str">
        <f t="shared" si="1"/>
        <v/>
      </c>
      <c r="C950" s="14" t="str">
        <f>IF($A950&lt;&gt;"",MINIFS(Merchant!$A:$A,Merchant!$B:$B,$G$2),)</f>
        <v/>
      </c>
      <c r="D950" s="14" t="str">
        <f t="shared" si="2"/>
        <v/>
      </c>
      <c r="E950" s="14" t="str">
        <f t="shared" si="3"/>
        <v/>
      </c>
      <c r="F950" s="6" t="str">
        <f>IF($A950&lt;&gt;"",MAXIFS(Token!$B:$B,Token!$A:$A,$D950),)</f>
        <v/>
      </c>
    </row>
    <row r="951">
      <c r="A951" s="35" t="str">
        <f>IF(AND($L951*1&gt;=$G$3,$L951*1&lt;=$G$4,$I951*$J951&gt;0,CONCATENATE($H951:$L951)&lt;&gt;CONCATENATE($H952:$L952),$I951/POW(10,$J951)*MAXIFS(Token!$B:$B,Token!$A:$A,$K951)&gt;0.01),$L951/86400+DATE(1970,1,1)+IF($L951*1&gt;=$G$5,$G$6,0),)</f>
        <v/>
      </c>
      <c r="B951" s="22" t="str">
        <f t="shared" si="1"/>
        <v/>
      </c>
      <c r="C951" s="14" t="str">
        <f>IF($A951&lt;&gt;"",MINIFS(Merchant!$A:$A,Merchant!$B:$B,$G$2),)</f>
        <v/>
      </c>
      <c r="D951" s="14" t="str">
        <f t="shared" si="2"/>
        <v/>
      </c>
      <c r="E951" s="14" t="str">
        <f t="shared" si="3"/>
        <v/>
      </c>
      <c r="F951" s="6" t="str">
        <f>IF($A951&lt;&gt;"",MAXIFS(Token!$B:$B,Token!$A:$A,$D951),)</f>
        <v/>
      </c>
    </row>
    <row r="952">
      <c r="A952" s="35" t="str">
        <f>IF(AND($L952*1&gt;=$G$3,$L952*1&lt;=$G$4,$I952*$J952&gt;0,CONCATENATE($H952:$L952)&lt;&gt;CONCATENATE($H953:$L953),$I952/POW(10,$J952)*MAXIFS(Token!$B:$B,Token!$A:$A,$K952)&gt;0.01),$L952/86400+DATE(1970,1,1)+IF($L952*1&gt;=$G$5,$G$6,0),)</f>
        <v/>
      </c>
      <c r="B952" s="22" t="str">
        <f t="shared" si="1"/>
        <v/>
      </c>
      <c r="C952" s="14" t="str">
        <f>IF($A952&lt;&gt;"",MINIFS(Merchant!$A:$A,Merchant!$B:$B,$G$2),)</f>
        <v/>
      </c>
      <c r="D952" s="14" t="str">
        <f t="shared" si="2"/>
        <v/>
      </c>
      <c r="E952" s="14" t="str">
        <f t="shared" si="3"/>
        <v/>
      </c>
      <c r="F952" s="6" t="str">
        <f>IF($A952&lt;&gt;"",MAXIFS(Token!$B:$B,Token!$A:$A,$D952),)</f>
        <v/>
      </c>
    </row>
    <row r="953">
      <c r="A953" s="35" t="str">
        <f>IF(AND($L953*1&gt;=$G$3,$L953*1&lt;=$G$4,$I953*$J953&gt;0,CONCATENATE($H953:$L953)&lt;&gt;CONCATENATE($H954:$L954),$I953/POW(10,$J953)*MAXIFS(Token!$B:$B,Token!$A:$A,$K953)&gt;0.01),$L953/86400+DATE(1970,1,1)+IF($L953*1&gt;=$G$5,$G$6,0),)</f>
        <v/>
      </c>
      <c r="B953" s="22" t="str">
        <f t="shared" si="1"/>
        <v/>
      </c>
      <c r="C953" s="14" t="str">
        <f>IF($A953&lt;&gt;"",MINIFS(Merchant!$A:$A,Merchant!$B:$B,$G$2),)</f>
        <v/>
      </c>
      <c r="D953" s="14" t="str">
        <f t="shared" si="2"/>
        <v/>
      </c>
      <c r="E953" s="14" t="str">
        <f t="shared" si="3"/>
        <v/>
      </c>
      <c r="F953" s="6" t="str">
        <f>IF($A953&lt;&gt;"",MAXIFS(Token!$B:$B,Token!$A:$A,$D953),)</f>
        <v/>
      </c>
    </row>
    <row r="954">
      <c r="A954" s="35" t="str">
        <f>IF(AND($L954*1&gt;=$G$3,$L954*1&lt;=$G$4,$I954*$J954&gt;0,CONCATENATE($H954:$L954)&lt;&gt;CONCATENATE($H955:$L955),$I954/POW(10,$J954)*MAXIFS(Token!$B:$B,Token!$A:$A,$K954)&gt;0.01),$L954/86400+DATE(1970,1,1)+IF($L954*1&gt;=$G$5,$G$6,0),)</f>
        <v/>
      </c>
      <c r="B954" s="22" t="str">
        <f t="shared" si="1"/>
        <v/>
      </c>
      <c r="C954" s="14" t="str">
        <f>IF($A954&lt;&gt;"",MINIFS(Merchant!$A:$A,Merchant!$B:$B,$G$2),)</f>
        <v/>
      </c>
      <c r="D954" s="14" t="str">
        <f t="shared" si="2"/>
        <v/>
      </c>
      <c r="E954" s="14" t="str">
        <f t="shared" si="3"/>
        <v/>
      </c>
      <c r="F954" s="6" t="str">
        <f>IF($A954&lt;&gt;"",MAXIFS(Token!$B:$B,Token!$A:$A,$D954),)</f>
        <v/>
      </c>
    </row>
    <row r="955">
      <c r="A955" s="35" t="str">
        <f>IF(AND($L955*1&gt;=$G$3,$L955*1&lt;=$G$4,$I955*$J955&gt;0,CONCATENATE($H955:$L955)&lt;&gt;CONCATENATE($H956:$L956),$I955/POW(10,$J955)*MAXIFS(Token!$B:$B,Token!$A:$A,$K955)&gt;0.01),$L955/86400+DATE(1970,1,1)+IF($L955*1&gt;=$G$5,$G$6,0),)</f>
        <v/>
      </c>
      <c r="B955" s="22" t="str">
        <f t="shared" si="1"/>
        <v/>
      </c>
      <c r="C955" s="14" t="str">
        <f>IF($A955&lt;&gt;"",MINIFS(Merchant!$A:$A,Merchant!$B:$B,$G$2),)</f>
        <v/>
      </c>
      <c r="D955" s="14" t="str">
        <f t="shared" si="2"/>
        <v/>
      </c>
      <c r="E955" s="14" t="str">
        <f t="shared" si="3"/>
        <v/>
      </c>
      <c r="F955" s="6" t="str">
        <f>IF($A955&lt;&gt;"",MAXIFS(Token!$B:$B,Token!$A:$A,$D955),)</f>
        <v/>
      </c>
    </row>
    <row r="956">
      <c r="A956" s="35" t="str">
        <f>IF(AND($L956*1&gt;=$G$3,$L956*1&lt;=$G$4,$I956*$J956&gt;0,CONCATENATE($H956:$L956)&lt;&gt;CONCATENATE($H957:$L957),$I956/POW(10,$J956)*MAXIFS(Token!$B:$B,Token!$A:$A,$K956)&gt;0.01),$L956/86400+DATE(1970,1,1)+IF($L956*1&gt;=$G$5,$G$6,0),)</f>
        <v/>
      </c>
      <c r="B956" s="22" t="str">
        <f t="shared" si="1"/>
        <v/>
      </c>
      <c r="C956" s="14" t="str">
        <f>IF($A956&lt;&gt;"",MINIFS(Merchant!$A:$A,Merchant!$B:$B,$G$2),)</f>
        <v/>
      </c>
      <c r="D956" s="14" t="str">
        <f t="shared" si="2"/>
        <v/>
      </c>
      <c r="E956" s="14" t="str">
        <f t="shared" si="3"/>
        <v/>
      </c>
      <c r="F956" s="6" t="str">
        <f>IF($A956&lt;&gt;"",MAXIFS(Token!$B:$B,Token!$A:$A,$D956),)</f>
        <v/>
      </c>
    </row>
    <row r="957">
      <c r="A957" s="35" t="str">
        <f>IF(AND($L957*1&gt;=$G$3,$L957*1&lt;=$G$4,$I957*$J957&gt;0,CONCATENATE($H957:$L957)&lt;&gt;CONCATENATE($H958:$L958),$I957/POW(10,$J957)*MAXIFS(Token!$B:$B,Token!$A:$A,$K957)&gt;0.01),$L957/86400+DATE(1970,1,1)+IF($L957*1&gt;=$G$5,$G$6,0),)</f>
        <v/>
      </c>
      <c r="B957" s="22" t="str">
        <f t="shared" si="1"/>
        <v/>
      </c>
      <c r="C957" s="14" t="str">
        <f>IF($A957&lt;&gt;"",MINIFS(Merchant!$A:$A,Merchant!$B:$B,$G$2),)</f>
        <v/>
      </c>
      <c r="D957" s="14" t="str">
        <f t="shared" si="2"/>
        <v/>
      </c>
      <c r="E957" s="14" t="str">
        <f t="shared" si="3"/>
        <v/>
      </c>
      <c r="F957" s="6" t="str">
        <f>IF($A957&lt;&gt;"",MAXIFS(Token!$B:$B,Token!$A:$A,$D957),)</f>
        <v/>
      </c>
    </row>
    <row r="958">
      <c r="A958" s="35" t="str">
        <f>IF(AND($L958*1&gt;=$G$3,$L958*1&lt;=$G$4,$I958*$J958&gt;0,CONCATENATE($H958:$L958)&lt;&gt;CONCATENATE($H959:$L959),$I958/POW(10,$J958)*MAXIFS(Token!$B:$B,Token!$A:$A,$K958)&gt;0.01),$L958/86400+DATE(1970,1,1)+IF($L958*1&gt;=$G$5,$G$6,0),)</f>
        <v/>
      </c>
      <c r="B958" s="22" t="str">
        <f t="shared" si="1"/>
        <v/>
      </c>
      <c r="C958" s="14" t="str">
        <f>IF($A958&lt;&gt;"",MINIFS(Merchant!$A:$A,Merchant!$B:$B,$G$2),)</f>
        <v/>
      </c>
      <c r="D958" s="14" t="str">
        <f t="shared" si="2"/>
        <v/>
      </c>
      <c r="E958" s="14" t="str">
        <f t="shared" si="3"/>
        <v/>
      </c>
      <c r="F958" s="6" t="str">
        <f>IF($A958&lt;&gt;"",MAXIFS(Token!$B:$B,Token!$A:$A,$D958),)</f>
        <v/>
      </c>
    </row>
    <row r="959">
      <c r="A959" s="35" t="str">
        <f>IF(AND($L959*1&gt;=$G$3,$L959*1&lt;=$G$4,$I959*$J959&gt;0,CONCATENATE($H959:$L959)&lt;&gt;CONCATENATE($H960:$L960),$I959/POW(10,$J959)*MAXIFS(Token!$B:$B,Token!$A:$A,$K959)&gt;0.01),$L959/86400+DATE(1970,1,1)+IF($L959*1&gt;=$G$5,$G$6,0),)</f>
        <v/>
      </c>
      <c r="B959" s="22" t="str">
        <f t="shared" si="1"/>
        <v/>
      </c>
      <c r="C959" s="14" t="str">
        <f>IF($A959&lt;&gt;"",MINIFS(Merchant!$A:$A,Merchant!$B:$B,$G$2),)</f>
        <v/>
      </c>
      <c r="D959" s="14" t="str">
        <f t="shared" si="2"/>
        <v/>
      </c>
      <c r="E959" s="14" t="str">
        <f t="shared" si="3"/>
        <v/>
      </c>
      <c r="F959" s="6" t="str">
        <f>IF($A959&lt;&gt;"",MAXIFS(Token!$B:$B,Token!$A:$A,$D959),)</f>
        <v/>
      </c>
    </row>
    <row r="960">
      <c r="A960" s="35" t="str">
        <f>IF(AND($L960*1&gt;=$G$3,$L960*1&lt;=$G$4,$I960*$J960&gt;0,CONCATENATE($H960:$L960)&lt;&gt;CONCATENATE($H961:$L961),$I960/POW(10,$J960)*MAXIFS(Token!$B:$B,Token!$A:$A,$K960)&gt;0.01),$L960/86400+DATE(1970,1,1)+IF($L960*1&gt;=$G$5,$G$6,0),)</f>
        <v/>
      </c>
      <c r="B960" s="22" t="str">
        <f t="shared" si="1"/>
        <v/>
      </c>
      <c r="C960" s="14" t="str">
        <f>IF($A960&lt;&gt;"",MINIFS(Merchant!$A:$A,Merchant!$B:$B,$G$2),)</f>
        <v/>
      </c>
      <c r="D960" s="14" t="str">
        <f t="shared" si="2"/>
        <v/>
      </c>
      <c r="E960" s="14" t="str">
        <f t="shared" si="3"/>
        <v/>
      </c>
      <c r="F960" s="6" t="str">
        <f>IF($A960&lt;&gt;"",MAXIFS(Token!$B:$B,Token!$A:$A,$D960),)</f>
        <v/>
      </c>
    </row>
    <row r="961">
      <c r="A961" s="35" t="str">
        <f>IF(AND($L961*1&gt;=$G$3,$L961*1&lt;=$G$4,$I961*$J961&gt;0,CONCATENATE($H961:$L961)&lt;&gt;CONCATENATE($H962:$L962),$I961/POW(10,$J961)*MAXIFS(Token!$B:$B,Token!$A:$A,$K961)&gt;0.01),$L961/86400+DATE(1970,1,1)+IF($L961*1&gt;=$G$5,$G$6,0),)</f>
        <v/>
      </c>
      <c r="B961" s="22" t="str">
        <f t="shared" si="1"/>
        <v/>
      </c>
      <c r="C961" s="14" t="str">
        <f>IF($A961&lt;&gt;"",MINIFS(Merchant!$A:$A,Merchant!$B:$B,$G$2),)</f>
        <v/>
      </c>
      <c r="D961" s="14" t="str">
        <f t="shared" si="2"/>
        <v/>
      </c>
      <c r="E961" s="14" t="str">
        <f t="shared" si="3"/>
        <v/>
      </c>
      <c r="F961" s="6" t="str">
        <f>IF($A961&lt;&gt;"",MAXIFS(Token!$B:$B,Token!$A:$A,$D961),)</f>
        <v/>
      </c>
    </row>
    <row r="962">
      <c r="A962" s="35" t="str">
        <f>IF(AND($L962*1&gt;=$G$3,$L962*1&lt;=$G$4,$I962*$J962&gt;0,CONCATENATE($H962:$L962)&lt;&gt;CONCATENATE($H963:$L963),$I962/POW(10,$J962)*MAXIFS(Token!$B:$B,Token!$A:$A,$K962)&gt;0.01),$L962/86400+DATE(1970,1,1)+IF($L962*1&gt;=$G$5,$G$6,0),)</f>
        <v/>
      </c>
      <c r="B962" s="22" t="str">
        <f t="shared" si="1"/>
        <v/>
      </c>
      <c r="C962" s="14" t="str">
        <f>IF($A962&lt;&gt;"",MINIFS(Merchant!$A:$A,Merchant!$B:$B,$G$2),)</f>
        <v/>
      </c>
      <c r="D962" s="14" t="str">
        <f t="shared" si="2"/>
        <v/>
      </c>
      <c r="E962" s="14" t="str">
        <f t="shared" si="3"/>
        <v/>
      </c>
      <c r="F962" s="6" t="str">
        <f>IF($A962&lt;&gt;"",MAXIFS(Token!$B:$B,Token!$A:$A,$D962),)</f>
        <v/>
      </c>
    </row>
    <row r="963">
      <c r="A963" s="35" t="str">
        <f>IF(AND($L963*1&gt;=$G$3,$L963*1&lt;=$G$4,$I963*$J963&gt;0,CONCATENATE($H963:$L963)&lt;&gt;CONCATENATE($H964:$L964),$I963/POW(10,$J963)*MAXIFS(Token!$B:$B,Token!$A:$A,$K963)&gt;0.01),$L963/86400+DATE(1970,1,1)+IF($L963*1&gt;=$G$5,$G$6,0),)</f>
        <v/>
      </c>
      <c r="B963" s="22" t="str">
        <f t="shared" si="1"/>
        <v/>
      </c>
      <c r="C963" s="14" t="str">
        <f>IF($A963&lt;&gt;"",MINIFS(Merchant!$A:$A,Merchant!$B:$B,$G$2),)</f>
        <v/>
      </c>
      <c r="D963" s="14" t="str">
        <f t="shared" si="2"/>
        <v/>
      </c>
      <c r="E963" s="14" t="str">
        <f t="shared" si="3"/>
        <v/>
      </c>
      <c r="F963" s="6" t="str">
        <f>IF($A963&lt;&gt;"",MAXIFS(Token!$B:$B,Token!$A:$A,$D963),)</f>
        <v/>
      </c>
    </row>
    <row r="964">
      <c r="A964" s="35" t="str">
        <f>IF(AND($L964*1&gt;=$G$3,$L964*1&lt;=$G$4,$I964*$J964&gt;0,CONCATENATE($H964:$L964)&lt;&gt;CONCATENATE($H965:$L965),$I964/POW(10,$J964)*MAXIFS(Token!$B:$B,Token!$A:$A,$K964)&gt;0.01),$L964/86400+DATE(1970,1,1)+IF($L964*1&gt;=$G$5,$G$6,0),)</f>
        <v/>
      </c>
      <c r="B964" s="22" t="str">
        <f t="shared" si="1"/>
        <v/>
      </c>
      <c r="C964" s="14" t="str">
        <f>IF($A964&lt;&gt;"",MINIFS(Merchant!$A:$A,Merchant!$B:$B,$G$2),)</f>
        <v/>
      </c>
      <c r="D964" s="14" t="str">
        <f t="shared" si="2"/>
        <v/>
      </c>
      <c r="E964" s="14" t="str">
        <f t="shared" si="3"/>
        <v/>
      </c>
      <c r="F964" s="6" t="str">
        <f>IF($A964&lt;&gt;"",MAXIFS(Token!$B:$B,Token!$A:$A,$D964),)</f>
        <v/>
      </c>
    </row>
    <row r="965">
      <c r="A965" s="35" t="str">
        <f>IF(AND($L965*1&gt;=$G$3,$L965*1&lt;=$G$4,$I965*$J965&gt;0,CONCATENATE($H965:$L965)&lt;&gt;CONCATENATE($H966:$L966),$I965/POW(10,$J965)*MAXIFS(Token!$B:$B,Token!$A:$A,$K965)&gt;0.01),$L965/86400+DATE(1970,1,1)+IF($L965*1&gt;=$G$5,$G$6,0),)</f>
        <v/>
      </c>
      <c r="B965" s="22" t="str">
        <f t="shared" si="1"/>
        <v/>
      </c>
      <c r="C965" s="14" t="str">
        <f>IF($A965&lt;&gt;"",MINIFS(Merchant!$A:$A,Merchant!$B:$B,$G$2),)</f>
        <v/>
      </c>
      <c r="D965" s="14" t="str">
        <f t="shared" si="2"/>
        <v/>
      </c>
      <c r="E965" s="14" t="str">
        <f t="shared" si="3"/>
        <v/>
      </c>
      <c r="F965" s="6" t="str">
        <f>IF($A965&lt;&gt;"",MAXIFS(Token!$B:$B,Token!$A:$A,$D965),)</f>
        <v/>
      </c>
    </row>
    <row r="966">
      <c r="A966" s="35" t="str">
        <f>IF(AND($L966*1&gt;=$G$3,$L966*1&lt;=$G$4,$I966*$J966&gt;0,CONCATENATE($H966:$L966)&lt;&gt;CONCATENATE($H967:$L967),$I966/POW(10,$J966)*MAXIFS(Token!$B:$B,Token!$A:$A,$K966)&gt;0.01),$L966/86400+DATE(1970,1,1)+IF($L966*1&gt;=$G$5,$G$6,0),)</f>
        <v/>
      </c>
      <c r="B966" s="22" t="str">
        <f t="shared" si="1"/>
        <v/>
      </c>
      <c r="C966" s="14" t="str">
        <f>IF($A966&lt;&gt;"",MINIFS(Merchant!$A:$A,Merchant!$B:$B,$G$2),)</f>
        <v/>
      </c>
      <c r="D966" s="14" t="str">
        <f t="shared" si="2"/>
        <v/>
      </c>
      <c r="E966" s="14" t="str">
        <f t="shared" si="3"/>
        <v/>
      </c>
      <c r="F966" s="6" t="str">
        <f>IF($A966&lt;&gt;"",MAXIFS(Token!$B:$B,Token!$A:$A,$D966),)</f>
        <v/>
      </c>
    </row>
    <row r="967">
      <c r="A967" s="35" t="str">
        <f>IF(AND($L967*1&gt;=$G$3,$L967*1&lt;=$G$4,$I967*$J967&gt;0,CONCATENATE($H967:$L967)&lt;&gt;CONCATENATE($H968:$L968),$I967/POW(10,$J967)*MAXIFS(Token!$B:$B,Token!$A:$A,$K967)&gt;0.01),$L967/86400+DATE(1970,1,1)+IF($L967*1&gt;=$G$5,$G$6,0),)</f>
        <v/>
      </c>
      <c r="B967" s="22" t="str">
        <f t="shared" si="1"/>
        <v/>
      </c>
      <c r="C967" s="14" t="str">
        <f>IF($A967&lt;&gt;"",MINIFS(Merchant!$A:$A,Merchant!$B:$B,$G$2),)</f>
        <v/>
      </c>
      <c r="D967" s="14" t="str">
        <f t="shared" si="2"/>
        <v/>
      </c>
      <c r="E967" s="14" t="str">
        <f t="shared" si="3"/>
        <v/>
      </c>
      <c r="F967" s="6" t="str">
        <f>IF($A967&lt;&gt;"",MAXIFS(Token!$B:$B,Token!$A:$A,$D967),)</f>
        <v/>
      </c>
    </row>
    <row r="968">
      <c r="A968" s="35" t="str">
        <f>IF(AND($L968*1&gt;=$G$3,$L968*1&lt;=$G$4,$I968*$J968&gt;0,CONCATENATE($H968:$L968)&lt;&gt;CONCATENATE($H969:$L969),$I968/POW(10,$J968)*MAXIFS(Token!$B:$B,Token!$A:$A,$K968)&gt;0.01),$L968/86400+DATE(1970,1,1)+IF($L968*1&gt;=$G$5,$G$6,0),)</f>
        <v/>
      </c>
      <c r="B968" s="22" t="str">
        <f t="shared" si="1"/>
        <v/>
      </c>
      <c r="C968" s="14" t="str">
        <f>IF($A968&lt;&gt;"",MINIFS(Merchant!$A:$A,Merchant!$B:$B,$G$2),)</f>
        <v/>
      </c>
      <c r="D968" s="14" t="str">
        <f t="shared" si="2"/>
        <v/>
      </c>
      <c r="E968" s="14" t="str">
        <f t="shared" si="3"/>
        <v/>
      </c>
      <c r="F968" s="6" t="str">
        <f>IF($A968&lt;&gt;"",MAXIFS(Token!$B:$B,Token!$A:$A,$D968),)</f>
        <v/>
      </c>
    </row>
    <row r="969">
      <c r="A969" s="35" t="str">
        <f>IF(AND($L969*1&gt;=$G$3,$L969*1&lt;=$G$4,$I969*$J969&gt;0,CONCATENATE($H969:$L969)&lt;&gt;CONCATENATE($H970:$L970),$I969/POW(10,$J969)*MAXIFS(Token!$B:$B,Token!$A:$A,$K969)&gt;0.01),$L969/86400+DATE(1970,1,1)+IF($L969*1&gt;=$G$5,$G$6,0),)</f>
        <v/>
      </c>
      <c r="B969" s="22" t="str">
        <f t="shared" si="1"/>
        <v/>
      </c>
      <c r="C969" s="14" t="str">
        <f>IF($A969&lt;&gt;"",MINIFS(Merchant!$A:$A,Merchant!$B:$B,$G$2),)</f>
        <v/>
      </c>
      <c r="D969" s="14" t="str">
        <f t="shared" si="2"/>
        <v/>
      </c>
      <c r="E969" s="14" t="str">
        <f t="shared" si="3"/>
        <v/>
      </c>
      <c r="F969" s="6" t="str">
        <f>IF($A969&lt;&gt;"",MAXIFS(Token!$B:$B,Token!$A:$A,$D969),)</f>
        <v/>
      </c>
    </row>
    <row r="970">
      <c r="A970" s="35" t="str">
        <f>IF(AND($L970*1&gt;=$G$3,$L970*1&lt;=$G$4,$I970*$J970&gt;0,CONCATENATE($H970:$L970)&lt;&gt;CONCATENATE($H971:$L971),$I970/POW(10,$J970)*MAXIFS(Token!$B:$B,Token!$A:$A,$K970)&gt;0.01),$L970/86400+DATE(1970,1,1)+IF($L970*1&gt;=$G$5,$G$6,0),)</f>
        <v/>
      </c>
      <c r="B970" s="22" t="str">
        <f t="shared" si="1"/>
        <v/>
      </c>
      <c r="C970" s="14" t="str">
        <f>IF($A970&lt;&gt;"",MINIFS(Merchant!$A:$A,Merchant!$B:$B,$G$2),)</f>
        <v/>
      </c>
      <c r="D970" s="14" t="str">
        <f t="shared" si="2"/>
        <v/>
      </c>
      <c r="E970" s="14" t="str">
        <f t="shared" si="3"/>
        <v/>
      </c>
      <c r="F970" s="6" t="str">
        <f>IF($A970&lt;&gt;"",MAXIFS(Token!$B:$B,Token!$A:$A,$D970),)</f>
        <v/>
      </c>
    </row>
    <row r="971">
      <c r="A971" s="35" t="str">
        <f>IF(AND($L971*1&gt;=$G$3,$L971*1&lt;=$G$4,$I971*$J971&gt;0,CONCATENATE($H971:$L971)&lt;&gt;CONCATENATE($H972:$L972),$I971/POW(10,$J971)*MAXIFS(Token!$B:$B,Token!$A:$A,$K971)&gt;0.01),$L971/86400+DATE(1970,1,1)+IF($L971*1&gt;=$G$5,$G$6,0),)</f>
        <v/>
      </c>
      <c r="B971" s="22" t="str">
        <f t="shared" si="1"/>
        <v/>
      </c>
      <c r="C971" s="14" t="str">
        <f>IF($A971&lt;&gt;"",MINIFS(Merchant!$A:$A,Merchant!$B:$B,$G$2),)</f>
        <v/>
      </c>
      <c r="D971" s="14" t="str">
        <f t="shared" si="2"/>
        <v/>
      </c>
      <c r="E971" s="14" t="str">
        <f t="shared" si="3"/>
        <v/>
      </c>
      <c r="F971" s="6" t="str">
        <f>IF($A971&lt;&gt;"",MAXIFS(Token!$B:$B,Token!$A:$A,$D971),)</f>
        <v/>
      </c>
    </row>
    <row r="972">
      <c r="A972" s="35" t="str">
        <f>IF(AND($L972*1&gt;=$G$3,$L972*1&lt;=$G$4,$I972*$J972&gt;0,CONCATENATE($H972:$L972)&lt;&gt;CONCATENATE($H973:$L973),$I972/POW(10,$J972)*MAXIFS(Token!$B:$B,Token!$A:$A,$K972)&gt;0.01),$L972/86400+DATE(1970,1,1)+IF($L972*1&gt;=$G$5,$G$6,0),)</f>
        <v/>
      </c>
      <c r="B972" s="22" t="str">
        <f t="shared" si="1"/>
        <v/>
      </c>
      <c r="C972" s="14" t="str">
        <f>IF($A972&lt;&gt;"",MINIFS(Merchant!$A:$A,Merchant!$B:$B,$G$2),)</f>
        <v/>
      </c>
      <c r="D972" s="14" t="str">
        <f t="shared" si="2"/>
        <v/>
      </c>
      <c r="E972" s="14" t="str">
        <f t="shared" si="3"/>
        <v/>
      </c>
      <c r="F972" s="6" t="str">
        <f>IF($A972&lt;&gt;"",MAXIFS(Token!$B:$B,Token!$A:$A,$D972),)</f>
        <v/>
      </c>
    </row>
    <row r="973">
      <c r="A973" s="35" t="str">
        <f>IF(AND($L973*1&gt;=$G$3,$L973*1&lt;=$G$4,$I973*$J973&gt;0,CONCATENATE($H973:$L973)&lt;&gt;CONCATENATE($H974:$L974),$I973/POW(10,$J973)*MAXIFS(Token!$B:$B,Token!$A:$A,$K973)&gt;0.01),$L973/86400+DATE(1970,1,1)+IF($L973*1&gt;=$G$5,$G$6,0),)</f>
        <v/>
      </c>
      <c r="B973" s="22" t="str">
        <f t="shared" si="1"/>
        <v/>
      </c>
      <c r="C973" s="14" t="str">
        <f>IF($A973&lt;&gt;"",MINIFS(Merchant!$A:$A,Merchant!$B:$B,$G$2),)</f>
        <v/>
      </c>
      <c r="D973" s="14" t="str">
        <f t="shared" si="2"/>
        <v/>
      </c>
      <c r="E973" s="14" t="str">
        <f t="shared" si="3"/>
        <v/>
      </c>
      <c r="F973" s="6" t="str">
        <f>IF($A973&lt;&gt;"",MAXIFS(Token!$B:$B,Token!$A:$A,$D973),)</f>
        <v/>
      </c>
    </row>
    <row r="974">
      <c r="A974" s="35" t="str">
        <f>IF(AND($L974*1&gt;=$G$3,$L974*1&lt;=$G$4,$I974*$J974&gt;0,CONCATENATE($H974:$L974)&lt;&gt;CONCATENATE($H975:$L975),$I974/POW(10,$J974)*MAXIFS(Token!$B:$B,Token!$A:$A,$K974)&gt;0.01),$L974/86400+DATE(1970,1,1)+IF($L974*1&gt;=$G$5,$G$6,0),)</f>
        <v/>
      </c>
      <c r="B974" s="22" t="str">
        <f t="shared" si="1"/>
        <v/>
      </c>
      <c r="C974" s="14" t="str">
        <f>IF($A974&lt;&gt;"",MINIFS(Merchant!$A:$A,Merchant!$B:$B,$G$2),)</f>
        <v/>
      </c>
      <c r="D974" s="14" t="str">
        <f t="shared" si="2"/>
        <v/>
      </c>
      <c r="E974" s="14" t="str">
        <f t="shared" si="3"/>
        <v/>
      </c>
      <c r="F974" s="6" t="str">
        <f>IF($A974&lt;&gt;"",MAXIFS(Token!$B:$B,Token!$A:$A,$D974),)</f>
        <v/>
      </c>
    </row>
    <row r="975">
      <c r="A975" s="35" t="str">
        <f>IF(AND($L975*1&gt;=$G$3,$L975*1&lt;=$G$4,$I975*$J975&gt;0,CONCATENATE($H975:$L975)&lt;&gt;CONCATENATE($H976:$L976),$I975/POW(10,$J975)*MAXIFS(Token!$B:$B,Token!$A:$A,$K975)&gt;0.01),$L975/86400+DATE(1970,1,1)+IF($L975*1&gt;=$G$5,$G$6,0),)</f>
        <v/>
      </c>
      <c r="B975" s="22" t="str">
        <f t="shared" si="1"/>
        <v/>
      </c>
      <c r="C975" s="14" t="str">
        <f>IF($A975&lt;&gt;"",MINIFS(Merchant!$A:$A,Merchant!$B:$B,$G$2),)</f>
        <v/>
      </c>
      <c r="D975" s="14" t="str">
        <f t="shared" si="2"/>
        <v/>
      </c>
      <c r="E975" s="14" t="str">
        <f t="shared" si="3"/>
        <v/>
      </c>
      <c r="F975" s="6" t="str">
        <f>IF($A975&lt;&gt;"",MAXIFS(Token!$B:$B,Token!$A:$A,$D975),)</f>
        <v/>
      </c>
    </row>
    <row r="976">
      <c r="A976" s="35" t="str">
        <f>IF(AND($L976*1&gt;=$G$3,$L976*1&lt;=$G$4,$I976*$J976&gt;0,CONCATENATE($H976:$L976)&lt;&gt;CONCATENATE($H977:$L977),$I976/POW(10,$J976)*MAXIFS(Token!$B:$B,Token!$A:$A,$K976)&gt;0.01),$L976/86400+DATE(1970,1,1)+IF($L976*1&gt;=$G$5,$G$6,0),)</f>
        <v/>
      </c>
      <c r="B976" s="22" t="str">
        <f t="shared" si="1"/>
        <v/>
      </c>
      <c r="C976" s="14" t="str">
        <f>IF($A976&lt;&gt;"",MINIFS(Merchant!$A:$A,Merchant!$B:$B,$G$2),)</f>
        <v/>
      </c>
      <c r="D976" s="14" t="str">
        <f t="shared" si="2"/>
        <v/>
      </c>
      <c r="E976" s="14" t="str">
        <f t="shared" si="3"/>
        <v/>
      </c>
      <c r="F976" s="6" t="str">
        <f>IF($A976&lt;&gt;"",MAXIFS(Token!$B:$B,Token!$A:$A,$D976),)</f>
        <v/>
      </c>
    </row>
    <row r="977">
      <c r="A977" s="35" t="str">
        <f>IF(AND($L977*1&gt;=$G$3,$L977*1&lt;=$G$4,$I977*$J977&gt;0,CONCATENATE($H977:$L977)&lt;&gt;CONCATENATE($H978:$L978),$I977/POW(10,$J977)*MAXIFS(Token!$B:$B,Token!$A:$A,$K977)&gt;0.01),$L977/86400+DATE(1970,1,1)+IF($L977*1&gt;=$G$5,$G$6,0),)</f>
        <v/>
      </c>
      <c r="B977" s="22" t="str">
        <f t="shared" si="1"/>
        <v/>
      </c>
      <c r="C977" s="14" t="str">
        <f>IF($A977&lt;&gt;"",MINIFS(Merchant!$A:$A,Merchant!$B:$B,$G$2),)</f>
        <v/>
      </c>
      <c r="D977" s="14" t="str">
        <f t="shared" si="2"/>
        <v/>
      </c>
      <c r="E977" s="14" t="str">
        <f t="shared" si="3"/>
        <v/>
      </c>
      <c r="F977" s="6" t="str">
        <f>IF($A977&lt;&gt;"",MAXIFS(Token!$B:$B,Token!$A:$A,$D977),)</f>
        <v/>
      </c>
    </row>
    <row r="978">
      <c r="A978" s="35" t="str">
        <f>IF(AND($L978*1&gt;=$G$3,$L978*1&lt;=$G$4,$I978*$J978&gt;0,CONCATENATE($H978:$L978)&lt;&gt;CONCATENATE($H979:$L979),$I978/POW(10,$J978)*MAXIFS(Token!$B:$B,Token!$A:$A,$K978)&gt;0.01),$L978/86400+DATE(1970,1,1)+IF($L978*1&gt;=$G$5,$G$6,0),)</f>
        <v/>
      </c>
      <c r="B978" s="22" t="str">
        <f t="shared" si="1"/>
        <v/>
      </c>
      <c r="C978" s="14" t="str">
        <f>IF($A978&lt;&gt;"",MINIFS(Merchant!$A:$A,Merchant!$B:$B,$G$2),)</f>
        <v/>
      </c>
      <c r="D978" s="14" t="str">
        <f t="shared" si="2"/>
        <v/>
      </c>
      <c r="E978" s="14" t="str">
        <f t="shared" si="3"/>
        <v/>
      </c>
      <c r="F978" s="6" t="str">
        <f>IF($A978&lt;&gt;"",MAXIFS(Token!$B:$B,Token!$A:$A,$D978),)</f>
        <v/>
      </c>
    </row>
    <row r="979">
      <c r="A979" s="35" t="str">
        <f>IF(AND($L979*1&gt;=$G$3,$L979*1&lt;=$G$4,$I979*$J979&gt;0,CONCATENATE($H979:$L979)&lt;&gt;CONCATENATE($H980:$L980),$I979/POW(10,$J979)*MAXIFS(Token!$B:$B,Token!$A:$A,$K979)&gt;0.01),$L979/86400+DATE(1970,1,1)+IF($L979*1&gt;=$G$5,$G$6,0),)</f>
        <v/>
      </c>
      <c r="B979" s="22" t="str">
        <f t="shared" si="1"/>
        <v/>
      </c>
      <c r="C979" s="14" t="str">
        <f>IF($A979&lt;&gt;"",MINIFS(Merchant!$A:$A,Merchant!$B:$B,$G$2),)</f>
        <v/>
      </c>
      <c r="D979" s="14" t="str">
        <f t="shared" si="2"/>
        <v/>
      </c>
      <c r="E979" s="14" t="str">
        <f t="shared" si="3"/>
        <v/>
      </c>
      <c r="F979" s="6" t="str">
        <f>IF($A979&lt;&gt;"",MAXIFS(Token!$B:$B,Token!$A:$A,$D979),)</f>
        <v/>
      </c>
    </row>
    <row r="980">
      <c r="A980" s="35" t="str">
        <f>IF(AND($L980*1&gt;=$G$3,$L980*1&lt;=$G$4,$I980*$J980&gt;0,CONCATENATE($H980:$L980)&lt;&gt;CONCATENATE($H981:$L981),$I980/POW(10,$J980)*MAXIFS(Token!$B:$B,Token!$A:$A,$K980)&gt;0.01),$L980/86400+DATE(1970,1,1)+IF($L980*1&gt;=$G$5,$G$6,0),)</f>
        <v/>
      </c>
      <c r="B980" s="22" t="str">
        <f t="shared" si="1"/>
        <v/>
      </c>
      <c r="C980" s="14" t="str">
        <f>IF($A980&lt;&gt;"",MINIFS(Merchant!$A:$A,Merchant!$B:$B,$G$2),)</f>
        <v/>
      </c>
      <c r="D980" s="14" t="str">
        <f t="shared" si="2"/>
        <v/>
      </c>
      <c r="E980" s="14" t="str">
        <f t="shared" si="3"/>
        <v/>
      </c>
      <c r="F980" s="6" t="str">
        <f>IF($A980&lt;&gt;"",MAXIFS(Token!$B:$B,Token!$A:$A,$D980),)</f>
        <v/>
      </c>
    </row>
    <row r="981">
      <c r="A981" s="35" t="str">
        <f>IF(AND($L981*1&gt;=$G$3,$L981*1&lt;=$G$4,$I981*$J981&gt;0,CONCATENATE($H981:$L981)&lt;&gt;CONCATENATE($H982:$L982),$I981/POW(10,$J981)*MAXIFS(Token!$B:$B,Token!$A:$A,$K981)&gt;0.01),$L981/86400+DATE(1970,1,1)+IF($L981*1&gt;=$G$5,$G$6,0),)</f>
        <v/>
      </c>
      <c r="B981" s="22" t="str">
        <f t="shared" si="1"/>
        <v/>
      </c>
      <c r="C981" s="14" t="str">
        <f>IF($A981&lt;&gt;"",MINIFS(Merchant!$A:$A,Merchant!$B:$B,$G$2),)</f>
        <v/>
      </c>
      <c r="D981" s="14" t="str">
        <f t="shared" si="2"/>
        <v/>
      </c>
      <c r="E981" s="14" t="str">
        <f t="shared" si="3"/>
        <v/>
      </c>
      <c r="F981" s="6" t="str">
        <f>IF($A981&lt;&gt;"",MAXIFS(Token!$B:$B,Token!$A:$A,$D981),)</f>
        <v/>
      </c>
    </row>
    <row r="982">
      <c r="A982" s="35" t="str">
        <f>IF(AND($L982*1&gt;=$G$3,$L982*1&lt;=$G$4,$I982*$J982&gt;0,CONCATENATE($H982:$L982)&lt;&gt;CONCATENATE($H983:$L983),$I982/POW(10,$J982)*MAXIFS(Token!$B:$B,Token!$A:$A,$K982)&gt;0.01),$L982/86400+DATE(1970,1,1)+IF($L982*1&gt;=$G$5,$G$6,0),)</f>
        <v/>
      </c>
      <c r="B982" s="22" t="str">
        <f t="shared" si="1"/>
        <v/>
      </c>
      <c r="C982" s="14" t="str">
        <f>IF($A982&lt;&gt;"",MINIFS(Merchant!$A:$A,Merchant!$B:$B,$G$2),)</f>
        <v/>
      </c>
      <c r="D982" s="14" t="str">
        <f t="shared" si="2"/>
        <v/>
      </c>
      <c r="E982" s="14" t="str">
        <f t="shared" si="3"/>
        <v/>
      </c>
      <c r="F982" s="6" t="str">
        <f>IF($A982&lt;&gt;"",MAXIFS(Token!$B:$B,Token!$A:$A,$D982),)</f>
        <v/>
      </c>
    </row>
    <row r="983">
      <c r="A983" s="35" t="str">
        <f>IF(AND($L983*1&gt;=$G$3,$L983*1&lt;=$G$4,$I983*$J983&gt;0,CONCATENATE($H983:$L983)&lt;&gt;CONCATENATE($H984:$L984),$I983/POW(10,$J983)*MAXIFS(Token!$B:$B,Token!$A:$A,$K983)&gt;0.01),$L983/86400+DATE(1970,1,1)+IF($L983*1&gt;=$G$5,$G$6,0),)</f>
        <v/>
      </c>
      <c r="B983" s="22" t="str">
        <f t="shared" si="1"/>
        <v/>
      </c>
      <c r="C983" s="14" t="str">
        <f>IF($A983&lt;&gt;"",MINIFS(Merchant!$A:$A,Merchant!$B:$B,$G$2),)</f>
        <v/>
      </c>
      <c r="D983" s="14" t="str">
        <f t="shared" si="2"/>
        <v/>
      </c>
      <c r="E983" s="14" t="str">
        <f t="shared" si="3"/>
        <v/>
      </c>
      <c r="F983" s="6" t="str">
        <f>IF($A983&lt;&gt;"",MAXIFS(Token!$B:$B,Token!$A:$A,$D983),)</f>
        <v/>
      </c>
    </row>
    <row r="984">
      <c r="A984" s="35" t="str">
        <f>IF(AND($L984*1&gt;=$G$3,$L984*1&lt;=$G$4,$I984*$J984&gt;0,CONCATENATE($H984:$L984)&lt;&gt;CONCATENATE($H985:$L985),$I984/POW(10,$J984)*MAXIFS(Token!$B:$B,Token!$A:$A,$K984)&gt;0.01),$L984/86400+DATE(1970,1,1)+IF($L984*1&gt;=$G$5,$G$6,0),)</f>
        <v/>
      </c>
      <c r="B984" s="22" t="str">
        <f t="shared" si="1"/>
        <v/>
      </c>
      <c r="C984" s="14" t="str">
        <f>IF($A984&lt;&gt;"",MINIFS(Merchant!$A:$A,Merchant!$B:$B,$G$2),)</f>
        <v/>
      </c>
      <c r="D984" s="14" t="str">
        <f t="shared" si="2"/>
        <v/>
      </c>
      <c r="E984" s="14" t="str">
        <f t="shared" si="3"/>
        <v/>
      </c>
      <c r="F984" s="6" t="str">
        <f>IF($A984&lt;&gt;"",MAXIFS(Token!$B:$B,Token!$A:$A,$D984),)</f>
        <v/>
      </c>
    </row>
    <row r="985">
      <c r="A985" s="35" t="str">
        <f>IF(AND($L985*1&gt;=$G$3,$L985*1&lt;=$G$4,$I985*$J985&gt;0,CONCATENATE($H985:$L985)&lt;&gt;CONCATENATE($H986:$L986),$I985/POW(10,$J985)*MAXIFS(Token!$B:$B,Token!$A:$A,$K985)&gt;0.01),$L985/86400+DATE(1970,1,1)+IF($L985*1&gt;=$G$5,$G$6,0),)</f>
        <v/>
      </c>
      <c r="B985" s="22" t="str">
        <f t="shared" si="1"/>
        <v/>
      </c>
      <c r="C985" s="14" t="str">
        <f>IF($A985&lt;&gt;"",MINIFS(Merchant!$A:$A,Merchant!$B:$B,$G$2),)</f>
        <v/>
      </c>
      <c r="D985" s="14" t="str">
        <f t="shared" si="2"/>
        <v/>
      </c>
      <c r="E985" s="14" t="str">
        <f t="shared" si="3"/>
        <v/>
      </c>
      <c r="F985" s="6" t="str">
        <f>IF($A985&lt;&gt;"",MAXIFS(Token!$B:$B,Token!$A:$A,$D985),)</f>
        <v/>
      </c>
    </row>
    <row r="986">
      <c r="A986" s="35" t="str">
        <f>IF(AND($L986*1&gt;=$G$3,$L986*1&lt;=$G$4,$I986*$J986&gt;0,CONCATENATE($H986:$L986)&lt;&gt;CONCATENATE($H987:$L987),$I986/POW(10,$J986)*MAXIFS(Token!$B:$B,Token!$A:$A,$K986)&gt;0.01),$L986/86400+DATE(1970,1,1)+IF($L986*1&gt;=$G$5,$G$6,0),)</f>
        <v/>
      </c>
      <c r="B986" s="22" t="str">
        <f t="shared" si="1"/>
        <v/>
      </c>
      <c r="C986" s="14" t="str">
        <f>IF($A986&lt;&gt;"",MINIFS(Merchant!$A:$A,Merchant!$B:$B,$G$2),)</f>
        <v/>
      </c>
      <c r="D986" s="14" t="str">
        <f t="shared" si="2"/>
        <v/>
      </c>
      <c r="E986" s="14" t="str">
        <f t="shared" si="3"/>
        <v/>
      </c>
      <c r="F986" s="6" t="str">
        <f>IF($A986&lt;&gt;"",MAXIFS(Token!$B:$B,Token!$A:$A,$D986),)</f>
        <v/>
      </c>
    </row>
    <row r="987">
      <c r="A987" s="35" t="str">
        <f>IF(AND($L987*1&gt;=$G$3,$L987*1&lt;=$G$4,$I987*$J987&gt;0,CONCATENATE($H987:$L987)&lt;&gt;CONCATENATE($H988:$L988),$I987/POW(10,$J987)*MAXIFS(Token!$B:$B,Token!$A:$A,$K987)&gt;0.01),$L987/86400+DATE(1970,1,1)+IF($L987*1&gt;=$G$5,$G$6,0),)</f>
        <v/>
      </c>
      <c r="B987" s="22" t="str">
        <f t="shared" si="1"/>
        <v/>
      </c>
      <c r="C987" s="14" t="str">
        <f>IF($A987&lt;&gt;"",MINIFS(Merchant!$A:$A,Merchant!$B:$B,$G$2),)</f>
        <v/>
      </c>
      <c r="D987" s="14" t="str">
        <f t="shared" si="2"/>
        <v/>
      </c>
      <c r="E987" s="14" t="str">
        <f t="shared" si="3"/>
        <v/>
      </c>
      <c r="F987" s="6" t="str">
        <f>IF($A987&lt;&gt;"",MAXIFS(Token!$B:$B,Token!$A:$A,$D987),)</f>
        <v/>
      </c>
    </row>
    <row r="988">
      <c r="A988" s="35" t="str">
        <f>IF(AND($L988*1&gt;=$G$3,$L988*1&lt;=$G$4,$I988*$J988&gt;0,CONCATENATE($H988:$L988)&lt;&gt;CONCATENATE($H989:$L989),$I988/POW(10,$J988)*MAXIFS(Token!$B:$B,Token!$A:$A,$K988)&gt;0.01),$L988/86400+DATE(1970,1,1)+IF($L988*1&gt;=$G$5,$G$6,0),)</f>
        <v/>
      </c>
      <c r="B988" s="22" t="str">
        <f t="shared" si="1"/>
        <v/>
      </c>
      <c r="C988" s="14" t="str">
        <f>IF($A988&lt;&gt;"",MINIFS(Merchant!$A:$A,Merchant!$B:$B,$G$2),)</f>
        <v/>
      </c>
      <c r="D988" s="14" t="str">
        <f t="shared" si="2"/>
        <v/>
      </c>
      <c r="E988" s="14" t="str">
        <f t="shared" si="3"/>
        <v/>
      </c>
      <c r="F988" s="6" t="str">
        <f>IF($A988&lt;&gt;"",MAXIFS(Token!$B:$B,Token!$A:$A,$D988),)</f>
        <v/>
      </c>
    </row>
    <row r="989">
      <c r="A989" s="35" t="str">
        <f>IF(AND($L989*1&gt;=$G$3,$L989*1&lt;=$G$4,$I989*$J989&gt;0,CONCATENATE($H989:$L989)&lt;&gt;CONCATENATE($H990:$L990),$I989/POW(10,$J989)*MAXIFS(Token!$B:$B,Token!$A:$A,$K989)&gt;0.01),$L989/86400+DATE(1970,1,1)+IF($L989*1&gt;=$G$5,$G$6,0),)</f>
        <v/>
      </c>
      <c r="B989" s="22" t="str">
        <f t="shared" si="1"/>
        <v/>
      </c>
      <c r="C989" s="14" t="str">
        <f>IF($A989&lt;&gt;"",MINIFS(Merchant!$A:$A,Merchant!$B:$B,$G$2),)</f>
        <v/>
      </c>
      <c r="D989" s="14" t="str">
        <f t="shared" si="2"/>
        <v/>
      </c>
      <c r="E989" s="14" t="str">
        <f t="shared" si="3"/>
        <v/>
      </c>
      <c r="F989" s="6" t="str">
        <f>IF($A989&lt;&gt;"",MAXIFS(Token!$B:$B,Token!$A:$A,$D989),)</f>
        <v/>
      </c>
    </row>
    <row r="990">
      <c r="A990" s="35" t="str">
        <f>IF(AND($L990*1&gt;=$G$3,$L990*1&lt;=$G$4,$I990*$J990&gt;0,CONCATENATE($H990:$L990)&lt;&gt;CONCATENATE($H991:$L991),$I990/POW(10,$J990)*MAXIFS(Token!$B:$B,Token!$A:$A,$K990)&gt;0.01),$L990/86400+DATE(1970,1,1)+IF($L990*1&gt;=$G$5,$G$6,0),)</f>
        <v/>
      </c>
      <c r="B990" s="22" t="str">
        <f t="shared" si="1"/>
        <v/>
      </c>
      <c r="C990" s="14" t="str">
        <f>IF($A990&lt;&gt;"",MINIFS(Merchant!$A:$A,Merchant!$B:$B,$G$2),)</f>
        <v/>
      </c>
      <c r="D990" s="14" t="str">
        <f t="shared" si="2"/>
        <v/>
      </c>
      <c r="E990" s="14" t="str">
        <f t="shared" si="3"/>
        <v/>
      </c>
      <c r="F990" s="6" t="str">
        <f>IF($A990&lt;&gt;"",MAXIFS(Token!$B:$B,Token!$A:$A,$D990),)</f>
        <v/>
      </c>
    </row>
    <row r="991">
      <c r="A991" s="35" t="str">
        <f>IF(AND($L991*1&gt;=$G$3,$L991*1&lt;=$G$4,$I991*$J991&gt;0,CONCATENATE($H991:$L991)&lt;&gt;CONCATENATE($H992:$L992),$I991/POW(10,$J991)*MAXIFS(Token!$B:$B,Token!$A:$A,$K991)&gt;0.01),$L991/86400+DATE(1970,1,1)+IF($L991*1&gt;=$G$5,$G$6,0),)</f>
        <v/>
      </c>
      <c r="B991" s="22" t="str">
        <f t="shared" si="1"/>
        <v/>
      </c>
      <c r="C991" s="14" t="str">
        <f>IF($A991&lt;&gt;"",MINIFS(Merchant!$A:$A,Merchant!$B:$B,$G$2),)</f>
        <v/>
      </c>
      <c r="D991" s="14" t="str">
        <f t="shared" si="2"/>
        <v/>
      </c>
      <c r="E991" s="14" t="str">
        <f t="shared" si="3"/>
        <v/>
      </c>
      <c r="F991" s="6" t="str">
        <f>IF($A991&lt;&gt;"",MAXIFS(Token!$B:$B,Token!$A:$A,$D991),)</f>
        <v/>
      </c>
    </row>
    <row r="992">
      <c r="A992" s="35" t="str">
        <f>IF(AND($L992*1&gt;=$G$3,$L992*1&lt;=$G$4,$I992*$J992&gt;0,CONCATENATE($H992:$L992)&lt;&gt;CONCATENATE($H993:$L993),$I992/POW(10,$J992)*MAXIFS(Token!$B:$B,Token!$A:$A,$K992)&gt;0.01),$L992/86400+DATE(1970,1,1)+IF($L992*1&gt;=$G$5,$G$6,0),)</f>
        <v/>
      </c>
      <c r="B992" s="22" t="str">
        <f t="shared" si="1"/>
        <v/>
      </c>
      <c r="C992" s="14" t="str">
        <f>IF($A992&lt;&gt;"",MINIFS(Merchant!$A:$A,Merchant!$B:$B,$G$2),)</f>
        <v/>
      </c>
      <c r="D992" s="14" t="str">
        <f t="shared" si="2"/>
        <v/>
      </c>
      <c r="E992" s="14" t="str">
        <f t="shared" si="3"/>
        <v/>
      </c>
      <c r="F992" s="6" t="str">
        <f>IF($A992&lt;&gt;"",MAXIFS(Token!$B:$B,Token!$A:$A,$D992),)</f>
        <v/>
      </c>
    </row>
    <row r="993">
      <c r="A993" s="35" t="str">
        <f>IF(AND($L993*1&gt;=$G$3,$L993*1&lt;=$G$4,$I993*$J993&gt;0,CONCATENATE($H993:$L993)&lt;&gt;CONCATENATE($H994:$L994),$I993/POW(10,$J993)*MAXIFS(Token!$B:$B,Token!$A:$A,$K993)&gt;0.01),$L993/86400+DATE(1970,1,1)+IF($L993*1&gt;=$G$5,$G$6,0),)</f>
        <v/>
      </c>
      <c r="B993" s="22" t="str">
        <f t="shared" si="1"/>
        <v/>
      </c>
      <c r="C993" s="14" t="str">
        <f>IF($A993&lt;&gt;"",MINIFS(Merchant!$A:$A,Merchant!$B:$B,$G$2),)</f>
        <v/>
      </c>
      <c r="D993" s="14" t="str">
        <f t="shared" si="2"/>
        <v/>
      </c>
      <c r="E993" s="14" t="str">
        <f t="shared" si="3"/>
        <v/>
      </c>
      <c r="F993" s="6" t="str">
        <f>IF($A993&lt;&gt;"",MAXIFS(Token!$B:$B,Token!$A:$A,$D993),)</f>
        <v/>
      </c>
    </row>
    <row r="994">
      <c r="A994" s="35" t="str">
        <f>IF(AND($L994*1&gt;=$G$3,$L994*1&lt;=$G$4,$I994*$J994&gt;0,CONCATENATE($H994:$L994)&lt;&gt;CONCATENATE($H995:$L995),$I994/POW(10,$J994)*MAXIFS(Token!$B:$B,Token!$A:$A,$K994)&gt;0.01),$L994/86400+DATE(1970,1,1)+IF($L994*1&gt;=$G$5,$G$6,0),)</f>
        <v/>
      </c>
      <c r="B994" s="22" t="str">
        <f t="shared" si="1"/>
        <v/>
      </c>
      <c r="C994" s="14" t="str">
        <f>IF($A994&lt;&gt;"",MINIFS(Merchant!$A:$A,Merchant!$B:$B,$G$2),)</f>
        <v/>
      </c>
      <c r="D994" s="14" t="str">
        <f t="shared" si="2"/>
        <v/>
      </c>
      <c r="E994" s="14" t="str">
        <f t="shared" si="3"/>
        <v/>
      </c>
      <c r="F994" s="6" t="str">
        <f>IF($A994&lt;&gt;"",MAXIFS(Token!$B:$B,Token!$A:$A,$D994),)</f>
        <v/>
      </c>
    </row>
    <row r="995">
      <c r="A995" s="35" t="str">
        <f>IF(AND($L995*1&gt;=$G$3,$L995*1&lt;=$G$4,$I995*$J995&gt;0,CONCATENATE($H995:$L995)&lt;&gt;CONCATENATE($H996:$L996),$I995/POW(10,$J995)*MAXIFS(Token!$B:$B,Token!$A:$A,$K995)&gt;0.01),$L995/86400+DATE(1970,1,1)+IF($L995*1&gt;=$G$5,$G$6,0),)</f>
        <v/>
      </c>
      <c r="B995" s="22" t="str">
        <f t="shared" si="1"/>
        <v/>
      </c>
      <c r="C995" s="14" t="str">
        <f>IF($A995&lt;&gt;"",MINIFS(Merchant!$A:$A,Merchant!$B:$B,$G$2),)</f>
        <v/>
      </c>
      <c r="D995" s="14" t="str">
        <f t="shared" si="2"/>
        <v/>
      </c>
      <c r="E995" s="14" t="str">
        <f t="shared" si="3"/>
        <v/>
      </c>
      <c r="F995" s="6" t="str">
        <f>IF($A995&lt;&gt;"",MAXIFS(Token!$B:$B,Token!$A:$A,$D995),)</f>
        <v/>
      </c>
    </row>
    <row r="996">
      <c r="A996" s="35" t="str">
        <f>IF(AND($L996*1&gt;=$G$3,$L996*1&lt;=$G$4,$I996*$J996&gt;0,CONCATENATE($H996:$L996)&lt;&gt;CONCATENATE($H997:$L997),$I996/POW(10,$J996)*MAXIFS(Token!$B:$B,Token!$A:$A,$K996)&gt;0.01),$L996/86400+DATE(1970,1,1)+IF($L996*1&gt;=$G$5,$G$6,0),)</f>
        <v/>
      </c>
      <c r="B996" s="22" t="str">
        <f t="shared" si="1"/>
        <v/>
      </c>
      <c r="C996" s="14" t="str">
        <f>IF($A996&lt;&gt;"",MINIFS(Merchant!$A:$A,Merchant!$B:$B,$G$2),)</f>
        <v/>
      </c>
      <c r="D996" s="14" t="str">
        <f t="shared" si="2"/>
        <v/>
      </c>
      <c r="E996" s="14" t="str">
        <f t="shared" si="3"/>
        <v/>
      </c>
      <c r="F996" s="6" t="str">
        <f>IF($A996&lt;&gt;"",MAXIFS(Token!$B:$B,Token!$A:$A,$D996),)</f>
        <v/>
      </c>
    </row>
    <row r="997">
      <c r="A997" s="35" t="str">
        <f>IF(AND($L997*1&gt;=$G$3,$L997*1&lt;=$G$4,$I997*$J997&gt;0,CONCATENATE($H997:$L997)&lt;&gt;CONCATENATE($H998:$L998),$I997/POW(10,$J997)*MAXIFS(Token!$B:$B,Token!$A:$A,$K997)&gt;0.01),$L997/86400+DATE(1970,1,1)+IF($L997*1&gt;=$G$5,$G$6,0),)</f>
        <v/>
      </c>
      <c r="B997" s="22" t="str">
        <f t="shared" si="1"/>
        <v/>
      </c>
      <c r="C997" s="14" t="str">
        <f>IF($A997&lt;&gt;"",MINIFS(Merchant!$A:$A,Merchant!$B:$B,$G$2),)</f>
        <v/>
      </c>
      <c r="D997" s="14" t="str">
        <f t="shared" si="2"/>
        <v/>
      </c>
      <c r="E997" s="14" t="str">
        <f t="shared" si="3"/>
        <v/>
      </c>
      <c r="F997" s="6" t="str">
        <f>IF($A997&lt;&gt;"",MAXIFS(Token!$B:$B,Token!$A:$A,$D997),)</f>
        <v/>
      </c>
    </row>
    <row r="998">
      <c r="A998" s="35" t="str">
        <f>IF(AND($L998*1&gt;=$G$3,$L998*1&lt;=$G$4,$I998*$J998&gt;0,CONCATENATE($H998:$L998)&lt;&gt;CONCATENATE($H999:$L999),$I998/POW(10,$J998)*MAXIFS(Token!$B:$B,Token!$A:$A,$K998)&gt;0.01),$L998/86400+DATE(1970,1,1)+IF($L998*1&gt;=$G$5,$G$6,0),)</f>
        <v/>
      </c>
      <c r="B998" s="22" t="str">
        <f t="shared" si="1"/>
        <v/>
      </c>
      <c r="C998" s="14" t="str">
        <f>IF($A998&lt;&gt;"",MINIFS(Merchant!$A:$A,Merchant!$B:$B,$G$2),)</f>
        <v/>
      </c>
      <c r="D998" s="14" t="str">
        <f t="shared" si="2"/>
        <v/>
      </c>
      <c r="E998" s="14" t="str">
        <f t="shared" si="3"/>
        <v/>
      </c>
      <c r="F998" s="6" t="str">
        <f>IF($A998&lt;&gt;"",MAXIFS(Token!$B:$B,Token!$A:$A,$D998),)</f>
        <v/>
      </c>
    </row>
    <row r="999">
      <c r="A999" s="35" t="str">
        <f>IF(AND($L999*1&gt;=$G$3,$L999*1&lt;=$G$4,$I999*$J999&gt;0,CONCATENATE($H999:$L999)&lt;&gt;CONCATENATE($H1000:$L1000),$I999/POW(10,$J999)*MAXIFS(Token!$B:$B,Token!$A:$A,$K999)&gt;0.01),$L999/86400+DATE(1970,1,1)+IF($L999*1&gt;=$G$5,$G$6,0),)</f>
        <v/>
      </c>
      <c r="B999" s="22" t="str">
        <f t="shared" si="1"/>
        <v/>
      </c>
      <c r="C999" s="14" t="str">
        <f>IF($A999&lt;&gt;"",MINIFS(Merchant!$A:$A,Merchant!$B:$B,$G$2),)</f>
        <v/>
      </c>
      <c r="D999" s="14" t="str">
        <f t="shared" si="2"/>
        <v/>
      </c>
      <c r="E999" s="14" t="str">
        <f t="shared" si="3"/>
        <v/>
      </c>
      <c r="F999" s="6" t="str">
        <f>IF($A999&lt;&gt;"",MAXIFS(Token!$B:$B,Token!$A:$A,$D999),)</f>
        <v/>
      </c>
    </row>
    <row r="1000">
      <c r="A1000" s="35" t="str">
        <f>IF(AND($L1000*1&gt;=$G$3,$L1000*1&lt;=$G$4,$I1000*$J1000&gt;0,CONCATENATE($H1000:$L1000)&lt;&gt;CONCATENATE($H1001:$L1001),$I1000/POW(10,$J1000)*MAXIFS(Token!$B:$B,Token!$A:$A,$K1000)&gt;0.01),$L1000/86400+DATE(1970,1,1)+IF($L1000*1&gt;=$G$5,$G$6,0),)</f>
        <v/>
      </c>
      <c r="B1000" s="22" t="str">
        <f t="shared" si="1"/>
        <v/>
      </c>
      <c r="C1000" s="14" t="str">
        <f>IF($A1000&lt;&gt;"",MINIFS(Merchant!$A:$A,Merchant!$B:$B,$G$2),)</f>
        <v/>
      </c>
      <c r="D1000" s="14" t="str">
        <f t="shared" si="2"/>
        <v/>
      </c>
      <c r="E1000" s="14" t="str">
        <f t="shared" si="3"/>
        <v/>
      </c>
      <c r="F1000" s="6" t="str">
        <f>IF($A1000&lt;&gt;"",MAXIFS(Token!$B:$B,Token!$A:$A,$D1000),)</f>
        <v/>
      </c>
    </row>
  </sheetData>
  <drawing r:id="rId2"/>
  <legacyDrawing r:id="rId3"/>
</worksheet>
</file>